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hidePivotFieldList="1"/>
  <mc:AlternateContent xmlns:mc="http://schemas.openxmlformats.org/markup-compatibility/2006">
    <mc:Choice Requires="x15">
      <x15ac:absPath xmlns:x15ac="http://schemas.microsoft.com/office/spreadsheetml/2010/11/ac" url="C:\Users\3194087\Desktop\"/>
    </mc:Choice>
  </mc:AlternateContent>
  <xr:revisionPtr revIDLastSave="0" documentId="13_ncr:201_{00ACAD5E-DEE1-4B3A-9D46-10CFAC806860}" xr6:coauthVersionLast="47" xr6:coauthVersionMax="47" xr10:uidLastSave="{00000000-0000-0000-0000-000000000000}"/>
  <bookViews>
    <workbookView xWindow="-108" yWindow="-108" windowWidth="23256" windowHeight="12576" tabRatio="843" activeTab="2" xr2:uid="{00000000-000D-0000-FFFF-FFFF00000000}"/>
  </bookViews>
  <sheets>
    <sheet name="Índice" sheetId="19" r:id="rId1"/>
    <sheet name="IG" sheetId="14" r:id="rId2"/>
    <sheet name="BG" sheetId="3" r:id="rId3"/>
    <sheet name="EERR" sheetId="26" r:id="rId4"/>
    <sheet name="EFE" sheetId="5" r:id="rId5"/>
    <sheet name="VPN" sheetId="7" r:id="rId6"/>
    <sheet name="Nota 1 a Nota 4" sheetId="8" r:id="rId7"/>
    <sheet name="BG 2021" sheetId="11" state="hidden" r:id="rId8"/>
    <sheet name="Nota 5" sheetId="9" r:id="rId9"/>
    <sheet name="Nota 6 a Nota 12" sheetId="22" r:id="rId10"/>
    <sheet name="BG 062021" sheetId="31" state="hidden" r:id="rId11"/>
    <sheet name="CA EFE" sheetId="6" state="hidden" r:id="rId12"/>
    <sheet name="BG 062022" sheetId="27" state="hidden" r:id="rId13"/>
    <sheet name="Clasificaciones" sheetId="30" state="hidden" r:id="rId14"/>
    <sheet name="Cartera Propia" sheetId="21" state="hidden" r:id="rId15"/>
  </sheets>
  <definedNames>
    <definedName name="\a" localSheetId="1">#REF!</definedName>
    <definedName name="\a" localSheetId="6">#REF!</definedName>
    <definedName name="\a" localSheetId="8">#REF!</definedName>
    <definedName name="\a" localSheetId="9">#REF!</definedName>
    <definedName name="\a">#REF!</definedName>
    <definedName name="_____DAT23" localSheetId="1">#REF!</definedName>
    <definedName name="_____DAT23" localSheetId="6">#REF!</definedName>
    <definedName name="_____DAT23" localSheetId="8">#REF!</definedName>
    <definedName name="_____DAT23" localSheetId="9">#REF!</definedName>
    <definedName name="_____DAT23">#REF!</definedName>
    <definedName name="_____DAT24" localSheetId="1">#REF!</definedName>
    <definedName name="_____DAT24" localSheetId="6">#REF!</definedName>
    <definedName name="_____DAT24" localSheetId="8">#REF!</definedName>
    <definedName name="_____DAT24" localSheetId="9">#REF!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5">#REF!</definedName>
    <definedName name="__DAT23">#REF!</definedName>
    <definedName name="__DAT24" localSheetId="5">#REF!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5">#REF!</definedName>
    <definedName name="_DAT13">#REF!</definedName>
    <definedName name="_DAT14" localSheetId="5">#REF!</definedName>
    <definedName name="_DAT14">#REF!</definedName>
    <definedName name="_DAT15">#REF!</definedName>
    <definedName name="_DAT16">#REF!</definedName>
    <definedName name="_DAT17" localSheetId="5">#REF!</definedName>
    <definedName name="_DAT17">#REF!</definedName>
    <definedName name="_DAT18" localSheetId="5">#REF!</definedName>
    <definedName name="_DAT18">#REF!</definedName>
    <definedName name="_DAT19" localSheetId="5">#REF!</definedName>
    <definedName name="_DAT19">#REF!</definedName>
    <definedName name="_DAT2">#REF!</definedName>
    <definedName name="_DAT20" localSheetId="5">#REF!</definedName>
    <definedName name="_DAT20">#REF!</definedName>
    <definedName name="_DAT22" localSheetId="5">#REF!</definedName>
    <definedName name="_DAT22">#REF!</definedName>
    <definedName name="_DAT23" localSheetId="5">#REF!</definedName>
    <definedName name="_DAT23">#REF!</definedName>
    <definedName name="_DAT24" localSheetId="5">#REF!</definedName>
    <definedName name="_DAT24">#REF!</definedName>
    <definedName name="_DAT3" localSheetId="5">#REF!</definedName>
    <definedName name="_DAT3">#REF!</definedName>
    <definedName name="_DAT4" localSheetId="5">#REF!</definedName>
    <definedName name="_DAT4">#REF!</definedName>
    <definedName name="_DAT5" localSheetId="5">#REF!</definedName>
    <definedName name="_DAT5">#REF!</definedName>
    <definedName name="_DAT6">#REF!</definedName>
    <definedName name="_DAT7">#REF!</definedName>
    <definedName name="_DAT8">#REF!</definedName>
    <definedName name="_xlnm._FilterDatabase" localSheetId="12" hidden="1">'BG 062022'!$A$7:$G$467</definedName>
    <definedName name="_xlnm._FilterDatabase" localSheetId="7" hidden="1">'BG 2021'!$A$5:$WVF$260</definedName>
    <definedName name="_xlnm._FilterDatabase" localSheetId="11" hidden="1">'CA EFE'!$A$3:$WWJ$526</definedName>
    <definedName name="_xlnm._FilterDatabase" localSheetId="14" hidden="1">'Cartera Propia'!$A$6:$N$449</definedName>
    <definedName name="_xlnm._FilterDatabase" localSheetId="13" hidden="1">Clasificaciones!$A$4:$R$904</definedName>
    <definedName name="_xlnm._FilterDatabase" localSheetId="3" hidden="1">EERR!$F$15:$G$15</definedName>
    <definedName name="_xlnm._FilterDatabase" localSheetId="8" hidden="1">'Nota 5'!$B$141:$J$526</definedName>
    <definedName name="_Key1" localSheetId="10" hidden="1">#REF!</definedName>
    <definedName name="_Key1" localSheetId="1" hidden="1">#REF!</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_Parse_In" localSheetId="10" hidden="1">#REF!</definedName>
    <definedName name="_Parse_In" localSheetId="5" hidden="1">#REF!</definedName>
    <definedName name="_Parse_In" hidden="1">#REF!</definedName>
    <definedName name="_Parse_Out" localSheetId="5" hidden="1">#REF!</definedName>
    <definedName name="_Parse_Out" hidden="1">#REF!</definedName>
    <definedName name="_RSE1">#REF!</definedName>
    <definedName name="_RSE2">#REF!</definedName>
    <definedName name="_TPy530231">#REF!</definedName>
    <definedName name="a" localSheetId="10" hidden="1">{#N/A,#N/A,FALSE,"Aging Summary";#N/A,#N/A,FALSE,"Ratio Analysis";#N/A,#N/A,FALSE,"Test 120 Day Accts";#N/A,#N/A,FALSE,"Tickmarks"}</definedName>
    <definedName name="a" localSheetId="12" hidden="1">{#N/A,#N/A,FALSE,"Aging Summary";#N/A,#N/A,FALSE,"Ratio Analysis";#N/A,#N/A,FALSE,"Test 120 Day Accts";#N/A,#N/A,FALSE,"Tickmarks"}</definedName>
    <definedName name="a" localSheetId="13"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5">#REF!</definedName>
    <definedName name="a" hidden="1">{#N/A,#N/A,FALSE,"Aging Summary";#N/A,#N/A,FALSE,"Ratio Analysis";#N/A,#N/A,FALSE,"Test 120 Day Accts";#N/A,#N/A,FALSE,"Tickmarks"}</definedName>
    <definedName name="A_impresión_IM" localSheetId="10">#REF!</definedName>
    <definedName name="A_impresión_IM" localSheetId="5">#REF!</definedName>
    <definedName name="A_impresión_IM">#REF!</definedName>
    <definedName name="aakdkadk" localSheetId="10" hidden="1">#REF!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5">#REF!</definedName>
    <definedName name="ADV_PROM">#REF!</definedName>
    <definedName name="APSUMMARY">#REF!</definedName>
    <definedName name="AR_Balance">#REF!</definedName>
    <definedName name="ARA_Threshold">#REF!</definedName>
    <definedName name="_xlnm.Print_Area" localSheetId="2">BG!$B$10:$L$95</definedName>
    <definedName name="_xlnm.Print_Area" localSheetId="3">EERR!$B$10:$G$101</definedName>
    <definedName name="_xlnm.Print_Area" localSheetId="8">'Nota 5'!$A$9:$I$1304</definedName>
    <definedName name="_xlnm.Print_Area" localSheetId="9">'Nota 6 a Nota 12'!$A$9:$I$48</definedName>
    <definedName name="_xlnm.Print_Area" localSheetId="5">VPN!$B$9:$M$39</definedName>
    <definedName name="Area_de_impresión2" localSheetId="1">#REF!</definedName>
    <definedName name="Area_de_impresión2" localSheetId="6">#REF!</definedName>
    <definedName name="Area_de_impresión2" localSheetId="8">#REF!</definedName>
    <definedName name="Area_de_impresión2" localSheetId="9">#REF!</definedName>
    <definedName name="Area_de_impresión2" localSheetId="5">#REF!</definedName>
    <definedName name="Area_de_impresión2">#REF!</definedName>
    <definedName name="Area_de_impresión3" localSheetId="5">#REF!</definedName>
    <definedName name="Area_de_impresión3">#REF!</definedName>
    <definedName name="ARGENTINA" localSheetId="5">#REF!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10" hidden="1">#REF!</definedName>
    <definedName name="AS2StaticLS" localSheetId="5" hidden="1">#REF!</definedName>
    <definedName name="AS2StaticLS" hidden="1">#REF!</definedName>
    <definedName name="AS2SyncStepLS" hidden="1">0</definedName>
    <definedName name="AS2TickmarkLS" localSheetId="5" hidden="1">#REF!</definedName>
    <definedName name="AS2TickmarkLS" hidden="1">#REF!</definedName>
    <definedName name="AS2VersionLS" hidden="1">300</definedName>
    <definedName name="assssssssssssssssssssssssssssssssssssssssss" localSheetId="10" hidden="1">#REF!</definedName>
    <definedName name="assssssssssssssssssssssssssssssssssssssssss" hidden="1">#REF!</definedName>
    <definedName name="B" localSheetId="10">#REF!</definedName>
    <definedName name="B" localSheetId="5">#REF!</definedName>
    <definedName name="B">#REF!</definedName>
    <definedName name="_xlnm.Database" localSheetId="5">#REF!</definedName>
    <definedName name="_xlnm.Database">#REF!</definedName>
    <definedName name="basemeta" localSheetId="5">#REF!</definedName>
    <definedName name="basemeta">#REF!</definedName>
    <definedName name="basenueva" localSheetId="5">#REF!</definedName>
    <definedName name="basenueva">#REF!</definedName>
    <definedName name="BB">#REF!</definedName>
    <definedName name="BCDE" localSheetId="10" hidden="1">{#N/A,#N/A,FALSE,"Aging Summary";#N/A,#N/A,FALSE,"Ratio Analysis";#N/A,#N/A,FALSE,"Test 120 Day Accts";#N/A,#N/A,FALSE,"Tickmarks"}</definedName>
    <definedName name="BCDE" localSheetId="12" hidden="1">{#N/A,#N/A,FALSE,"Aging Summary";#N/A,#N/A,FALSE,"Ratio Analysis";#N/A,#N/A,FALSE,"Test 120 Day Accts";#N/A,#N/A,FALSE,"Tickmarks"}</definedName>
    <definedName name="BCDE" localSheetId="13" hidden="1">{#N/A,#N/A,FALSE,"Aging Summary";#N/A,#N/A,FALSE,"Ratio Analysis";#N/A,#N/A,FALSE,"Test 120 Day Accts";#N/A,#N/A,FALSE,"Tickmarks"}</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5"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5">#REF!</definedName>
    <definedName name="BRASIL">#REF!</definedName>
    <definedName name="bsusocomb1">#REF!</definedName>
    <definedName name="bsusonorte1">#REF!</definedName>
    <definedName name="bsusosur1">#REF!</definedName>
    <definedName name="BuiltIn_Print_Area" localSheetId="5">#REF!</definedName>
    <definedName name="BuiltIn_Print_Area">#REF!</definedName>
    <definedName name="BuiltIn_Print_Area___0___0___0___0___0" localSheetId="5">#REF!</definedName>
    <definedName name="BuiltIn_Print_Area___0___0___0___0___0">#REF!</definedName>
    <definedName name="BuiltIn_Print_Area___0___0___0___0___0___0___0___0" localSheetId="5">#REF!</definedName>
    <definedName name="BuiltIn_Print_Area___0___0___0___0___0___0___0___0">#REF!</definedName>
    <definedName name="canal" localSheetId="5">#REF!</definedName>
    <definedName name="canal">#REF!</definedName>
    <definedName name="Capitali">#REF!</definedName>
    <definedName name="CC" localSheetId="5">#REF!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5">#REF!</definedName>
    <definedName name="chart1">#REF!</definedName>
    <definedName name="cliente" localSheetId="5">#REF!</definedName>
    <definedName name="cliente">#REF!</definedName>
    <definedName name="cliente2" localSheetId="5">#REF!</definedName>
    <definedName name="cliente2">#REF!</definedName>
    <definedName name="Clientes" localSheetId="5">#REF!</definedName>
    <definedName name="Clientes">#REF!</definedName>
    <definedName name="Clients_Population_Total" localSheetId="5">#REF!</definedName>
    <definedName name="Clients_Population_Total">#REF!</definedName>
    <definedName name="cndsuuuuuuuuuuuuuuuuuuuuuuuuuuuuuuuuuuuuuuuuuuuuuuuuuuuuu" hidden="1">#REF!</definedName>
    <definedName name="co" localSheetId="5">#REF!</definedName>
    <definedName name="co">#REF!</definedName>
    <definedName name="COMPAÑIAS" localSheetId="5">#REF!</definedName>
    <definedName name="COMPAÑIAS">#REF!</definedName>
    <definedName name="Compilacion">#REF!</definedName>
    <definedName name="complacu" localSheetId="5">#REF!</definedName>
    <definedName name="complacu">#REF!</definedName>
    <definedName name="complemes" localSheetId="5">#REF!</definedName>
    <definedName name="complemes">#REF!</definedName>
    <definedName name="Computed_Sample_Population_Total" localSheetId="5">#REF!</definedName>
    <definedName name="Computed_Sample_Population_Total">#REF!</definedName>
    <definedName name="COST_MP" localSheetId="5">#REF!</definedName>
    <definedName name="COST_MP">#REF!</definedName>
    <definedName name="crin0010">#REF!</definedName>
    <definedName name="Customer">#REF!</definedName>
    <definedName name="customerld">#REF!</definedName>
    <definedName name="CustomerPCS">#REF!</definedName>
    <definedName name="CY_Accounts_Receivable" localSheetId="5">#REF!</definedName>
    <definedName name="CY_Administration" localSheetId="5">#REF!</definedName>
    <definedName name="CY_Administration">#REF!</definedName>
    <definedName name="CY_Cash" localSheetId="5">#REF!</definedName>
    <definedName name="CY_Cash_Div_Dec" localSheetId="5">#REF!</definedName>
    <definedName name="CY_CASH_DIVIDENDS_DECLARED__per_common_share" localSheetId="5">#REF!</definedName>
    <definedName name="CY_Common_Equity" localSheetId="5">#REF!</definedName>
    <definedName name="CY_Cost_of_Sales" localSheetId="5">#REF!</definedName>
    <definedName name="CY_Current_Liabilities" localSheetId="5">#REF!</definedName>
    <definedName name="CY_Depreciation" localSheetId="5">#REF!</definedName>
    <definedName name="CY_Disc._Ops." localSheetId="5">#REF!</definedName>
    <definedName name="CY_Disc_mnth">#REF!</definedName>
    <definedName name="CY_Disc_pd">#REF!</definedName>
    <definedName name="CY_Discounts">#REF!</definedName>
    <definedName name="CY_Earnings_per_share" localSheetId="5">#REF!</definedName>
    <definedName name="CY_Extraord." localSheetId="5">#REF!</definedName>
    <definedName name="CY_Gross_Profit" localSheetId="5">#REF!</definedName>
    <definedName name="CY_INC_AFT_TAX" localSheetId="5">#REF!</definedName>
    <definedName name="CY_INC_BEF_EXTRAORD" localSheetId="5">#REF!</definedName>
    <definedName name="CY_Inc_Bef_Tax" localSheetId="5">#REF!</definedName>
    <definedName name="CY_Intangible_Assets" localSheetId="5">#REF!</definedName>
    <definedName name="CY_Intangible_Assets">#REF!</definedName>
    <definedName name="CY_Interest_Expense" localSheetId="5">#REF!</definedName>
    <definedName name="CY_Inventory" localSheetId="5">#REF!</definedName>
    <definedName name="CY_LIABIL_EQUITY" localSheetId="5">#REF!</definedName>
    <definedName name="CY_LIABIL_EQUITY">#REF!</definedName>
    <definedName name="CY_Long_term_Debt__excl_Dfd_Taxes" localSheetId="5">#REF!</definedName>
    <definedName name="CY_LT_Debt" localSheetId="5">#REF!</definedName>
    <definedName name="CY_Market_Value_of_Equity" localSheetId="5">#REF!</definedName>
    <definedName name="CY_Marketable_Sec" localSheetId="5">#REF!</definedName>
    <definedName name="CY_Marketable_Sec">#REF!</definedName>
    <definedName name="CY_NET_INCOME" localSheetId="5">#REF!</definedName>
    <definedName name="CY_NET_PROFIT">#REF!</definedName>
    <definedName name="CY_Net_Revenue" localSheetId="5">#REF!</definedName>
    <definedName name="CY_Operating_Income" localSheetId="5">#REF!</definedName>
    <definedName name="CY_Operating_Income">#REF!</definedName>
    <definedName name="CY_Other" localSheetId="5">#REF!</definedName>
    <definedName name="CY_Other">#REF!</definedName>
    <definedName name="CY_Other_Curr_Assets" localSheetId="5">#REF!</definedName>
    <definedName name="CY_Other_Curr_Assets">#REF!</definedName>
    <definedName name="CY_Other_LT_Assets" localSheetId="5">#REF!</definedName>
    <definedName name="CY_Other_LT_Assets">#REF!</definedName>
    <definedName name="CY_Other_LT_Liabilities" localSheetId="5">#REF!</definedName>
    <definedName name="CY_Other_LT_Liabilities">#REF!</definedName>
    <definedName name="CY_Preferred_Stock" localSheetId="5">#REF!</definedName>
    <definedName name="CY_Preferred_Stock">#REF!</definedName>
    <definedName name="CY_QUICK_ASSETS" localSheetId="5">#REF!</definedName>
    <definedName name="CY_Ret_mnth">#REF!</definedName>
    <definedName name="CY_Ret_pd">#REF!</definedName>
    <definedName name="CY_Retained_Earnings" localSheetId="5">#REF!</definedName>
    <definedName name="CY_Retained_Earnings">#REF!</definedName>
    <definedName name="CY_Returns">#REF!</definedName>
    <definedName name="CY_Selling" localSheetId="5">#REF!</definedName>
    <definedName name="CY_Selling">#REF!</definedName>
    <definedName name="CY_Tangible_Assets" localSheetId="5">#REF!</definedName>
    <definedName name="CY_Tangible_Assets">#REF!</definedName>
    <definedName name="CY_Tangible_Net_Worth" localSheetId="5">#REF!</definedName>
    <definedName name="CY_Taxes" localSheetId="5">#REF!</definedName>
    <definedName name="CY_TOTAL_ASSETS" localSheetId="5">#REF!</definedName>
    <definedName name="CY_TOTAL_CURR_ASSETS" localSheetId="5">#REF!</definedName>
    <definedName name="CY_TOTAL_DEBT" localSheetId="5">#REF!</definedName>
    <definedName name="CY_TOTAL_EQUITY" localSheetId="5">#REF!</definedName>
    <definedName name="CY_Trade_Payables" localSheetId="5">#REF!</definedName>
    <definedName name="CY_Weighted_Average" localSheetId="5">#REF!</definedName>
    <definedName name="CY_Working_Capital" localSheetId="5">#REF!</definedName>
    <definedName name="CY_Year_Income_Statement" localSheetId="5">#REF!</definedName>
    <definedName name="da" localSheetId="10" hidden="1">{#N/A,#N/A,FALSE,"Aging Summary";#N/A,#N/A,FALSE,"Ratio Analysis";#N/A,#N/A,FALSE,"Test 120 Day Accts";#N/A,#N/A,FALSE,"Tickmarks"}</definedName>
    <definedName name="da" localSheetId="12" hidden="1">{#N/A,#N/A,FALSE,"Aging Summary";#N/A,#N/A,FALSE,"Ratio Analysis";#N/A,#N/A,FALSE,"Test 120 Day Accts";#N/A,#N/A,FALSE,"Tickmarks"}</definedName>
    <definedName name="da" localSheetId="13"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5" hidden="1">{#N/A,#N/A,FALSE,"Aging Summary";#N/A,#N/A,FALSE,"Ratio Analysis";#N/A,#N/A,FALSE,"Test 120 Day Accts";#N/A,#N/A,FALSE,"Tickmarks"}</definedName>
    <definedName name="da" hidden="1">{#N/A,#N/A,FALSE,"Aging Summary";#N/A,#N/A,FALSE,"Ratio Analysis";#N/A,#N/A,FALSE,"Test 120 Day Accts";#N/A,#N/A,FALSE,"Tickmarks"}</definedName>
    <definedName name="DAFDFAD" localSheetId="10" hidden="1">{#N/A,#N/A,FALSE,"VOL"}</definedName>
    <definedName name="DAFDFAD" localSheetId="12" hidden="1">{#N/A,#N/A,FALSE,"VOL"}</definedName>
    <definedName name="DAFDFAD" localSheetId="13" hidden="1">{#N/A,#N/A,FALSE,"VOL"}</definedName>
    <definedName name="DAFDFAD" localSheetId="3" hidden="1">{#N/A,#N/A,FALSE,"VOL"}</definedName>
    <definedName name="DAFDFAD" localSheetId="4" hidden="1">{#N/A,#N/A,FALSE,"VOL"}</definedName>
    <definedName name="DAFDFAD" localSheetId="1" hidden="1">{#N/A,#N/A,FALSE,"VOL"}</definedName>
    <definedName name="DAFDFAD" localSheetId="6" hidden="1">{#N/A,#N/A,FALSE,"VOL"}</definedName>
    <definedName name="DAFDFAD" localSheetId="8" hidden="1">{#N/A,#N/A,FALSE,"VOL"}</definedName>
    <definedName name="DAFDFAD" localSheetId="9" hidden="1">{#N/A,#N/A,FALSE,"VOL"}</definedName>
    <definedName name="DAFDFAD" localSheetId="5" hidden="1">{#N/A,#N/A,FALSE,"VOL"}</definedName>
    <definedName name="DAFDFAD" hidden="1">{#N/A,#N/A,FALSE,"VOL"}</definedName>
    <definedName name="DASA" localSheetId="10">#REF!</definedName>
    <definedName name="DASA" localSheetId="5">#REF!</definedName>
    <definedName name="DASA">#REF!</definedName>
    <definedName name="data" localSheetId="5">#REF!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5">#REF!</definedName>
    <definedName name="datos">#REF!</definedName>
    <definedName name="Definición">#REF!</definedName>
    <definedName name="desc" localSheetId="5">#REF!</definedName>
    <definedName name="desc">#REF!</definedName>
    <definedName name="detaacu" localSheetId="5">#REF!</definedName>
    <definedName name="detaacu">#REF!</definedName>
    <definedName name="detames" localSheetId="5">#REF!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5">#REF!</definedName>
    <definedName name="Dist">#REF!</definedName>
    <definedName name="distribuidores" localSheetId="5">#REF!</definedName>
    <definedName name="distribuidores">#REF!</definedName>
    <definedName name="Dollar_Threshold" localSheetId="5">#REF!</definedName>
    <definedName name="Dollar_Threshold">#REF!</definedName>
    <definedName name="dtt" hidden="1">#REF!</definedName>
    <definedName name="Edesa" localSheetId="5">#REF!</definedName>
    <definedName name="Edesa">#REF!</definedName>
    <definedName name="Enriputo" localSheetId="5">#REF!</definedName>
    <definedName name="Enriputo">#REF!</definedName>
    <definedName name="eoafh">#REF!</definedName>
    <definedName name="eoafn">#REF!</definedName>
    <definedName name="eoafs">#REF!</definedName>
    <definedName name="est" localSheetId="5">#REF!</definedName>
    <definedName name="est">#REF!</definedName>
    <definedName name="ESTBF" localSheetId="5">#REF!</definedName>
    <definedName name="ESTBF">#REF!</definedName>
    <definedName name="ESTIMADO" localSheetId="5">#REF!</definedName>
    <definedName name="ESTIMADO">#REF!</definedName>
    <definedName name="EV__LASTREFTIME__" hidden="1">38972.3597337963</definedName>
    <definedName name="EX" localSheetId="10">#REF!</definedName>
    <definedName name="EX" localSheetId="5">#REF!</definedName>
    <definedName name="EX">#REF!</definedName>
    <definedName name="Excel_BuiltIn__FilterDatabase_1_1" localSheetId="10">#REF!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5">#REF!</definedName>
    <definedName name="GASTOS">#REF!</definedName>
    <definedName name="grandes3">#REF!</definedName>
    <definedName name="histor" localSheetId="5">#REF!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5">#REF!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10" hidden="1">{#N/A,#N/A,FALSE,"VOL"}</definedName>
    <definedName name="liq" localSheetId="12" hidden="1">{#N/A,#N/A,FALSE,"VOL"}</definedName>
    <definedName name="liq" localSheetId="13" hidden="1">{#N/A,#N/A,FALSE,"VOL"}</definedName>
    <definedName name="liq" localSheetId="3" hidden="1">{#N/A,#N/A,FALSE,"VOL"}</definedName>
    <definedName name="liq" localSheetId="4" hidden="1">{#N/A,#N/A,FALSE,"VOL"}</definedName>
    <definedName name="liq" localSheetId="1" hidden="1">{#N/A,#N/A,FALSE,"VOL"}</definedName>
    <definedName name="liq" localSheetId="6" hidden="1">{#N/A,#N/A,FALSE,"VOL"}</definedName>
    <definedName name="liq" localSheetId="8" hidden="1">{#N/A,#N/A,FALSE,"VOL"}</definedName>
    <definedName name="liq" localSheetId="9" hidden="1">{#N/A,#N/A,FALSE,"VOL"}</definedName>
    <definedName name="liq" localSheetId="5" hidden="1">{#N/A,#N/A,FALSE,"VOL"}</definedName>
    <definedName name="liq" hidden="1">{#N/A,#N/A,FALSE,"VOL"}</definedName>
    <definedName name="listasuper" localSheetId="10">#REF!</definedName>
    <definedName name="listasuper" localSheetId="5">#REF!</definedName>
    <definedName name="listasuper">#REF!</definedName>
    <definedName name="Maintenance" localSheetId="10">#REF!</definedName>
    <definedName name="Maintenance">#REF!</definedName>
    <definedName name="maintenanceld">#REF!</definedName>
    <definedName name="MaintenancePCS">#REF!</definedName>
    <definedName name="marca" localSheetId="5">#REF!</definedName>
    <definedName name="marca">#REF!</definedName>
    <definedName name="Marcas" localSheetId="5">#REF!</definedName>
    <definedName name="Marcas">#REF!</definedName>
    <definedName name="Minimis">#REF!</definedName>
    <definedName name="MKT">#REF!</definedName>
    <definedName name="mktld">#REF!</definedName>
    <definedName name="MKTPCS">#REF!</definedName>
    <definedName name="MP" localSheetId="5">#REF!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10" hidden="1">{#N/A,#N/A,FALSE,"Aging Summary";#N/A,#N/A,FALSE,"Ratio Analysis";#N/A,#N/A,FALSE,"Test 120 Day Accts";#N/A,#N/A,FALSE,"Tickmarks"}</definedName>
    <definedName name="new" localSheetId="12" hidden="1">{#N/A,#N/A,FALSE,"Aging Summary";#N/A,#N/A,FALSE,"Ratio Analysis";#N/A,#N/A,FALSE,"Test 120 Day Accts";#N/A,#N/A,FALSE,"Tickmarks"}</definedName>
    <definedName name="new" localSheetId="13" hidden="1">{#N/A,#N/A,FALSE,"Aging Summary";#N/A,#N/A,FALSE,"Ratio Analysis";#N/A,#N/A,FALSE,"Test 120 Day Accts";#N/A,#N/A,FALSE,"Tickmarks"}</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5"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6" hidden="1">#REF!</definedName>
    <definedName name="ngughuiyhuhhhhhhhhhhhhhhhhhh" localSheetId="8" hidden="1">#REF!</definedName>
    <definedName name="ngughuiyhuhhhhhhhhhhhhhhhhhh" localSheetId="9" hidden="1">#REF!</definedName>
    <definedName name="ngughuiyhuhhhhhhhhhhhhhhhhhh" hidden="1">#REF!</definedName>
    <definedName name="njkhoikh" localSheetId="1" hidden="1">#REF!</definedName>
    <definedName name="njkhoikh" localSheetId="6" hidden="1">#REF!</definedName>
    <definedName name="njkhoikh" localSheetId="8" hidden="1">#REF!</definedName>
    <definedName name="njkhoikh" localSheetId="9" hidden="1">#REF!</definedName>
    <definedName name="njkhoikh" hidden="1">#REF!</definedName>
    <definedName name="nmm" localSheetId="10" hidden="1">{#N/A,#N/A,FALSE,"VOL"}</definedName>
    <definedName name="nmm" localSheetId="12" hidden="1">{#N/A,#N/A,FALSE,"VOL"}</definedName>
    <definedName name="nmm" localSheetId="13" hidden="1">{#N/A,#N/A,FALSE,"VOL"}</definedName>
    <definedName name="nmm" localSheetId="3" hidden="1">{#N/A,#N/A,FALSE,"VOL"}</definedName>
    <definedName name="nmm" localSheetId="4" hidden="1">{#N/A,#N/A,FALSE,"VOL"}</definedName>
    <definedName name="nmm" localSheetId="1" hidden="1">{#N/A,#N/A,FALSE,"VOL"}</definedName>
    <definedName name="nmm" localSheetId="6" hidden="1">{#N/A,#N/A,FALSE,"VOL"}</definedName>
    <definedName name="nmm" localSheetId="8" hidden="1">{#N/A,#N/A,FALSE,"VOL"}</definedName>
    <definedName name="nmm" localSheetId="9" hidden="1">{#N/A,#N/A,FALSE,"VOL"}</definedName>
    <definedName name="nmm" localSheetId="5" hidden="1">{#N/A,#N/A,FALSE,"VOL"}</definedName>
    <definedName name="nmm" hidden="1">{#N/A,#N/A,FALSE,"VOL"}</definedName>
    <definedName name="NO" localSheetId="10" hidden="1">{#N/A,#N/A,FALSE,"VOL"}</definedName>
    <definedName name="NO" localSheetId="12" hidden="1">{#N/A,#N/A,FALSE,"VOL"}</definedName>
    <definedName name="NO" localSheetId="13" hidden="1">{#N/A,#N/A,FALSE,"VOL"}</definedName>
    <definedName name="NO" localSheetId="3" hidden="1">{#N/A,#N/A,FALSE,"VOL"}</definedName>
    <definedName name="NO" localSheetId="4" hidden="1">{#N/A,#N/A,FALSE,"VOL"}</definedName>
    <definedName name="NO" localSheetId="1" hidden="1">{#N/A,#N/A,FALSE,"VOL"}</definedName>
    <definedName name="NO" localSheetId="6" hidden="1">{#N/A,#N/A,FALSE,"VOL"}</definedName>
    <definedName name="NO" localSheetId="8" hidden="1">{#N/A,#N/A,FALSE,"VOL"}</definedName>
    <definedName name="NO" localSheetId="9" hidden="1">{#N/A,#N/A,FALSE,"VOL"}</definedName>
    <definedName name="NO" localSheetId="5" hidden="1">{#N/A,#N/A,FALSE,"VOL"}</definedName>
    <definedName name="NO" hidden="1">{#N/A,#N/A,FALSE,"VOL"}</definedName>
    <definedName name="NonTop_Stratum_Value" localSheetId="10">#REF!</definedName>
    <definedName name="NonTop_Stratum_Value" localSheetId="5">#REF!</definedName>
    <definedName name="NonTop_Stratum_Value">#REF!</definedName>
    <definedName name="Number_of_Selections" localSheetId="10">#REF!</definedName>
    <definedName name="Number_of_Selections">#REF!</definedName>
    <definedName name="Numof_Selections2">#REF!</definedName>
    <definedName name="ñfdsl" localSheetId="6">#REF!</definedName>
    <definedName name="ñfdsl" localSheetId="8">#REF!</definedName>
    <definedName name="ñfdsl" localSheetId="9">#REF!</definedName>
    <definedName name="ñfdsl">#REF!</definedName>
    <definedName name="ññ" localSheetId="6">#REF!</definedName>
    <definedName name="ññ" localSheetId="8">#REF!</definedName>
    <definedName name="ññ" localSheetId="9">#REF!</definedName>
    <definedName name="ññ">#REF!</definedName>
    <definedName name="OLE_LINK1" localSheetId="8">'Nota 5'!$B$20</definedName>
    <definedName name="OLE_LINK1" localSheetId="9">'Nota 6 a Nota 12'!#REF!</definedName>
    <definedName name="OPPROD" localSheetId="1">#REF!</definedName>
    <definedName name="OPPROD" localSheetId="6">#REF!</definedName>
    <definedName name="OPPROD" localSheetId="8">#REF!</definedName>
    <definedName name="OPPROD" localSheetId="9">#REF!</definedName>
    <definedName name="OPPROD" localSheetId="5">#REF!</definedName>
    <definedName name="OPPROD">#REF!</definedName>
    <definedName name="opt" localSheetId="1">#REF!</definedName>
    <definedName name="opt" localSheetId="6">#REF!</definedName>
    <definedName name="opt" localSheetId="8">#REF!</definedName>
    <definedName name="opt" localSheetId="9">#REF!</definedName>
    <definedName name="opt">#REF!</definedName>
    <definedName name="optr">#REF!</definedName>
    <definedName name="Others">#REF!</definedName>
    <definedName name="othersld">#REF!</definedName>
    <definedName name="OthersPCS">#REF!</definedName>
    <definedName name="PARAGUAY" localSheetId="5">#REF!</definedName>
    <definedName name="PARAGUAY">#REF!</definedName>
    <definedName name="participa" localSheetId="5">#REF!</definedName>
    <definedName name="participa">#REF!</definedName>
    <definedName name="Partidas_seleccionadas_test_de_">#REF!</definedName>
    <definedName name="Partidas_Selecionadas">#REF!</definedName>
    <definedName name="Percent_Threshold" localSheetId="5">#REF!</definedName>
    <definedName name="Percent_Threshold">#REF!</definedName>
    <definedName name="PL_Dollar_Threshold" localSheetId="5">#REF!</definedName>
    <definedName name="PL_Dollar_Threshold">#REF!</definedName>
    <definedName name="PL_Percent_Threshold" localSheetId="5">#REF!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5">#REF!</definedName>
    <definedName name="POLYAR">#REF!</definedName>
    <definedName name="potir">#REF!</definedName>
    <definedName name="ppc" localSheetId="5">#REF!</definedName>
    <definedName name="ppc">#REF!</definedName>
    <definedName name="pr" localSheetId="5">#REF!</definedName>
    <definedName name="pr">#REF!</definedName>
    <definedName name="previs">#REF!</definedName>
    <definedName name="PS_Test_de_Gastos" localSheetId="6">#REF!</definedName>
    <definedName name="PS_Test_de_Gastos" localSheetId="8">#REF!</definedName>
    <definedName name="PS_Test_de_Gastos" localSheetId="9">#REF!</definedName>
    <definedName name="PS_Test_de_Gastos">#REF!</definedName>
    <definedName name="PY_Accounts_Receivable" localSheetId="5">#REF!</definedName>
    <definedName name="PY_Administration" localSheetId="5">#REF!</definedName>
    <definedName name="PY_Administration">#REF!</definedName>
    <definedName name="PY_Cash" localSheetId="5">#REF!</definedName>
    <definedName name="PY_Cash_Div_Dec" localSheetId="5">#REF!</definedName>
    <definedName name="PY_CASH_DIVIDENDS_DECLARED__per_common_share" localSheetId="5">#REF!</definedName>
    <definedName name="PY_Common_Equity" localSheetId="5">#REF!</definedName>
    <definedName name="PY_Cost_of_Sales" localSheetId="5">#REF!</definedName>
    <definedName name="PY_Current_Liabilities" localSheetId="5">#REF!</definedName>
    <definedName name="PY_Depreciation" localSheetId="5">#REF!</definedName>
    <definedName name="PY_Disc._Ops." localSheetId="5">#REF!</definedName>
    <definedName name="PY_Disc_allow">#REF!</definedName>
    <definedName name="PY_Disc_mnth">#REF!</definedName>
    <definedName name="PY_Disc_pd">#REF!</definedName>
    <definedName name="PY_Discounts">#REF!</definedName>
    <definedName name="PY_Earnings_per_share" localSheetId="5">#REF!</definedName>
    <definedName name="PY_Extraord." localSheetId="5">#REF!</definedName>
    <definedName name="PY_Gross_Profit" localSheetId="5">#REF!</definedName>
    <definedName name="PY_INC_AFT_TAX" localSheetId="5">#REF!</definedName>
    <definedName name="PY_INC_BEF_EXTRAORD" localSheetId="5">#REF!</definedName>
    <definedName name="PY_Inc_Bef_Tax" localSheetId="5">#REF!</definedName>
    <definedName name="PY_Intangible_Assets" localSheetId="5">#REF!</definedName>
    <definedName name="PY_Intangible_Assets">#REF!</definedName>
    <definedName name="PY_Interest_Expense" localSheetId="5">#REF!</definedName>
    <definedName name="PY_Inventory" localSheetId="5">#REF!</definedName>
    <definedName name="PY_LIABIL_EQUITY" localSheetId="5">#REF!</definedName>
    <definedName name="PY_LIABIL_EQUITY">#REF!</definedName>
    <definedName name="PY_Long_term_Debt__excl_Dfd_Taxes" localSheetId="5">#REF!</definedName>
    <definedName name="PY_LT_Debt" localSheetId="5">#REF!</definedName>
    <definedName name="PY_Market_Value_of_Equity" localSheetId="5">#REF!</definedName>
    <definedName name="PY_Marketable_Sec" localSheetId="5">#REF!</definedName>
    <definedName name="PY_Marketable_Sec">#REF!</definedName>
    <definedName name="PY_NET_INCOME" localSheetId="5">#REF!</definedName>
    <definedName name="PY_NET_PROFIT">#REF!</definedName>
    <definedName name="PY_Net_Revenue" localSheetId="5">#REF!</definedName>
    <definedName name="PY_Operating_Inc" localSheetId="5">#REF!</definedName>
    <definedName name="PY_Operating_Inc">#REF!</definedName>
    <definedName name="PY_Operating_Income" localSheetId="5">#REF!</definedName>
    <definedName name="PY_Operating_Income">#REF!</definedName>
    <definedName name="PY_Other_Curr_Assets" localSheetId="5">#REF!</definedName>
    <definedName name="PY_Other_Curr_Assets">#REF!</definedName>
    <definedName name="PY_Other_Exp" localSheetId="5">#REF!</definedName>
    <definedName name="PY_Other_Exp">#REF!</definedName>
    <definedName name="PY_Other_LT_Assets" localSheetId="5">#REF!</definedName>
    <definedName name="PY_Other_LT_Assets">#REF!</definedName>
    <definedName name="PY_Other_LT_Liabilities" localSheetId="5">#REF!</definedName>
    <definedName name="PY_Other_LT_Liabilities">#REF!</definedName>
    <definedName name="PY_Preferred_Stock" localSheetId="5">#REF!</definedName>
    <definedName name="PY_Preferred_Stock">#REF!</definedName>
    <definedName name="PY_QUICK_ASSETS" localSheetId="5">#REF!</definedName>
    <definedName name="PY_Ret_allow">#REF!</definedName>
    <definedName name="PY_Ret_mnth">#REF!</definedName>
    <definedName name="PY_Ret_pd">#REF!</definedName>
    <definedName name="PY_Retained_Earnings" localSheetId="5">#REF!</definedName>
    <definedName name="PY_Retained_Earnings">#REF!</definedName>
    <definedName name="PY_Returns">#REF!</definedName>
    <definedName name="PY_Selling" localSheetId="5">#REF!</definedName>
    <definedName name="PY_Selling">#REF!</definedName>
    <definedName name="PY_Tangible_Assets" localSheetId="5">#REF!</definedName>
    <definedName name="PY_Tangible_Assets">#REF!</definedName>
    <definedName name="PY_Tangible_Net_Worth" localSheetId="5">#REF!</definedName>
    <definedName name="PY_Taxes" localSheetId="5">#REF!</definedName>
    <definedName name="PY_TOTAL_ASSETS" localSheetId="5">#REF!</definedName>
    <definedName name="PY_TOTAL_CURR_ASSETS" localSheetId="5">#REF!</definedName>
    <definedName name="PY_TOTAL_DEBT" localSheetId="5">#REF!</definedName>
    <definedName name="PY_TOTAL_EQUITY" localSheetId="5">#REF!</definedName>
    <definedName name="PY_Trade_Payables" localSheetId="5">#REF!</definedName>
    <definedName name="PY_Weighted_Average" localSheetId="5">#REF!</definedName>
    <definedName name="PY_Working_Capital" localSheetId="5">#REF!</definedName>
    <definedName name="PY_Year_Income_Statement" localSheetId="5">#REF!</definedName>
    <definedName name="PY2_Accounts_Receivable" localSheetId="5">#REF!</definedName>
    <definedName name="PY2_Administration" localSheetId="5">#REF!</definedName>
    <definedName name="PY2_Cash" localSheetId="5">#REF!</definedName>
    <definedName name="PY2_Cash_Div_Dec" localSheetId="5">#REF!</definedName>
    <definedName name="PY2_CASH_DIVIDENDS_DECLARED__per_common_share" localSheetId="5">#REF!</definedName>
    <definedName name="PY2_Common_Equity" localSheetId="5">#REF!</definedName>
    <definedName name="PY2_Cost_of_Sales" localSheetId="5">#REF!</definedName>
    <definedName name="PY2_Current_Liabilities" localSheetId="5">#REF!</definedName>
    <definedName name="PY2_Depreciation" localSheetId="5">#REF!</definedName>
    <definedName name="PY2_Disc._Ops." localSheetId="5">#REF!</definedName>
    <definedName name="PY2_Earnings_per_share" localSheetId="5">#REF!</definedName>
    <definedName name="PY2_Extraord." localSheetId="5">#REF!</definedName>
    <definedName name="PY2_Gross_Profit" localSheetId="5">#REF!</definedName>
    <definedName name="PY2_INC_AFT_TAX" localSheetId="5">#REF!</definedName>
    <definedName name="PY2_INC_BEF_EXTRAORD" localSheetId="5">#REF!</definedName>
    <definedName name="PY2_Inc_Bef_Tax" localSheetId="5">#REF!</definedName>
    <definedName name="PY2_Intangible_Assets" localSheetId="5">#REF!</definedName>
    <definedName name="PY2_Interest_Expense" localSheetId="5">#REF!</definedName>
    <definedName name="PY2_Inventory" localSheetId="5">#REF!</definedName>
    <definedName name="PY2_LIABIL_EQUITY" localSheetId="5">#REF!</definedName>
    <definedName name="PY2_Long_term_Debt__excl_Dfd_Taxes" localSheetId="5">#REF!</definedName>
    <definedName name="PY2_LT_Debt" localSheetId="5">#REF!</definedName>
    <definedName name="PY2_Market_Value_of_Equity" localSheetId="5">#REF!</definedName>
    <definedName name="PY2_Marketable_Sec" localSheetId="5">#REF!</definedName>
    <definedName name="PY2_NET_INCOME" localSheetId="5">#REF!</definedName>
    <definedName name="PY2_Net_Revenue" localSheetId="5">#REF!</definedName>
    <definedName name="PY2_Operating_Inc" localSheetId="5">#REF!</definedName>
    <definedName name="PY2_Operating_Income" localSheetId="5">#REF!</definedName>
    <definedName name="PY2_Other_Curr_Assets" localSheetId="5">#REF!</definedName>
    <definedName name="PY2_Other_Exp." localSheetId="5">#REF!</definedName>
    <definedName name="PY2_Other_LT_Assets" localSheetId="5">#REF!</definedName>
    <definedName name="PY2_Other_LT_Liabilities" localSheetId="5">#REF!</definedName>
    <definedName name="PY2_Preferred_Stock" localSheetId="5">#REF!</definedName>
    <definedName name="PY2_QUICK_ASSETS" localSheetId="5">#REF!</definedName>
    <definedName name="PY2_Retained_Earnings" localSheetId="5">#REF!</definedName>
    <definedName name="PY2_Selling" localSheetId="5">#REF!</definedName>
    <definedName name="PY2_Tangible_Assets" localSheetId="5">#REF!</definedName>
    <definedName name="PY2_Tangible_Net_Worth" localSheetId="5">#REF!</definedName>
    <definedName name="PY2_Taxes" localSheetId="5">#REF!</definedName>
    <definedName name="PY2_TOTAL_ASSETS" localSheetId="5">#REF!</definedName>
    <definedName name="PY2_TOTAL_CURR_ASSETS" localSheetId="5">#REF!</definedName>
    <definedName name="PY2_TOTAL_DEBT" localSheetId="5">#REF!</definedName>
    <definedName name="PY2_TOTAL_EQUITY" localSheetId="5">#REF!</definedName>
    <definedName name="PY2_Trade_Payables" localSheetId="5">#REF!</definedName>
    <definedName name="PY2_Weighted_Average" localSheetId="5">#REF!</definedName>
    <definedName name="PY2_Working_Capital" localSheetId="5">#REF!</definedName>
    <definedName name="PY2_Year_Income_Statement" localSheetId="5">#REF!</definedName>
    <definedName name="PY3_Accounts_Receivable" localSheetId="5">#REF!</definedName>
    <definedName name="PY3_Administration" localSheetId="5">#REF!</definedName>
    <definedName name="PY3_Cash" localSheetId="5">#REF!</definedName>
    <definedName name="PY3_Common_Equity" localSheetId="5">#REF!</definedName>
    <definedName name="PY3_Cost_of_Sales" localSheetId="5">#REF!</definedName>
    <definedName name="PY3_Current_Liabilities" localSheetId="5">#REF!</definedName>
    <definedName name="PY3_Depreciation" localSheetId="5">#REF!</definedName>
    <definedName name="PY3_Disc._Ops." localSheetId="5">#REF!</definedName>
    <definedName name="PY3_Extraord." localSheetId="5">#REF!</definedName>
    <definedName name="PY3_Gross_Profit" localSheetId="5">#REF!</definedName>
    <definedName name="PY3_INC_AFT_TAX" localSheetId="5">#REF!</definedName>
    <definedName name="PY3_INC_BEF_EXTRAORD" localSheetId="5">#REF!</definedName>
    <definedName name="PY3_Inc_Bef_Tax" localSheetId="5">#REF!</definedName>
    <definedName name="PY3_Intangible_Assets" localSheetId="5">#REF!</definedName>
    <definedName name="PY3_Intangible_Assets">#REF!</definedName>
    <definedName name="PY3_Interest_Expense" localSheetId="5">#REF!</definedName>
    <definedName name="PY3_Inventory" localSheetId="5">#REF!</definedName>
    <definedName name="PY3_LIABIL_EQUITY" localSheetId="5">#REF!</definedName>
    <definedName name="PY3_Long_term_Debt__excl_Dfd_Taxes" localSheetId="5">#REF!</definedName>
    <definedName name="PY3_Marketable_Sec" localSheetId="5">#REF!</definedName>
    <definedName name="PY3_Marketable_Sec">#REF!</definedName>
    <definedName name="PY3_NET_INCOME" localSheetId="5">#REF!</definedName>
    <definedName name="PY3_Net_Revenue" localSheetId="5">#REF!</definedName>
    <definedName name="PY3_Operating_Inc" localSheetId="5">#REF!</definedName>
    <definedName name="PY3_Other_Curr_Assets" localSheetId="5">#REF!</definedName>
    <definedName name="PY3_Other_Curr_Assets">#REF!</definedName>
    <definedName name="PY3_Other_Exp." localSheetId="5">#REF!</definedName>
    <definedName name="PY3_Other_LT_Assets" localSheetId="5">#REF!</definedName>
    <definedName name="PY3_Other_LT_Assets">#REF!</definedName>
    <definedName name="PY3_Other_LT_Liabilities" localSheetId="5">#REF!</definedName>
    <definedName name="PY3_Other_LT_Liabilities">#REF!</definedName>
    <definedName name="PY3_Preferred_Stock" localSheetId="5">#REF!</definedName>
    <definedName name="PY3_Preferred_Stock">#REF!</definedName>
    <definedName name="PY3_QUICK_ASSETS" localSheetId="5">#REF!</definedName>
    <definedName name="PY3_Retained_Earnings" localSheetId="5">#REF!</definedName>
    <definedName name="PY3_Retained_Earnings">#REF!</definedName>
    <definedName name="PY3_Selling" localSheetId="5">#REF!</definedName>
    <definedName name="PY3_Tangible_Assets" localSheetId="5">#REF!</definedName>
    <definedName name="PY3_Tangible_Assets">#REF!</definedName>
    <definedName name="PY3_Taxes" localSheetId="5">#REF!</definedName>
    <definedName name="PY3_TOTAL_ASSETS" localSheetId="5">#REF!</definedName>
    <definedName name="PY3_TOTAL_CURR_ASSETS" localSheetId="5">#REF!</definedName>
    <definedName name="PY3_TOTAL_DEBT" localSheetId="5">#REF!</definedName>
    <definedName name="PY3_TOTAL_EQUITY" localSheetId="5">#REF!</definedName>
    <definedName name="PY3_Trade_Payables" localSheetId="5">#REF!</definedName>
    <definedName name="PY3_Year_Income_Statement" localSheetId="5">#REF!</definedName>
    <definedName name="PY4_Accounts_Receivable" localSheetId="5">#REF!</definedName>
    <definedName name="PY4_Administration" localSheetId="5">#REF!</definedName>
    <definedName name="PY4_Cash" localSheetId="5">#REF!</definedName>
    <definedName name="PY4_Common_Equity" localSheetId="5">#REF!</definedName>
    <definedName name="PY4_Cost_of_Sales" localSheetId="5">#REF!</definedName>
    <definedName name="PY4_Current_Liabilities" localSheetId="5">#REF!</definedName>
    <definedName name="PY4_Depreciation" localSheetId="5">#REF!</definedName>
    <definedName name="PY4_Disc._Ops." localSheetId="5">#REF!</definedName>
    <definedName name="PY4_Extraord." localSheetId="5">#REF!</definedName>
    <definedName name="PY4_Gross_Profit" localSheetId="5">#REF!</definedName>
    <definedName name="PY4_INC_AFT_TAX" localSheetId="5">#REF!</definedName>
    <definedName name="PY4_INC_BEF_EXTRAORD" localSheetId="5">#REF!</definedName>
    <definedName name="PY4_Inc_Bef_Tax" localSheetId="5">#REF!</definedName>
    <definedName name="PY4_Intangible_Assets" localSheetId="5">#REF!</definedName>
    <definedName name="PY4_Intangible_Assets">#REF!</definedName>
    <definedName name="PY4_Interest_Expense" localSheetId="5">#REF!</definedName>
    <definedName name="PY4_Inventory" localSheetId="5">#REF!</definedName>
    <definedName name="PY4_LIABIL_EQUITY" localSheetId="5">#REF!</definedName>
    <definedName name="PY4_Long_term_Debt__excl_Dfd_Taxes" localSheetId="5">#REF!</definedName>
    <definedName name="PY4_Marketable_Sec" localSheetId="5">#REF!</definedName>
    <definedName name="PY4_Marketable_Sec">#REF!</definedName>
    <definedName name="PY4_NET_INCOME" localSheetId="5">#REF!</definedName>
    <definedName name="PY4_Net_Revenue" localSheetId="5">#REF!</definedName>
    <definedName name="PY4_Operating_Inc" localSheetId="5">#REF!</definedName>
    <definedName name="PY4_Other_Cur_Assets" localSheetId="5">#REF!</definedName>
    <definedName name="PY4_Other_Cur_Assets">#REF!</definedName>
    <definedName name="PY4_Other_Exp." localSheetId="5">#REF!</definedName>
    <definedName name="PY4_Other_LT_Assets" localSheetId="5">#REF!</definedName>
    <definedName name="PY4_Other_LT_Assets">#REF!</definedName>
    <definedName name="PY4_Other_LT_Liabilities" localSheetId="5">#REF!</definedName>
    <definedName name="PY4_Other_LT_Liabilities">#REF!</definedName>
    <definedName name="PY4_Preferred_Stock" localSheetId="5">#REF!</definedName>
    <definedName name="PY4_Preferred_Stock">#REF!</definedName>
    <definedName name="PY4_QUICK_ASSETS" localSheetId="5">#REF!</definedName>
    <definedName name="PY4_Retained_Earnings" localSheetId="5">#REF!</definedName>
    <definedName name="PY4_Retained_Earnings">#REF!</definedName>
    <definedName name="PY4_Selling" localSheetId="5">#REF!</definedName>
    <definedName name="PY4_Tangible_Assets" localSheetId="5">#REF!</definedName>
    <definedName name="PY4_Tangible_Assets">#REF!</definedName>
    <definedName name="PY4_Taxes" localSheetId="5">#REF!</definedName>
    <definedName name="PY4_TOTAL_ASSETS" localSheetId="5">#REF!</definedName>
    <definedName name="PY4_TOTAL_CURR_ASSETS" localSheetId="5">#REF!</definedName>
    <definedName name="PY4_TOTAL_DEBT" localSheetId="5">#REF!</definedName>
    <definedName name="PY4_TOTAL_EQUITY" localSheetId="5">#REF!</definedName>
    <definedName name="PY4_Trade_Payables" localSheetId="5">#REF!</definedName>
    <definedName name="PY4_Year_Income_Statement" localSheetId="5">#REF!</definedName>
    <definedName name="PY5_Accounts_Receivable" localSheetId="5">#REF!</definedName>
    <definedName name="PY5_Accounts_Receivable">#REF!</definedName>
    <definedName name="PY5_Administration" localSheetId="5">#REF!</definedName>
    <definedName name="PY5_Cash" localSheetId="5">#REF!</definedName>
    <definedName name="PY5_Common_Equity" localSheetId="5">#REF!</definedName>
    <definedName name="PY5_Cost_of_Sales" localSheetId="5">#REF!</definedName>
    <definedName name="PY5_Current_Liabilities" localSheetId="5">#REF!</definedName>
    <definedName name="PY5_Depreciation" localSheetId="5">#REF!</definedName>
    <definedName name="PY5_Disc._Ops." localSheetId="5">#REF!</definedName>
    <definedName name="PY5_Extraord." localSheetId="5">#REF!</definedName>
    <definedName name="PY5_Gross_Profit" localSheetId="5">#REF!</definedName>
    <definedName name="PY5_INC_AFT_TAX" localSheetId="5">#REF!</definedName>
    <definedName name="PY5_INC_BEF_EXTRAORD" localSheetId="5">#REF!</definedName>
    <definedName name="PY5_Inc_Bef_Tax" localSheetId="5">#REF!</definedName>
    <definedName name="PY5_Intangible_Assets" localSheetId="5">#REF!</definedName>
    <definedName name="PY5_Intangible_Assets">#REF!</definedName>
    <definedName name="PY5_Interest_Expense" localSheetId="5">#REF!</definedName>
    <definedName name="PY5_Inventory" localSheetId="5">#REF!</definedName>
    <definedName name="PY5_Inventory">#REF!</definedName>
    <definedName name="PY5_LIABIL_EQUITY" localSheetId="5">#REF!</definedName>
    <definedName name="PY5_Long_term_Debt__excl_Dfd_Taxes" localSheetId="5">#REF!</definedName>
    <definedName name="PY5_Marketable_Sec" localSheetId="5">#REF!</definedName>
    <definedName name="PY5_Marketable_Sec">#REF!</definedName>
    <definedName name="PY5_NET_INCOME" localSheetId="5">#REF!</definedName>
    <definedName name="PY5_Net_Revenue" localSheetId="5">#REF!</definedName>
    <definedName name="PY5_Operating_Inc" localSheetId="5">#REF!</definedName>
    <definedName name="PY5_Other_Curr_Assets" localSheetId="5">#REF!</definedName>
    <definedName name="PY5_Other_Curr_Assets">#REF!</definedName>
    <definedName name="PY5_Other_Exp." localSheetId="5">#REF!</definedName>
    <definedName name="PY5_Other_LT_Assets" localSheetId="5">#REF!</definedName>
    <definedName name="PY5_Other_LT_Assets">#REF!</definedName>
    <definedName name="PY5_Other_LT_Liabilities" localSheetId="5">#REF!</definedName>
    <definedName name="PY5_Other_LT_Liabilities">#REF!</definedName>
    <definedName name="PY5_Preferred_Stock" localSheetId="5">#REF!</definedName>
    <definedName name="PY5_Preferred_Stock">#REF!</definedName>
    <definedName name="PY5_QUICK_ASSETS" localSheetId="5">#REF!</definedName>
    <definedName name="PY5_Retained_Earnings" localSheetId="5">#REF!</definedName>
    <definedName name="PY5_Retained_Earnings">#REF!</definedName>
    <definedName name="PY5_Selling" localSheetId="5">#REF!</definedName>
    <definedName name="PY5_Tangible_Assets" localSheetId="5">#REF!</definedName>
    <definedName name="PY5_Tangible_Assets">#REF!</definedName>
    <definedName name="PY5_Taxes" localSheetId="5">#REF!</definedName>
    <definedName name="PY5_TOTAL_ASSETS" localSheetId="5">#REF!</definedName>
    <definedName name="PY5_TOTAL_CURR_ASSETS" localSheetId="5">#REF!</definedName>
    <definedName name="PY5_TOTAL_DEBT" localSheetId="5">#REF!</definedName>
    <definedName name="PY5_TOTAL_EQUITY" localSheetId="5">#REF!</definedName>
    <definedName name="PY5_Trade_Payables" localSheetId="5">#REF!</definedName>
    <definedName name="PY5_Year_Income_Statement" localSheetId="5">#REF!</definedName>
    <definedName name="QGPL_CLTESLB">#REF!</definedName>
    <definedName name="quarter" localSheetId="5">#REF!</definedName>
    <definedName name="quarter">#REF!</definedName>
    <definedName name="R_Factor" localSheetId="5">#REF!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5" hidden="1">1</definedName>
    <definedName name="SAPBEXrevision" hidden="1">3</definedName>
    <definedName name="SAPBEXsysID" hidden="1">"PLW"</definedName>
    <definedName name="SAPBEXwbID" localSheetId="5" hidden="1">"0B3C5WPQ1PKHTD1CRY997L2MI"</definedName>
    <definedName name="SAPBEXwbID" hidden="1">"14RHU0IXG8KL7C7PJMON454VM"</definedName>
    <definedName name="sdfnlsd" hidden="1">#REF!</definedName>
    <definedName name="sectores">#REF!</definedName>
    <definedName name="sedal" localSheetId="5">#REF!</definedName>
    <definedName name="sedal">#REF!</definedName>
    <definedName name="Selection_Remainder" localSheetId="5">#REF!</definedName>
    <definedName name="Selection_Remainder">#REF!</definedName>
    <definedName name="sku" localSheetId="5">#REF!</definedName>
    <definedName name="sku">#REF!</definedName>
    <definedName name="skus" localSheetId="5">#REF!</definedName>
    <definedName name="skus">#REF!</definedName>
    <definedName name="Starting_Point" localSheetId="5">#REF!</definedName>
    <definedName name="Starting_Point">#REF!</definedName>
    <definedName name="STKDIARIO" localSheetId="5">#REF!</definedName>
    <definedName name="STKDIARIO">#REF!</definedName>
    <definedName name="STKDIARIOPX01" localSheetId="5">#REF!</definedName>
    <definedName name="STKDIARIOPX01">#REF!</definedName>
    <definedName name="STKDIARIOPX04" localSheetId="5">#REF!</definedName>
    <definedName name="STKDIARIOPX04">#REF!</definedName>
    <definedName name="Suma_de_ABR_U_3">#REF!</definedName>
    <definedName name="SUMMARY" localSheetId="5">#REF!</definedName>
    <definedName name="SUMMARY">#REF!</definedName>
    <definedName name="super" localSheetId="5">#REF!</definedName>
    <definedName name="super">#REF!</definedName>
    <definedName name="tablasun" localSheetId="5">#REF!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5">#REF!</definedName>
    <definedName name="TEST0">#REF!</definedName>
    <definedName name="TEST1" localSheetId="5">#REF!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5">#REF!</definedName>
    <definedName name="TESTKEYS">#REF!</definedName>
    <definedName name="TextRefCopy1">#REF!</definedName>
    <definedName name="TextRefCopy10" localSheetId="5">#REF!</definedName>
    <definedName name="TextRefCopy10">#REF!</definedName>
    <definedName name="TextRefCopy100" localSheetId="5">#REF!</definedName>
    <definedName name="TextRefCopy100">#REF!</definedName>
    <definedName name="TextRefCopy102" localSheetId="5">#REF!</definedName>
    <definedName name="TextRefCopy102">#REF!</definedName>
    <definedName name="TextRefCopy103" localSheetId="5">#REF!</definedName>
    <definedName name="TextRefCopy103">#REF!</definedName>
    <definedName name="TextRefCopy104" localSheetId="5">#REF!</definedName>
    <definedName name="TextRefCopy104">#REF!</definedName>
    <definedName name="TextRefCopy105" localSheetId="5">#REF!</definedName>
    <definedName name="TextRefCopy105">#REF!</definedName>
    <definedName name="TextRefCopy107" localSheetId="5">#REF!</definedName>
    <definedName name="TextRefCopy107">#REF!</definedName>
    <definedName name="TextRefCopy108" localSheetId="5">#REF!</definedName>
    <definedName name="TextRefCopy108">#REF!</definedName>
    <definedName name="TextRefCopy109" localSheetId="5">#REF!</definedName>
    <definedName name="TextRefCopy109">#REF!</definedName>
    <definedName name="TextRefCopy11" localSheetId="5">#REF!</definedName>
    <definedName name="TextRefCopy111">#REF!</definedName>
    <definedName name="TextRefCopy112" localSheetId="5">#REF!</definedName>
    <definedName name="TextRefCopy112">#REF!</definedName>
    <definedName name="TextRefCopy113" localSheetId="5">#REF!</definedName>
    <definedName name="TextRefCopy113">#REF!</definedName>
    <definedName name="TextRefCopy114">#REF!</definedName>
    <definedName name="TextRefCopy116" localSheetId="5">#REF!</definedName>
    <definedName name="TextRefCopy116">#REF!</definedName>
    <definedName name="TextRefCopy118" localSheetId="5">#REF!</definedName>
    <definedName name="TextRefCopy118">#REF!</definedName>
    <definedName name="TextRefCopy119" localSheetId="5">#REF!</definedName>
    <definedName name="TextRefCopy119">#REF!</definedName>
    <definedName name="TextRefCopy12" localSheetId="5">#REF!</definedName>
    <definedName name="TextRefCopy120" localSheetId="5">#REF!</definedName>
    <definedName name="TextRefCopy120">#REF!</definedName>
    <definedName name="TextRefCopy121" localSheetId="5">#REF!</definedName>
    <definedName name="TextRefCopy121">#REF!</definedName>
    <definedName name="TextRefCopy122">#REF!</definedName>
    <definedName name="TextRefCopy123">#REF!</definedName>
    <definedName name="TextRefCopy127" localSheetId="5">#REF!</definedName>
    <definedName name="TextRefCopy127">#REF!</definedName>
    <definedName name="TextRefCopy13" localSheetId="5">#REF!</definedName>
    <definedName name="TextRefCopy14" localSheetId="5">#REF!</definedName>
    <definedName name="TextRefCopy15" localSheetId="5">#REF!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5">#REF!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5">#REF!</definedName>
    <definedName name="TextRefCopy4">#REF!</definedName>
    <definedName name="TextRefCopy41">#REF!</definedName>
    <definedName name="TextRefCopy42" localSheetId="5">#REF!</definedName>
    <definedName name="TextRefCopy42">#REF!</definedName>
    <definedName name="TextRefCopy43" localSheetId="5">#REF!</definedName>
    <definedName name="TextRefCopy44" localSheetId="5">#REF!</definedName>
    <definedName name="TextRefCopy44">#REF!</definedName>
    <definedName name="TextRefCopy46">#REF!</definedName>
    <definedName name="TextRefCopy53" localSheetId="5">#REF!</definedName>
    <definedName name="TextRefCopy53">#REF!</definedName>
    <definedName name="TextRefCopy54" localSheetId="5">#REF!</definedName>
    <definedName name="TextRefCopy54">#REF!</definedName>
    <definedName name="TextRefCopy55" localSheetId="5">#REF!</definedName>
    <definedName name="TextRefCopy55">#REF!</definedName>
    <definedName name="TextRefCopy56" localSheetId="5">#REF!</definedName>
    <definedName name="TextRefCopy56">#REF!</definedName>
    <definedName name="TextRefCopy6">#REF!</definedName>
    <definedName name="TextRefCopy63" localSheetId="5">#REF!</definedName>
    <definedName name="TextRefCopy63">#REF!</definedName>
    <definedName name="TextRefCopy65" localSheetId="5">#REF!</definedName>
    <definedName name="TextRefCopy65">#REF!</definedName>
    <definedName name="TextRefCopy66" localSheetId="5">#REF!</definedName>
    <definedName name="TextRefCopy66">#REF!</definedName>
    <definedName name="TextRefCopy67" localSheetId="5">#REF!</definedName>
    <definedName name="TextRefCopy67">#REF!</definedName>
    <definedName name="TextRefCopy68" localSheetId="5">#REF!</definedName>
    <definedName name="TextRefCopy68">#REF!</definedName>
    <definedName name="TextRefCopy7" localSheetId="5">#REF!</definedName>
    <definedName name="TextRefCopy7">#REF!</definedName>
    <definedName name="TextRefCopy70" localSheetId="5">#REF!</definedName>
    <definedName name="TextRefCopy70">#REF!</definedName>
    <definedName name="TextRefCopy71" localSheetId="5">#REF!</definedName>
    <definedName name="TextRefCopy71">#REF!</definedName>
    <definedName name="TextRefCopy73" localSheetId="5">#REF!</definedName>
    <definedName name="TextRefCopy73">#REF!</definedName>
    <definedName name="TextRefCopy75" localSheetId="5">#REF!</definedName>
    <definedName name="TextRefCopy75">#REF!</definedName>
    <definedName name="TextRefCopy77" localSheetId="5">#REF!</definedName>
    <definedName name="TextRefCopy77">#REF!</definedName>
    <definedName name="TextRefCopy79" localSheetId="5">#REF!</definedName>
    <definedName name="TextRefCopy79">#REF!</definedName>
    <definedName name="TextRefCopy8" localSheetId="5">#REF!</definedName>
    <definedName name="TextRefCopy8">#REF!</definedName>
    <definedName name="TextRefCopy80" localSheetId="5">#REF!</definedName>
    <definedName name="TextRefCopy80">#REF!</definedName>
    <definedName name="TextRefCopy82" localSheetId="5">#REF!</definedName>
    <definedName name="TextRefCopy82">#REF!</definedName>
    <definedName name="TextRefCopy85" localSheetId="5">#REF!</definedName>
    <definedName name="TextRefCopy86" localSheetId="5">#REF!</definedName>
    <definedName name="TextRefCopy88" localSheetId="5">#REF!</definedName>
    <definedName name="TextRefCopy89" localSheetId="5">#REF!</definedName>
    <definedName name="TextRefCopy90" localSheetId="5">#REF!</definedName>
    <definedName name="TextRefCopy91" localSheetId="5">#REF!</definedName>
    <definedName name="TextRefCopy92" localSheetId="5">#REF!</definedName>
    <definedName name="TextRefCopy93" localSheetId="5">#REF!</definedName>
    <definedName name="TextRefCopy97" localSheetId="5">#REF!</definedName>
    <definedName name="TextRefCopy97">#REF!</definedName>
    <definedName name="TextRefCopy98">#REF!</definedName>
    <definedName name="TextRefCopyRangeCount" localSheetId="5" hidden="1">12</definedName>
    <definedName name="TextRefCopyRangeCount" hidden="1">1</definedName>
    <definedName name="Top_Stratum_Number" localSheetId="10">#REF!</definedName>
    <definedName name="Top_Stratum_Number" localSheetId="5">#REF!</definedName>
    <definedName name="Top_Stratum_Number">#REF!</definedName>
    <definedName name="Top_Stratum_Value" localSheetId="5">#REF!</definedName>
    <definedName name="Top_Stratum_Value">#REF!</definedName>
    <definedName name="Total_Amount">#REF!</definedName>
    <definedName name="Total_Number_Selections" localSheetId="5">#REF!</definedName>
    <definedName name="Total_Number_Selections">#REF!</definedName>
    <definedName name="tp" localSheetId="5">#REF!</definedName>
    <definedName name="tp">#REF!</definedName>
    <definedName name="Unidades" localSheetId="5">#REF!</definedName>
    <definedName name="Unidades">#REF!</definedName>
    <definedName name="URUGUAY" localSheetId="5">#REF!</definedName>
    <definedName name="URUGUAY">#REF!</definedName>
    <definedName name="vencidos">#REF!</definedName>
    <definedName name="vigencia" localSheetId="5">#REF!</definedName>
    <definedName name="vigencia">#REF!</definedName>
    <definedName name="vpphold">#REF!</definedName>
    <definedName name="VTADIAR" localSheetId="5">#REF!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10"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10" hidden="1">{#N/A,#N/A,FALSE,"VOL"}</definedName>
    <definedName name="wrn.Volumen." localSheetId="12" hidden="1">{#N/A,#N/A,FALSE,"VOL"}</definedName>
    <definedName name="wrn.Volumen." localSheetId="13" hidden="1">{#N/A,#N/A,FALSE,"VOL"}</definedName>
    <definedName name="wrn.Volumen." localSheetId="3" hidden="1">{#N/A,#N/A,FALSE,"VOL"}</definedName>
    <definedName name="wrn.Volumen." localSheetId="4" hidden="1">{#N/A,#N/A,FALSE,"VOL"}</definedName>
    <definedName name="wrn.Volumen." localSheetId="1" hidden="1">{#N/A,#N/A,FALSE,"VOL"}</definedName>
    <definedName name="wrn.Volumen." localSheetId="6" hidden="1">{#N/A,#N/A,FALSE,"VOL"}</definedName>
    <definedName name="wrn.Volumen." localSheetId="8" hidden="1">{#N/A,#N/A,FALSE,"VOL"}</definedName>
    <definedName name="wrn.Volumen." localSheetId="9" hidden="1">{#N/A,#N/A,FALSE,"VOL"}</definedName>
    <definedName name="wrn.Volumen." localSheetId="5" hidden="1">{#N/A,#N/A,FALSE,"VOL"}</definedName>
    <definedName name="wrn.Volumen." hidden="1">{#N/A,#N/A,FALSE,"VOL"}</definedName>
    <definedName name="xdc">#REF!</definedName>
    <definedName name="XREF_COLUMN_1" hidden="1">#REF!</definedName>
    <definedName name="XREF_COLUMN_10" hidden="1">#REF!</definedName>
    <definedName name="XREF_COLUMN_11" localSheetId="5" hidden="1">VPN!#REF!</definedName>
    <definedName name="XREF_COLUMN_12" localSheetId="10" hidden="1">#REF!</definedName>
    <definedName name="XREF_COLUMN_12" localSheetId="1" hidden="1">#REF!</definedName>
    <definedName name="XREF_COLUMN_12" localSheetId="5" hidden="1">VPN!#REF!</definedName>
    <definedName name="XREF_COLUMN_12" hidden="1">#REF!</definedName>
    <definedName name="XREF_COLUMN_13" localSheetId="10" hidden="1">#REF!</definedName>
    <definedName name="XREF_COLUMN_13" localSheetId="1" hidden="1">#REF!</definedName>
    <definedName name="XREF_COLUMN_13" localSheetId="5" hidden="1">VPN!#REF!</definedName>
    <definedName name="XREF_COLUMN_13" hidden="1">#REF!</definedName>
    <definedName name="XREF_COLUMN_14" localSheetId="10" hidden="1">#REF!</definedName>
    <definedName name="XREF_COLUMN_14" localSheetId="1" hidden="1">#REF!</definedName>
    <definedName name="XREF_COLUMN_14" localSheetId="5" hidden="1">VPN!$R:$R</definedName>
    <definedName name="XREF_COLUMN_14" hidden="1">#REF!</definedName>
    <definedName name="XREF_COLUMN_15" localSheetId="1" hidden="1">#REF!</definedName>
    <definedName name="XREF_COLUMN_15" localSheetId="5" hidden="1">#REF!</definedName>
    <definedName name="XREF_COLUMN_15" hidden="1">#REF!</definedName>
    <definedName name="XREF_COLUMN_17" localSheetId="5" hidden="1">#REF!</definedName>
    <definedName name="XREF_COLUMN_17" hidden="1">#REF!</definedName>
    <definedName name="XREF_COLUMN_2" hidden="1">#REF!</definedName>
    <definedName name="XREF_COLUMN_24" hidden="1">#REF!</definedName>
    <definedName name="XREF_COLUMN_4" localSheetId="5" hidden="1">#REF!</definedName>
    <definedName name="XREF_COLUMN_5" localSheetId="5" hidden="1">VPN!$D:$D</definedName>
    <definedName name="XREF_COLUMN_7" localSheetId="10" hidden="1">#REF!</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5" hidden="1">#REF!</definedName>
    <definedName name="XRefActiveRow" hidden="1">#REF!</definedName>
    <definedName name="XRefColumnsCount" localSheetId="5" hidden="1">14</definedName>
    <definedName name="XRefColumnsCount" hidden="1">2</definedName>
    <definedName name="XRefCopy1" localSheetId="10" hidden="1">#REF!</definedName>
    <definedName name="XRefCopy1" localSheetId="5" hidden="1">#REF!</definedName>
    <definedName name="XRefCopy1" hidden="1">#REF!</definedName>
    <definedName name="XRefCopy10" localSheetId="5" hidden="1">#REF!</definedName>
    <definedName name="XRefCopy100" localSheetId="5" hidden="1">#REF!</definedName>
    <definedName name="XRefCopy100" hidden="1">#REF!</definedName>
    <definedName name="XRefCopy100Row" localSheetId="5" hidden="1">#REF!</definedName>
    <definedName name="XRefCopy100Row" hidden="1">#REF!</definedName>
    <definedName name="XRefCopy101" localSheetId="5" hidden="1">#REF!</definedName>
    <definedName name="XRefCopy101" hidden="1">#REF!</definedName>
    <definedName name="XRefCopy101Row" localSheetId="5" hidden="1">#REF!</definedName>
    <definedName name="XRefCopy101Row" hidden="1">#REF!</definedName>
    <definedName name="XRefCopy102" localSheetId="5" hidden="1">#REF!</definedName>
    <definedName name="XRefCopy102" hidden="1">#REF!</definedName>
    <definedName name="XRefCopy102Row" localSheetId="5" hidden="1">#REF!</definedName>
    <definedName name="XRefCopy102Row" hidden="1">#REF!</definedName>
    <definedName name="XRefCopy103" localSheetId="5" hidden="1">#REF!</definedName>
    <definedName name="XRefCopy103" hidden="1">#REF!</definedName>
    <definedName name="XRefCopy103Row" localSheetId="5" hidden="1">#REF!</definedName>
    <definedName name="XRefCopy103Row" hidden="1">#REF!</definedName>
    <definedName name="XRefCopy104" localSheetId="5" hidden="1">#REF!</definedName>
    <definedName name="XRefCopy104" hidden="1">#REF!</definedName>
    <definedName name="XRefCopy104Row" localSheetId="5" hidden="1">#REF!</definedName>
    <definedName name="XRefCopy104Row" hidden="1">#REF!</definedName>
    <definedName name="XRefCopy105" hidden="1">#REF!</definedName>
    <definedName name="XRefCopy105Row" localSheetId="5" hidden="1">#REF!</definedName>
    <definedName name="XRefCopy105Row" hidden="1">#REF!</definedName>
    <definedName name="XRefCopy106" hidden="1">#REF!</definedName>
    <definedName name="XRefCopy106Row" localSheetId="5" hidden="1">#REF!</definedName>
    <definedName name="XRefCopy106Row" hidden="1">#REF!</definedName>
    <definedName name="XRefCopy107" hidden="1">#REF!</definedName>
    <definedName name="XRefCopy107Row" localSheetId="5" hidden="1">#REF!</definedName>
    <definedName name="XRefCopy107Row" hidden="1">#REF!</definedName>
    <definedName name="XRefCopy108" hidden="1">#REF!</definedName>
    <definedName name="XRefCopy108Row" localSheetId="5" hidden="1">#REF!</definedName>
    <definedName name="XRefCopy108Row" hidden="1">#REF!</definedName>
    <definedName name="XRefCopy109" hidden="1">#REF!</definedName>
    <definedName name="XRefCopy109Row" localSheetId="5" hidden="1">#REF!</definedName>
    <definedName name="XRefCopy109Row" hidden="1">#REF!</definedName>
    <definedName name="XRefCopy10Row" localSheetId="5" hidden="1">#REF!</definedName>
    <definedName name="XRefCopy10Row" hidden="1">#REF!</definedName>
    <definedName name="XRefCopy11" localSheetId="5" hidden="1">#REF!</definedName>
    <definedName name="XRefCopy110Row" localSheetId="5" hidden="1">#REF!</definedName>
    <definedName name="XRefCopy110Row" hidden="1">#REF!</definedName>
    <definedName name="XRefCopy111Row" localSheetId="5" hidden="1">#REF!</definedName>
    <definedName name="XRefCopy111Row" hidden="1">#REF!</definedName>
    <definedName name="XRefCopy112" hidden="1">#REF!</definedName>
    <definedName name="XRefCopy112Row" localSheetId="5" hidden="1">#REF!</definedName>
    <definedName name="XRefCopy112Row" hidden="1">#REF!</definedName>
    <definedName name="XRefCopy113" hidden="1">#REF!</definedName>
    <definedName name="XRefCopy113Row" localSheetId="5" hidden="1">#REF!</definedName>
    <definedName name="XRefCopy113Row" hidden="1">#REF!</definedName>
    <definedName name="XRefCopy114" hidden="1">#REF!</definedName>
    <definedName name="XRefCopy114Row" localSheetId="5" hidden="1">#REF!</definedName>
    <definedName name="XRefCopy114Row" hidden="1">#REF!</definedName>
    <definedName name="XRefCopy115" hidden="1">#REF!</definedName>
    <definedName name="XRefCopy115Row" localSheetId="5" hidden="1">#REF!</definedName>
    <definedName name="XRefCopy115Row" hidden="1">#REF!</definedName>
    <definedName name="XRefCopy116" hidden="1">#REF!</definedName>
    <definedName name="XRefCopy116Row" localSheetId="5" hidden="1">#REF!</definedName>
    <definedName name="XRefCopy116Row" hidden="1">#REF!</definedName>
    <definedName name="XRefCopy117" hidden="1">#REF!</definedName>
    <definedName name="XRefCopy117Row" localSheetId="5" hidden="1">#REF!</definedName>
    <definedName name="XRefCopy117Row" hidden="1">#REF!</definedName>
    <definedName name="XRefCopy118" localSheetId="5" hidden="1">#REF!</definedName>
    <definedName name="XRefCopy118" hidden="1">#REF!</definedName>
    <definedName name="XRefCopy118Row" localSheetId="5" hidden="1">#REF!</definedName>
    <definedName name="XRefCopy118Row" hidden="1">#REF!</definedName>
    <definedName name="XRefCopy119" localSheetId="5" hidden="1">#REF!</definedName>
    <definedName name="XRefCopy119" hidden="1">#REF!</definedName>
    <definedName name="XRefCopy119Row" localSheetId="5" hidden="1">#REF!</definedName>
    <definedName name="XRefCopy119Row" hidden="1">#REF!</definedName>
    <definedName name="XRefCopy11Row" localSheetId="5" hidden="1">#REF!</definedName>
    <definedName name="XRefCopy11Row" hidden="1">#REF!</definedName>
    <definedName name="XRefCopy12" hidden="1">#REF!</definedName>
    <definedName name="XRefCopy120" localSheetId="5" hidden="1">#REF!</definedName>
    <definedName name="XRefCopy120" hidden="1">#REF!</definedName>
    <definedName name="XRefCopy120Row" localSheetId="5" hidden="1">#REF!</definedName>
    <definedName name="XRefCopy120Row" hidden="1">#REF!</definedName>
    <definedName name="XRefCopy121" localSheetId="5" hidden="1">#REF!</definedName>
    <definedName name="XRefCopy121" hidden="1">#REF!</definedName>
    <definedName name="XRefCopy121Row" localSheetId="5" hidden="1">#REF!</definedName>
    <definedName name="XRefCopy121Row" hidden="1">#REF!</definedName>
    <definedName name="XRefCopy122" localSheetId="5" hidden="1">#REF!</definedName>
    <definedName name="XRefCopy122" hidden="1">#REF!</definedName>
    <definedName name="XRefCopy122Row" localSheetId="5" hidden="1">#REF!</definedName>
    <definedName name="XRefCopy122Row" hidden="1">#REF!</definedName>
    <definedName name="XRefCopy123" hidden="1">#REF!</definedName>
    <definedName name="XRefCopy123Row" localSheetId="5" hidden="1">#REF!</definedName>
    <definedName name="XRefCopy123Row" hidden="1">#REF!</definedName>
    <definedName name="XRefCopy124" hidden="1">#REF!</definedName>
    <definedName name="XRefCopy124Row" localSheetId="5" hidden="1">#REF!</definedName>
    <definedName name="XRefCopy124Row" hidden="1">#REF!</definedName>
    <definedName name="XRefCopy125" hidden="1">#REF!</definedName>
    <definedName name="XRefCopy125Row" localSheetId="5" hidden="1">#REF!</definedName>
    <definedName name="XRefCopy125Row" hidden="1">#REF!</definedName>
    <definedName name="XRefCopy126" hidden="1">#REF!</definedName>
    <definedName name="XRefCopy126Row" localSheetId="5" hidden="1">#REF!</definedName>
    <definedName name="XRefCopy126Row" hidden="1">#REF!</definedName>
    <definedName name="XRefCopy127" hidden="1">#REF!</definedName>
    <definedName name="XRefCopy127Row" localSheetId="5" hidden="1">#REF!</definedName>
    <definedName name="XRefCopy127Row" hidden="1">#REF!</definedName>
    <definedName name="XRefCopy128" hidden="1">#REF!</definedName>
    <definedName name="XRefCopy129" hidden="1">#REF!</definedName>
    <definedName name="XRefCopy129Row" localSheetId="5" hidden="1">#REF!</definedName>
    <definedName name="XRefCopy129Row" hidden="1">#REF!</definedName>
    <definedName name="XRefCopy12Row" localSheetId="5" hidden="1">#REF!</definedName>
    <definedName name="XRefCopy12Row" hidden="1">#REF!</definedName>
    <definedName name="XRefCopy13" localSheetId="5" hidden="1">#REF!</definedName>
    <definedName name="XRefCopy130" hidden="1">#REF!</definedName>
    <definedName name="XRefCopy130Row" localSheetId="5" hidden="1">#REF!</definedName>
    <definedName name="XRefCopy130Row" hidden="1">#REF!</definedName>
    <definedName name="XRefCopy131" hidden="1">#REF!</definedName>
    <definedName name="XRefCopy131Row" localSheetId="5" hidden="1">#REF!</definedName>
    <definedName name="XRefCopy131Row" hidden="1">#REF!</definedName>
    <definedName name="XRefCopy132" localSheetId="5" hidden="1">#REF!</definedName>
    <definedName name="XRefCopy132" hidden="1">#REF!</definedName>
    <definedName name="XRefCopy132Row" localSheetId="5" hidden="1">#REF!</definedName>
    <definedName name="XRefCopy132Row" hidden="1">#REF!</definedName>
    <definedName name="XRefCopy133" localSheetId="5" hidden="1">#REF!</definedName>
    <definedName name="XRefCopy133" hidden="1">#REF!</definedName>
    <definedName name="XRefCopy133Row" localSheetId="5" hidden="1">#REF!</definedName>
    <definedName name="XRefCopy133Row" hidden="1">#REF!</definedName>
    <definedName name="XRefCopy134" hidden="1">#REF!</definedName>
    <definedName name="XRefCopy134Row" localSheetId="5" hidden="1">#REF!</definedName>
    <definedName name="XRefCopy134Row" hidden="1">#REF!</definedName>
    <definedName name="XRefCopy135" hidden="1">#REF!</definedName>
    <definedName name="XRefCopy135Row" localSheetId="5" hidden="1">#REF!</definedName>
    <definedName name="XRefCopy135Row" hidden="1">#REF!</definedName>
    <definedName name="XRefCopy136" hidden="1">#REF!</definedName>
    <definedName name="XRefCopy136Row" localSheetId="5" hidden="1">#REF!</definedName>
    <definedName name="XRefCopy136Row" hidden="1">#REF!</definedName>
    <definedName name="XRefCopy137" hidden="1">#REF!</definedName>
    <definedName name="XRefCopy137Row" localSheetId="5" hidden="1">#REF!</definedName>
    <definedName name="XRefCopy137Row" hidden="1">#REF!</definedName>
    <definedName name="XRefCopy138" hidden="1">#REF!</definedName>
    <definedName name="XRefCopy138Row" localSheetId="5" hidden="1">#REF!</definedName>
    <definedName name="XRefCopy138Row" hidden="1">#REF!</definedName>
    <definedName name="XRefCopy139" hidden="1">#REF!</definedName>
    <definedName name="XRefCopy139Row" localSheetId="5" hidden="1">#REF!</definedName>
    <definedName name="XRefCopy139Row" hidden="1">#REF!</definedName>
    <definedName name="XRefCopy13Row" localSheetId="5" hidden="1">#REF!</definedName>
    <definedName name="XRefCopy13Row" hidden="1">#REF!</definedName>
    <definedName name="XRefCopy140" hidden="1">#REF!</definedName>
    <definedName name="XRefCopy140Row" localSheetId="5" hidden="1">#REF!</definedName>
    <definedName name="XRefCopy140Row" hidden="1">#REF!</definedName>
    <definedName name="XRefCopy141Row" localSheetId="5" hidden="1">#REF!</definedName>
    <definedName name="XRefCopy141Row" hidden="1">#REF!</definedName>
    <definedName name="XRefCopy142" localSheetId="5" hidden="1">#REF!</definedName>
    <definedName name="XRefCopy142Row" localSheetId="5" hidden="1">#REF!</definedName>
    <definedName name="XRefCopy142Row" hidden="1">#REF!</definedName>
    <definedName name="XRefCopy143" localSheetId="5" hidden="1">#REF!</definedName>
    <definedName name="XRefCopy143Row" localSheetId="5" hidden="1">#REF!</definedName>
    <definedName name="XRefCopy143Row" hidden="1">#REF!</definedName>
    <definedName name="XRefCopy144Row" localSheetId="5" hidden="1">#REF!</definedName>
    <definedName name="XRefCopy144Row" hidden="1">#REF!</definedName>
    <definedName name="XRefCopy145Row" localSheetId="5" hidden="1">#REF!</definedName>
    <definedName name="XRefCopy145Row" hidden="1">#REF!</definedName>
    <definedName name="XRefCopy146" localSheetId="5" hidden="1">#REF!</definedName>
    <definedName name="XRefCopy146Row" localSheetId="5" hidden="1">#REF!</definedName>
    <definedName name="XRefCopy146Row" hidden="1">#REF!</definedName>
    <definedName name="XRefCopy147" localSheetId="5" hidden="1">#REF!</definedName>
    <definedName name="XRefCopy147Row" localSheetId="5" hidden="1">#REF!</definedName>
    <definedName name="XRefCopy147Row" hidden="1">#REF!</definedName>
    <definedName name="XRefCopy148" localSheetId="5" hidden="1">#REF!</definedName>
    <definedName name="XRefCopy148Row" localSheetId="5" hidden="1">#REF!</definedName>
    <definedName name="XRefCopy148Row" hidden="1">#REF!</definedName>
    <definedName name="XRefCopy149" localSheetId="5" hidden="1">#REF!</definedName>
    <definedName name="XRefCopy149" hidden="1">#REF!</definedName>
    <definedName name="XRefCopy149Row" localSheetId="5" hidden="1">#REF!</definedName>
    <definedName name="XRefCopy149Row" hidden="1">#REF!</definedName>
    <definedName name="XRefCopy14Row" hidden="1">#REF!</definedName>
    <definedName name="XRefCopy150" localSheetId="5" hidden="1">#REF!</definedName>
    <definedName name="XRefCopy150" hidden="1">#REF!</definedName>
    <definedName name="XRefCopy150Row" localSheetId="5" hidden="1">#REF!</definedName>
    <definedName name="XRefCopy150Row" hidden="1">#REF!</definedName>
    <definedName name="XRefCopy151" localSheetId="5" hidden="1">#REF!</definedName>
    <definedName name="XRefCopy151" hidden="1">#REF!</definedName>
    <definedName name="XRefCopy151Row" localSheetId="5" hidden="1">#REF!</definedName>
    <definedName name="XRefCopy151Row" hidden="1">#REF!</definedName>
    <definedName name="XRefCopy152" localSheetId="5" hidden="1">#REF!</definedName>
    <definedName name="XRefCopy152" hidden="1">#REF!</definedName>
    <definedName name="XRefCopy152Row" localSheetId="5" hidden="1">#REF!</definedName>
    <definedName name="XRefCopy152Row" hidden="1">#REF!</definedName>
    <definedName name="XRefCopy153" localSheetId="5" hidden="1">#REF!</definedName>
    <definedName name="XRefCopy153" hidden="1">#REF!</definedName>
    <definedName name="XRefCopy153Row" localSheetId="5" hidden="1">#REF!</definedName>
    <definedName name="XRefCopy153Row" hidden="1">#REF!</definedName>
    <definedName name="XRefCopy154" localSheetId="5" hidden="1">#REF!</definedName>
    <definedName name="XRefCopy154" hidden="1">#REF!</definedName>
    <definedName name="XRefCopy154Row" localSheetId="5" hidden="1">#REF!</definedName>
    <definedName name="XRefCopy154Row" hidden="1">#REF!</definedName>
    <definedName name="XRefCopy155" localSheetId="5" hidden="1">#REF!</definedName>
    <definedName name="XRefCopy155" hidden="1">#REF!</definedName>
    <definedName name="XRefCopy155Row" localSheetId="5" hidden="1">#REF!</definedName>
    <definedName name="XRefCopy155Row" hidden="1">#REF!</definedName>
    <definedName name="XRefCopy156" localSheetId="5" hidden="1">#REF!</definedName>
    <definedName name="XRefCopy156" hidden="1">#REF!</definedName>
    <definedName name="XRefCopy156Row" localSheetId="5" hidden="1">#REF!</definedName>
    <definedName name="XRefCopy156Row" hidden="1">#REF!</definedName>
    <definedName name="XRefCopy157" localSheetId="5" hidden="1">#REF!</definedName>
    <definedName name="XRefCopy157" hidden="1">#REF!</definedName>
    <definedName name="XRefCopy157Row" localSheetId="5" hidden="1">#REF!</definedName>
    <definedName name="XRefCopy157Row" hidden="1">#REF!</definedName>
    <definedName name="XRefCopy158" localSheetId="5" hidden="1">#REF!</definedName>
    <definedName name="XRefCopy158" hidden="1">#REF!</definedName>
    <definedName name="XRefCopy158Row" localSheetId="5" hidden="1">#REF!</definedName>
    <definedName name="XRefCopy158Row" hidden="1">#REF!</definedName>
    <definedName name="XRefCopy159" localSheetId="5" hidden="1">#REF!</definedName>
    <definedName name="XRefCopy159" hidden="1">#REF!</definedName>
    <definedName name="XRefCopy159Row" localSheetId="5" hidden="1">#REF!</definedName>
    <definedName name="XRefCopy159Row" hidden="1">#REF!</definedName>
    <definedName name="XRefCopy15Row" localSheetId="5" hidden="1">#REF!</definedName>
    <definedName name="XRefCopy160" localSheetId="5" hidden="1">#REF!</definedName>
    <definedName name="XRefCopy160" hidden="1">#REF!</definedName>
    <definedName name="XRefCopy160Row" localSheetId="5" hidden="1">#REF!</definedName>
    <definedName name="XRefCopy160Row" hidden="1">#REF!</definedName>
    <definedName name="XRefCopy161" localSheetId="5" hidden="1">#REF!</definedName>
    <definedName name="XRefCopy161" hidden="1">#REF!</definedName>
    <definedName name="XRefCopy161Row" localSheetId="5" hidden="1">#REF!</definedName>
    <definedName name="XRefCopy161Row" hidden="1">#REF!</definedName>
    <definedName name="XRefCopy162" localSheetId="5" hidden="1">#REF!</definedName>
    <definedName name="XRefCopy162" hidden="1">#REF!</definedName>
    <definedName name="XRefCopy162Row" localSheetId="5" hidden="1">#REF!</definedName>
    <definedName name="XRefCopy162Row" hidden="1">#REF!</definedName>
    <definedName name="XRefCopy163" localSheetId="5" hidden="1">#REF!</definedName>
    <definedName name="XRefCopy163" hidden="1">#REF!</definedName>
    <definedName name="XRefCopy163Row" localSheetId="5" hidden="1">#REF!</definedName>
    <definedName name="XRefCopy163Row" hidden="1">#REF!</definedName>
    <definedName name="XRefCopy164" localSheetId="5" hidden="1">#REF!</definedName>
    <definedName name="XRefCopy164" hidden="1">#REF!</definedName>
    <definedName name="XRefCopy164Row" localSheetId="5" hidden="1">#REF!</definedName>
    <definedName name="XRefCopy164Row" hidden="1">#REF!</definedName>
    <definedName name="XRefCopy165" localSheetId="5" hidden="1">#REF!</definedName>
    <definedName name="XRefCopy165" hidden="1">#REF!</definedName>
    <definedName name="XRefCopy165Row" hidden="1">#REF!</definedName>
    <definedName name="XRefCopy166" localSheetId="5" hidden="1">#REF!</definedName>
    <definedName name="XRefCopy166" hidden="1">#REF!</definedName>
    <definedName name="XRefCopy166Row" hidden="1">#REF!</definedName>
    <definedName name="XRefCopy167" localSheetId="5"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5"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5"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5"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5" hidden="1">#REF!</definedName>
    <definedName name="XRefCopy19Row" hidden="1">#REF!</definedName>
    <definedName name="XRefCopy1Row" localSheetId="5" hidden="1">#REF!</definedName>
    <definedName name="XRefCopy1Row" hidden="1">#REF!</definedName>
    <definedName name="XRefCopy2" localSheetId="5" hidden="1">#REF!</definedName>
    <definedName name="XRefCopy2" hidden="1">#REF!</definedName>
    <definedName name="XRefCopy20" localSheetId="5"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5"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5"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5"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5"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5"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5"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5"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5"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5"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5" hidden="1">#REF!</definedName>
    <definedName name="XRefCopy29Row" hidden="1">#REF!</definedName>
    <definedName name="XRefCopy2Row" localSheetId="5" hidden="1">#REF!</definedName>
    <definedName name="XRefCopy2Row" hidden="1">#REF!</definedName>
    <definedName name="XRefCopy30Row" localSheetId="5" hidden="1">#REF!</definedName>
    <definedName name="XRefCopy30Row" hidden="1">#REF!</definedName>
    <definedName name="XRefCopy31Row" localSheetId="5" hidden="1">#REF!</definedName>
    <definedName name="XRefCopy31Row" hidden="1">#REF!</definedName>
    <definedName name="XRefCopy32Row" localSheetId="5" hidden="1">#REF!</definedName>
    <definedName name="XRefCopy32Row" hidden="1">#REF!</definedName>
    <definedName name="XRefCopy33Row" localSheetId="5" hidden="1">#REF!</definedName>
    <definedName name="XRefCopy33Row" hidden="1">#REF!</definedName>
    <definedName name="XRefCopy34Row" localSheetId="5" hidden="1">#REF!</definedName>
    <definedName name="XRefCopy34Row" hidden="1">#REF!</definedName>
    <definedName name="XRefCopy35Row" localSheetId="5" hidden="1">#REF!</definedName>
    <definedName name="XRefCopy35Row" hidden="1">#REF!</definedName>
    <definedName name="XRefCopy36Row" localSheetId="5" hidden="1">#REF!</definedName>
    <definedName name="XRefCopy36Row" hidden="1">#REF!</definedName>
    <definedName name="XRefCopy37Row" localSheetId="5" hidden="1">#REF!</definedName>
    <definedName name="XRefCopy37Row" hidden="1">#REF!</definedName>
    <definedName name="XRefCopy38Row" localSheetId="5" hidden="1">#REF!</definedName>
    <definedName name="XRefCopy38Row" hidden="1">#REF!</definedName>
    <definedName name="XRefCopy39Row" localSheetId="5" hidden="1">#REF!</definedName>
    <definedName name="XRefCopy39Row" hidden="1">#REF!</definedName>
    <definedName name="XRefCopy3Row" localSheetId="5" hidden="1">#REF!</definedName>
    <definedName name="XRefCopy40Row" localSheetId="5" hidden="1">#REF!</definedName>
    <definedName name="XRefCopy40Row" hidden="1">#REF!</definedName>
    <definedName name="XRefCopy41Row" localSheetId="5" hidden="1">#REF!</definedName>
    <definedName name="XRefCopy41Row" hidden="1">#REF!</definedName>
    <definedName name="XRefCopy42Row" localSheetId="5" hidden="1">#REF!</definedName>
    <definedName name="XRefCopy42Row" hidden="1">#REF!</definedName>
    <definedName name="XRefCopy43Row" localSheetId="5" hidden="1">#REF!</definedName>
    <definedName name="XRefCopy43Row" hidden="1">#REF!</definedName>
    <definedName name="XRefCopy44Row" localSheetId="5" hidden="1">#REF!</definedName>
    <definedName name="XRefCopy44Row" hidden="1">#REF!</definedName>
    <definedName name="XRefCopy45Row" localSheetId="5" hidden="1">#REF!</definedName>
    <definedName name="XRefCopy45Row" hidden="1">#REF!</definedName>
    <definedName name="XRefCopy46Row" localSheetId="5" hidden="1">#REF!</definedName>
    <definedName name="XRefCopy46Row" hidden="1">#REF!</definedName>
    <definedName name="XRefCopy47Row" localSheetId="5" hidden="1">#REF!</definedName>
    <definedName name="XRefCopy47Row" hidden="1">#REF!</definedName>
    <definedName name="XRefCopy48Row" localSheetId="5" hidden="1">#REF!</definedName>
    <definedName name="XRefCopy48Row" hidden="1">#REF!</definedName>
    <definedName name="XRefCopy49Row" localSheetId="5" hidden="1">#REF!</definedName>
    <definedName name="XRefCopy49Row" hidden="1">#REF!</definedName>
    <definedName name="XRefCopy4Row" localSheetId="5" hidden="1">#REF!</definedName>
    <definedName name="XRefCopy50Row" localSheetId="5" hidden="1">#REF!</definedName>
    <definedName name="XRefCopy50Row" hidden="1">#REF!</definedName>
    <definedName name="XRefCopy51Row" localSheetId="5" hidden="1">#REF!</definedName>
    <definedName name="XRefCopy51Row" hidden="1">#REF!</definedName>
    <definedName name="XRefCopy52Row" localSheetId="5" hidden="1">#REF!</definedName>
    <definedName name="XRefCopy52Row" hidden="1">#REF!</definedName>
    <definedName name="XRefCopy53" localSheetId="5" hidden="1">#REF!</definedName>
    <definedName name="XRefCopy53" hidden="1">#REF!</definedName>
    <definedName name="XRefCopy53Row" localSheetId="5" hidden="1">#REF!</definedName>
    <definedName name="XRefCopy53Row" hidden="1">#REF!</definedName>
    <definedName name="XRefCopy54" hidden="1">#REF!</definedName>
    <definedName name="XRefCopy54Row" localSheetId="5" hidden="1">#REF!</definedName>
    <definedName name="XRefCopy54Row" hidden="1">#REF!</definedName>
    <definedName name="XRefCopy55" hidden="1">#REF!</definedName>
    <definedName name="XRefCopy55Row" localSheetId="5" hidden="1">#REF!</definedName>
    <definedName name="XRefCopy55Row" hidden="1">#REF!</definedName>
    <definedName name="XRefCopy56" hidden="1">#REF!</definedName>
    <definedName name="XRefCopy56Row" localSheetId="5" hidden="1">#REF!</definedName>
    <definedName name="XRefCopy56Row" hidden="1">#REF!</definedName>
    <definedName name="XRefCopy57" hidden="1">#REF!</definedName>
    <definedName name="XRefCopy57Row" localSheetId="5" hidden="1">#REF!</definedName>
    <definedName name="XRefCopy57Row" hidden="1">#REF!</definedName>
    <definedName name="XRefCopy58" hidden="1">#REF!</definedName>
    <definedName name="XRefCopy58Row" localSheetId="5" hidden="1">#REF!</definedName>
    <definedName name="XRefCopy58Row" hidden="1">#REF!</definedName>
    <definedName name="XRefCopy59" hidden="1">#REF!</definedName>
    <definedName name="XRefCopy59Row" localSheetId="5" hidden="1">#REF!</definedName>
    <definedName name="XRefCopy59Row" hidden="1">#REF!</definedName>
    <definedName name="XRefCopy60" hidden="1">#REF!</definedName>
    <definedName name="XRefCopy60Row" localSheetId="5" hidden="1">#REF!</definedName>
    <definedName name="XRefCopy60Row" hidden="1">#REF!</definedName>
    <definedName name="XRefCopy61" hidden="1">#REF!</definedName>
    <definedName name="XRefCopy61Row" localSheetId="5" hidden="1">#REF!</definedName>
    <definedName name="XRefCopy61Row" hidden="1">#REF!</definedName>
    <definedName name="XRefCopy62" hidden="1">#REF!</definedName>
    <definedName name="XRefCopy62Row" localSheetId="5" hidden="1">#REF!</definedName>
    <definedName name="XRefCopy62Row" hidden="1">#REF!</definedName>
    <definedName name="XRefCopy63" hidden="1">#REF!</definedName>
    <definedName name="XRefCopy63Row" localSheetId="5" hidden="1">#REF!</definedName>
    <definedName name="XRefCopy63Row" hidden="1">#REF!</definedName>
    <definedName name="XRefCopy64" hidden="1">#REF!</definedName>
    <definedName name="XRefCopy64Row" localSheetId="5" hidden="1">#REF!</definedName>
    <definedName name="XRefCopy64Row" hidden="1">#REF!</definedName>
    <definedName name="XRefCopy65" hidden="1">#REF!</definedName>
    <definedName name="XRefCopy65Row" localSheetId="5" hidden="1">#REF!</definedName>
    <definedName name="XRefCopy65Row" hidden="1">#REF!</definedName>
    <definedName name="XRefCopy66" hidden="1">#REF!</definedName>
    <definedName name="XRefCopy66Row" localSheetId="5" hidden="1">#REF!</definedName>
    <definedName name="XRefCopy66Row" hidden="1">#REF!</definedName>
    <definedName name="XRefCopy67" hidden="1">#REF!</definedName>
    <definedName name="XRefCopy67Row" localSheetId="5" hidden="1">#REF!</definedName>
    <definedName name="XRefCopy67Row" hidden="1">#REF!</definedName>
    <definedName name="XRefCopy68" hidden="1">#REF!</definedName>
    <definedName name="XRefCopy68Row" localSheetId="5" hidden="1">#REF!</definedName>
    <definedName name="XRefCopy68Row" hidden="1">#REF!</definedName>
    <definedName name="XRefCopy69" hidden="1">#REF!</definedName>
    <definedName name="XRefCopy69Row" localSheetId="5" hidden="1">#REF!</definedName>
    <definedName name="XRefCopy69Row" hidden="1">#REF!</definedName>
    <definedName name="XRefCopy7" localSheetId="5" hidden="1">VPN!#REF!</definedName>
    <definedName name="XRefCopy70" localSheetId="10" hidden="1">#REF!</definedName>
    <definedName name="XRefCopy70" localSheetId="1" hidden="1">#REF!</definedName>
    <definedName name="XRefCopy70" hidden="1">#REF!</definedName>
    <definedName name="XRefCopy70Row" localSheetId="1" hidden="1">#REF!</definedName>
    <definedName name="XRefCopy70Row" localSheetId="5" hidden="1">#REF!</definedName>
    <definedName name="XRefCopy70Row" hidden="1">#REF!</definedName>
    <definedName name="XRefCopy71" hidden="1">#REF!</definedName>
    <definedName name="XRefCopy71Row" localSheetId="5" hidden="1">#REF!</definedName>
    <definedName name="XRefCopy71Row" hidden="1">#REF!</definedName>
    <definedName name="XRefCopy72" hidden="1">#REF!</definedName>
    <definedName name="XRefCopy72Row" localSheetId="5" hidden="1">#REF!</definedName>
    <definedName name="XRefCopy72Row" hidden="1">#REF!</definedName>
    <definedName name="XRefCopy73" hidden="1">#REF!</definedName>
    <definedName name="XRefCopy73Row" localSheetId="5" hidden="1">#REF!</definedName>
    <definedName name="XRefCopy73Row" hidden="1">#REF!</definedName>
    <definedName name="XRefCopy74" hidden="1">#REF!</definedName>
    <definedName name="XRefCopy74Row" localSheetId="5" hidden="1">#REF!</definedName>
    <definedName name="XRefCopy74Row" hidden="1">#REF!</definedName>
    <definedName name="XRefCopy75" localSheetId="10" hidden="1">#REF!</definedName>
    <definedName name="XRefCopy75" localSheetId="1" hidden="1">#REF!</definedName>
    <definedName name="XRefCopy75" localSheetId="5" hidden="1">VPN!#REF!</definedName>
    <definedName name="XRefCopy75" hidden="1">#REF!</definedName>
    <definedName name="XRefCopy75Row" localSheetId="1" hidden="1">#REF!</definedName>
    <definedName name="XRefCopy75Row" localSheetId="5" hidden="1">#REF!</definedName>
    <definedName name="XRefCopy75Row" hidden="1">#REF!</definedName>
    <definedName name="XRefCopy76" localSheetId="10" hidden="1">#REF!</definedName>
    <definedName name="XRefCopy76" localSheetId="1" hidden="1">#REF!</definedName>
    <definedName name="XRefCopy76" localSheetId="5" hidden="1">VPN!#REF!</definedName>
    <definedName name="XRefCopy76" hidden="1">#REF!</definedName>
    <definedName name="XRefCopy76Row" localSheetId="1" hidden="1">#REF!</definedName>
    <definedName name="XRefCopy76Row" localSheetId="5" hidden="1">#REF!</definedName>
    <definedName name="XRefCopy76Row" hidden="1">#REF!</definedName>
    <definedName name="XRefCopy77" hidden="1">#REF!</definedName>
    <definedName name="XRefCopy77Row" localSheetId="5" hidden="1">#REF!</definedName>
    <definedName name="XRefCopy77Row" hidden="1">#REF!</definedName>
    <definedName name="XRefCopy78" hidden="1">#REF!</definedName>
    <definedName name="XRefCopy78Row" localSheetId="5" hidden="1">#REF!</definedName>
    <definedName name="XRefCopy78Row" hidden="1">#REF!</definedName>
    <definedName name="XRefCopy79" hidden="1">#REF!</definedName>
    <definedName name="XRefCopy79Row" localSheetId="5" hidden="1">#REF!</definedName>
    <definedName name="XRefCopy79Row" hidden="1">#REF!</definedName>
    <definedName name="XRefCopy7Row" localSheetId="5" hidden="1">#REF!</definedName>
    <definedName name="XRefCopy7Row" hidden="1">#REF!</definedName>
    <definedName name="XRefCopy8" localSheetId="5" hidden="1">VPN!#REF!</definedName>
    <definedName name="XRefCopy80Row" localSheetId="10" hidden="1">#REF!</definedName>
    <definedName name="XRefCopy80Row" localSheetId="1" hidden="1">#REF!</definedName>
    <definedName name="XRefCopy80Row" localSheetId="5" hidden="1">#REF!</definedName>
    <definedName name="XRefCopy80Row" hidden="1">#REF!</definedName>
    <definedName name="XRefCopy81Row" localSheetId="5" hidden="1">#REF!</definedName>
    <definedName name="XRefCopy81Row" hidden="1">#REF!</definedName>
    <definedName name="XRefCopy82Row" localSheetId="5" hidden="1">#REF!</definedName>
    <definedName name="XRefCopy82Row" hidden="1">#REF!</definedName>
    <definedName name="XRefCopy83Row" localSheetId="5" hidden="1">#REF!</definedName>
    <definedName name="XRefCopy83Row" hidden="1">#REF!</definedName>
    <definedName name="XRefCopy84Row" localSheetId="5" hidden="1">#REF!</definedName>
    <definedName name="XRefCopy84Row" hidden="1">#REF!</definedName>
    <definedName name="XRefCopy85" hidden="1">#REF!</definedName>
    <definedName name="XRefCopy85Row" localSheetId="5" hidden="1">#REF!</definedName>
    <definedName name="XRefCopy85Row" hidden="1">#REF!</definedName>
    <definedName name="XRefCopy86" hidden="1">#REF!</definedName>
    <definedName name="XRefCopy86Row" localSheetId="5" hidden="1">#REF!</definedName>
    <definedName name="XRefCopy86Row" hidden="1">#REF!</definedName>
    <definedName name="XRefCopy87" hidden="1">#REF!</definedName>
    <definedName name="XRefCopy87Row" localSheetId="5" hidden="1">#REF!</definedName>
    <definedName name="XRefCopy87Row" hidden="1">#REF!</definedName>
    <definedName name="XRefCopy88" hidden="1">#REF!</definedName>
    <definedName name="XRefCopy88Row" localSheetId="5" hidden="1">#REF!</definedName>
    <definedName name="XRefCopy88Row" hidden="1">#REF!</definedName>
    <definedName name="XRefCopy89" hidden="1">#REF!</definedName>
    <definedName name="XRefCopy89Row" localSheetId="5" hidden="1">#REF!</definedName>
    <definedName name="XRefCopy89Row" hidden="1">#REF!</definedName>
    <definedName name="XRefCopy8Row" localSheetId="5" hidden="1">#REF!</definedName>
    <definedName name="XRefCopy8Row" hidden="1">#REF!</definedName>
    <definedName name="XRefCopy9" localSheetId="5" hidden="1">VPN!#REF!</definedName>
    <definedName name="XRefCopy90" localSheetId="10" hidden="1">#REF!</definedName>
    <definedName name="XRefCopy90" localSheetId="1" hidden="1">#REF!</definedName>
    <definedName name="XRefCopy90" hidden="1">#REF!</definedName>
    <definedName name="XRefCopy90Row" localSheetId="1" hidden="1">#REF!</definedName>
    <definedName name="XRefCopy90Row" localSheetId="5" hidden="1">#REF!</definedName>
    <definedName name="XRefCopy90Row" hidden="1">#REF!</definedName>
    <definedName name="XRefCopy91" hidden="1">#REF!</definedName>
    <definedName name="XRefCopy91Row" localSheetId="5" hidden="1">#REF!</definedName>
    <definedName name="XRefCopy91Row" hidden="1">#REF!</definedName>
    <definedName name="XRefCopy92" localSheetId="5" hidden="1">#REF!</definedName>
    <definedName name="XRefCopy92" hidden="1">#REF!</definedName>
    <definedName name="XRefCopy92Row" localSheetId="5" hidden="1">#REF!</definedName>
    <definedName name="XRefCopy92Row" hidden="1">#REF!</definedName>
    <definedName name="XRefCopy93" localSheetId="5" hidden="1">#REF!</definedName>
    <definedName name="XRefCopy93" hidden="1">#REF!</definedName>
    <definedName name="XRefCopy93Row" localSheetId="5" hidden="1">#REF!</definedName>
    <definedName name="XRefCopy93Row" hidden="1">#REF!</definedName>
    <definedName name="XRefCopy94" localSheetId="5" hidden="1">#REF!</definedName>
    <definedName name="XRefCopy94" hidden="1">#REF!</definedName>
    <definedName name="XRefCopy94Row" localSheetId="5" hidden="1">#REF!</definedName>
    <definedName name="XRefCopy94Row" hidden="1">#REF!</definedName>
    <definedName name="XRefCopy95" hidden="1">#REF!</definedName>
    <definedName name="XRefCopy95Row" localSheetId="5" hidden="1">#REF!</definedName>
    <definedName name="XRefCopy95Row" hidden="1">#REF!</definedName>
    <definedName name="XRefCopy96" hidden="1">#REF!</definedName>
    <definedName name="XRefCopy96Row" localSheetId="5" hidden="1">#REF!</definedName>
    <definedName name="XRefCopy96Row" hidden="1">#REF!</definedName>
    <definedName name="XRefCopy97" hidden="1">#REF!</definedName>
    <definedName name="XRefCopy97Row" localSheetId="5" hidden="1">#REF!</definedName>
    <definedName name="XRefCopy97Row" hidden="1">#REF!</definedName>
    <definedName name="XRefCopy98" hidden="1">#REF!</definedName>
    <definedName name="XRefCopy98Row" localSheetId="5" hidden="1">#REF!</definedName>
    <definedName name="XRefCopy98Row" hidden="1">#REF!</definedName>
    <definedName name="XRefCopy99" hidden="1">#REF!</definedName>
    <definedName name="XRefCopy99Row" localSheetId="5" hidden="1">#REF!</definedName>
    <definedName name="XRefCopy99Row" hidden="1">#REF!</definedName>
    <definedName name="XRefCopy9Row" localSheetId="5" hidden="1">#REF!</definedName>
    <definedName name="XRefCopy9Row" hidden="1">#REF!</definedName>
    <definedName name="XRefCopyRangeCount" localSheetId="5" hidden="1">76</definedName>
    <definedName name="XRefCopyRangeCount" hidden="1">4</definedName>
    <definedName name="XRefPaste1" hidden="1">#REF!</definedName>
    <definedName name="XRefPaste10" hidden="1">#REF!</definedName>
    <definedName name="XRefPaste100" localSheetId="5" hidden="1">#REF!</definedName>
    <definedName name="XRefPaste100" hidden="1">#REF!</definedName>
    <definedName name="XRefPaste100Row" localSheetId="5" hidden="1">#REF!</definedName>
    <definedName name="XRefPaste100Row" hidden="1">#REF!</definedName>
    <definedName name="XRefPaste101" localSheetId="5" hidden="1">#REF!</definedName>
    <definedName name="XRefPaste101" hidden="1">#REF!</definedName>
    <definedName name="XRefPaste101Row" localSheetId="5" hidden="1">#REF!</definedName>
    <definedName name="XRefPaste101Row" hidden="1">#REF!</definedName>
    <definedName name="XRefPaste102" localSheetId="5" hidden="1">#REF!</definedName>
    <definedName name="XRefPaste102" hidden="1">#REF!</definedName>
    <definedName name="XRefPaste102Row" localSheetId="5" hidden="1">#REF!</definedName>
    <definedName name="XRefPaste102Row" hidden="1">#REF!</definedName>
    <definedName name="XRefPaste103" localSheetId="5" hidden="1">#REF!</definedName>
    <definedName name="XRefPaste103" hidden="1">#REF!</definedName>
    <definedName name="XRefPaste103Row" localSheetId="5" hidden="1">#REF!</definedName>
    <definedName name="XRefPaste103Row" hidden="1">#REF!</definedName>
    <definedName name="XRefPaste104" localSheetId="5" hidden="1">#REF!</definedName>
    <definedName name="XRefPaste104" hidden="1">#REF!</definedName>
    <definedName name="XRefPaste104Row" localSheetId="5" hidden="1">#REF!</definedName>
    <definedName name="XRefPaste104Row" hidden="1">#REF!</definedName>
    <definedName name="XRefPaste105" localSheetId="5" hidden="1">#REF!</definedName>
    <definedName name="XRefPaste105" hidden="1">#REF!</definedName>
    <definedName name="XRefPaste105Row" localSheetId="5" hidden="1">#REF!</definedName>
    <definedName name="XRefPaste105Row" hidden="1">#REF!</definedName>
    <definedName name="XRefPaste106" localSheetId="5" hidden="1">#REF!</definedName>
    <definedName name="XRefPaste106" hidden="1">#REF!</definedName>
    <definedName name="XRefPaste106Row" localSheetId="5" hidden="1">#REF!</definedName>
    <definedName name="XRefPaste106Row" hidden="1">#REF!</definedName>
    <definedName name="XRefPaste107" localSheetId="5" hidden="1">#REF!</definedName>
    <definedName name="XRefPaste107" hidden="1">#REF!</definedName>
    <definedName name="XRefPaste107Row" localSheetId="5" hidden="1">#REF!</definedName>
    <definedName name="XRefPaste107Row" hidden="1">#REF!</definedName>
    <definedName name="XRefPaste108" localSheetId="5" hidden="1">#REF!</definedName>
    <definedName name="XRefPaste108" hidden="1">#REF!</definedName>
    <definedName name="XRefPaste108Row" localSheetId="5" hidden="1">#REF!</definedName>
    <definedName name="XRefPaste108Row" hidden="1">#REF!</definedName>
    <definedName name="XRefPaste109" localSheetId="5" hidden="1">#REF!</definedName>
    <definedName name="XRefPaste109" hidden="1">#REF!</definedName>
    <definedName name="XRefPaste109Row" localSheetId="5" hidden="1">#REF!</definedName>
    <definedName name="XRefPaste109Row" hidden="1">#REF!</definedName>
    <definedName name="XRefPaste10Row" localSheetId="5" hidden="1">#REF!</definedName>
    <definedName name="XRefPaste10Row" hidden="1">#REF!</definedName>
    <definedName name="XRefPaste11" hidden="1">#REF!</definedName>
    <definedName name="XRefPaste110" localSheetId="5" hidden="1">#REF!</definedName>
    <definedName name="XRefPaste110" hidden="1">#REF!</definedName>
    <definedName name="XRefPaste110Row" localSheetId="5" hidden="1">#REF!</definedName>
    <definedName name="XRefPaste110Row" hidden="1">#REF!</definedName>
    <definedName name="XRefPaste111" localSheetId="5" hidden="1">#REF!</definedName>
    <definedName name="XRefPaste111" hidden="1">#REF!</definedName>
    <definedName name="XRefPaste111Row" localSheetId="5" hidden="1">#REF!</definedName>
    <definedName name="XRefPaste111Row" hidden="1">#REF!</definedName>
    <definedName name="XRefPaste112" localSheetId="5" hidden="1">#REF!</definedName>
    <definedName name="XRefPaste112" hidden="1">#REF!</definedName>
    <definedName name="XRefPaste112Row" localSheetId="5" hidden="1">#REF!</definedName>
    <definedName name="XRefPaste112Row" hidden="1">#REF!</definedName>
    <definedName name="XRefPaste113" localSheetId="5" hidden="1">#REF!</definedName>
    <definedName name="XRefPaste113" hidden="1">#REF!</definedName>
    <definedName name="XRefPaste113Row" localSheetId="5" hidden="1">#REF!</definedName>
    <definedName name="XRefPaste113Row" hidden="1">#REF!</definedName>
    <definedName name="XRefPaste114" localSheetId="5" hidden="1">#REF!</definedName>
    <definedName name="XRefPaste114" hidden="1">#REF!</definedName>
    <definedName name="XRefPaste114Row" localSheetId="5" hidden="1">#REF!</definedName>
    <definedName name="XRefPaste114Row" hidden="1">#REF!</definedName>
    <definedName name="XRefPaste115" localSheetId="5" hidden="1">#REF!</definedName>
    <definedName name="XRefPaste115" hidden="1">#REF!</definedName>
    <definedName name="XRefPaste115Row" localSheetId="5" hidden="1">#REF!</definedName>
    <definedName name="XRefPaste115Row" hidden="1">#REF!</definedName>
    <definedName name="XRefPaste116" localSheetId="5" hidden="1">#REF!</definedName>
    <definedName name="XRefPaste116" hidden="1">#REF!</definedName>
    <definedName name="XRefPaste116Row" localSheetId="5" hidden="1">#REF!</definedName>
    <definedName name="XRefPaste116Row" hidden="1">#REF!</definedName>
    <definedName name="XRefPaste117" localSheetId="5" hidden="1">#REF!</definedName>
    <definedName name="XRefPaste117" hidden="1">#REF!</definedName>
    <definedName name="XRefPaste117Row" localSheetId="5" hidden="1">#REF!</definedName>
    <definedName name="XRefPaste117Row" hidden="1">#REF!</definedName>
    <definedName name="XRefPaste118" localSheetId="5" hidden="1">#REF!</definedName>
    <definedName name="XRefPaste118" hidden="1">#REF!</definedName>
    <definedName name="XRefPaste118Row" localSheetId="5" hidden="1">#REF!</definedName>
    <definedName name="XRefPaste118Row" hidden="1">#REF!</definedName>
    <definedName name="XRefPaste119" localSheetId="5" hidden="1">#REF!</definedName>
    <definedName name="XRefPaste119" hidden="1">#REF!</definedName>
    <definedName name="XRefPaste119Row" localSheetId="5" hidden="1">#REF!</definedName>
    <definedName name="XRefPaste119Row" hidden="1">#REF!</definedName>
    <definedName name="XRefPaste11Row" localSheetId="5" hidden="1">#REF!</definedName>
    <definedName name="XRefPaste11Row" hidden="1">#REF!</definedName>
    <definedName name="XRefPaste12" localSheetId="5" hidden="1">#REF!</definedName>
    <definedName name="XRefPaste12" hidden="1">#REF!</definedName>
    <definedName name="XRefPaste120" localSheetId="5" hidden="1">#REF!</definedName>
    <definedName name="XRefPaste120" hidden="1">#REF!</definedName>
    <definedName name="XRefPaste120Row" localSheetId="5" hidden="1">#REF!</definedName>
    <definedName name="XRefPaste120Row" hidden="1">#REF!</definedName>
    <definedName name="XRefPaste121" localSheetId="5" hidden="1">#REF!</definedName>
    <definedName name="XRefPaste121" hidden="1">#REF!</definedName>
    <definedName name="XRefPaste121Row" localSheetId="5" hidden="1">#REF!</definedName>
    <definedName name="XRefPaste121Row" hidden="1">#REF!</definedName>
    <definedName name="XRefPaste122" localSheetId="5" hidden="1">#REF!</definedName>
    <definedName name="XRefPaste122" hidden="1">#REF!</definedName>
    <definedName name="XRefPaste122Row" localSheetId="5" hidden="1">#REF!</definedName>
    <definedName name="XRefPaste122Row" hidden="1">#REF!</definedName>
    <definedName name="XRefPaste123" localSheetId="5" hidden="1">#REF!</definedName>
    <definedName name="XRefPaste123" hidden="1">#REF!</definedName>
    <definedName name="XRefPaste123Row" localSheetId="5" hidden="1">#REF!</definedName>
    <definedName name="XRefPaste123Row" hidden="1">#REF!</definedName>
    <definedName name="XRefPaste124" localSheetId="5" hidden="1">#REF!</definedName>
    <definedName name="XRefPaste124" hidden="1">#REF!</definedName>
    <definedName name="XRefPaste124Row" localSheetId="5" hidden="1">#REF!</definedName>
    <definedName name="XRefPaste124Row" hidden="1">#REF!</definedName>
    <definedName name="XRefPaste125" localSheetId="5" hidden="1">#REF!</definedName>
    <definedName name="XRefPaste125" hidden="1">#REF!</definedName>
    <definedName name="XRefPaste125Row" localSheetId="5" hidden="1">#REF!</definedName>
    <definedName name="XRefPaste125Row" hidden="1">#REF!</definedName>
    <definedName name="XRefPaste126" localSheetId="5" hidden="1">#REF!</definedName>
    <definedName name="XRefPaste126" hidden="1">#REF!</definedName>
    <definedName name="XRefPaste126Row" localSheetId="5" hidden="1">#REF!</definedName>
    <definedName name="XRefPaste126Row" hidden="1">#REF!</definedName>
    <definedName name="XRefPaste127" localSheetId="5" hidden="1">#REF!</definedName>
    <definedName name="XRefPaste127" hidden="1">#REF!</definedName>
    <definedName name="XRefPaste127Row" localSheetId="5" hidden="1">#REF!</definedName>
    <definedName name="XRefPaste127Row" hidden="1">#REF!</definedName>
    <definedName name="XRefPaste128" localSheetId="5" hidden="1">#REF!</definedName>
    <definedName name="XRefPaste128" hidden="1">#REF!</definedName>
    <definedName name="XRefPaste128Row" localSheetId="5" hidden="1">#REF!</definedName>
    <definedName name="XRefPaste128Row" hidden="1">#REF!</definedName>
    <definedName name="XRefPaste129" localSheetId="5" hidden="1">#REF!</definedName>
    <definedName name="XRefPaste129" hidden="1">#REF!</definedName>
    <definedName name="XRefPaste129Row" localSheetId="5" hidden="1">#REF!</definedName>
    <definedName name="XRefPaste129Row" hidden="1">#REF!</definedName>
    <definedName name="XRefPaste12Row" localSheetId="5" hidden="1">#REF!</definedName>
    <definedName name="XRefPaste12Row" hidden="1">#REF!</definedName>
    <definedName name="XRefPaste130" localSheetId="5" hidden="1">#REF!</definedName>
    <definedName name="XRefPaste130" hidden="1">#REF!</definedName>
    <definedName name="XRefPaste130Row" localSheetId="5" hidden="1">#REF!</definedName>
    <definedName name="XRefPaste130Row" hidden="1">#REF!</definedName>
    <definedName name="XRefPaste131" localSheetId="5" hidden="1">#REF!</definedName>
    <definedName name="XRefPaste131" hidden="1">#REF!</definedName>
    <definedName name="XRefPaste131Row" localSheetId="5" hidden="1">#REF!</definedName>
    <definedName name="XRefPaste131Row" hidden="1">#REF!</definedName>
    <definedName name="XRefPaste132" localSheetId="5" hidden="1">#REF!</definedName>
    <definedName name="XRefPaste132" hidden="1">#REF!</definedName>
    <definedName name="XRefPaste132Row" localSheetId="5" hidden="1">#REF!</definedName>
    <definedName name="XRefPaste132Row" hidden="1">#REF!</definedName>
    <definedName name="XRefPaste133" localSheetId="5" hidden="1">#REF!</definedName>
    <definedName name="XRefPaste133" hidden="1">#REF!</definedName>
    <definedName name="XRefPaste133Row" localSheetId="5" hidden="1">#REF!</definedName>
    <definedName name="XRefPaste133Row" hidden="1">#REF!</definedName>
    <definedName name="XRefPaste134" localSheetId="5" hidden="1">#REF!</definedName>
    <definedName name="XRefPaste134" hidden="1">#REF!</definedName>
    <definedName name="XRefPaste134Row" localSheetId="5" hidden="1">#REF!</definedName>
    <definedName name="XRefPaste134Row" hidden="1">#REF!</definedName>
    <definedName name="XRefPaste135" localSheetId="5" hidden="1">#REF!</definedName>
    <definedName name="XRefPaste135" hidden="1">#REF!</definedName>
    <definedName name="XRefPaste135Row" localSheetId="5" hidden="1">#REF!</definedName>
    <definedName name="XRefPaste135Row" hidden="1">#REF!</definedName>
    <definedName name="XRefPaste136" localSheetId="5" hidden="1">#REF!</definedName>
    <definedName name="XRefPaste136" hidden="1">#REF!</definedName>
    <definedName name="XRefPaste136Row" localSheetId="5" hidden="1">#REF!</definedName>
    <definedName name="XRefPaste136Row" hidden="1">#REF!</definedName>
    <definedName name="XRefPaste137" localSheetId="5" hidden="1">#REF!</definedName>
    <definedName name="XRefPaste137" hidden="1">#REF!</definedName>
    <definedName name="XRefPaste137Row" localSheetId="5" hidden="1">#REF!</definedName>
    <definedName name="XRefPaste137Row" hidden="1">#REF!</definedName>
    <definedName name="XRefPaste138" localSheetId="5" hidden="1">#REF!</definedName>
    <definedName name="XRefPaste138" hidden="1">#REF!</definedName>
    <definedName name="XRefPaste138Row" localSheetId="5" hidden="1">#REF!</definedName>
    <definedName name="XRefPaste138Row" hidden="1">#REF!</definedName>
    <definedName name="XRefPaste139" localSheetId="5" hidden="1">#REF!</definedName>
    <definedName name="XRefPaste139" hidden="1">#REF!</definedName>
    <definedName name="XRefPaste139Row" localSheetId="5" hidden="1">#REF!</definedName>
    <definedName name="XRefPaste139Row" hidden="1">#REF!</definedName>
    <definedName name="XRefPaste13Row" localSheetId="5" hidden="1">#REF!</definedName>
    <definedName name="XRefPaste13Row" hidden="1">#REF!</definedName>
    <definedName name="XRefPaste14" localSheetId="5" hidden="1">#REF!</definedName>
    <definedName name="XRefPaste140" localSheetId="5" hidden="1">#REF!</definedName>
    <definedName name="XRefPaste140" hidden="1">#REF!</definedName>
    <definedName name="XRefPaste140Row" localSheetId="5" hidden="1">#REF!</definedName>
    <definedName name="XRefPaste140Row" hidden="1">#REF!</definedName>
    <definedName name="XRefPaste141" localSheetId="5" hidden="1">#REF!</definedName>
    <definedName name="XRefPaste141" hidden="1">#REF!</definedName>
    <definedName name="XRefPaste141Row" localSheetId="5" hidden="1">#REF!</definedName>
    <definedName name="XRefPaste141Row" hidden="1">#REF!</definedName>
    <definedName name="XRefPaste142" localSheetId="5" hidden="1">#REF!</definedName>
    <definedName name="XRefPaste142" hidden="1">#REF!</definedName>
    <definedName name="XRefPaste142Row" localSheetId="5" hidden="1">#REF!</definedName>
    <definedName name="XRefPaste142Row" hidden="1">#REF!</definedName>
    <definedName name="XRefPaste143" localSheetId="5" hidden="1">#REF!</definedName>
    <definedName name="XRefPaste143" hidden="1">#REF!</definedName>
    <definedName name="XRefPaste143Row" localSheetId="5" hidden="1">#REF!</definedName>
    <definedName name="XRefPaste143Row" hidden="1">#REF!</definedName>
    <definedName name="XRefPaste144" localSheetId="5" hidden="1">#REF!</definedName>
    <definedName name="XRefPaste144" hidden="1">#REF!</definedName>
    <definedName name="XRefPaste144Row" localSheetId="5" hidden="1">#REF!</definedName>
    <definedName name="XRefPaste144Row" hidden="1">#REF!</definedName>
    <definedName name="XRefPaste145" localSheetId="5" hidden="1">#REF!</definedName>
    <definedName name="XRefPaste145" hidden="1">#REF!</definedName>
    <definedName name="XRefPaste145Row" localSheetId="5" hidden="1">#REF!</definedName>
    <definedName name="XRefPaste145Row" hidden="1">#REF!</definedName>
    <definedName name="XRefPaste146" localSheetId="5" hidden="1">#REF!</definedName>
    <definedName name="XRefPaste146" hidden="1">#REF!</definedName>
    <definedName name="XRefPaste146Row" localSheetId="5" hidden="1">#REF!</definedName>
    <definedName name="XRefPaste146Row" hidden="1">#REF!</definedName>
    <definedName name="XRefPaste147" localSheetId="5" hidden="1">#REF!</definedName>
    <definedName name="XRefPaste147" hidden="1">#REF!</definedName>
    <definedName name="XRefPaste147Row" localSheetId="5" hidden="1">#REF!</definedName>
    <definedName name="XRefPaste147Row" hidden="1">#REF!</definedName>
    <definedName name="XRefPaste148" localSheetId="5" hidden="1">#REF!</definedName>
    <definedName name="XRefPaste148" hidden="1">#REF!</definedName>
    <definedName name="XRefPaste148Row" localSheetId="5" hidden="1">#REF!</definedName>
    <definedName name="XRefPaste148Row" hidden="1">#REF!</definedName>
    <definedName name="XRefPaste14Row" localSheetId="5" hidden="1">#REF!</definedName>
    <definedName name="XRefPaste14Row" hidden="1">#REF!</definedName>
    <definedName name="XRefPaste15" hidden="1">#REF!</definedName>
    <definedName name="XRefPaste15Row" localSheetId="5" hidden="1">#REF!</definedName>
    <definedName name="XRefPaste15Row" hidden="1">#REF!</definedName>
    <definedName name="XRefPaste16" hidden="1">#REF!</definedName>
    <definedName name="XRefPaste16Row" localSheetId="5" hidden="1">#REF!</definedName>
    <definedName name="XRefPaste17" hidden="1">#REF!</definedName>
    <definedName name="XRefPaste17Row" localSheetId="5" hidden="1">#REF!</definedName>
    <definedName name="XRefPaste17Row" hidden="1">#REF!</definedName>
    <definedName name="XRefPaste18" localSheetId="10" hidden="1">#REF!</definedName>
    <definedName name="XRefPaste18" localSheetId="1" hidden="1">#REF!</definedName>
    <definedName name="XRefPaste18" localSheetId="5" hidden="1">VPN!#REF!</definedName>
    <definedName name="XRefPaste18" hidden="1">#REF!</definedName>
    <definedName name="XRefPaste18Row" localSheetId="1" hidden="1">#REF!</definedName>
    <definedName name="XRefPaste18Row" localSheetId="5" hidden="1">#REF!</definedName>
    <definedName name="XRefPaste18Row" hidden="1">#REF!</definedName>
    <definedName name="XRefPaste19" localSheetId="5" hidden="1">#REF!</definedName>
    <definedName name="XRefPaste19" hidden="1">#REF!</definedName>
    <definedName name="XRefPaste19Row" localSheetId="5" hidden="1">#REF!</definedName>
    <definedName name="XRefPaste19Row" hidden="1">#REF!</definedName>
    <definedName name="XRefPaste1Row" localSheetId="5" hidden="1">#REF!</definedName>
    <definedName name="XRefPaste1Row" hidden="1">#REF!</definedName>
    <definedName name="XRefPaste20" localSheetId="5" hidden="1">#REF!</definedName>
    <definedName name="XRefPaste20" hidden="1">#REF!</definedName>
    <definedName name="XRefPaste20Row" localSheetId="5" hidden="1">#REF!</definedName>
    <definedName name="XRefPaste21" localSheetId="5" hidden="1">#REF!</definedName>
    <definedName name="XRefPaste21" hidden="1">#REF!</definedName>
    <definedName name="XRefPaste21Row" localSheetId="5" hidden="1">#REF!</definedName>
    <definedName name="XRefPaste21Row" hidden="1">#REF!</definedName>
    <definedName name="XRefPaste22" localSheetId="5" hidden="1">#REF!</definedName>
    <definedName name="XRefPaste22" hidden="1">#REF!</definedName>
    <definedName name="XRefPaste22Row" localSheetId="5" hidden="1">#REF!</definedName>
    <definedName name="XRefPaste23" localSheetId="5" hidden="1">#REF!</definedName>
    <definedName name="XRefPaste23" hidden="1">#REF!</definedName>
    <definedName name="XRefPaste23Row" localSheetId="5" hidden="1">#REF!</definedName>
    <definedName name="XRefPaste24" localSheetId="5" hidden="1">#REF!</definedName>
    <definedName name="XRefPaste24" hidden="1">#REF!</definedName>
    <definedName name="XRefPaste24Row" localSheetId="5" hidden="1">#REF!</definedName>
    <definedName name="XRefPaste24Row" hidden="1">#REF!</definedName>
    <definedName name="XRefPaste25" localSheetId="5" hidden="1">#REF!</definedName>
    <definedName name="XRefPaste25" hidden="1">#REF!</definedName>
    <definedName name="XRefPaste25Row" localSheetId="5" hidden="1">#REF!</definedName>
    <definedName name="XRefPaste25Row" hidden="1">#REF!</definedName>
    <definedName name="XRefPaste26" localSheetId="5" hidden="1">#REF!</definedName>
    <definedName name="XRefPaste26" hidden="1">#REF!</definedName>
    <definedName name="XRefPaste26Row" localSheetId="5" hidden="1">#REF!</definedName>
    <definedName name="XRefPaste26Row" hidden="1">#REF!</definedName>
    <definedName name="XRefPaste27" localSheetId="5" hidden="1">#REF!</definedName>
    <definedName name="XRefPaste27" hidden="1">#REF!</definedName>
    <definedName name="XRefPaste27Row" localSheetId="5" hidden="1">#REF!</definedName>
    <definedName name="XRefPaste27Row" hidden="1">#REF!</definedName>
    <definedName name="XRefPaste28" localSheetId="5" hidden="1">#REF!</definedName>
    <definedName name="XRefPaste28" hidden="1">#REF!</definedName>
    <definedName name="XRefPaste28Row" localSheetId="5" hidden="1">#REF!</definedName>
    <definedName name="XRefPaste28Row" hidden="1">#REF!</definedName>
    <definedName name="XRefPaste29" localSheetId="5" hidden="1">#REF!</definedName>
    <definedName name="XRefPaste29" hidden="1">#REF!</definedName>
    <definedName name="XRefPaste29Row" localSheetId="5" hidden="1">#REF!</definedName>
    <definedName name="XRefPaste29Row" hidden="1">#REF!</definedName>
    <definedName name="XRefPaste2Row" localSheetId="5" hidden="1">#REF!</definedName>
    <definedName name="XRefPaste2Row" hidden="1">#REF!</definedName>
    <definedName name="XRefPaste30" localSheetId="5" hidden="1">#REF!</definedName>
    <definedName name="XRefPaste30" hidden="1">#REF!</definedName>
    <definedName name="XRefPaste30Row" localSheetId="5" hidden="1">#REF!</definedName>
    <definedName name="XRefPaste31" localSheetId="5" hidden="1">#REF!</definedName>
    <definedName name="XRefPaste31" hidden="1">#REF!</definedName>
    <definedName name="XRefPaste31Row" localSheetId="5" hidden="1">#REF!</definedName>
    <definedName name="XRefPaste32" localSheetId="5" hidden="1">#REF!</definedName>
    <definedName name="XRefPaste32" hidden="1">#REF!</definedName>
    <definedName name="XRefPaste32Row" localSheetId="5" hidden="1">#REF!</definedName>
    <definedName name="XRefPaste32Row" hidden="1">#REF!</definedName>
    <definedName name="XRefPaste33" hidden="1">#REF!</definedName>
    <definedName name="XRefPaste33Row" localSheetId="5" hidden="1">#REF!</definedName>
    <definedName name="XRefPaste33Row" hidden="1">#REF!</definedName>
    <definedName name="XRefPaste34" localSheetId="5" hidden="1">#REF!</definedName>
    <definedName name="XRefPaste34" hidden="1">#REF!</definedName>
    <definedName name="XRefPaste34Row" localSheetId="5" hidden="1">#REF!</definedName>
    <definedName name="XRefPaste34Row" hidden="1">#REF!</definedName>
    <definedName name="XRefPaste35" hidden="1">#REF!</definedName>
    <definedName name="XRefPaste35Row" localSheetId="5" hidden="1">#REF!</definedName>
    <definedName name="XRefPaste35Row" hidden="1">#REF!</definedName>
    <definedName name="XRefPaste36" localSheetId="5" hidden="1">#REF!</definedName>
    <definedName name="XRefPaste36" hidden="1">#REF!</definedName>
    <definedName name="XRefPaste36Row" localSheetId="5" hidden="1">#REF!</definedName>
    <definedName name="XRefPaste36Row" hidden="1">#REF!</definedName>
    <definedName name="XRefPaste37" localSheetId="5" hidden="1">#REF!</definedName>
    <definedName name="XRefPaste37" hidden="1">#REF!</definedName>
    <definedName name="XRefPaste37Row" localSheetId="5" hidden="1">#REF!</definedName>
    <definedName name="XRefPaste37Row" hidden="1">#REF!</definedName>
    <definedName name="XRefPaste38" localSheetId="5" hidden="1">#REF!</definedName>
    <definedName name="XRefPaste38" hidden="1">#REF!</definedName>
    <definedName name="XRefPaste38Row" localSheetId="5" hidden="1">#REF!</definedName>
    <definedName name="XRefPaste38Row" hidden="1">#REF!</definedName>
    <definedName name="XRefPaste39" localSheetId="5" hidden="1">#REF!</definedName>
    <definedName name="XRefPaste39" hidden="1">#REF!</definedName>
    <definedName name="XRefPaste39Row" localSheetId="5" hidden="1">#REF!</definedName>
    <definedName name="XRefPaste39Row" hidden="1">#REF!</definedName>
    <definedName name="XRefPaste3Row" localSheetId="5" hidden="1">#REF!</definedName>
    <definedName name="XRefPaste40" localSheetId="5" hidden="1">#REF!</definedName>
    <definedName name="XRefPaste40" hidden="1">#REF!</definedName>
    <definedName name="XRefPaste40Row" localSheetId="5" hidden="1">#REF!</definedName>
    <definedName name="XRefPaste40Row" hidden="1">#REF!</definedName>
    <definedName name="XRefPaste41" localSheetId="5" hidden="1">#REF!</definedName>
    <definedName name="XRefPaste41" hidden="1">#REF!</definedName>
    <definedName name="XRefPaste41Row" localSheetId="5" hidden="1">#REF!</definedName>
    <definedName name="XRefPaste41Row" hidden="1">#REF!</definedName>
    <definedName name="XRefPaste42" localSheetId="5" hidden="1">#REF!</definedName>
    <definedName name="XRefPaste42" hidden="1">#REF!</definedName>
    <definedName name="XRefPaste42Row" localSheetId="5" hidden="1">#REF!</definedName>
    <definedName name="XRefPaste42Row" hidden="1">#REF!</definedName>
    <definedName name="XRefPaste43" localSheetId="5" hidden="1">#REF!</definedName>
    <definedName name="XRefPaste43" hidden="1">#REF!</definedName>
    <definedName name="XRefPaste43Row" localSheetId="5" hidden="1">#REF!</definedName>
    <definedName name="XRefPaste43Row" hidden="1">#REF!</definedName>
    <definedName name="XRefPaste44" localSheetId="5" hidden="1">#REF!</definedName>
    <definedName name="XRefPaste44" hidden="1">#REF!</definedName>
    <definedName name="XRefPaste44Row" localSheetId="5" hidden="1">#REF!</definedName>
    <definedName name="XRefPaste44Row" hidden="1">#REF!</definedName>
    <definedName name="XRefPaste45" localSheetId="5" hidden="1">#REF!</definedName>
    <definedName name="XRefPaste45" hidden="1">#REF!</definedName>
    <definedName name="XRefPaste45Row" localSheetId="5" hidden="1">#REF!</definedName>
    <definedName name="XRefPaste45Row" hidden="1">#REF!</definedName>
    <definedName name="XRefPaste46" localSheetId="5" hidden="1">#REF!</definedName>
    <definedName name="XRefPaste46" hidden="1">#REF!</definedName>
    <definedName name="XRefPaste46Row" localSheetId="5" hidden="1">#REF!</definedName>
    <definedName name="XRefPaste46Row" hidden="1">#REF!</definedName>
    <definedName name="XRefPaste47" localSheetId="5" hidden="1">#REF!</definedName>
    <definedName name="XRefPaste47" hidden="1">#REF!</definedName>
    <definedName name="XRefPaste47Row" localSheetId="5" hidden="1">#REF!</definedName>
    <definedName name="XRefPaste47Row" hidden="1">#REF!</definedName>
    <definedName name="XRefPaste48" localSheetId="5" hidden="1">#REF!</definedName>
    <definedName name="XRefPaste48" hidden="1">#REF!</definedName>
    <definedName name="XRefPaste48Row" localSheetId="5" hidden="1">#REF!</definedName>
    <definedName name="XRefPaste48Row" hidden="1">#REF!</definedName>
    <definedName name="XRefPaste49" localSheetId="5" hidden="1">#REF!</definedName>
    <definedName name="XRefPaste49" hidden="1">#REF!</definedName>
    <definedName name="XRefPaste49Row" localSheetId="5" hidden="1">#REF!</definedName>
    <definedName name="XRefPaste49Row" hidden="1">#REF!</definedName>
    <definedName name="XRefPaste4Row" localSheetId="5" hidden="1">#REF!</definedName>
    <definedName name="XRefPaste4Row" hidden="1">#REF!</definedName>
    <definedName name="XRefPaste5" localSheetId="5" hidden="1">VPN!#REF!</definedName>
    <definedName name="XRefPaste50" localSheetId="10" hidden="1">#REF!</definedName>
    <definedName name="XRefPaste50" localSheetId="1" hidden="1">#REF!</definedName>
    <definedName name="XRefPaste50" localSheetId="5" hidden="1">#REF!</definedName>
    <definedName name="XRefPaste50" hidden="1">#REF!</definedName>
    <definedName name="XRefPaste50Row" localSheetId="5" hidden="1">#REF!</definedName>
    <definedName name="XRefPaste50Row" hidden="1">#REF!</definedName>
    <definedName name="XRefPaste51" localSheetId="5" hidden="1">#REF!</definedName>
    <definedName name="XRefPaste51" hidden="1">#REF!</definedName>
    <definedName name="XRefPaste51Row" localSheetId="5" hidden="1">#REF!</definedName>
    <definedName name="XRefPaste51Row" hidden="1">#REF!</definedName>
    <definedName name="XRefPaste52" localSheetId="5" hidden="1">#REF!</definedName>
    <definedName name="XRefPaste52" hidden="1">#REF!</definedName>
    <definedName name="XRefPaste52Row" localSheetId="5" hidden="1">#REF!</definedName>
    <definedName name="XRefPaste52Row" hidden="1">#REF!</definedName>
    <definedName name="XRefPaste53" localSheetId="5" hidden="1">#REF!</definedName>
    <definedName name="XRefPaste53" hidden="1">#REF!</definedName>
    <definedName name="XRefPaste53Row" localSheetId="5" hidden="1">#REF!</definedName>
    <definedName name="XRefPaste53Row" hidden="1">#REF!</definedName>
    <definedName name="XRefPaste54" localSheetId="5" hidden="1">#REF!</definedName>
    <definedName name="XRefPaste54" hidden="1">#REF!</definedName>
    <definedName name="XRefPaste54Row" localSheetId="5" hidden="1">#REF!</definedName>
    <definedName name="XRefPaste54Row" hidden="1">#REF!</definedName>
    <definedName name="XRefPaste55" localSheetId="5" hidden="1">#REF!</definedName>
    <definedName name="XRefPaste55" hidden="1">#REF!</definedName>
    <definedName name="XRefPaste55Row" localSheetId="5" hidden="1">#REF!</definedName>
    <definedName name="XRefPaste55Row" hidden="1">#REF!</definedName>
    <definedName name="XRefPaste56" localSheetId="5" hidden="1">#REF!</definedName>
    <definedName name="XRefPaste56" hidden="1">#REF!</definedName>
    <definedName name="XRefPaste56Row" localSheetId="5" hidden="1">#REF!</definedName>
    <definedName name="XRefPaste56Row" hidden="1">#REF!</definedName>
    <definedName name="XRefPaste57" localSheetId="5" hidden="1">#REF!</definedName>
    <definedName name="XRefPaste57" hidden="1">#REF!</definedName>
    <definedName name="XRefPaste57Row" localSheetId="5" hidden="1">#REF!</definedName>
    <definedName name="XRefPaste57Row" hidden="1">#REF!</definedName>
    <definedName name="XRefPaste58" hidden="1">#REF!</definedName>
    <definedName name="XRefPaste58Row" localSheetId="5" hidden="1">#REF!</definedName>
    <definedName name="XRefPaste58Row" hidden="1">#REF!</definedName>
    <definedName name="XRefPaste59" hidden="1">#REF!</definedName>
    <definedName name="XRefPaste59Row" localSheetId="5" hidden="1">#REF!</definedName>
    <definedName name="XRefPaste59Row" hidden="1">#REF!</definedName>
    <definedName name="XRefPaste5Row" localSheetId="5" hidden="1">#REF!</definedName>
    <definedName name="XRefPaste5Row" hidden="1">#REF!</definedName>
    <definedName name="XRefPaste6" localSheetId="5" hidden="1">#REF!</definedName>
    <definedName name="XRefPaste60" hidden="1">#REF!</definedName>
    <definedName name="XRefPaste60Row" localSheetId="5" hidden="1">#REF!</definedName>
    <definedName name="XRefPaste60Row" hidden="1">#REF!</definedName>
    <definedName name="XRefPaste61" hidden="1">#REF!</definedName>
    <definedName name="XRefPaste61Row" localSheetId="5" hidden="1">#REF!</definedName>
    <definedName name="XRefPaste61Row" hidden="1">#REF!</definedName>
    <definedName name="XRefPaste62" hidden="1">#REF!</definedName>
    <definedName name="XRefPaste62Row" localSheetId="5" hidden="1">#REF!</definedName>
    <definedName name="XRefPaste62Row" hidden="1">#REF!</definedName>
    <definedName name="XRefPaste63" hidden="1">#REF!</definedName>
    <definedName name="XRefPaste63Row" localSheetId="5" hidden="1">#REF!</definedName>
    <definedName name="XRefPaste63Row" hidden="1">#REF!</definedName>
    <definedName name="XRefPaste64" localSheetId="5" hidden="1">#REF!</definedName>
    <definedName name="XRefPaste64" hidden="1">#REF!</definedName>
    <definedName name="XRefPaste64Row" localSheetId="5" hidden="1">#REF!</definedName>
    <definedName name="XRefPaste64Row" hidden="1">#REF!</definedName>
    <definedName name="XRefPaste65" hidden="1">#REF!</definedName>
    <definedName name="XRefPaste65Row" localSheetId="5" hidden="1">#REF!</definedName>
    <definedName name="XRefPaste65Row" hidden="1">#REF!</definedName>
    <definedName name="XRefPaste66" hidden="1">#REF!</definedName>
    <definedName name="XRefPaste66Row" localSheetId="5" hidden="1">#REF!</definedName>
    <definedName name="XRefPaste66Row" hidden="1">#REF!</definedName>
    <definedName name="XRefPaste67" localSheetId="5" hidden="1">#REF!</definedName>
    <definedName name="XRefPaste67" hidden="1">#REF!</definedName>
    <definedName name="XRefPaste67Row" localSheetId="5" hidden="1">#REF!</definedName>
    <definedName name="XRefPaste67Row" hidden="1">#REF!</definedName>
    <definedName name="XRefPaste68" hidden="1">#REF!</definedName>
    <definedName name="XRefPaste68Row" localSheetId="5" hidden="1">#REF!</definedName>
    <definedName name="XRefPaste68Row" hidden="1">#REF!</definedName>
    <definedName name="XRefPaste69" hidden="1">#REF!</definedName>
    <definedName name="XRefPaste69Row" localSheetId="5" hidden="1">#REF!</definedName>
    <definedName name="XRefPaste69Row" hidden="1">#REF!</definedName>
    <definedName name="XRefPaste6Row" localSheetId="5" hidden="1">#REF!</definedName>
    <definedName name="XRefPaste6Row" hidden="1">#REF!</definedName>
    <definedName name="XRefPaste7" localSheetId="5" hidden="1">#REF!</definedName>
    <definedName name="XRefPaste7" hidden="1">#REF!</definedName>
    <definedName name="XRefPaste70" hidden="1">#REF!</definedName>
    <definedName name="XRefPaste70Row" localSheetId="5" hidden="1">#REF!</definedName>
    <definedName name="XRefPaste70Row" hidden="1">#REF!</definedName>
    <definedName name="XRefPaste71" hidden="1">#REF!</definedName>
    <definedName name="XRefPaste71Row" localSheetId="5" hidden="1">#REF!</definedName>
    <definedName name="XRefPaste71Row" hidden="1">#REF!</definedName>
    <definedName name="XRefPaste72" localSheetId="5" hidden="1">#REF!</definedName>
    <definedName name="XRefPaste72" hidden="1">#REF!</definedName>
    <definedName name="XRefPaste72Row" localSheetId="5" hidden="1">#REF!</definedName>
    <definedName name="XRefPaste72Row" hidden="1">#REF!</definedName>
    <definedName name="XRefPaste73" localSheetId="5" hidden="1">#REF!</definedName>
    <definedName name="XRefPaste73" hidden="1">#REF!</definedName>
    <definedName name="XRefPaste73Row" localSheetId="5" hidden="1">#REF!</definedName>
    <definedName name="XRefPaste73Row" hidden="1">#REF!</definedName>
    <definedName name="XRefPaste74" localSheetId="5" hidden="1">#REF!</definedName>
    <definedName name="XRefPaste74" hidden="1">#REF!</definedName>
    <definedName name="XRefPaste74Row" localSheetId="5" hidden="1">#REF!</definedName>
    <definedName name="XRefPaste74Row" hidden="1">#REF!</definedName>
    <definedName name="XRefPaste75" localSheetId="5" hidden="1">#REF!</definedName>
    <definedName name="XRefPaste75" hidden="1">#REF!</definedName>
    <definedName name="XRefPaste75Row" localSheetId="5" hidden="1">#REF!</definedName>
    <definedName name="XRefPaste75Row" hidden="1">#REF!</definedName>
    <definedName name="XRefPaste76" localSheetId="5" hidden="1">#REF!</definedName>
    <definedName name="XRefPaste76" hidden="1">#REF!</definedName>
    <definedName name="XRefPaste76Row" localSheetId="5" hidden="1">#REF!</definedName>
    <definedName name="XRefPaste76Row" hidden="1">#REF!</definedName>
    <definedName name="XRefPaste77" localSheetId="5" hidden="1">#REF!</definedName>
    <definedName name="XRefPaste77" hidden="1">#REF!</definedName>
    <definedName name="XRefPaste77Row" localSheetId="5" hidden="1">#REF!</definedName>
    <definedName name="XRefPaste77Row" hidden="1">#REF!</definedName>
    <definedName name="XRefPaste78" localSheetId="5" hidden="1">#REF!</definedName>
    <definedName name="XRefPaste78" hidden="1">#REF!</definedName>
    <definedName name="XRefPaste78Row" localSheetId="5" hidden="1">#REF!</definedName>
    <definedName name="XRefPaste78Row" hidden="1">#REF!</definedName>
    <definedName name="XRefPaste79" localSheetId="5" hidden="1">#REF!</definedName>
    <definedName name="XRefPaste79" hidden="1">#REF!</definedName>
    <definedName name="XRefPaste79Row" localSheetId="5" hidden="1">#REF!</definedName>
    <definedName name="XRefPaste79Row" hidden="1">#REF!</definedName>
    <definedName name="XRefPaste7Row" localSheetId="5" hidden="1">#REF!</definedName>
    <definedName name="XRefPaste7Row" hidden="1">#REF!</definedName>
    <definedName name="XRefPaste8" localSheetId="5" hidden="1">#REF!</definedName>
    <definedName name="XRefPaste8" hidden="1">#REF!</definedName>
    <definedName name="XRefPaste80" localSheetId="5" hidden="1">#REF!</definedName>
    <definedName name="XRefPaste80" hidden="1">#REF!</definedName>
    <definedName name="XRefPaste80Row" localSheetId="5" hidden="1">#REF!</definedName>
    <definedName name="XRefPaste80Row" hidden="1">#REF!</definedName>
    <definedName name="XRefPaste81" localSheetId="5" hidden="1">#REF!</definedName>
    <definedName name="XRefPaste81" hidden="1">#REF!</definedName>
    <definedName name="XRefPaste81Row" localSheetId="5" hidden="1">#REF!</definedName>
    <definedName name="XRefPaste81Row" hidden="1">#REF!</definedName>
    <definedName name="XRefPaste82" localSheetId="5" hidden="1">#REF!</definedName>
    <definedName name="XRefPaste82" hidden="1">#REF!</definedName>
    <definedName name="XRefPaste82Row" localSheetId="5" hidden="1">#REF!</definedName>
    <definedName name="XRefPaste82Row" hidden="1">#REF!</definedName>
    <definedName name="XRefPaste83" localSheetId="5" hidden="1">#REF!</definedName>
    <definedName name="XRefPaste83" hidden="1">#REF!</definedName>
    <definedName name="XRefPaste83Row" localSheetId="5" hidden="1">#REF!</definedName>
    <definedName name="XRefPaste83Row" hidden="1">#REF!</definedName>
    <definedName name="XRefPaste84" localSheetId="5" hidden="1">#REF!</definedName>
    <definedName name="XRefPaste84" hidden="1">#REF!</definedName>
    <definedName name="XRefPaste84Row" localSheetId="5" hidden="1">#REF!</definedName>
    <definedName name="XRefPaste84Row" hidden="1">#REF!</definedName>
    <definedName name="XRefPaste85" localSheetId="5" hidden="1">#REF!</definedName>
    <definedName name="XRefPaste85" hidden="1">#REF!</definedName>
    <definedName name="XRefPaste85Row" localSheetId="5" hidden="1">#REF!</definedName>
    <definedName name="XRefPaste85Row" hidden="1">#REF!</definedName>
    <definedName name="XRefPaste86" localSheetId="5" hidden="1">#REF!</definedName>
    <definedName name="XRefPaste86" hidden="1">#REF!</definedName>
    <definedName name="XRefPaste86Row" localSheetId="5" hidden="1">#REF!</definedName>
    <definedName name="XRefPaste86Row" hidden="1">#REF!</definedName>
    <definedName name="XRefPaste87" localSheetId="5" hidden="1">#REF!</definedName>
    <definedName name="XRefPaste87" hidden="1">#REF!</definedName>
    <definedName name="XRefPaste87Row" localSheetId="5" hidden="1">#REF!</definedName>
    <definedName name="XRefPaste87Row" hidden="1">#REF!</definedName>
    <definedName name="XRefPaste88" localSheetId="5" hidden="1">#REF!</definedName>
    <definedName name="XRefPaste88" hidden="1">#REF!</definedName>
    <definedName name="XRefPaste88Row" localSheetId="5" hidden="1">#REF!</definedName>
    <definedName name="XRefPaste88Row" hidden="1">#REF!</definedName>
    <definedName name="XRefPaste89" localSheetId="5" hidden="1">#REF!</definedName>
    <definedName name="XRefPaste89" hidden="1">#REF!</definedName>
    <definedName name="XRefPaste89Row" localSheetId="5" hidden="1">#REF!</definedName>
    <definedName name="XRefPaste89Row" hidden="1">#REF!</definedName>
    <definedName name="XRefPaste8Row" localSheetId="5" hidden="1">#REF!</definedName>
    <definedName name="XRefPaste8Row" hidden="1">#REF!</definedName>
    <definedName name="XRefPaste9" hidden="1">#REF!</definedName>
    <definedName name="XRefPaste90" localSheetId="5" hidden="1">#REF!</definedName>
    <definedName name="XRefPaste90" hidden="1">#REF!</definedName>
    <definedName name="XRefPaste90Row" localSheetId="5" hidden="1">#REF!</definedName>
    <definedName name="XRefPaste90Row" hidden="1">#REF!</definedName>
    <definedName name="XRefPaste91" localSheetId="5" hidden="1">#REF!</definedName>
    <definedName name="XRefPaste91" hidden="1">#REF!</definedName>
    <definedName name="XRefPaste91Row" localSheetId="5" hidden="1">#REF!</definedName>
    <definedName name="XRefPaste91Row" hidden="1">#REF!</definedName>
    <definedName name="XRefPaste92" localSheetId="5" hidden="1">#REF!</definedName>
    <definedName name="XRefPaste92" hidden="1">#REF!</definedName>
    <definedName name="XRefPaste92Row" localSheetId="5" hidden="1">#REF!</definedName>
    <definedName name="XRefPaste92Row" hidden="1">#REF!</definedName>
    <definedName name="XRefPaste93" localSheetId="5" hidden="1">#REF!</definedName>
    <definedName name="XRefPaste93" hidden="1">#REF!</definedName>
    <definedName name="XRefPaste93Row" localSheetId="5" hidden="1">#REF!</definedName>
    <definedName name="XRefPaste93Row" hidden="1">#REF!</definedName>
    <definedName name="XRefPaste94" localSheetId="5" hidden="1">#REF!</definedName>
    <definedName name="XRefPaste94" hidden="1">#REF!</definedName>
    <definedName name="XRefPaste94Row" localSheetId="5" hidden="1">#REF!</definedName>
    <definedName name="XRefPaste94Row" hidden="1">#REF!</definedName>
    <definedName name="XRefPaste95" localSheetId="5" hidden="1">#REF!</definedName>
    <definedName name="XRefPaste95" hidden="1">#REF!</definedName>
    <definedName name="XRefPaste95Row" localSheetId="5" hidden="1">#REF!</definedName>
    <definedName name="XRefPaste95Row" hidden="1">#REF!</definedName>
    <definedName name="XRefPaste96" localSheetId="5" hidden="1">#REF!</definedName>
    <definedName name="XRefPaste96" hidden="1">#REF!</definedName>
    <definedName name="XRefPaste96Row" localSheetId="5" hidden="1">#REF!</definedName>
    <definedName name="XRefPaste96Row" hidden="1">#REF!</definedName>
    <definedName name="XRefPaste97" localSheetId="5" hidden="1">#REF!</definedName>
    <definedName name="XRefPaste97" hidden="1">#REF!</definedName>
    <definedName name="XRefPaste97Row" localSheetId="5" hidden="1">#REF!</definedName>
    <definedName name="XRefPaste97Row" hidden="1">#REF!</definedName>
    <definedName name="XRefPaste98" localSheetId="5" hidden="1">#REF!</definedName>
    <definedName name="XRefPaste98" hidden="1">#REF!</definedName>
    <definedName name="XRefPaste98Row" localSheetId="5" hidden="1">#REF!</definedName>
    <definedName name="XRefPaste98Row" hidden="1">#REF!</definedName>
    <definedName name="XRefPaste99" localSheetId="5" hidden="1">#REF!</definedName>
    <definedName name="XRefPaste99" hidden="1">#REF!</definedName>
    <definedName name="XRefPaste99Row" localSheetId="5" hidden="1">#REF!</definedName>
    <definedName name="XRefPaste99Row" hidden="1">#REF!</definedName>
    <definedName name="XRefPaste9Row" localSheetId="5" hidden="1">#REF!</definedName>
    <definedName name="XRefPaste9Row" hidden="1">#REF!</definedName>
    <definedName name="XRefPasteRangeCount" localSheetId="5" hidden="1">6</definedName>
    <definedName name="XRefPasteRangeCount" hidden="1">1</definedName>
    <definedName name="xx">#REF!</definedName>
    <definedName name="Z_5FCC9217_B3E9_4B91_A943_5F21728EBEE9_.wvu.FilterData" localSheetId="13" hidden="1">Clasificaciones!$A$4:$J$904</definedName>
    <definedName name="Z_5FCC9217_B3E9_4B91_A943_5F21728EBEE9_.wvu.PrintArea" localSheetId="2" hidden="1">BG!$B$10:$L$95</definedName>
    <definedName name="Z_5FCC9217_B3E9_4B91_A943_5F21728EBEE9_.wvu.PrintArea" localSheetId="3" hidden="1">EERR!$B$10:$G$101</definedName>
    <definedName name="Z_5FCC9217_B3E9_4B91_A943_5F21728EBEE9_.wvu.PrintArea" localSheetId="4" hidden="1">EFE!$A$9:$G$64</definedName>
    <definedName name="Z_5FCC9217_B3E9_4B91_A943_5F21728EBEE9_.wvu.PrintArea" localSheetId="6" hidden="1">'Nota 1 a Nota 4'!$A$10:$L$107</definedName>
    <definedName name="Z_5FCC9217_B3E9_4B91_A943_5F21728EBEE9_.wvu.PrintArea" localSheetId="8" hidden="1">'Nota 5'!$A$9:$I$1304</definedName>
    <definedName name="Z_5FCC9217_B3E9_4B91_A943_5F21728EBEE9_.wvu.PrintArea" localSheetId="9" hidden="1">'Nota 6 a Nota 12'!$A$9:$I$48</definedName>
    <definedName name="Z_5FCC9217_B3E9_4B91_A943_5F21728EBEE9_.wvu.PrintArea" localSheetId="5" hidden="1">VPN!$B$9:$M$39</definedName>
    <definedName name="Z_5FCC9217_B3E9_4B91_A943_5F21728EBEE9_.wvu.Rows" localSheetId="4" hidden="1">EFE!$36:$36</definedName>
    <definedName name="Z_7015FC6D_0680_4B00_AA0E_B83DA1D0B666_.wvu.FilterData" localSheetId="13" hidden="1">Clasificaciones!$A$4:$J$904</definedName>
    <definedName name="Z_7015FC6D_0680_4B00_AA0E_B83DA1D0B666_.wvu.PrintArea" localSheetId="2" hidden="1">BG!$B$10:$L$95</definedName>
    <definedName name="Z_7015FC6D_0680_4B00_AA0E_B83DA1D0B666_.wvu.PrintArea" localSheetId="3" hidden="1">EERR!$B$10:$G$101</definedName>
    <definedName name="Z_7015FC6D_0680_4B00_AA0E_B83DA1D0B666_.wvu.PrintArea" localSheetId="4" hidden="1">EFE!$A$9:$G$64</definedName>
    <definedName name="Z_7015FC6D_0680_4B00_AA0E_B83DA1D0B666_.wvu.PrintArea" localSheetId="6" hidden="1">'Nota 1 a Nota 4'!$A$10:$L$107</definedName>
    <definedName name="Z_7015FC6D_0680_4B00_AA0E_B83DA1D0B666_.wvu.PrintArea" localSheetId="8" hidden="1">'Nota 5'!$A$9:$I$1304</definedName>
    <definedName name="Z_7015FC6D_0680_4B00_AA0E_B83DA1D0B666_.wvu.PrintArea" localSheetId="9" hidden="1">'Nota 6 a Nota 12'!$A$9:$I$48</definedName>
    <definedName name="Z_7015FC6D_0680_4B00_AA0E_B83DA1D0B666_.wvu.PrintArea" localSheetId="5" hidden="1">VPN!$B$9:$M$39</definedName>
    <definedName name="Z_7015FC6D_0680_4B00_AA0E_B83DA1D0B666_.wvu.Rows" localSheetId="4" hidden="1">EFE!$36:$36</definedName>
    <definedName name="Z_970CBB53_F4B3_462F_AEFE_2BC403F5F0AD_.wvu.PrintArea" localSheetId="6" hidden="1">'Nota 1 a Nota 4'!$A$10:$L$107</definedName>
    <definedName name="Z_970CBB53_F4B3_462F_AEFE_2BC403F5F0AD_.wvu.PrintArea" localSheetId="8" hidden="1">'Nota 5'!$A$9:$I$1304</definedName>
    <definedName name="Z_970CBB53_F4B3_462F_AEFE_2BC403F5F0AD_.wvu.PrintArea" localSheetId="9" hidden="1">'Nota 6 a Nota 12'!$A$9:$I$48</definedName>
    <definedName name="Z_B9F63820_5C32_455A_BC9D_0BE84D6B0867_.wvu.FilterData" localSheetId="13" hidden="1">Clasificaciones!$A$4:$J$904</definedName>
    <definedName name="Z_B9F63820_5C32_455A_BC9D_0BE84D6B0867_.wvu.PrintArea" localSheetId="2" hidden="1">BG!$B$10:$L$95</definedName>
    <definedName name="Z_B9F63820_5C32_455A_BC9D_0BE84D6B0867_.wvu.PrintArea" localSheetId="3" hidden="1">EERR!$B$10:$G$101</definedName>
    <definedName name="Z_B9F63820_5C32_455A_BC9D_0BE84D6B0867_.wvu.PrintArea" localSheetId="4" hidden="1">EFE!$A$9:$G$64</definedName>
    <definedName name="Z_B9F63820_5C32_455A_BC9D_0BE84D6B0867_.wvu.PrintArea" localSheetId="5" hidden="1">VPN!$B$9:$M$39</definedName>
    <definedName name="Z_B9F63820_5C32_455A_BC9D_0BE84D6B0867_.wvu.Rows" localSheetId="4" hidden="1">EFE!$36:$36</definedName>
    <definedName name="Z_F3648BCD_1CED_4BBB_AE63_37BDB925883F_.wvu.FilterData" localSheetId="13" hidden="1">Clasificaciones!$A$4:$J$904</definedName>
    <definedName name="Z_F3648BCD_1CED_4BBB_AE63_37BDB925883F_.wvu.PrintArea" localSheetId="2" hidden="1">BG!$B$10:$L$95</definedName>
    <definedName name="Z_F3648BCD_1CED_4BBB_AE63_37BDB925883F_.wvu.PrintArea" localSheetId="3" hidden="1">EERR!$B$10:$G$101</definedName>
    <definedName name="Z_F3648BCD_1CED_4BBB_AE63_37BDB925883F_.wvu.PrintArea" localSheetId="4" hidden="1">EFE!$A$9:$G$64</definedName>
    <definedName name="Z_F3648BCD_1CED_4BBB_AE63_37BDB925883F_.wvu.PrintArea" localSheetId="6" hidden="1">'Nota 1 a Nota 4'!$A$10:$L$107</definedName>
    <definedName name="Z_F3648BCD_1CED_4BBB_AE63_37BDB925883F_.wvu.PrintArea" localSheetId="8" hidden="1">'Nota 5'!$A$9:$I$1304</definedName>
    <definedName name="Z_F3648BCD_1CED_4BBB_AE63_37BDB925883F_.wvu.PrintArea" localSheetId="9" hidden="1">'Nota 6 a Nota 12'!$A$9:$I$48</definedName>
    <definedName name="Z_F3648BCD_1CED_4BBB_AE63_37BDB925883F_.wvu.PrintArea" localSheetId="5" hidden="1">VPN!$B$9:$M$39</definedName>
    <definedName name="Z_F3648BCD_1CED_4BBB_AE63_37BDB925883F_.wvu.Rows" localSheetId="4" hidden="1">EFE!$36:$36</definedName>
    <definedName name="zdfd" localSheetId="1" hidden="1">#REF!</definedName>
    <definedName name="zdfd" localSheetId="6" hidden="1">#REF!</definedName>
    <definedName name="zdfd" localSheetId="8" hidden="1">#REF!</definedName>
    <definedName name="zdfd" localSheetId="9"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4" i="6" l="1"/>
  <c r="D290" i="6"/>
  <c r="D293" i="6"/>
  <c r="I503" i="30" l="1"/>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7" i="9" l="1"/>
  <c r="F604" i="9"/>
  <c r="F603" i="9"/>
  <c r="F602" i="9"/>
  <c r="F601" i="9"/>
  <c r="F600" i="9"/>
  <c r="F599"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N273" i="21"/>
  <c r="N272" i="21"/>
  <c r="N271" i="21"/>
  <c r="N270" i="21"/>
  <c r="N269" i="21"/>
  <c r="N268" i="21"/>
  <c r="N267" i="21"/>
  <c r="N266" i="21"/>
  <c r="N265" i="21"/>
  <c r="N264" i="21"/>
  <c r="N263" i="21"/>
  <c r="N262" i="21"/>
  <c r="N261" i="21"/>
  <c r="N260" i="21"/>
  <c r="N259" i="21"/>
  <c r="N258" i="21"/>
  <c r="N257" i="21"/>
  <c r="N256" i="21"/>
  <c r="N255" i="21"/>
  <c r="N254" i="21"/>
  <c r="N253" i="21"/>
  <c r="N252" i="21"/>
  <c r="N251" i="21"/>
  <c r="N250" i="21"/>
  <c r="N249" i="21"/>
  <c r="N248" i="21"/>
  <c r="N247" i="21"/>
  <c r="N246" i="21"/>
  <c r="N245" i="21"/>
  <c r="N244" i="21"/>
  <c r="N243" i="21"/>
  <c r="N242" i="21"/>
  <c r="N241" i="21"/>
  <c r="N240" i="21"/>
  <c r="N239" i="21"/>
  <c r="N238" i="21"/>
  <c r="N237" i="21"/>
  <c r="N236" i="21"/>
  <c r="N235" i="21"/>
  <c r="N234" i="21"/>
  <c r="N233" i="21"/>
  <c r="N232" i="21"/>
  <c r="N231" i="21"/>
  <c r="N230" i="21"/>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19" i="21"/>
  <c r="N118" i="21"/>
  <c r="N117" i="21"/>
  <c r="N56" i="21"/>
  <c r="N55" i="21"/>
  <c r="N54" i="21"/>
  <c r="N50" i="21"/>
  <c r="N49" i="21"/>
  <c r="N44" i="21"/>
  <c r="N43" i="21"/>
  <c r="N39" i="21"/>
  <c r="N35" i="21"/>
  <c r="N123" i="21"/>
  <c r="N122" i="21"/>
  <c r="N121" i="21"/>
  <c r="N120" i="21"/>
  <c r="N30" i="21"/>
  <c r="N29" i="21"/>
  <c r="N28" i="21"/>
  <c r="N27" i="21"/>
  <c r="N26" i="21"/>
  <c r="N25" i="21"/>
  <c r="N24" i="21"/>
  <c r="N23" i="21"/>
  <c r="N22" i="21"/>
  <c r="N21" i="21"/>
  <c r="N20" i="21"/>
  <c r="N19" i="21"/>
  <c r="N18" i="21"/>
  <c r="N17" i="21"/>
  <c r="N16" i="21"/>
  <c r="N15" i="21"/>
  <c r="N14" i="21"/>
  <c r="N13" i="21"/>
  <c r="N31" i="21"/>
  <c r="N10" i="21"/>
  <c r="N11" i="21"/>
  <c r="N12" i="21"/>
  <c r="N9" i="21"/>
  <c r="F914" i="9" l="1"/>
  <c r="C1194" i="9"/>
  <c r="E1193" i="9"/>
  <c r="E1194" i="9" s="1"/>
  <c r="D1191" i="9"/>
  <c r="D1188" i="9"/>
  <c r="D1164" i="9" l="1"/>
  <c r="F1140" i="9" l="1"/>
  <c r="E1139" i="9"/>
  <c r="E1138" i="9"/>
  <c r="E1137" i="9"/>
  <c r="E1136" i="9"/>
  <c r="E1135" i="9"/>
  <c r="E1134" i="9"/>
  <c r="E1133" i="9"/>
  <c r="D1021" i="9" l="1"/>
  <c r="F1000" i="9"/>
  <c r="G981" i="9"/>
  <c r="G980" i="9" l="1"/>
  <c r="G979" i="9"/>
  <c r="G978" i="9"/>
  <c r="D914" i="9" l="1"/>
  <c r="E604" i="9"/>
  <c r="E603" i="9"/>
  <c r="E602" i="9"/>
  <c r="E601" i="9"/>
  <c r="E600" i="9"/>
  <c r="E599" i="9"/>
  <c r="E574" i="9"/>
  <c r="E573" i="9"/>
  <c r="E572" i="9"/>
  <c r="G216" i="9"/>
  <c r="G519" i="9"/>
  <c r="G518" i="9"/>
  <c r="G517" i="9"/>
  <c r="G516" i="9"/>
  <c r="E517" i="9" l="1"/>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439" i="9"/>
  <c r="G438" i="9"/>
  <c r="F439"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516" i="9"/>
  <c r="G437" i="9"/>
  <c r="G436" i="9"/>
  <c r="G435" i="9"/>
  <c r="G434"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433" i="9"/>
  <c r="G395"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G394" i="9"/>
  <c r="G393" i="9"/>
  <c r="G392" i="9"/>
  <c r="G391" i="9"/>
  <c r="G390" i="9"/>
  <c r="G389" i="9"/>
  <c r="G388" i="9"/>
  <c r="G387" i="9"/>
  <c r="G386" i="9"/>
  <c r="G385" i="9"/>
  <c r="G384" i="9"/>
  <c r="G383" i="9"/>
  <c r="G382" i="9"/>
  <c r="G381" i="9"/>
  <c r="G380" i="9"/>
  <c r="G379" i="9"/>
  <c r="G378" i="9"/>
  <c r="G377" i="9"/>
  <c r="G376" i="9"/>
  <c r="G375" i="9"/>
  <c r="G374" i="9"/>
  <c r="G373" i="9"/>
  <c r="E394" i="9"/>
  <c r="E393" i="9"/>
  <c r="E392" i="9"/>
  <c r="E391" i="9"/>
  <c r="E390" i="9"/>
  <c r="E389" i="9"/>
  <c r="E388" i="9"/>
  <c r="E387" i="9"/>
  <c r="E386" i="9"/>
  <c r="E385" i="9"/>
  <c r="E384" i="9"/>
  <c r="E383" i="9"/>
  <c r="E382" i="9"/>
  <c r="E381" i="9"/>
  <c r="E380" i="9"/>
  <c r="E379" i="9"/>
  <c r="E378" i="9"/>
  <c r="E377" i="9"/>
  <c r="E376" i="9"/>
  <c r="E375" i="9"/>
  <c r="E374" i="9"/>
  <c r="E373" i="9"/>
  <c r="G372" i="9"/>
  <c r="G371" i="9"/>
  <c r="G370" i="9"/>
  <c r="G369" i="9"/>
  <c r="G368" i="9"/>
  <c r="G367" i="9"/>
  <c r="G366" i="9"/>
  <c r="D372" i="9"/>
  <c r="D371" i="9"/>
  <c r="D370" i="9"/>
  <c r="D369" i="9"/>
  <c r="D368" i="9"/>
  <c r="D367" i="9"/>
  <c r="D366" i="9"/>
  <c r="J119" i="21" l="1"/>
  <c r="J118" i="21"/>
  <c r="G219" i="9" s="1"/>
  <c r="J117" i="21"/>
  <c r="G218" i="9" s="1"/>
  <c r="D215" i="9"/>
  <c r="D214" i="9"/>
  <c r="D213" i="9"/>
  <c r="D212" i="9"/>
  <c r="D211" i="9"/>
  <c r="D210" i="9"/>
  <c r="D209" i="9"/>
  <c r="D208" i="9"/>
  <c r="D207" i="9"/>
  <c r="G206" i="9"/>
  <c r="G205" i="9"/>
  <c r="G204" i="9"/>
  <c r="G203" i="9"/>
  <c r="G202" i="9"/>
  <c r="G201" i="9"/>
  <c r="G200" i="9"/>
  <c r="G199" i="9"/>
  <c r="G198" i="9"/>
  <c r="G197" i="9"/>
  <c r="G196" i="9"/>
  <c r="G195" i="9"/>
  <c r="G194" i="9"/>
  <c r="G193" i="9"/>
  <c r="G192" i="9"/>
  <c r="G191" i="9"/>
  <c r="G190" i="9"/>
  <c r="G189" i="9"/>
  <c r="G188" i="9"/>
  <c r="G187" i="9"/>
  <c r="G186" i="9"/>
  <c r="G185" i="9"/>
  <c r="G184" i="9"/>
  <c r="D187" i="9"/>
  <c r="D186" i="9"/>
  <c r="D185" i="9"/>
  <c r="D184" i="9"/>
  <c r="D206" i="9"/>
  <c r="D205" i="9"/>
  <c r="D204" i="9"/>
  <c r="D203" i="9"/>
  <c r="D202" i="9"/>
  <c r="D201" i="9"/>
  <c r="D200" i="9"/>
  <c r="D199" i="9"/>
  <c r="D198" i="9"/>
  <c r="D197" i="9"/>
  <c r="D196" i="9"/>
  <c r="D195" i="9"/>
  <c r="D194" i="9"/>
  <c r="D193" i="9"/>
  <c r="D192" i="9"/>
  <c r="D191" i="9"/>
  <c r="D190" i="9"/>
  <c r="D189" i="9"/>
  <c r="D188" i="9"/>
  <c r="G182" i="9" l="1"/>
  <c r="F183" i="9"/>
  <c r="G181" i="9"/>
  <c r="F182" i="9"/>
  <c r="F181" i="9"/>
  <c r="G180" i="9"/>
  <c r="G179" i="9"/>
  <c r="G178" i="9"/>
  <c r="G177" i="9"/>
  <c r="G176" i="9"/>
  <c r="G175" i="9"/>
  <c r="E180" i="9"/>
  <c r="E179" i="9"/>
  <c r="E178" i="9"/>
  <c r="E177" i="9"/>
  <c r="E176" i="9"/>
  <c r="E175" i="9"/>
  <c r="G93" i="21"/>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N278" i="21"/>
  <c r="N277" i="21"/>
  <c r="N276" i="21"/>
  <c r="I274" i="21"/>
  <c r="H274" i="21"/>
  <c r="G274" i="21"/>
  <c r="J273" i="21"/>
  <c r="G364" i="9" s="1"/>
  <c r="J272" i="21"/>
  <c r="G363" i="9" s="1"/>
  <c r="J271" i="21"/>
  <c r="G362" i="9" s="1"/>
  <c r="J270" i="21"/>
  <c r="G361" i="9" s="1"/>
  <c r="J269" i="21"/>
  <c r="G360" i="9" s="1"/>
  <c r="J268" i="21"/>
  <c r="G359" i="9" s="1"/>
  <c r="J267" i="21"/>
  <c r="G358" i="9" s="1"/>
  <c r="J266" i="21"/>
  <c r="G357" i="9" s="1"/>
  <c r="J265" i="21"/>
  <c r="G356" i="9" s="1"/>
  <c r="J264" i="21"/>
  <c r="G355" i="9" s="1"/>
  <c r="J263" i="21"/>
  <c r="G354" i="9" s="1"/>
  <c r="J262" i="21"/>
  <c r="G353" i="9" s="1"/>
  <c r="J261" i="21"/>
  <c r="G352" i="9" s="1"/>
  <c r="J260" i="21"/>
  <c r="G351" i="9" s="1"/>
  <c r="J259" i="21"/>
  <c r="G350" i="9" s="1"/>
  <c r="J258" i="21"/>
  <c r="G349" i="9" s="1"/>
  <c r="J257" i="21"/>
  <c r="G348" i="9" s="1"/>
  <c r="J256" i="21"/>
  <c r="G347" i="9" s="1"/>
  <c r="J255" i="21"/>
  <c r="G346" i="9" s="1"/>
  <c r="J254" i="21"/>
  <c r="G345" i="9" s="1"/>
  <c r="J253" i="21"/>
  <c r="G344" i="9" s="1"/>
  <c r="J252" i="21"/>
  <c r="G343" i="9" s="1"/>
  <c r="J251" i="21"/>
  <c r="G342" i="9" s="1"/>
  <c r="J250" i="21"/>
  <c r="G341" i="9" s="1"/>
  <c r="J249" i="21"/>
  <c r="G340" i="9" s="1"/>
  <c r="J248" i="21"/>
  <c r="G339" i="9" s="1"/>
  <c r="J247" i="21"/>
  <c r="G338" i="9" s="1"/>
  <c r="J246" i="21"/>
  <c r="G337" i="9" s="1"/>
  <c r="J245" i="21"/>
  <c r="G336" i="9" s="1"/>
  <c r="J244" i="21"/>
  <c r="G335" i="9" s="1"/>
  <c r="J243" i="21"/>
  <c r="G334" i="9" s="1"/>
  <c r="J242" i="21"/>
  <c r="G333" i="9" s="1"/>
  <c r="J241" i="21"/>
  <c r="G332" i="9" s="1"/>
  <c r="J240" i="21"/>
  <c r="G331" i="9" s="1"/>
  <c r="J239" i="21"/>
  <c r="G330" i="9" s="1"/>
  <c r="J238" i="21"/>
  <c r="G329" i="9" s="1"/>
  <c r="J237" i="21"/>
  <c r="G328" i="9" s="1"/>
  <c r="J236" i="21"/>
  <c r="G327" i="9" s="1"/>
  <c r="J235" i="21"/>
  <c r="G326" i="9" s="1"/>
  <c r="J234" i="21"/>
  <c r="G325" i="9" s="1"/>
  <c r="J233" i="21"/>
  <c r="G324" i="9" s="1"/>
  <c r="J232" i="21"/>
  <c r="G323" i="9" s="1"/>
  <c r="J231" i="21"/>
  <c r="G322" i="9" s="1"/>
  <c r="J230" i="21"/>
  <c r="G321" i="9" s="1"/>
  <c r="J229" i="21"/>
  <c r="G320" i="9" s="1"/>
  <c r="J228" i="21"/>
  <c r="G319" i="9" s="1"/>
  <c r="J227" i="21"/>
  <c r="G318" i="9" s="1"/>
  <c r="J226" i="21"/>
  <c r="G317" i="9" s="1"/>
  <c r="J225" i="21"/>
  <c r="G316" i="9" s="1"/>
  <c r="J224" i="21"/>
  <c r="G315" i="9" s="1"/>
  <c r="J223" i="21"/>
  <c r="G314" i="9" s="1"/>
  <c r="J222" i="21"/>
  <c r="G313" i="9" s="1"/>
  <c r="J221" i="21"/>
  <c r="G312" i="9" s="1"/>
  <c r="J220" i="21"/>
  <c r="G311" i="9" s="1"/>
  <c r="J219" i="21"/>
  <c r="G310" i="9" s="1"/>
  <c r="J218" i="21"/>
  <c r="G309" i="9" s="1"/>
  <c r="J217" i="21"/>
  <c r="G308" i="9" s="1"/>
  <c r="J216" i="21"/>
  <c r="G307" i="9" s="1"/>
  <c r="J215" i="21"/>
  <c r="G306" i="9" s="1"/>
  <c r="J214" i="21"/>
  <c r="G305" i="9" s="1"/>
  <c r="J213" i="21"/>
  <c r="G304" i="9" s="1"/>
  <c r="J212" i="21"/>
  <c r="G303" i="9" s="1"/>
  <c r="J211" i="21"/>
  <c r="G302" i="9" s="1"/>
  <c r="J210" i="21"/>
  <c r="G301" i="9" s="1"/>
  <c r="J209" i="21"/>
  <c r="G300" i="9" s="1"/>
  <c r="J208" i="21"/>
  <c r="G299" i="9" s="1"/>
  <c r="J207" i="21"/>
  <c r="G298" i="9" s="1"/>
  <c r="J206" i="21"/>
  <c r="G297" i="9" s="1"/>
  <c r="J205" i="21"/>
  <c r="G296" i="9" s="1"/>
  <c r="J204" i="21"/>
  <c r="G295" i="9" s="1"/>
  <c r="J203" i="21"/>
  <c r="G294" i="9" s="1"/>
  <c r="J202" i="21"/>
  <c r="G293" i="9" s="1"/>
  <c r="J201" i="21"/>
  <c r="G292" i="9" s="1"/>
  <c r="J200" i="21"/>
  <c r="G291" i="9" s="1"/>
  <c r="J199" i="21"/>
  <c r="G290" i="9" s="1"/>
  <c r="J198" i="21"/>
  <c r="G289" i="9" s="1"/>
  <c r="J197" i="21"/>
  <c r="G288" i="9" s="1"/>
  <c r="J196" i="21"/>
  <c r="G287" i="9" s="1"/>
  <c r="J195" i="21"/>
  <c r="G286" i="9" s="1"/>
  <c r="J194" i="21"/>
  <c r="G284" i="9" s="1"/>
  <c r="J193" i="21"/>
  <c r="G285" i="9" s="1"/>
  <c r="J192" i="21"/>
  <c r="J191" i="21"/>
  <c r="J190" i="21"/>
  <c r="J189" i="21"/>
  <c r="J188" i="21"/>
  <c r="I185" i="21"/>
  <c r="H185" i="21"/>
  <c r="G185" i="21"/>
  <c r="J184" i="21"/>
  <c r="G281" i="9" s="1"/>
  <c r="J183" i="21"/>
  <c r="G280" i="9" s="1"/>
  <c r="J182" i="21"/>
  <c r="G279" i="9" s="1"/>
  <c r="J181" i="21"/>
  <c r="G278" i="9" s="1"/>
  <c r="J180" i="21"/>
  <c r="G277" i="9" s="1"/>
  <c r="J179" i="21"/>
  <c r="G276" i="9" s="1"/>
  <c r="J178" i="21"/>
  <c r="G275" i="9" s="1"/>
  <c r="J177" i="21"/>
  <c r="G274" i="9" s="1"/>
  <c r="J176" i="21"/>
  <c r="G273" i="9" s="1"/>
  <c r="J175" i="21"/>
  <c r="G272" i="9" s="1"/>
  <c r="J174" i="21"/>
  <c r="G271" i="9" s="1"/>
  <c r="J173" i="21"/>
  <c r="G270" i="9" s="1"/>
  <c r="J172" i="21"/>
  <c r="G269" i="9" s="1"/>
  <c r="J171" i="21"/>
  <c r="G268" i="9" s="1"/>
  <c r="J170" i="21"/>
  <c r="G267" i="9" s="1"/>
  <c r="J169" i="21"/>
  <c r="G266" i="9" s="1"/>
  <c r="J168" i="21"/>
  <c r="G265" i="9" s="1"/>
  <c r="J167" i="21"/>
  <c r="G264" i="9" s="1"/>
  <c r="J166" i="21"/>
  <c r="G263" i="9" s="1"/>
  <c r="J165" i="21"/>
  <c r="G262" i="9" s="1"/>
  <c r="J164" i="21"/>
  <c r="G261" i="9" s="1"/>
  <c r="J163" i="21"/>
  <c r="G260" i="9" s="1"/>
  <c r="J162" i="21"/>
  <c r="G259" i="9" s="1"/>
  <c r="J161" i="21"/>
  <c r="G258" i="9" s="1"/>
  <c r="J160" i="21"/>
  <c r="G257" i="9" s="1"/>
  <c r="J159" i="21"/>
  <c r="G256" i="9" s="1"/>
  <c r="J158" i="21"/>
  <c r="G255" i="9" s="1"/>
  <c r="J157" i="21"/>
  <c r="G254" i="9" s="1"/>
  <c r="J156" i="21"/>
  <c r="G253" i="9" s="1"/>
  <c r="J155" i="21"/>
  <c r="G252" i="9" s="1"/>
  <c r="J154" i="21"/>
  <c r="G251" i="9" s="1"/>
  <c r="J153" i="21"/>
  <c r="G250" i="9" s="1"/>
  <c r="J152" i="21"/>
  <c r="G249" i="9" s="1"/>
  <c r="J151" i="21"/>
  <c r="G248" i="9" s="1"/>
  <c r="J150" i="21"/>
  <c r="G247" i="9" s="1"/>
  <c r="J149" i="21"/>
  <c r="G246" i="9" s="1"/>
  <c r="J148" i="21"/>
  <c r="G245" i="9" s="1"/>
  <c r="J147" i="21"/>
  <c r="G244" i="9" s="1"/>
  <c r="J146" i="21"/>
  <c r="G243" i="9" s="1"/>
  <c r="J145" i="21"/>
  <c r="G242" i="9" s="1"/>
  <c r="J144" i="21"/>
  <c r="G241" i="9" s="1"/>
  <c r="J143" i="21"/>
  <c r="G240" i="9" s="1"/>
  <c r="J142" i="21"/>
  <c r="G239" i="9" s="1"/>
  <c r="J141" i="21"/>
  <c r="G238" i="9" s="1"/>
  <c r="J140" i="21"/>
  <c r="G237" i="9" s="1"/>
  <c r="J139" i="21"/>
  <c r="G236" i="9" s="1"/>
  <c r="J138" i="21"/>
  <c r="G235" i="9" s="1"/>
  <c r="J137" i="21"/>
  <c r="G234" i="9" s="1"/>
  <c r="J136" i="21"/>
  <c r="G233" i="9" s="1"/>
  <c r="J135" i="21"/>
  <c r="G232" i="9" s="1"/>
  <c r="J134" i="21"/>
  <c r="G231" i="9" s="1"/>
  <c r="J133" i="21"/>
  <c r="G230" i="9" s="1"/>
  <c r="J132" i="21"/>
  <c r="G229" i="9" s="1"/>
  <c r="J131" i="21"/>
  <c r="G228" i="9" s="1"/>
  <c r="J130" i="21"/>
  <c r="G227" i="9" s="1"/>
  <c r="J129" i="21"/>
  <c r="G226" i="9" s="1"/>
  <c r="J128" i="21"/>
  <c r="G225" i="9" s="1"/>
  <c r="J127" i="21"/>
  <c r="G224" i="9" s="1"/>
  <c r="J126" i="21"/>
  <c r="G223" i="9" s="1"/>
  <c r="J125" i="21"/>
  <c r="G222" i="9" s="1"/>
  <c r="J124" i="21"/>
  <c r="G221" i="9" s="1"/>
  <c r="J123" i="21"/>
  <c r="J122" i="21"/>
  <c r="J121" i="21"/>
  <c r="J120" i="21"/>
  <c r="G220" i="9" s="1"/>
  <c r="N130" i="21" l="1"/>
  <c r="N162" i="21"/>
  <c r="N178" i="21"/>
  <c r="N138" i="21"/>
  <c r="N146" i="21"/>
  <c r="N154" i="21"/>
  <c r="N170" i="21"/>
  <c r="N131" i="21"/>
  <c r="N139" i="21"/>
  <c r="N147" i="21"/>
  <c r="N155" i="21"/>
  <c r="N163" i="21"/>
  <c r="N171" i="21"/>
  <c r="N179" i="21"/>
  <c r="N124" i="21"/>
  <c r="N132" i="21"/>
  <c r="N140" i="21"/>
  <c r="N148" i="21"/>
  <c r="N156" i="21"/>
  <c r="N164" i="21"/>
  <c r="N172" i="21"/>
  <c r="N180" i="21"/>
  <c r="G282" i="9"/>
  <c r="N125" i="21"/>
  <c r="N133" i="21"/>
  <c r="N141" i="21"/>
  <c r="N149" i="21"/>
  <c r="N157" i="21"/>
  <c r="N165" i="21"/>
  <c r="N173" i="21"/>
  <c r="N181" i="21"/>
  <c r="N126" i="21"/>
  <c r="N134" i="21"/>
  <c r="N142" i="21"/>
  <c r="N150" i="21"/>
  <c r="N158" i="21"/>
  <c r="N166" i="21"/>
  <c r="N174" i="21"/>
  <c r="N182" i="21"/>
  <c r="G283" i="9"/>
  <c r="N127" i="21"/>
  <c r="N135" i="21"/>
  <c r="N143" i="21"/>
  <c r="N151" i="21"/>
  <c r="N159" i="21"/>
  <c r="N167" i="21"/>
  <c r="N175" i="21"/>
  <c r="N183" i="21"/>
  <c r="N128" i="21"/>
  <c r="N136" i="21"/>
  <c r="N144" i="21"/>
  <c r="N152" i="21"/>
  <c r="N160" i="21"/>
  <c r="N168" i="21"/>
  <c r="N176" i="21"/>
  <c r="N184" i="21"/>
  <c r="N129" i="21"/>
  <c r="N137" i="21"/>
  <c r="N145" i="21"/>
  <c r="N153" i="21"/>
  <c r="N161" i="21"/>
  <c r="N169" i="21"/>
  <c r="N177" i="21"/>
  <c r="J185" i="21"/>
  <c r="N185" i="21" s="1"/>
  <c r="J274" i="21"/>
  <c r="J56" i="21" l="1"/>
  <c r="G213" i="9" s="1"/>
  <c r="J55" i="21"/>
  <c r="G212" i="9" s="1"/>
  <c r="J54" i="21"/>
  <c r="G211" i="9" s="1"/>
  <c r="I57" i="21"/>
  <c r="H57" i="21"/>
  <c r="G57" i="21"/>
  <c r="I51" i="21"/>
  <c r="H51" i="21"/>
  <c r="G51" i="21"/>
  <c r="J50" i="21"/>
  <c r="G210" i="9" s="1"/>
  <c r="J49" i="21"/>
  <c r="G209" i="9" s="1"/>
  <c r="I45" i="21"/>
  <c r="H45" i="21"/>
  <c r="G45" i="21"/>
  <c r="J44" i="21"/>
  <c r="G215" i="9" s="1"/>
  <c r="J43" i="21"/>
  <c r="G214" i="9" s="1"/>
  <c r="J39" i="21"/>
  <c r="G208" i="9" s="1"/>
  <c r="J35" i="21"/>
  <c r="G207" i="9" s="1"/>
  <c r="G32" i="21"/>
  <c r="J114" i="21"/>
  <c r="I114" i="21"/>
  <c r="H114" i="21"/>
  <c r="G114" i="21"/>
  <c r="N113" i="21"/>
  <c r="N112" i="21"/>
  <c r="J108" i="21"/>
  <c r="G183" i="9" s="1"/>
  <c r="J92" i="21"/>
  <c r="J91" i="21"/>
  <c r="J90" i="21"/>
  <c r="J89" i="21"/>
  <c r="J88" i="21"/>
  <c r="J87" i="21"/>
  <c r="J86" i="21"/>
  <c r="J85" i="21"/>
  <c r="J84" i="21"/>
  <c r="J83" i="21"/>
  <c r="J82" i="21"/>
  <c r="J81" i="21"/>
  <c r="J80" i="21"/>
  <c r="J79" i="21"/>
  <c r="J78" i="21"/>
  <c r="J77" i="21"/>
  <c r="J76" i="21"/>
  <c r="J75" i="21"/>
  <c r="G157" i="9" s="1"/>
  <c r="J74" i="21"/>
  <c r="G156" i="9" s="1"/>
  <c r="J73" i="21"/>
  <c r="G155" i="9" s="1"/>
  <c r="J72" i="21"/>
  <c r="G154" i="9" s="1"/>
  <c r="J71" i="21"/>
  <c r="G153" i="9" s="1"/>
  <c r="J70" i="21"/>
  <c r="G152" i="9" s="1"/>
  <c r="J69" i="21"/>
  <c r="G151" i="9" s="1"/>
  <c r="J68" i="21"/>
  <c r="G150" i="9" s="1"/>
  <c r="J67" i="21"/>
  <c r="G149" i="9" s="1"/>
  <c r="J66" i="21"/>
  <c r="G148" i="9" s="1"/>
  <c r="J65" i="21"/>
  <c r="G147" i="9" s="1"/>
  <c r="J64" i="21"/>
  <c r="G146" i="9" s="1"/>
  <c r="J63" i="21"/>
  <c r="G145" i="9" s="1"/>
  <c r="J62" i="21"/>
  <c r="G144" i="9" s="1"/>
  <c r="J61" i="21"/>
  <c r="G143" i="9" s="1"/>
  <c r="J60" i="21"/>
  <c r="G142" i="9" s="1"/>
  <c r="N84" i="21" l="1"/>
  <c r="G166" i="9"/>
  <c r="N78" i="21"/>
  <c r="G160" i="9"/>
  <c r="N86" i="21"/>
  <c r="G168" i="9"/>
  <c r="N92" i="21"/>
  <c r="G174" i="9"/>
  <c r="N77" i="21"/>
  <c r="G159" i="9"/>
  <c r="N79" i="21"/>
  <c r="G161" i="9"/>
  <c r="N87" i="21"/>
  <c r="G169" i="9"/>
  <c r="N80" i="21"/>
  <c r="G162" i="9"/>
  <c r="N88" i="21"/>
  <c r="G170" i="9"/>
  <c r="N76" i="21"/>
  <c r="G158" i="9"/>
  <c r="N85" i="21"/>
  <c r="G167" i="9"/>
  <c r="N81" i="21"/>
  <c r="G163" i="9"/>
  <c r="N89" i="21"/>
  <c r="G171" i="9"/>
  <c r="N82" i="21"/>
  <c r="G164" i="9"/>
  <c r="N90" i="21"/>
  <c r="G172" i="9"/>
  <c r="N83" i="21"/>
  <c r="G165" i="9"/>
  <c r="N91" i="21"/>
  <c r="G173" i="9"/>
  <c r="J51" i="21"/>
  <c r="J57" i="21"/>
  <c r="J45" i="21"/>
  <c r="G520" i="9" l="1"/>
  <c r="E129" i="9" l="1"/>
  <c r="E59" i="9" l="1"/>
  <c r="G39" i="9"/>
  <c r="G38" i="9"/>
  <c r="G37" i="9"/>
  <c r="G35" i="9"/>
  <c r="G34" i="9"/>
  <c r="G33" i="9"/>
  <c r="G32" i="9"/>
  <c r="G31" i="9"/>
  <c r="E28" i="9"/>
  <c r="Q666" i="30"/>
  <c r="O666" i="30"/>
  <c r="M666" i="30"/>
  <c r="K666" i="30"/>
  <c r="I666" i="30"/>
  <c r="G666" i="30"/>
  <c r="C363" i="6" s="1"/>
  <c r="G363" i="6" s="1"/>
  <c r="H363" i="6" s="1"/>
  <c r="Z363" i="6" s="1"/>
  <c r="Q660" i="30"/>
  <c r="O660" i="30"/>
  <c r="M660" i="30"/>
  <c r="K660" i="30"/>
  <c r="I660" i="30"/>
  <c r="G660" i="30"/>
  <c r="C357" i="6" s="1"/>
  <c r="G357" i="6" s="1"/>
  <c r="Q659" i="30"/>
  <c r="O659" i="30"/>
  <c r="M659" i="30"/>
  <c r="K659" i="30"/>
  <c r="I659" i="30"/>
  <c r="G659" i="30"/>
  <c r="C356" i="6" s="1"/>
  <c r="G356" i="6" s="1"/>
  <c r="H356" i="6" s="1"/>
  <c r="Z356" i="6" s="1"/>
  <c r="Q296" i="30"/>
  <c r="O296" i="30"/>
  <c r="M296" i="30"/>
  <c r="K296" i="30"/>
  <c r="F152" i="6" s="1"/>
  <c r="I296" i="30"/>
  <c r="G296" i="30"/>
  <c r="Q120" i="30"/>
  <c r="O120" i="30"/>
  <c r="M120" i="30"/>
  <c r="K120" i="30"/>
  <c r="F78" i="6" s="1"/>
  <c r="I120" i="30"/>
  <c r="G120" i="30"/>
  <c r="C78" i="6" s="1"/>
  <c r="Q119" i="30"/>
  <c r="O119" i="30"/>
  <c r="M119" i="30"/>
  <c r="K119" i="30"/>
  <c r="F77" i="6" s="1"/>
  <c r="I119" i="30"/>
  <c r="G119" i="30"/>
  <c r="C77" i="6" s="1"/>
  <c r="Q60" i="30"/>
  <c r="O60" i="30"/>
  <c r="M60" i="30"/>
  <c r="K60" i="30"/>
  <c r="F48" i="6" s="1"/>
  <c r="I60" i="30"/>
  <c r="G60" i="30"/>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464" i="27"/>
  <c r="E463" i="27"/>
  <c r="E462" i="27"/>
  <c r="E461" i="27"/>
  <c r="E460" i="27"/>
  <c r="E459" i="27"/>
  <c r="E458" i="27"/>
  <c r="E457" i="27"/>
  <c r="E456" i="27"/>
  <c r="E455" i="27"/>
  <c r="E454" i="27"/>
  <c r="E453" i="27"/>
  <c r="E452" i="27"/>
  <c r="E465" i="27"/>
  <c r="H357" i="6" l="1"/>
  <c r="Z357" i="6" s="1"/>
  <c r="G78" i="6"/>
  <c r="R78" i="6" s="1"/>
  <c r="Z78" i="6" s="1"/>
  <c r="G77" i="6"/>
  <c r="R77" i="6" s="1"/>
  <c r="Z77" i="6" s="1"/>
  <c r="C1020" i="9"/>
  <c r="C152" i="6"/>
  <c r="G152" i="6" s="1"/>
  <c r="L152" i="6" s="1"/>
  <c r="Z152" i="6" s="1"/>
  <c r="D128" i="9"/>
  <c r="C48" i="6"/>
  <c r="G48" i="6" s="1"/>
  <c r="Z48" i="6" s="1"/>
  <c r="G638" i="30"/>
  <c r="C1151" i="9" s="1"/>
  <c r="G746" i="30"/>
  <c r="G748" i="30"/>
  <c r="D1150" i="9" s="1"/>
  <c r="H1090" i="9"/>
  <c r="F153" i="11" l="1"/>
  <c r="C1001" i="9"/>
  <c r="D1001" i="9"/>
  <c r="C994" i="9"/>
  <c r="D994" i="9" l="1"/>
  <c r="D971" i="9" l="1"/>
  <c r="F64" i="9" l="1"/>
  <c r="C60" i="9"/>
  <c r="C59" i="9"/>
  <c r="G30" i="9"/>
  <c r="G28" i="9"/>
  <c r="H52" i="9"/>
  <c r="H40" i="9"/>
  <c r="R903" i="30" l="1"/>
  <c r="R895" i="30"/>
  <c r="R885" i="30"/>
  <c r="R880" i="30"/>
  <c r="R879" i="30"/>
  <c r="R878" i="30"/>
  <c r="R877" i="30"/>
  <c r="R875" i="30"/>
  <c r="R874" i="30"/>
  <c r="R872" i="30"/>
  <c r="R871" i="30"/>
  <c r="R869" i="30"/>
  <c r="R868" i="30"/>
  <c r="R867" i="30"/>
  <c r="R866" i="30"/>
  <c r="R862" i="30"/>
  <c r="R861" i="30"/>
  <c r="R860" i="30"/>
  <c r="R858" i="30"/>
  <c r="R855" i="30"/>
  <c r="R854" i="30"/>
  <c r="R852" i="30"/>
  <c r="R850" i="30"/>
  <c r="R848" i="30"/>
  <c r="R847" i="30"/>
  <c r="R846" i="30"/>
  <c r="R845" i="30"/>
  <c r="R842" i="30"/>
  <c r="R841" i="30"/>
  <c r="R837" i="30"/>
  <c r="R834" i="30"/>
  <c r="R832" i="30"/>
  <c r="R831" i="30"/>
  <c r="R830" i="30"/>
  <c r="R826" i="30"/>
  <c r="R822" i="30"/>
  <c r="R821" i="30"/>
  <c r="R820" i="30"/>
  <c r="R819" i="30"/>
  <c r="R817" i="30"/>
  <c r="R816" i="30"/>
  <c r="R810" i="30"/>
  <c r="R808" i="30"/>
  <c r="R805" i="30"/>
  <c r="R804" i="30"/>
  <c r="R803" i="30"/>
  <c r="R802" i="30"/>
  <c r="R799" i="30"/>
  <c r="R797" i="30"/>
  <c r="R796" i="30"/>
  <c r="R794" i="30"/>
  <c r="R791" i="30"/>
  <c r="R790" i="30"/>
  <c r="R789" i="30"/>
  <c r="R788" i="30"/>
  <c r="R787" i="30"/>
  <c r="R785" i="30"/>
  <c r="R782" i="30"/>
  <c r="R781" i="30"/>
  <c r="R778" i="30"/>
  <c r="R774" i="30"/>
  <c r="R773" i="30"/>
  <c r="R771" i="30"/>
  <c r="R770" i="30"/>
  <c r="R768" i="30"/>
  <c r="R766" i="30"/>
  <c r="R758" i="30"/>
  <c r="R748" i="30"/>
  <c r="R746" i="30"/>
  <c r="R737" i="30"/>
  <c r="R736" i="30"/>
  <c r="R735" i="30"/>
  <c r="R734" i="30"/>
  <c r="R733" i="30"/>
  <c r="R730" i="30"/>
  <c r="R728" i="30"/>
  <c r="R727" i="30"/>
  <c r="R726" i="30"/>
  <c r="R725" i="30"/>
  <c r="R724" i="30"/>
  <c r="R723" i="30"/>
  <c r="R722" i="30"/>
  <c r="R717" i="30"/>
  <c r="R716" i="30"/>
  <c r="R714" i="30"/>
  <c r="R709" i="30"/>
  <c r="R701" i="30"/>
  <c r="R699" i="30"/>
  <c r="R694" i="30"/>
  <c r="R693" i="30"/>
  <c r="R690" i="30"/>
  <c r="R689" i="30"/>
  <c r="R687" i="30"/>
  <c r="R684" i="30"/>
  <c r="R682" i="30"/>
  <c r="R681" i="30"/>
  <c r="R679" i="30"/>
  <c r="R678" i="30"/>
  <c r="R672" i="30"/>
  <c r="R669" i="30"/>
  <c r="R665" i="30"/>
  <c r="R664" i="30"/>
  <c r="R663" i="30"/>
  <c r="R658" i="30"/>
  <c r="R657" i="30"/>
  <c r="R650" i="30"/>
  <c r="R640" i="30"/>
  <c r="R638" i="30"/>
  <c r="R629" i="30"/>
  <c r="R628" i="30"/>
  <c r="R627" i="30"/>
  <c r="R626" i="30"/>
  <c r="R625" i="30"/>
  <c r="R623" i="30"/>
  <c r="R622" i="30"/>
  <c r="R615" i="30"/>
  <c r="R604" i="30"/>
  <c r="R603" i="30"/>
  <c r="R600" i="30"/>
  <c r="R594" i="30"/>
  <c r="R593" i="30"/>
  <c r="R592" i="30"/>
  <c r="R591" i="30"/>
  <c r="R590" i="30"/>
  <c r="R587" i="30"/>
  <c r="R583" i="30"/>
  <c r="R575" i="30"/>
  <c r="R563" i="30"/>
  <c r="R562" i="30"/>
  <c r="R554" i="30"/>
  <c r="R553" i="30"/>
  <c r="R551" i="30"/>
  <c r="R549" i="30"/>
  <c r="R547" i="30"/>
  <c r="R546" i="30"/>
  <c r="R544" i="30"/>
  <c r="R543" i="30"/>
  <c r="R532" i="30"/>
  <c r="R528" i="30"/>
  <c r="R527" i="30"/>
  <c r="R526" i="30"/>
  <c r="R525" i="30"/>
  <c r="R524" i="30"/>
  <c r="R523" i="30"/>
  <c r="R521" i="30"/>
  <c r="R520" i="30"/>
  <c r="R519" i="30"/>
  <c r="R517" i="30"/>
  <c r="R516" i="30"/>
  <c r="R502" i="30"/>
  <c r="R498" i="30"/>
  <c r="R494" i="30"/>
  <c r="R493" i="30"/>
  <c r="R491" i="30"/>
  <c r="R490" i="30"/>
  <c r="R477" i="30"/>
  <c r="R476" i="30"/>
  <c r="R475" i="30"/>
  <c r="R473" i="30"/>
  <c r="R472" i="30"/>
  <c r="R471" i="30"/>
  <c r="R469" i="30"/>
  <c r="R468" i="30"/>
  <c r="R467" i="30"/>
  <c r="R440" i="30"/>
  <c r="R439" i="30"/>
  <c r="R438" i="30"/>
  <c r="R432" i="30"/>
  <c r="R430" i="30"/>
  <c r="R426" i="30"/>
  <c r="R424" i="30"/>
  <c r="R421" i="30"/>
  <c r="R420" i="30"/>
  <c r="R419" i="30"/>
  <c r="R418" i="30"/>
  <c r="R412" i="30"/>
  <c r="R409" i="30"/>
  <c r="R408" i="30"/>
  <c r="R407" i="30"/>
  <c r="R406" i="30"/>
  <c r="R404" i="30"/>
  <c r="R400" i="30"/>
  <c r="R398" i="30"/>
  <c r="R397" i="30"/>
  <c r="R396" i="30"/>
  <c r="R387" i="30"/>
  <c r="R385" i="30"/>
  <c r="R384" i="30"/>
  <c r="R383" i="30"/>
  <c r="R380" i="30"/>
  <c r="R377" i="30"/>
  <c r="R376" i="30"/>
  <c r="R375" i="30"/>
  <c r="R371" i="30"/>
  <c r="R338" i="30"/>
  <c r="R332" i="30"/>
  <c r="R323" i="30"/>
  <c r="R316" i="30"/>
  <c r="R315" i="30"/>
  <c r="R314" i="30"/>
  <c r="R313" i="30"/>
  <c r="R312" i="30"/>
  <c r="R302" i="30"/>
  <c r="R300" i="30"/>
  <c r="R299" i="30"/>
  <c r="R294" i="30"/>
  <c r="R293" i="30"/>
  <c r="R288" i="30"/>
  <c r="R279" i="30"/>
  <c r="R278" i="30"/>
  <c r="R271" i="30"/>
  <c r="R260" i="30"/>
  <c r="R259" i="30"/>
  <c r="R257" i="30"/>
  <c r="R256" i="30"/>
  <c r="R252" i="30"/>
  <c r="R249" i="30"/>
  <c r="R236" i="30"/>
  <c r="R230" i="30"/>
  <c r="R220" i="30"/>
  <c r="R219" i="30"/>
  <c r="R218" i="30"/>
  <c r="R217" i="30"/>
  <c r="R184" i="30"/>
  <c r="R173" i="30"/>
  <c r="R172" i="30"/>
  <c r="R169" i="30"/>
  <c r="R163" i="30"/>
  <c r="R162" i="30"/>
  <c r="R161" i="30"/>
  <c r="R160" i="30"/>
  <c r="R159" i="30"/>
  <c r="R156" i="30"/>
  <c r="R151" i="30"/>
  <c r="R140" i="30"/>
  <c r="R139" i="30"/>
  <c r="R136" i="30"/>
  <c r="R130" i="30"/>
  <c r="R129" i="30"/>
  <c r="R128" i="30"/>
  <c r="R127" i="30"/>
  <c r="R126" i="30"/>
  <c r="R123" i="30"/>
  <c r="R101" i="30"/>
  <c r="R85" i="30"/>
  <c r="R81" i="30"/>
  <c r="R75" i="30"/>
  <c r="R71" i="30"/>
  <c r="R61" i="30"/>
  <c r="R59" i="30"/>
  <c r="R58" i="30"/>
  <c r="R57" i="30"/>
  <c r="R56" i="30"/>
  <c r="R55" i="30"/>
  <c r="R53" i="30"/>
  <c r="R51" i="30"/>
  <c r="R50" i="30"/>
  <c r="R49" i="30"/>
  <c r="R48" i="30"/>
  <c r="R46" i="30"/>
  <c r="R45" i="30"/>
  <c r="R43" i="30"/>
  <c r="R42" i="30"/>
  <c r="R41" i="30"/>
  <c r="R40" i="30"/>
  <c r="R38" i="30"/>
  <c r="R37" i="30"/>
  <c r="R36" i="30"/>
  <c r="R35" i="30"/>
  <c r="R34" i="30"/>
  <c r="R33" i="30"/>
  <c r="R32" i="30"/>
  <c r="R31" i="30"/>
  <c r="R30" i="30"/>
  <c r="R29" i="30"/>
  <c r="R28" i="30"/>
  <c r="R27" i="30"/>
  <c r="R26" i="30"/>
  <c r="R24" i="30"/>
  <c r="R23" i="30"/>
  <c r="R22" i="30"/>
  <c r="R21" i="30"/>
  <c r="R19" i="30"/>
  <c r="R18" i="30"/>
  <c r="R17" i="30"/>
  <c r="R16" i="30"/>
  <c r="Q702" i="30"/>
  <c r="O702" i="30"/>
  <c r="Q701" i="30"/>
  <c r="O701" i="30"/>
  <c r="D1276" i="9" s="1"/>
  <c r="Q700" i="30"/>
  <c r="O700" i="30"/>
  <c r="Q699" i="30"/>
  <c r="O699" i="30"/>
  <c r="D1275" i="9" s="1"/>
  <c r="Q698" i="30"/>
  <c r="O698" i="30"/>
  <c r="Q697" i="30"/>
  <c r="O697" i="30"/>
  <c r="Q696" i="30"/>
  <c r="O696" i="30"/>
  <c r="Q695" i="30"/>
  <c r="O695" i="30"/>
  <c r="Q694" i="30"/>
  <c r="O694" i="30"/>
  <c r="Q693" i="30"/>
  <c r="O693" i="30"/>
  <c r="D1277" i="9" s="1"/>
  <c r="Q692" i="30"/>
  <c r="O692" i="30"/>
  <c r="D1274" i="9" s="1"/>
  <c r="Q691" i="30"/>
  <c r="O691" i="30"/>
  <c r="Q690" i="30"/>
  <c r="O690" i="30"/>
  <c r="Q689" i="30"/>
  <c r="O689" i="30"/>
  <c r="Q688" i="30"/>
  <c r="O688" i="30"/>
  <c r="Q687" i="30"/>
  <c r="O687" i="30"/>
  <c r="Q686" i="30"/>
  <c r="O686" i="30"/>
  <c r="Q685" i="30"/>
  <c r="O685" i="30"/>
  <c r="Q684" i="30"/>
  <c r="O684" i="30"/>
  <c r="D1219" i="9" s="1"/>
  <c r="Q683" i="30"/>
  <c r="O683" i="30"/>
  <c r="Q682" i="30"/>
  <c r="O682" i="30"/>
  <c r="D1218" i="9" s="1"/>
  <c r="Q681" i="30"/>
  <c r="O681" i="30"/>
  <c r="D1217" i="9" s="1"/>
  <c r="Q680" i="30"/>
  <c r="O680" i="30"/>
  <c r="Q679" i="30"/>
  <c r="O679" i="30"/>
  <c r="D1216" i="9" s="1"/>
  <c r="Q678" i="30"/>
  <c r="O678" i="30"/>
  <c r="D1215" i="9" s="1"/>
  <c r="Q677" i="30"/>
  <c r="O677" i="30"/>
  <c r="Q676" i="30"/>
  <c r="O676" i="30"/>
  <c r="Q675" i="30"/>
  <c r="O675" i="30"/>
  <c r="Q674" i="30"/>
  <c r="O674" i="30"/>
  <c r="Q673" i="30"/>
  <c r="O673" i="30"/>
  <c r="Q672" i="30"/>
  <c r="O672" i="30"/>
  <c r="Q671" i="30"/>
  <c r="O671" i="30"/>
  <c r="Q670" i="30"/>
  <c r="O670" i="30"/>
  <c r="Q669" i="30"/>
  <c r="O669" i="30"/>
  <c r="D1214" i="9" s="1"/>
  <c r="Q668" i="30"/>
  <c r="O668" i="30"/>
  <c r="Q667" i="30"/>
  <c r="O667" i="30"/>
  <c r="Q665" i="30"/>
  <c r="O665" i="30"/>
  <c r="Q664" i="30"/>
  <c r="O664" i="30"/>
  <c r="Q663" i="30"/>
  <c r="O663" i="30"/>
  <c r="Q662" i="30"/>
  <c r="O662" i="30"/>
  <c r="Q661" i="30"/>
  <c r="O661" i="30"/>
  <c r="Q658" i="30"/>
  <c r="O658" i="30"/>
  <c r="Q657" i="30"/>
  <c r="O657" i="30"/>
  <c r="Q656" i="30"/>
  <c r="O656" i="30"/>
  <c r="Q655" i="30"/>
  <c r="O655" i="30"/>
  <c r="Q654" i="30"/>
  <c r="O654" i="30"/>
  <c r="Q653" i="30"/>
  <c r="O653" i="30"/>
  <c r="Q652" i="30"/>
  <c r="O652" i="30"/>
  <c r="Q651" i="30"/>
  <c r="O651" i="30"/>
  <c r="Q650" i="30"/>
  <c r="O650" i="30"/>
  <c r="Q649" i="30"/>
  <c r="O649" i="30"/>
  <c r="Q648" i="30"/>
  <c r="O648" i="30"/>
  <c r="Q647" i="30"/>
  <c r="O647" i="30"/>
  <c r="Q646" i="30"/>
  <c r="O646" i="30"/>
  <c r="Q645" i="30"/>
  <c r="O645" i="30"/>
  <c r="Q644" i="30"/>
  <c r="O644" i="30"/>
  <c r="Q643" i="30"/>
  <c r="O643" i="30"/>
  <c r="Q642" i="30"/>
  <c r="O642" i="30"/>
  <c r="Q641" i="30"/>
  <c r="O641" i="30"/>
  <c r="Q640" i="30"/>
  <c r="O640" i="30"/>
  <c r="Q639" i="30"/>
  <c r="O639" i="30"/>
  <c r="Q638" i="30"/>
  <c r="O638" i="30"/>
  <c r="Q637" i="30"/>
  <c r="O637" i="30"/>
  <c r="Q636" i="30"/>
  <c r="O636" i="30"/>
  <c r="Q635" i="30"/>
  <c r="O635" i="30"/>
  <c r="Q634" i="30"/>
  <c r="O634" i="30"/>
  <c r="Q633" i="30"/>
  <c r="O633" i="30"/>
  <c r="Q632" i="30"/>
  <c r="O632" i="30"/>
  <c r="Q631" i="30"/>
  <c r="O631" i="30"/>
  <c r="Q630" i="30"/>
  <c r="O630" i="30"/>
  <c r="Q629" i="30"/>
  <c r="O629" i="30"/>
  <c r="Q628" i="30"/>
  <c r="O628" i="30"/>
  <c r="Q627" i="30"/>
  <c r="O627" i="30"/>
  <c r="Q626" i="30"/>
  <c r="O626" i="30"/>
  <c r="D1206" i="9" s="1"/>
  <c r="Q625" i="30"/>
  <c r="O625" i="30"/>
  <c r="Q624" i="30"/>
  <c r="O624" i="30"/>
  <c r="Q623" i="30"/>
  <c r="O623" i="30"/>
  <c r="Q622" i="30"/>
  <c r="O622" i="30"/>
  <c r="Q621" i="30"/>
  <c r="O621" i="30"/>
  <c r="Q620" i="30"/>
  <c r="O620" i="30"/>
  <c r="Q619" i="30"/>
  <c r="O619" i="30"/>
  <c r="Q618" i="30"/>
  <c r="O618" i="30"/>
  <c r="Q617" i="30"/>
  <c r="O617" i="30"/>
  <c r="Q616" i="30"/>
  <c r="O616" i="30"/>
  <c r="Q615" i="30"/>
  <c r="O615" i="30"/>
  <c r="Q614" i="30"/>
  <c r="O614" i="30"/>
  <c r="Q613" i="30"/>
  <c r="O613" i="30"/>
  <c r="Q612" i="30"/>
  <c r="O612" i="30"/>
  <c r="Q611" i="30"/>
  <c r="O611" i="30"/>
  <c r="Q610" i="30"/>
  <c r="O610" i="30"/>
  <c r="Q609" i="30"/>
  <c r="O609" i="30"/>
  <c r="Q608" i="30"/>
  <c r="O608" i="30"/>
  <c r="Q607" i="30"/>
  <c r="O607" i="30"/>
  <c r="Q606" i="30"/>
  <c r="O606" i="30"/>
  <c r="Q605" i="30"/>
  <c r="O605" i="30"/>
  <c r="Q604" i="30"/>
  <c r="O604" i="30"/>
  <c r="Q603" i="30"/>
  <c r="O603" i="30"/>
  <c r="Q602" i="30"/>
  <c r="O602" i="30"/>
  <c r="Q601" i="30"/>
  <c r="O601" i="30"/>
  <c r="Q600" i="30"/>
  <c r="O600" i="30"/>
  <c r="Q599" i="30"/>
  <c r="O599" i="30"/>
  <c r="Q598" i="30"/>
  <c r="O598" i="30"/>
  <c r="Q597" i="30"/>
  <c r="O597" i="30"/>
  <c r="Q596" i="30"/>
  <c r="O596" i="30"/>
  <c r="Q595" i="30"/>
  <c r="O595" i="30"/>
  <c r="Q594" i="30"/>
  <c r="O594" i="30"/>
  <c r="Q593" i="30"/>
  <c r="O593" i="30"/>
  <c r="Q592" i="30"/>
  <c r="O592" i="30"/>
  <c r="Q591" i="30"/>
  <c r="O591" i="30"/>
  <c r="Q590" i="30"/>
  <c r="O590" i="30"/>
  <c r="Q589" i="30"/>
  <c r="O589" i="30"/>
  <c r="Q588" i="30"/>
  <c r="O588" i="30"/>
  <c r="Q587" i="30"/>
  <c r="O587" i="30"/>
  <c r="Q586" i="30"/>
  <c r="O586" i="30"/>
  <c r="Q585" i="30"/>
  <c r="O585" i="30"/>
  <c r="Q584" i="30"/>
  <c r="O584" i="30"/>
  <c r="Q583" i="30"/>
  <c r="O583" i="30"/>
  <c r="Q582" i="30"/>
  <c r="O582" i="30"/>
  <c r="Q581" i="30"/>
  <c r="O581" i="30"/>
  <c r="Q580" i="30"/>
  <c r="O580" i="30"/>
  <c r="Q579" i="30"/>
  <c r="O579" i="30"/>
  <c r="Q578" i="30"/>
  <c r="O578" i="30"/>
  <c r="Q577" i="30"/>
  <c r="O577" i="30"/>
  <c r="Q576" i="30"/>
  <c r="O576" i="30"/>
  <c r="Q575" i="30"/>
  <c r="O575" i="30"/>
  <c r="Q574" i="30"/>
  <c r="O574" i="30"/>
  <c r="Q573" i="30"/>
  <c r="O573" i="30"/>
  <c r="Q572" i="30"/>
  <c r="O572" i="30"/>
  <c r="Q571" i="30"/>
  <c r="O571" i="30"/>
  <c r="Q570" i="30"/>
  <c r="O570" i="30"/>
  <c r="Q569" i="30"/>
  <c r="O569" i="30"/>
  <c r="Q568" i="30"/>
  <c r="O568" i="30"/>
  <c r="Q567" i="30"/>
  <c r="O567" i="30"/>
  <c r="Q566" i="30"/>
  <c r="O566" i="30"/>
  <c r="Q565" i="30"/>
  <c r="O565" i="30"/>
  <c r="Q564" i="30"/>
  <c r="O564" i="30"/>
  <c r="Q563" i="30"/>
  <c r="O563" i="30"/>
  <c r="Q562" i="30"/>
  <c r="O562" i="30"/>
  <c r="Q561" i="30"/>
  <c r="O561" i="30"/>
  <c r="Q560" i="30"/>
  <c r="O560" i="30"/>
  <c r="Q559" i="30"/>
  <c r="O559" i="30"/>
  <c r="Q558" i="30"/>
  <c r="O558" i="30"/>
  <c r="Q557" i="30"/>
  <c r="O557" i="30"/>
  <c r="Q556" i="30"/>
  <c r="O556" i="30"/>
  <c r="Q555" i="30"/>
  <c r="O555" i="30"/>
  <c r="Q904" i="30"/>
  <c r="Q903" i="30"/>
  <c r="Q902" i="30"/>
  <c r="Q901" i="30"/>
  <c r="Q900" i="30"/>
  <c r="Q899" i="30"/>
  <c r="Q898" i="30"/>
  <c r="Q897" i="30"/>
  <c r="Q896" i="30"/>
  <c r="Q895" i="30"/>
  <c r="Q894" i="30"/>
  <c r="Q893" i="30"/>
  <c r="Q892" i="30"/>
  <c r="Q891" i="30"/>
  <c r="Q890" i="30"/>
  <c r="Q889" i="30"/>
  <c r="Q888" i="30"/>
  <c r="Q887" i="30"/>
  <c r="Q886" i="30"/>
  <c r="Q885" i="30"/>
  <c r="Q884" i="30"/>
  <c r="Q883" i="30"/>
  <c r="Q882" i="30"/>
  <c r="Q881" i="30"/>
  <c r="Q880" i="30"/>
  <c r="Q879" i="30"/>
  <c r="Q878" i="30"/>
  <c r="Q877" i="30"/>
  <c r="Q876" i="30"/>
  <c r="Q875" i="30"/>
  <c r="Q874" i="30"/>
  <c r="Q873" i="30"/>
  <c r="Q872" i="30"/>
  <c r="Q871" i="30"/>
  <c r="Q870" i="30"/>
  <c r="Q869" i="30"/>
  <c r="Q868" i="30"/>
  <c r="Q867" i="30"/>
  <c r="Q866" i="30"/>
  <c r="Q865" i="30"/>
  <c r="Q864" i="30"/>
  <c r="Q863" i="30"/>
  <c r="Q862" i="30"/>
  <c r="Q861" i="30"/>
  <c r="Q860" i="30"/>
  <c r="Q859" i="30"/>
  <c r="Q858" i="30"/>
  <c r="Q857" i="30"/>
  <c r="Q856" i="30"/>
  <c r="Q855" i="30"/>
  <c r="Q854" i="30"/>
  <c r="Q853" i="30"/>
  <c r="Q852" i="30"/>
  <c r="Q851" i="30"/>
  <c r="Q850" i="30"/>
  <c r="Q849" i="30"/>
  <c r="Q848" i="30"/>
  <c r="Q847" i="30"/>
  <c r="Q846" i="30"/>
  <c r="Q845" i="30"/>
  <c r="Q844" i="30"/>
  <c r="Q843" i="30"/>
  <c r="Q842" i="30"/>
  <c r="Q841" i="30"/>
  <c r="Q840" i="30"/>
  <c r="Q839" i="30"/>
  <c r="Q838" i="30"/>
  <c r="Q837" i="30"/>
  <c r="Q836" i="30"/>
  <c r="Q835" i="30"/>
  <c r="Q834" i="30"/>
  <c r="Q833" i="30"/>
  <c r="Q832" i="30"/>
  <c r="Q831" i="30"/>
  <c r="Q830" i="30"/>
  <c r="Q829" i="30"/>
  <c r="Q828" i="30"/>
  <c r="Q827" i="30"/>
  <c r="Q826" i="30"/>
  <c r="Q825" i="30"/>
  <c r="Q824" i="30"/>
  <c r="Q823" i="30"/>
  <c r="Q822" i="30"/>
  <c r="Q821" i="30"/>
  <c r="Q820" i="30"/>
  <c r="Q819" i="30"/>
  <c r="Q818" i="30"/>
  <c r="Q817" i="30"/>
  <c r="Q816" i="30"/>
  <c r="Q815" i="30"/>
  <c r="Q814" i="30"/>
  <c r="Q813" i="30"/>
  <c r="Q812" i="30"/>
  <c r="Q811" i="30"/>
  <c r="Q810" i="30"/>
  <c r="Q809" i="30"/>
  <c r="Q808" i="30"/>
  <c r="Q807" i="30"/>
  <c r="Q806" i="30"/>
  <c r="Q805" i="30"/>
  <c r="Q804" i="30"/>
  <c r="Q803" i="30"/>
  <c r="Q802" i="30"/>
  <c r="Q801" i="30"/>
  <c r="Q800" i="30"/>
  <c r="Q799" i="30"/>
  <c r="Q798" i="30"/>
  <c r="Q797" i="30"/>
  <c r="Q796" i="30"/>
  <c r="Q795" i="30"/>
  <c r="Q794" i="30"/>
  <c r="Q793" i="30"/>
  <c r="Q792" i="30"/>
  <c r="Q791" i="30"/>
  <c r="Q790" i="30"/>
  <c r="Q789" i="30"/>
  <c r="Q788" i="30"/>
  <c r="Q787" i="30"/>
  <c r="Q786" i="30"/>
  <c r="Q785" i="30"/>
  <c r="Q784" i="30"/>
  <c r="Q783" i="30"/>
  <c r="Q782" i="30"/>
  <c r="Q781" i="30"/>
  <c r="Q780" i="30"/>
  <c r="Q779" i="30"/>
  <c r="Q778" i="30"/>
  <c r="Q777" i="30"/>
  <c r="Q776" i="30"/>
  <c r="Q775" i="30"/>
  <c r="Q774" i="30"/>
  <c r="Q773" i="30"/>
  <c r="Q772" i="30"/>
  <c r="Q771" i="30"/>
  <c r="Q770" i="30"/>
  <c r="Q769" i="30"/>
  <c r="Q768" i="30"/>
  <c r="Q767" i="30"/>
  <c r="Q766" i="30"/>
  <c r="Q765" i="30"/>
  <c r="Q764" i="30"/>
  <c r="Q763" i="30"/>
  <c r="Q762" i="30"/>
  <c r="Q761" i="30"/>
  <c r="Q760" i="30"/>
  <c r="Q759" i="30"/>
  <c r="Q758" i="30"/>
  <c r="Q757" i="30"/>
  <c r="Q756" i="30"/>
  <c r="Q755" i="30"/>
  <c r="Q754" i="30"/>
  <c r="Q753" i="30"/>
  <c r="Q752" i="30"/>
  <c r="Q751" i="30"/>
  <c r="Q750" i="30"/>
  <c r="Q749" i="30"/>
  <c r="Q748" i="30"/>
  <c r="Q747" i="30"/>
  <c r="Q746" i="30"/>
  <c r="Q745" i="30"/>
  <c r="Q744" i="30"/>
  <c r="Q743" i="30"/>
  <c r="Q742" i="30"/>
  <c r="Q741" i="30"/>
  <c r="Q740" i="30"/>
  <c r="Q739" i="30"/>
  <c r="Q738" i="30"/>
  <c r="Q737" i="30"/>
  <c r="Q736" i="30"/>
  <c r="Q735" i="30"/>
  <c r="Q734" i="30"/>
  <c r="Q733" i="30"/>
  <c r="Q732" i="30"/>
  <c r="Q731" i="30"/>
  <c r="Q730" i="30"/>
  <c r="Q729" i="30"/>
  <c r="Q728" i="30"/>
  <c r="Q727" i="30"/>
  <c r="Q726" i="30"/>
  <c r="Q725" i="30"/>
  <c r="Q724" i="30"/>
  <c r="Q723" i="30"/>
  <c r="Q722" i="30"/>
  <c r="Q721" i="30"/>
  <c r="Q720" i="30"/>
  <c r="Q719" i="30"/>
  <c r="Q718" i="30"/>
  <c r="Q717" i="30"/>
  <c r="Q716" i="30"/>
  <c r="Q715" i="30"/>
  <c r="Q714" i="30"/>
  <c r="Q713" i="30"/>
  <c r="Q712" i="30"/>
  <c r="Q711" i="30"/>
  <c r="Q710" i="30"/>
  <c r="Q709" i="30"/>
  <c r="Q708" i="30"/>
  <c r="Q707" i="30"/>
  <c r="Q706" i="30"/>
  <c r="Q705" i="30"/>
  <c r="Q704" i="30"/>
  <c r="Q703" i="30"/>
  <c r="Q554" i="30"/>
  <c r="Q553" i="30"/>
  <c r="Q552" i="30"/>
  <c r="Q551" i="30"/>
  <c r="Q550" i="30"/>
  <c r="Q549" i="30"/>
  <c r="Q548" i="30"/>
  <c r="Q547" i="30"/>
  <c r="Q546" i="30"/>
  <c r="Q545" i="30"/>
  <c r="Q544" i="30"/>
  <c r="Q543" i="30"/>
  <c r="Q542" i="30"/>
  <c r="Q541" i="30"/>
  <c r="Q540" i="30"/>
  <c r="Q539" i="30"/>
  <c r="Q538" i="30"/>
  <c r="Q537" i="30"/>
  <c r="Q536" i="30"/>
  <c r="Q535" i="30"/>
  <c r="Q534" i="30"/>
  <c r="Q533" i="30"/>
  <c r="Q532" i="30"/>
  <c r="Q531" i="30"/>
  <c r="Q530" i="30"/>
  <c r="Q529" i="30"/>
  <c r="Q528" i="30"/>
  <c r="Q527" i="30"/>
  <c r="Q526" i="30"/>
  <c r="Q525" i="30"/>
  <c r="Q524" i="30"/>
  <c r="Q523" i="30"/>
  <c r="Q522" i="30"/>
  <c r="Q521" i="30"/>
  <c r="Q520" i="30"/>
  <c r="Q519" i="30"/>
  <c r="Q518" i="30"/>
  <c r="Q517" i="30"/>
  <c r="Q516" i="30"/>
  <c r="Q515" i="30"/>
  <c r="Q514" i="30"/>
  <c r="Q513" i="30"/>
  <c r="Q512" i="30"/>
  <c r="Q511" i="30"/>
  <c r="Q510" i="30"/>
  <c r="Q509" i="30"/>
  <c r="Q508" i="30"/>
  <c r="Q507" i="30"/>
  <c r="Q506" i="30"/>
  <c r="Q505" i="30"/>
  <c r="Q504" i="30"/>
  <c r="Q503" i="30"/>
  <c r="Q502" i="30"/>
  <c r="Q501" i="30"/>
  <c r="Q500" i="30"/>
  <c r="Q499" i="30"/>
  <c r="Q498" i="30"/>
  <c r="Q497" i="30"/>
  <c r="Q496" i="30"/>
  <c r="Q495" i="30"/>
  <c r="Q494" i="30"/>
  <c r="Q493" i="30"/>
  <c r="Q492" i="30"/>
  <c r="Q491" i="30"/>
  <c r="Q490" i="30"/>
  <c r="Q489" i="30"/>
  <c r="Q488" i="30"/>
  <c r="Q487" i="30"/>
  <c r="Q486" i="30"/>
  <c r="Q485" i="30"/>
  <c r="Q484" i="30"/>
  <c r="Q483" i="30"/>
  <c r="Q482" i="30"/>
  <c r="Q481" i="30"/>
  <c r="Q480" i="30"/>
  <c r="Q479" i="30"/>
  <c r="Q478" i="30"/>
  <c r="Q477" i="30"/>
  <c r="Q476" i="30"/>
  <c r="Q475" i="30"/>
  <c r="Q474" i="30"/>
  <c r="Q473" i="30"/>
  <c r="Q472" i="30"/>
  <c r="Q471" i="30"/>
  <c r="Q470" i="30"/>
  <c r="Q469" i="30"/>
  <c r="Q468" i="30"/>
  <c r="Q467" i="30"/>
  <c r="Q466" i="30"/>
  <c r="Q465" i="30"/>
  <c r="Q464" i="30"/>
  <c r="Q463" i="30"/>
  <c r="Q462" i="30"/>
  <c r="Q461" i="30"/>
  <c r="Q460" i="30"/>
  <c r="Q459" i="30"/>
  <c r="Q458" i="30"/>
  <c r="Q457" i="30"/>
  <c r="Q456" i="30"/>
  <c r="Q455" i="30"/>
  <c r="Q454" i="30"/>
  <c r="Q453" i="30"/>
  <c r="Q452" i="30"/>
  <c r="Q451" i="30"/>
  <c r="Q450" i="30"/>
  <c r="Q449" i="30"/>
  <c r="Q448" i="30"/>
  <c r="Q447" i="30"/>
  <c r="Q446" i="30"/>
  <c r="Q445" i="30"/>
  <c r="Q444" i="30"/>
  <c r="Q443" i="30"/>
  <c r="Q442" i="30"/>
  <c r="Q441" i="30"/>
  <c r="Q440" i="30"/>
  <c r="Q439" i="30"/>
  <c r="Q438" i="30"/>
  <c r="Q437" i="30"/>
  <c r="Q436" i="30"/>
  <c r="Q435" i="30"/>
  <c r="Q434" i="30"/>
  <c r="Q433" i="30"/>
  <c r="Q432" i="30"/>
  <c r="Q431" i="30"/>
  <c r="Q430" i="30"/>
  <c r="Q429" i="30"/>
  <c r="Q428" i="30"/>
  <c r="Q427" i="30"/>
  <c r="Q426" i="30"/>
  <c r="Q425" i="30"/>
  <c r="Q424" i="30"/>
  <c r="Q423" i="30"/>
  <c r="Q422" i="30"/>
  <c r="Q421" i="30"/>
  <c r="Q420" i="30"/>
  <c r="Q419" i="30"/>
  <c r="Q418" i="30"/>
  <c r="Q417" i="30"/>
  <c r="Q416" i="30"/>
  <c r="Q415" i="30"/>
  <c r="Q414" i="30"/>
  <c r="Q413" i="30"/>
  <c r="Q412" i="30"/>
  <c r="Q411" i="30"/>
  <c r="Q410" i="30"/>
  <c r="Q409" i="30"/>
  <c r="Q408" i="30"/>
  <c r="Q407" i="30"/>
  <c r="Q406" i="30"/>
  <c r="Q405" i="30"/>
  <c r="Q404" i="30"/>
  <c r="Q403" i="30"/>
  <c r="Q402" i="30"/>
  <c r="Q401" i="30"/>
  <c r="Q400" i="30"/>
  <c r="Q399" i="30"/>
  <c r="Q398" i="30"/>
  <c r="Q397" i="30"/>
  <c r="Q396" i="30"/>
  <c r="Q395" i="30"/>
  <c r="Q394" i="30"/>
  <c r="Q393" i="30"/>
  <c r="Q392" i="30"/>
  <c r="Q391" i="30"/>
  <c r="Q390" i="30"/>
  <c r="Q389" i="30"/>
  <c r="Q388" i="30"/>
  <c r="Q387" i="30"/>
  <c r="Q386" i="30"/>
  <c r="Q385" i="30"/>
  <c r="Q384" i="30"/>
  <c r="Q383" i="30"/>
  <c r="Q382" i="30"/>
  <c r="Q381" i="30"/>
  <c r="Q380" i="30"/>
  <c r="Q379" i="30"/>
  <c r="Q378" i="30"/>
  <c r="Q377" i="30"/>
  <c r="Q376" i="30"/>
  <c r="Q375" i="30"/>
  <c r="Q374" i="30"/>
  <c r="Q373" i="30"/>
  <c r="Q372" i="30"/>
  <c r="Q371" i="30"/>
  <c r="Q370" i="30"/>
  <c r="Q369" i="30"/>
  <c r="Q368" i="30"/>
  <c r="Q367" i="30"/>
  <c r="Q366" i="30"/>
  <c r="Q365" i="30"/>
  <c r="Q364" i="30"/>
  <c r="Q363" i="30"/>
  <c r="Q362" i="30"/>
  <c r="Q361" i="30"/>
  <c r="Q360" i="30"/>
  <c r="Q359" i="30"/>
  <c r="Q358" i="30"/>
  <c r="Q357" i="30"/>
  <c r="Q356" i="30"/>
  <c r="Q355" i="30"/>
  <c r="Q354" i="30"/>
  <c r="Q353" i="30"/>
  <c r="Q352" i="30"/>
  <c r="Q351" i="30"/>
  <c r="Q350" i="30"/>
  <c r="Q349" i="30"/>
  <c r="Q348" i="30"/>
  <c r="Q347" i="30"/>
  <c r="Q346" i="30"/>
  <c r="Q345" i="30"/>
  <c r="Q344" i="30"/>
  <c r="Q343" i="30"/>
  <c r="Q342" i="30"/>
  <c r="Q341" i="30"/>
  <c r="Q340" i="30"/>
  <c r="Q339" i="30"/>
  <c r="Q338" i="30"/>
  <c r="Q337" i="30"/>
  <c r="Q336" i="30"/>
  <c r="Q335" i="30"/>
  <c r="Q334" i="30"/>
  <c r="Q333" i="30"/>
  <c r="Q332" i="30"/>
  <c r="Q331" i="30"/>
  <c r="Q330" i="30"/>
  <c r="Q329" i="30"/>
  <c r="Q328" i="30"/>
  <c r="Q327" i="30"/>
  <c r="Q326" i="30"/>
  <c r="Q325" i="30"/>
  <c r="Q324" i="30"/>
  <c r="Q323" i="30"/>
  <c r="Q322" i="30"/>
  <c r="Q321" i="30"/>
  <c r="Q320" i="30"/>
  <c r="Q319" i="30"/>
  <c r="Q318" i="30"/>
  <c r="Q317" i="30"/>
  <c r="Q316" i="30"/>
  <c r="Q315" i="30"/>
  <c r="Q314" i="30"/>
  <c r="Q313" i="30"/>
  <c r="Q312" i="30"/>
  <c r="Q311" i="30"/>
  <c r="Q310" i="30"/>
  <c r="Q309" i="30"/>
  <c r="Q308" i="30"/>
  <c r="Q307" i="30"/>
  <c r="Q306" i="30"/>
  <c r="Q305" i="30"/>
  <c r="Q304" i="30"/>
  <c r="Q303" i="30"/>
  <c r="Q302" i="30"/>
  <c r="Q301" i="30"/>
  <c r="Q300" i="30"/>
  <c r="Q299" i="30"/>
  <c r="Q298" i="30"/>
  <c r="Q297" i="30"/>
  <c r="Q295" i="30"/>
  <c r="Q294" i="30"/>
  <c r="Q293" i="30"/>
  <c r="Q292" i="30"/>
  <c r="Q291" i="30"/>
  <c r="Q290" i="30"/>
  <c r="Q289" i="30"/>
  <c r="Q288" i="30"/>
  <c r="Q287" i="30"/>
  <c r="Q286" i="30"/>
  <c r="Q285" i="30"/>
  <c r="Q284" i="30"/>
  <c r="Q283" i="30"/>
  <c r="Q282" i="30"/>
  <c r="Q281" i="30"/>
  <c r="Q280" i="30"/>
  <c r="Q279" i="30"/>
  <c r="Q278" i="30"/>
  <c r="Q277" i="30"/>
  <c r="Q276" i="30"/>
  <c r="Q275" i="30"/>
  <c r="Q274" i="30"/>
  <c r="Q273" i="30"/>
  <c r="Q272" i="30"/>
  <c r="Q271" i="30"/>
  <c r="Q270" i="30"/>
  <c r="Q269" i="30"/>
  <c r="Q268" i="30"/>
  <c r="Q267" i="30"/>
  <c r="Q266" i="30"/>
  <c r="Q265" i="30"/>
  <c r="Q264" i="30"/>
  <c r="Q263" i="30"/>
  <c r="Q262" i="30"/>
  <c r="Q261" i="30"/>
  <c r="Q260" i="30"/>
  <c r="Q259" i="30"/>
  <c r="Q258" i="30"/>
  <c r="Q257" i="30"/>
  <c r="Q256" i="30"/>
  <c r="Q255" i="30"/>
  <c r="Q254" i="30"/>
  <c r="Q253" i="30"/>
  <c r="Q252" i="30"/>
  <c r="Q251" i="30"/>
  <c r="Q250" i="30"/>
  <c r="Q249" i="30"/>
  <c r="Q248" i="30"/>
  <c r="Q247" i="30"/>
  <c r="Q246" i="30"/>
  <c r="Q245" i="30"/>
  <c r="Q244" i="30"/>
  <c r="Q243" i="30"/>
  <c r="Q242" i="30"/>
  <c r="Q241" i="30"/>
  <c r="Q240" i="30"/>
  <c r="Q239" i="30"/>
  <c r="Q238" i="30"/>
  <c r="Q237" i="30"/>
  <c r="Q236" i="30"/>
  <c r="Q235" i="30"/>
  <c r="Q234" i="30"/>
  <c r="Q233" i="30"/>
  <c r="Q232" i="30"/>
  <c r="Q231" i="30"/>
  <c r="Q230" i="30"/>
  <c r="Q229" i="30"/>
  <c r="Q228" i="30"/>
  <c r="Q227" i="30"/>
  <c r="Q226" i="30"/>
  <c r="Q225" i="30"/>
  <c r="Q224" i="30"/>
  <c r="Q223" i="30"/>
  <c r="Q222" i="30"/>
  <c r="Q221" i="30"/>
  <c r="Q220" i="30"/>
  <c r="Q219" i="30"/>
  <c r="Q218" i="30"/>
  <c r="Q217" i="30"/>
  <c r="Q216" i="30"/>
  <c r="Q215" i="30"/>
  <c r="Q214" i="30"/>
  <c r="Q213" i="30"/>
  <c r="Q212" i="30"/>
  <c r="Q211" i="30"/>
  <c r="Q210" i="30"/>
  <c r="Q209" i="30"/>
  <c r="Q208" i="30"/>
  <c r="Q207" i="30"/>
  <c r="Q206" i="30"/>
  <c r="Q205" i="30"/>
  <c r="Q204" i="30"/>
  <c r="Q203" i="30"/>
  <c r="Q202" i="30"/>
  <c r="Q201" i="30"/>
  <c r="Q200" i="30"/>
  <c r="Q199" i="30"/>
  <c r="Q198" i="30"/>
  <c r="Q197" i="30"/>
  <c r="Q196" i="30"/>
  <c r="Q195" i="30"/>
  <c r="Q194" i="30"/>
  <c r="Q193" i="30"/>
  <c r="Q192" i="30"/>
  <c r="Q191" i="30"/>
  <c r="Q190" i="30"/>
  <c r="Q189" i="30"/>
  <c r="Q188" i="30"/>
  <c r="Q187" i="30"/>
  <c r="Q186" i="30"/>
  <c r="Q185" i="30"/>
  <c r="Q184" i="30"/>
  <c r="Q183" i="30"/>
  <c r="Q182" i="30"/>
  <c r="Q181" i="30"/>
  <c r="Q180" i="30"/>
  <c r="Q179" i="30"/>
  <c r="Q178" i="30"/>
  <c r="Q177" i="30"/>
  <c r="Q176" i="30"/>
  <c r="Q175" i="30"/>
  <c r="Q174" i="30"/>
  <c r="Q173" i="30"/>
  <c r="Q172" i="30"/>
  <c r="Q171" i="30"/>
  <c r="Q170" i="30"/>
  <c r="Q169" i="30"/>
  <c r="Q168" i="30"/>
  <c r="Q167" i="30"/>
  <c r="Q166" i="30"/>
  <c r="Q165" i="30"/>
  <c r="Q164" i="30"/>
  <c r="Q163" i="30"/>
  <c r="Q162" i="30"/>
  <c r="Q161" i="30"/>
  <c r="Q160" i="30"/>
  <c r="Q159" i="30"/>
  <c r="Q158" i="30"/>
  <c r="Q157" i="30"/>
  <c r="Q156" i="30"/>
  <c r="Q155" i="30"/>
  <c r="Q154" i="30"/>
  <c r="Q153" i="30"/>
  <c r="Q152" i="30"/>
  <c r="Q151" i="30"/>
  <c r="Q150" i="30"/>
  <c r="Q149" i="30"/>
  <c r="Q148" i="30"/>
  <c r="Q147" i="30"/>
  <c r="Q146" i="30"/>
  <c r="Q145" i="30"/>
  <c r="Q144" i="30"/>
  <c r="Q143" i="30"/>
  <c r="Q142" i="30"/>
  <c r="Q141" i="30"/>
  <c r="Q140" i="30"/>
  <c r="Q139" i="30"/>
  <c r="Q138" i="30"/>
  <c r="Q137" i="30"/>
  <c r="Q136" i="30"/>
  <c r="Q135" i="30"/>
  <c r="Q134" i="30"/>
  <c r="Q133" i="30"/>
  <c r="Q132" i="30"/>
  <c r="Q131" i="30"/>
  <c r="Q130" i="30"/>
  <c r="Q129" i="30"/>
  <c r="Q128" i="30"/>
  <c r="Q127" i="30"/>
  <c r="Q126" i="30"/>
  <c r="Q125" i="30"/>
  <c r="Q124" i="30"/>
  <c r="Q123" i="30"/>
  <c r="Q122" i="30"/>
  <c r="Q121" i="30"/>
  <c r="Q118" i="30"/>
  <c r="Q117" i="30"/>
  <c r="Q116" i="30"/>
  <c r="Q115" i="30"/>
  <c r="Q114" i="30"/>
  <c r="Q113" i="30"/>
  <c r="Q112" i="30"/>
  <c r="Q111" i="30"/>
  <c r="Q110" i="30"/>
  <c r="Q109" i="30"/>
  <c r="Q108" i="30"/>
  <c r="Q107" i="30"/>
  <c r="Q106" i="30"/>
  <c r="Q105" i="30"/>
  <c r="Q104" i="30"/>
  <c r="Q103" i="30"/>
  <c r="Q102" i="30"/>
  <c r="Q101" i="30"/>
  <c r="Q100" i="30"/>
  <c r="Q99" i="30"/>
  <c r="Q98" i="30"/>
  <c r="Q97" i="30"/>
  <c r="Q96" i="30"/>
  <c r="Q95" i="30"/>
  <c r="Q94" i="30"/>
  <c r="Q93" i="30"/>
  <c r="Q92" i="30"/>
  <c r="Q91" i="30"/>
  <c r="Q90" i="30"/>
  <c r="Q89" i="30"/>
  <c r="Q88" i="30"/>
  <c r="Q87" i="30"/>
  <c r="Q86" i="30"/>
  <c r="Q85" i="30"/>
  <c r="Q84" i="30"/>
  <c r="Q83" i="30"/>
  <c r="Q82" i="30"/>
  <c r="Q81" i="30"/>
  <c r="Q80" i="30"/>
  <c r="Q79" i="30"/>
  <c r="Q78" i="30"/>
  <c r="Q77" i="30"/>
  <c r="Q76" i="30"/>
  <c r="Q75" i="30"/>
  <c r="Q74" i="30"/>
  <c r="Q73" i="30"/>
  <c r="Q72" i="30"/>
  <c r="Q71" i="30"/>
  <c r="Q70" i="30"/>
  <c r="Q69" i="30"/>
  <c r="Q68" i="30"/>
  <c r="Q67" i="30"/>
  <c r="Q66" i="30"/>
  <c r="Q65" i="30"/>
  <c r="Q64" i="30"/>
  <c r="Q63" i="30"/>
  <c r="Q62" i="30"/>
  <c r="Q61" i="30"/>
  <c r="Q59" i="30"/>
  <c r="Q58" i="30"/>
  <c r="Q57" i="30"/>
  <c r="Q56" i="30"/>
  <c r="Q55" i="30"/>
  <c r="Q54" i="30"/>
  <c r="Q53" i="30"/>
  <c r="Q52" i="30"/>
  <c r="Q51" i="30"/>
  <c r="Q50" i="30"/>
  <c r="Q49" i="30"/>
  <c r="Q48" i="30"/>
  <c r="Q47" i="30"/>
  <c r="Q46" i="30"/>
  <c r="Q45" i="30"/>
  <c r="Q44" i="30"/>
  <c r="Q43" i="30"/>
  <c r="Q42" i="30"/>
  <c r="Q41" i="30"/>
  <c r="Q40" i="30"/>
  <c r="Q39" i="30"/>
  <c r="Q38" i="30"/>
  <c r="Q37" i="30"/>
  <c r="Q36" i="30"/>
  <c r="Q35" i="30"/>
  <c r="Q34" i="30"/>
  <c r="Q33" i="30"/>
  <c r="Q32" i="30"/>
  <c r="Q31" i="30"/>
  <c r="Q30" i="30"/>
  <c r="Q29" i="30"/>
  <c r="Q28" i="30"/>
  <c r="Q27" i="30"/>
  <c r="Q26" i="30"/>
  <c r="Q25" i="30"/>
  <c r="Q24" i="30"/>
  <c r="Q23" i="30"/>
  <c r="Q22" i="30"/>
  <c r="Q21" i="30"/>
  <c r="Q20" i="30"/>
  <c r="Q19" i="30"/>
  <c r="Q18" i="30"/>
  <c r="Q17" i="30"/>
  <c r="Q16" i="30"/>
  <c r="Q15" i="30"/>
  <c r="Q14" i="30"/>
  <c r="Q13" i="30"/>
  <c r="Q12" i="30"/>
  <c r="Q11" i="30"/>
  <c r="Q10" i="30"/>
  <c r="Q9" i="30"/>
  <c r="Q8" i="30"/>
  <c r="Q7" i="30"/>
  <c r="Q6" i="30"/>
  <c r="Q5" i="30"/>
  <c r="O5" i="30"/>
  <c r="O8" i="30"/>
  <c r="O7" i="30"/>
  <c r="O6" i="30"/>
  <c r="O904" i="30"/>
  <c r="O903" i="30"/>
  <c r="O902" i="30"/>
  <c r="O901" i="30"/>
  <c r="O900" i="30"/>
  <c r="O899" i="30"/>
  <c r="O898" i="30"/>
  <c r="O897" i="30"/>
  <c r="O896" i="30"/>
  <c r="O895" i="30"/>
  <c r="O894" i="30"/>
  <c r="O893" i="30"/>
  <c r="O892" i="30"/>
  <c r="O891" i="30"/>
  <c r="O890" i="30"/>
  <c r="O889" i="30"/>
  <c r="O888" i="30"/>
  <c r="O887" i="30"/>
  <c r="O886" i="30"/>
  <c r="O885" i="30"/>
  <c r="O884" i="30"/>
  <c r="O883" i="30"/>
  <c r="O882" i="30"/>
  <c r="O881" i="30"/>
  <c r="O880" i="30"/>
  <c r="O879" i="30"/>
  <c r="D1264" i="9" s="1"/>
  <c r="O878" i="30"/>
  <c r="D1263" i="9" s="1"/>
  <c r="O877" i="30"/>
  <c r="D1262" i="9" s="1"/>
  <c r="O876" i="30"/>
  <c r="O875" i="30"/>
  <c r="O874" i="30"/>
  <c r="O873" i="30"/>
  <c r="O872" i="30"/>
  <c r="O871" i="30"/>
  <c r="O870" i="30"/>
  <c r="O869" i="30"/>
  <c r="D1261" i="9" s="1"/>
  <c r="O868" i="30"/>
  <c r="D1260" i="9" s="1"/>
  <c r="O867" i="30"/>
  <c r="D1292" i="9" s="1"/>
  <c r="O866" i="30"/>
  <c r="O865" i="30"/>
  <c r="O864" i="30"/>
  <c r="O863" i="30"/>
  <c r="O862" i="30"/>
  <c r="D1259" i="9" s="1"/>
  <c r="O861" i="30"/>
  <c r="D1258" i="9" s="1"/>
  <c r="O860" i="30"/>
  <c r="D1257" i="9" s="1"/>
  <c r="O859" i="30"/>
  <c r="D1256" i="9" s="1"/>
  <c r="O858" i="30"/>
  <c r="O857" i="30"/>
  <c r="O856" i="30"/>
  <c r="O855" i="30"/>
  <c r="D1254" i="9" s="1"/>
  <c r="O854" i="30"/>
  <c r="O853" i="30"/>
  <c r="O852" i="30"/>
  <c r="O851" i="30"/>
  <c r="O850" i="30"/>
  <c r="D1253" i="9" s="1"/>
  <c r="O849" i="30"/>
  <c r="O848" i="30"/>
  <c r="O847" i="30"/>
  <c r="D1252" i="9" s="1"/>
  <c r="O846" i="30"/>
  <c r="D1251" i="9" s="1"/>
  <c r="O845" i="30"/>
  <c r="O844" i="30"/>
  <c r="O843" i="30"/>
  <c r="O842" i="30"/>
  <c r="D1250" i="9" s="1"/>
  <c r="O841" i="30"/>
  <c r="D1249" i="9" s="1"/>
  <c r="O840" i="30"/>
  <c r="O839" i="30"/>
  <c r="O838" i="30"/>
  <c r="O837" i="30"/>
  <c r="O836" i="30"/>
  <c r="O835" i="30"/>
  <c r="O834" i="30"/>
  <c r="O833" i="30"/>
  <c r="O832" i="30"/>
  <c r="O831" i="30"/>
  <c r="O830" i="30"/>
  <c r="O829" i="30"/>
  <c r="O828" i="30"/>
  <c r="O827" i="30"/>
  <c r="O826" i="30"/>
  <c r="O825" i="30"/>
  <c r="O824" i="30"/>
  <c r="O823" i="30"/>
  <c r="O822" i="30"/>
  <c r="O821" i="30"/>
  <c r="O820" i="30"/>
  <c r="O819" i="30"/>
  <c r="O818" i="30"/>
  <c r="O817" i="30"/>
  <c r="O816" i="30"/>
  <c r="O815" i="30"/>
  <c r="O814" i="30"/>
  <c r="O813" i="30"/>
  <c r="O812" i="30"/>
  <c r="O811" i="30"/>
  <c r="O810" i="30"/>
  <c r="O809" i="30"/>
  <c r="O808" i="30"/>
  <c r="O807" i="30"/>
  <c r="O806" i="30"/>
  <c r="O805" i="30"/>
  <c r="O804" i="30"/>
  <c r="O803" i="30"/>
  <c r="O802" i="30"/>
  <c r="O801" i="30"/>
  <c r="O800" i="30"/>
  <c r="O799" i="30"/>
  <c r="O798" i="30"/>
  <c r="O797" i="30"/>
  <c r="O796" i="30"/>
  <c r="O795" i="30"/>
  <c r="O794" i="30"/>
  <c r="O793" i="30"/>
  <c r="O792" i="30"/>
  <c r="O791" i="30"/>
  <c r="D1247" i="9" s="1"/>
  <c r="O790" i="30"/>
  <c r="D1246" i="9" s="1"/>
  <c r="O789" i="30"/>
  <c r="D1245" i="9" s="1"/>
  <c r="O788" i="30"/>
  <c r="D1244" i="9" s="1"/>
  <c r="O787" i="30"/>
  <c r="O786" i="30"/>
  <c r="O785" i="30"/>
  <c r="D1243" i="9" s="1"/>
  <c r="O784" i="30"/>
  <c r="O783" i="30"/>
  <c r="O782" i="30"/>
  <c r="O781" i="30"/>
  <c r="O780" i="30"/>
  <c r="O779" i="30"/>
  <c r="O778" i="30"/>
  <c r="O777" i="30"/>
  <c r="O776" i="30"/>
  <c r="O775" i="30"/>
  <c r="O774" i="30"/>
  <c r="O773" i="30"/>
  <c r="D1239" i="9" s="1"/>
  <c r="O772" i="30"/>
  <c r="O771" i="30"/>
  <c r="D1238" i="9" s="1"/>
  <c r="O770" i="30"/>
  <c r="D1237" i="9" s="1"/>
  <c r="O769" i="30"/>
  <c r="O768" i="30"/>
  <c r="O767" i="30"/>
  <c r="O766" i="30"/>
  <c r="D1234" i="9" s="1"/>
  <c r="O765" i="30"/>
  <c r="O764" i="30"/>
  <c r="O763" i="30"/>
  <c r="O762" i="30"/>
  <c r="O761" i="30"/>
  <c r="O760" i="30"/>
  <c r="O759" i="30"/>
  <c r="O758" i="30"/>
  <c r="O757" i="30"/>
  <c r="O756" i="30"/>
  <c r="O755" i="30"/>
  <c r="O754" i="30"/>
  <c r="O753" i="30"/>
  <c r="O752" i="30"/>
  <c r="O751" i="30"/>
  <c r="O750" i="30"/>
  <c r="O749" i="30"/>
  <c r="O748" i="30"/>
  <c r="O747" i="30"/>
  <c r="O746" i="30"/>
  <c r="O745" i="30"/>
  <c r="O744" i="30"/>
  <c r="O743" i="30"/>
  <c r="O742" i="30"/>
  <c r="O741" i="30"/>
  <c r="O740" i="30"/>
  <c r="O739" i="30"/>
  <c r="O738" i="30"/>
  <c r="O737" i="30"/>
  <c r="O736" i="30"/>
  <c r="O735" i="30"/>
  <c r="O734" i="30"/>
  <c r="O733" i="30"/>
  <c r="O732" i="30"/>
  <c r="O731" i="30"/>
  <c r="O730" i="30"/>
  <c r="O729" i="30"/>
  <c r="O728" i="30"/>
  <c r="O727" i="30"/>
  <c r="O726" i="30"/>
  <c r="O725" i="30"/>
  <c r="O724" i="30"/>
  <c r="O723" i="30"/>
  <c r="O722" i="30"/>
  <c r="O721" i="30"/>
  <c r="O720" i="30"/>
  <c r="O719" i="30"/>
  <c r="O718" i="30"/>
  <c r="O717" i="30"/>
  <c r="O716" i="30"/>
  <c r="O715" i="30"/>
  <c r="O714" i="30"/>
  <c r="O713" i="30"/>
  <c r="O712" i="30"/>
  <c r="O711" i="30"/>
  <c r="O710" i="30"/>
  <c r="O709" i="30"/>
  <c r="O708" i="30"/>
  <c r="O707" i="30"/>
  <c r="O706" i="30"/>
  <c r="O705" i="30"/>
  <c r="O704" i="30"/>
  <c r="O703" i="30"/>
  <c r="O554" i="30"/>
  <c r="O553" i="30"/>
  <c r="O552" i="30"/>
  <c r="O551" i="30"/>
  <c r="O550" i="30"/>
  <c r="O549" i="30"/>
  <c r="O548" i="30"/>
  <c r="O547" i="30"/>
  <c r="O546" i="30"/>
  <c r="O545" i="30"/>
  <c r="O544" i="30"/>
  <c r="O543" i="30"/>
  <c r="O542" i="30"/>
  <c r="O541" i="30"/>
  <c r="O540" i="30"/>
  <c r="O539" i="30"/>
  <c r="O538" i="30"/>
  <c r="O537" i="30"/>
  <c r="O536" i="30"/>
  <c r="O535" i="30"/>
  <c r="O534" i="30"/>
  <c r="O533" i="30"/>
  <c r="O532" i="30"/>
  <c r="O531" i="30"/>
  <c r="O530" i="30"/>
  <c r="O529" i="30"/>
  <c r="O528" i="30"/>
  <c r="O527" i="30"/>
  <c r="O526" i="30"/>
  <c r="O525" i="30"/>
  <c r="O524" i="30"/>
  <c r="O523" i="30"/>
  <c r="O522" i="30"/>
  <c r="O521" i="30"/>
  <c r="O520" i="30"/>
  <c r="O519" i="30"/>
  <c r="O518" i="30"/>
  <c r="O517" i="30"/>
  <c r="O516" i="30"/>
  <c r="O515" i="30"/>
  <c r="O514" i="30"/>
  <c r="O513" i="30"/>
  <c r="O512" i="30"/>
  <c r="O511" i="30"/>
  <c r="O510" i="30"/>
  <c r="O509" i="30"/>
  <c r="O508" i="30"/>
  <c r="O507" i="30"/>
  <c r="O506" i="30"/>
  <c r="O505" i="30"/>
  <c r="O504" i="30"/>
  <c r="O503" i="30"/>
  <c r="O502" i="30"/>
  <c r="O501" i="30"/>
  <c r="O500" i="30"/>
  <c r="O499" i="30"/>
  <c r="O498" i="30"/>
  <c r="O497" i="30"/>
  <c r="O496" i="30"/>
  <c r="O495" i="30"/>
  <c r="O494" i="30"/>
  <c r="O493" i="30"/>
  <c r="O492" i="30"/>
  <c r="O491" i="30"/>
  <c r="O490" i="30"/>
  <c r="O489" i="30"/>
  <c r="O488" i="30"/>
  <c r="O487" i="30"/>
  <c r="O486" i="30"/>
  <c r="O485" i="30"/>
  <c r="O484" i="30"/>
  <c r="O483" i="30"/>
  <c r="O482" i="30"/>
  <c r="O481" i="30"/>
  <c r="O480" i="30"/>
  <c r="O479" i="30"/>
  <c r="O478" i="30"/>
  <c r="O477" i="30"/>
  <c r="O476" i="30"/>
  <c r="O475" i="30"/>
  <c r="O474" i="30"/>
  <c r="O473" i="30"/>
  <c r="O472" i="30"/>
  <c r="O471" i="30"/>
  <c r="O470" i="30"/>
  <c r="O469" i="30"/>
  <c r="O468" i="30"/>
  <c r="O467" i="30"/>
  <c r="O466" i="30"/>
  <c r="O465" i="30"/>
  <c r="O464" i="30"/>
  <c r="O463" i="30"/>
  <c r="O462" i="30"/>
  <c r="O461" i="30"/>
  <c r="O460" i="30"/>
  <c r="O459" i="30"/>
  <c r="O458" i="30"/>
  <c r="O457" i="30"/>
  <c r="O456" i="30"/>
  <c r="O455" i="30"/>
  <c r="O454" i="30"/>
  <c r="O453" i="30"/>
  <c r="O452" i="30"/>
  <c r="O451" i="30"/>
  <c r="O450" i="30"/>
  <c r="O449" i="30"/>
  <c r="O448" i="30"/>
  <c r="O447" i="30"/>
  <c r="O446" i="30"/>
  <c r="O445" i="30"/>
  <c r="O444" i="30"/>
  <c r="O443" i="30"/>
  <c r="O442" i="30"/>
  <c r="O441" i="30"/>
  <c r="O440" i="30"/>
  <c r="O439" i="30"/>
  <c r="O438" i="30"/>
  <c r="O437" i="30"/>
  <c r="O436" i="30"/>
  <c r="O435" i="30"/>
  <c r="O434" i="30"/>
  <c r="O433" i="30"/>
  <c r="O432" i="30"/>
  <c r="O431" i="30"/>
  <c r="O430" i="30"/>
  <c r="O429" i="30"/>
  <c r="O428" i="30"/>
  <c r="O427" i="30"/>
  <c r="O426" i="30"/>
  <c r="O425" i="30"/>
  <c r="O424" i="30"/>
  <c r="O423" i="30"/>
  <c r="O422" i="30"/>
  <c r="O421" i="30"/>
  <c r="O420" i="30"/>
  <c r="O419" i="30"/>
  <c r="O418" i="30"/>
  <c r="O417" i="30"/>
  <c r="O416" i="30"/>
  <c r="O415" i="30"/>
  <c r="O414" i="30"/>
  <c r="O413" i="30"/>
  <c r="O412" i="30"/>
  <c r="O411" i="30"/>
  <c r="O410" i="30"/>
  <c r="O409" i="30"/>
  <c r="O408" i="30"/>
  <c r="O407" i="30"/>
  <c r="O406" i="30"/>
  <c r="O405" i="30"/>
  <c r="O404" i="30"/>
  <c r="O403" i="30"/>
  <c r="O402" i="30"/>
  <c r="O401" i="30"/>
  <c r="O400" i="30"/>
  <c r="O399" i="30"/>
  <c r="O398" i="30"/>
  <c r="O397" i="30"/>
  <c r="O396" i="30"/>
  <c r="O395" i="30"/>
  <c r="O394" i="30"/>
  <c r="O393" i="30"/>
  <c r="O392" i="30"/>
  <c r="O391" i="30"/>
  <c r="O390" i="30"/>
  <c r="O389" i="30"/>
  <c r="O388" i="30"/>
  <c r="O387" i="30"/>
  <c r="O386" i="30"/>
  <c r="O385" i="30"/>
  <c r="O384" i="30"/>
  <c r="O383" i="30"/>
  <c r="O382" i="30"/>
  <c r="O381" i="30"/>
  <c r="O380" i="30"/>
  <c r="O379" i="30"/>
  <c r="O378" i="30"/>
  <c r="O377" i="30"/>
  <c r="O376" i="30"/>
  <c r="O375" i="30"/>
  <c r="O374" i="30"/>
  <c r="O373" i="30"/>
  <c r="O372" i="30"/>
  <c r="O371" i="30"/>
  <c r="O370" i="30"/>
  <c r="O369" i="30"/>
  <c r="O368" i="30"/>
  <c r="O367" i="30"/>
  <c r="O366" i="30"/>
  <c r="O365" i="30"/>
  <c r="O364" i="30"/>
  <c r="O363" i="30"/>
  <c r="O362" i="30"/>
  <c r="O361" i="30"/>
  <c r="O360" i="30"/>
  <c r="O359" i="30"/>
  <c r="O358" i="30"/>
  <c r="O357" i="30"/>
  <c r="O356" i="30"/>
  <c r="O355" i="30"/>
  <c r="O354" i="30"/>
  <c r="O353" i="30"/>
  <c r="O352" i="30"/>
  <c r="O351" i="30"/>
  <c r="O350" i="30"/>
  <c r="O349" i="30"/>
  <c r="O348" i="30"/>
  <c r="O347" i="30"/>
  <c r="O346" i="30"/>
  <c r="O345" i="30"/>
  <c r="O344" i="30"/>
  <c r="O343" i="30"/>
  <c r="O342" i="30"/>
  <c r="O341" i="30"/>
  <c r="O340" i="30"/>
  <c r="O339" i="30"/>
  <c r="O338" i="30"/>
  <c r="O337" i="30"/>
  <c r="O336" i="30"/>
  <c r="O335" i="30"/>
  <c r="O334" i="30"/>
  <c r="O333" i="30"/>
  <c r="O332" i="30"/>
  <c r="O331" i="30"/>
  <c r="O330" i="30"/>
  <c r="O329" i="30"/>
  <c r="O328" i="30"/>
  <c r="O327" i="30"/>
  <c r="O326" i="30"/>
  <c r="O325" i="30"/>
  <c r="O324" i="30"/>
  <c r="O323" i="30"/>
  <c r="O322" i="30"/>
  <c r="O321" i="30"/>
  <c r="O320" i="30"/>
  <c r="O319" i="30"/>
  <c r="O318" i="30"/>
  <c r="O317" i="30"/>
  <c r="O316" i="30"/>
  <c r="O315" i="30"/>
  <c r="O314" i="30"/>
  <c r="O313" i="30"/>
  <c r="O312" i="30"/>
  <c r="O311" i="30"/>
  <c r="O310" i="30"/>
  <c r="O309" i="30"/>
  <c r="O308" i="30"/>
  <c r="O307" i="30"/>
  <c r="O306" i="30"/>
  <c r="O305" i="30"/>
  <c r="O304" i="30"/>
  <c r="O303" i="30"/>
  <c r="O302" i="30"/>
  <c r="O301" i="30"/>
  <c r="O300" i="30"/>
  <c r="O299" i="30"/>
  <c r="O298" i="30"/>
  <c r="O297" i="30"/>
  <c r="O295" i="30"/>
  <c r="O294" i="30"/>
  <c r="O293" i="30"/>
  <c r="O292" i="30"/>
  <c r="O291" i="30"/>
  <c r="O290" i="30"/>
  <c r="O289" i="30"/>
  <c r="O288" i="30"/>
  <c r="O287" i="30"/>
  <c r="O286" i="30"/>
  <c r="O285" i="30"/>
  <c r="O284" i="30"/>
  <c r="O283" i="30"/>
  <c r="O282" i="30"/>
  <c r="O281" i="30"/>
  <c r="O280" i="30"/>
  <c r="O279" i="30"/>
  <c r="O278" i="30"/>
  <c r="O277" i="30"/>
  <c r="O276" i="30"/>
  <c r="O275" i="30"/>
  <c r="O274" i="30"/>
  <c r="O273" i="30"/>
  <c r="O272" i="30"/>
  <c r="O271" i="30"/>
  <c r="O270" i="30"/>
  <c r="O269" i="30"/>
  <c r="O268" i="30"/>
  <c r="O267" i="30"/>
  <c r="O266" i="30"/>
  <c r="O265" i="30"/>
  <c r="O264" i="30"/>
  <c r="O263" i="30"/>
  <c r="O262" i="30"/>
  <c r="O261" i="30"/>
  <c r="O260" i="30"/>
  <c r="O259"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9" i="30"/>
  <c r="O208" i="30"/>
  <c r="O207" i="30"/>
  <c r="O206" i="30"/>
  <c r="O205" i="30"/>
  <c r="O204" i="30"/>
  <c r="O203" i="30"/>
  <c r="O202" i="30"/>
  <c r="O201" i="30"/>
  <c r="O200" i="30"/>
  <c r="O199" i="30"/>
  <c r="O198" i="30"/>
  <c r="O197" i="30"/>
  <c r="O196" i="30"/>
  <c r="O195" i="30"/>
  <c r="O194" i="30"/>
  <c r="O193" i="30"/>
  <c r="O192" i="30"/>
  <c r="O191" i="30"/>
  <c r="O190" i="30"/>
  <c r="O189" i="30"/>
  <c r="O188" i="30"/>
  <c r="O187" i="30"/>
  <c r="O186" i="30"/>
  <c r="O185" i="30"/>
  <c r="O184" i="30"/>
  <c r="O183" i="30"/>
  <c r="O182" i="30"/>
  <c r="O181" i="30"/>
  <c r="O180" i="30"/>
  <c r="O179" i="30"/>
  <c r="O178" i="30"/>
  <c r="O177" i="30"/>
  <c r="O176" i="30"/>
  <c r="O175" i="30"/>
  <c r="O174" i="30"/>
  <c r="O173" i="30"/>
  <c r="O172" i="30"/>
  <c r="O171" i="30"/>
  <c r="O170" i="30"/>
  <c r="O169" i="30"/>
  <c r="O168" i="30"/>
  <c r="O167" i="30"/>
  <c r="O166" i="30"/>
  <c r="O165" i="30"/>
  <c r="O164" i="30"/>
  <c r="O163" i="30"/>
  <c r="O162" i="30"/>
  <c r="O161" i="30"/>
  <c r="O160" i="30"/>
  <c r="O159" i="30"/>
  <c r="O158" i="30"/>
  <c r="O157" i="30"/>
  <c r="O156" i="30"/>
  <c r="O155" i="30"/>
  <c r="O154" i="30"/>
  <c r="O153" i="30"/>
  <c r="O152" i="30"/>
  <c r="O151" i="30"/>
  <c r="O150" i="30"/>
  <c r="O149" i="30"/>
  <c r="O148" i="30"/>
  <c r="O147" i="30"/>
  <c r="O146" i="30"/>
  <c r="O145" i="30"/>
  <c r="O144" i="30"/>
  <c r="O143" i="30"/>
  <c r="O142" i="30"/>
  <c r="O141" i="30"/>
  <c r="O140" i="30"/>
  <c r="O139" i="30"/>
  <c r="O138" i="30"/>
  <c r="O137" i="30"/>
  <c r="O136" i="30"/>
  <c r="O135" i="30"/>
  <c r="O134" i="30"/>
  <c r="O133" i="30"/>
  <c r="O132" i="30"/>
  <c r="O131" i="30"/>
  <c r="O130" i="30"/>
  <c r="O129" i="30"/>
  <c r="O128" i="30"/>
  <c r="O127" i="30"/>
  <c r="O126" i="30"/>
  <c r="O125" i="30"/>
  <c r="O124" i="30"/>
  <c r="O123" i="30"/>
  <c r="O122" i="30"/>
  <c r="O121" i="30"/>
  <c r="O118" i="30"/>
  <c r="O117" i="30"/>
  <c r="O116" i="30"/>
  <c r="O115" i="30"/>
  <c r="O114"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4" i="30"/>
  <c r="O83" i="30"/>
  <c r="O82" i="30"/>
  <c r="O81" i="30"/>
  <c r="O80" i="30"/>
  <c r="O79" i="30"/>
  <c r="O78" i="30"/>
  <c r="O77" i="30"/>
  <c r="O76" i="30"/>
  <c r="O75" i="30"/>
  <c r="O74" i="30"/>
  <c r="O73" i="30"/>
  <c r="O72" i="30"/>
  <c r="O71" i="30"/>
  <c r="O70" i="30"/>
  <c r="O69" i="30"/>
  <c r="O68" i="30"/>
  <c r="O67" i="30"/>
  <c r="O66" i="30"/>
  <c r="O65" i="30"/>
  <c r="O64" i="30"/>
  <c r="O63" i="30"/>
  <c r="O62" i="30"/>
  <c r="O61" i="30"/>
  <c r="O59" i="30"/>
  <c r="O58" i="30"/>
  <c r="O57" i="30"/>
  <c r="O56" i="30"/>
  <c r="O55" i="30"/>
  <c r="O54" i="30"/>
  <c r="O53" i="30"/>
  <c r="O52" i="30"/>
  <c r="O51" i="30"/>
  <c r="O50" i="30"/>
  <c r="O49" i="30"/>
  <c r="O48" i="30"/>
  <c r="O47" i="30"/>
  <c r="O46" i="30"/>
  <c r="O45" i="30"/>
  <c r="O44" i="30"/>
  <c r="O43" i="30"/>
  <c r="O42" i="30"/>
  <c r="O41" i="30"/>
  <c r="O40" i="30"/>
  <c r="O39" i="30"/>
  <c r="O38" i="30"/>
  <c r="O37" i="30"/>
  <c r="O36" i="30"/>
  <c r="O35" i="30"/>
  <c r="O34" i="30"/>
  <c r="O33" i="30"/>
  <c r="O32" i="30"/>
  <c r="O31" i="30"/>
  <c r="O30" i="30"/>
  <c r="O29" i="30"/>
  <c r="O28" i="30"/>
  <c r="O27" i="30"/>
  <c r="O26" i="30"/>
  <c r="O25" i="30"/>
  <c r="O24" i="30"/>
  <c r="O23" i="30"/>
  <c r="O22" i="30"/>
  <c r="O21" i="30"/>
  <c r="O20" i="30"/>
  <c r="O19" i="30"/>
  <c r="O18" i="30"/>
  <c r="O17" i="30"/>
  <c r="O16" i="30"/>
  <c r="O15" i="30"/>
  <c r="O14" i="30"/>
  <c r="O13" i="30"/>
  <c r="O12" i="30"/>
  <c r="O11" i="30"/>
  <c r="O10" i="30"/>
  <c r="O9" i="30"/>
  <c r="D1278" i="9" l="1"/>
  <c r="D1241" i="9"/>
  <c r="D1248" i="9"/>
  <c r="D1255" i="9"/>
  <c r="D1207" i="9"/>
  <c r="D1221" i="9"/>
  <c r="D1288" i="9"/>
  <c r="D1293" i="9"/>
  <c r="D1294" i="9" s="1"/>
  <c r="D1300" i="9"/>
  <c r="D1287" i="9"/>
  <c r="D1280" i="9"/>
  <c r="D1231" i="9"/>
  <c r="D1229" i="9"/>
  <c r="D1232" i="9"/>
  <c r="D1230" i="9"/>
  <c r="D1213" i="9"/>
  <c r="O910" i="30"/>
  <c r="O911" i="30"/>
  <c r="Q910" i="30"/>
  <c r="Q911" i="30"/>
  <c r="D1266" i="9" l="1"/>
  <c r="D1222" i="9"/>
  <c r="D1235" i="9"/>
  <c r="F1235" i="9" s="1"/>
  <c r="F1278" i="9"/>
  <c r="O912" i="30"/>
  <c r="Q912" i="30"/>
  <c r="K903" i="30" l="1"/>
  <c r="Q908" i="30"/>
  <c r="Q907" i="30"/>
  <c r="Q906" i="30"/>
  <c r="M817" i="30"/>
  <c r="K817" i="30"/>
  <c r="I817" i="30"/>
  <c r="G817" i="30"/>
  <c r="I981" i="9" s="1"/>
  <c r="M816" i="30"/>
  <c r="K816" i="30"/>
  <c r="I816" i="30"/>
  <c r="G816" i="30"/>
  <c r="I980" i="9" s="1"/>
  <c r="M804" i="30"/>
  <c r="K804" i="30"/>
  <c r="I804" i="30"/>
  <c r="G804" i="30"/>
  <c r="C463" i="6" s="1"/>
  <c r="G463" i="6" s="1"/>
  <c r="L463" i="6" s="1"/>
  <c r="Z463" i="6" s="1"/>
  <c r="M765" i="30"/>
  <c r="K765" i="30"/>
  <c r="I765" i="30"/>
  <c r="G765" i="30"/>
  <c r="M728" i="30"/>
  <c r="K728" i="30"/>
  <c r="I728" i="30"/>
  <c r="G728" i="30"/>
  <c r="C414" i="6" s="1"/>
  <c r="G414" i="6" s="1"/>
  <c r="H414" i="6" s="1"/>
  <c r="Z414" i="6" s="1"/>
  <c r="M387" i="30"/>
  <c r="K387" i="30"/>
  <c r="I387" i="30"/>
  <c r="G387" i="30"/>
  <c r="C194" i="6" s="1"/>
  <c r="M61" i="30"/>
  <c r="K61" i="30"/>
  <c r="F49" i="6" s="1"/>
  <c r="I61" i="30"/>
  <c r="G61" i="30"/>
  <c r="D90" i="9" s="1"/>
  <c r="M59" i="30"/>
  <c r="K59" i="30"/>
  <c r="F47" i="6" s="1"/>
  <c r="I59" i="30"/>
  <c r="G59" i="30"/>
  <c r="D123" i="9" s="1"/>
  <c r="M38" i="30"/>
  <c r="K38" i="30"/>
  <c r="I38" i="30"/>
  <c r="G38" i="30"/>
  <c r="D88" i="9" s="1"/>
  <c r="M37" i="30"/>
  <c r="K37" i="30"/>
  <c r="F29" i="6" s="1"/>
  <c r="I37" i="30"/>
  <c r="G37" i="30"/>
  <c r="D127" i="9" s="1"/>
  <c r="P525" i="6"/>
  <c r="K525" i="6"/>
  <c r="C470" i="6" l="1"/>
  <c r="E470" i="6" s="1"/>
  <c r="D194" i="6" s="1"/>
  <c r="L981" i="9"/>
  <c r="C469" i="6"/>
  <c r="E469" i="6" s="1"/>
  <c r="D191" i="6" s="1"/>
  <c r="L980" i="9"/>
  <c r="C29" i="6"/>
  <c r="G29" i="6" s="1"/>
  <c r="Z29" i="6" s="1"/>
  <c r="C49" i="6"/>
  <c r="G49" i="6" s="1"/>
  <c r="Z49" i="6" s="1"/>
  <c r="C47" i="6"/>
  <c r="G47" i="6" s="1"/>
  <c r="Z47" i="6" s="1"/>
  <c r="K51" i="30"/>
  <c r="K50" i="30"/>
  <c r="K49" i="30"/>
  <c r="K48" i="30"/>
  <c r="K45" i="30"/>
  <c r="K43" i="30"/>
  <c r="K42" i="30"/>
  <c r="K41" i="30"/>
  <c r="K29" i="30"/>
  <c r="K28" i="30"/>
  <c r="K27" i="30"/>
  <c r="K26" i="30"/>
  <c r="K24" i="30"/>
  <c r="K23" i="30"/>
  <c r="K22" i="30"/>
  <c r="K21" i="30"/>
  <c r="K19" i="30"/>
  <c r="K18" i="30"/>
  <c r="K17" i="30"/>
  <c r="K16" i="30"/>
  <c r="G469" i="6" l="1"/>
  <c r="Z469" i="6" s="1"/>
  <c r="G470" i="6"/>
  <c r="Z470" i="6" s="1"/>
  <c r="I73" i="14"/>
  <c r="F1189" i="9" l="1"/>
  <c r="F1191" i="9" l="1"/>
  <c r="F1190" i="9"/>
  <c r="F1188" i="9"/>
  <c r="I702" i="30"/>
  <c r="I701" i="30"/>
  <c r="I700" i="30"/>
  <c r="I699" i="30"/>
  <c r="I698" i="30"/>
  <c r="I697" i="30"/>
  <c r="I696" i="30"/>
  <c r="I695" i="30"/>
  <c r="I694" i="30"/>
  <c r="I693" i="30"/>
  <c r="I692" i="30"/>
  <c r="I691" i="30"/>
  <c r="I690" i="30"/>
  <c r="I689" i="30"/>
  <c r="I688" i="30"/>
  <c r="I687" i="30"/>
  <c r="I686" i="30"/>
  <c r="I685" i="30"/>
  <c r="I684" i="30"/>
  <c r="I683" i="30"/>
  <c r="I682" i="30"/>
  <c r="I681" i="30"/>
  <c r="I680" i="30"/>
  <c r="I679" i="30"/>
  <c r="I678" i="30"/>
  <c r="I677" i="30"/>
  <c r="I676" i="30"/>
  <c r="I675" i="30"/>
  <c r="I674" i="30"/>
  <c r="I673" i="30"/>
  <c r="I672" i="30"/>
  <c r="I671" i="30"/>
  <c r="I670" i="30"/>
  <c r="I669" i="30"/>
  <c r="I668" i="30"/>
  <c r="I667" i="30"/>
  <c r="I665" i="30"/>
  <c r="I664" i="30"/>
  <c r="I663" i="30"/>
  <c r="I662" i="30"/>
  <c r="I661" i="30"/>
  <c r="I658" i="30"/>
  <c r="I657" i="30"/>
  <c r="I656" i="30"/>
  <c r="I655" i="30"/>
  <c r="I654" i="30"/>
  <c r="I653" i="30"/>
  <c r="I652" i="30"/>
  <c r="I651" i="30"/>
  <c r="I650" i="30"/>
  <c r="I649" i="30"/>
  <c r="I648" i="30"/>
  <c r="I647" i="30"/>
  <c r="I646" i="30"/>
  <c r="I645" i="30"/>
  <c r="I644" i="30"/>
  <c r="I643" i="30"/>
  <c r="I642" i="30"/>
  <c r="I641" i="30"/>
  <c r="I640" i="30"/>
  <c r="I639" i="30"/>
  <c r="I638" i="30"/>
  <c r="I637" i="30"/>
  <c r="I636" i="30"/>
  <c r="I635" i="30"/>
  <c r="I634" i="30"/>
  <c r="I633" i="30"/>
  <c r="I632" i="30"/>
  <c r="I631" i="30"/>
  <c r="I630" i="30"/>
  <c r="I629" i="30"/>
  <c r="I628" i="30"/>
  <c r="I627" i="30"/>
  <c r="I626" i="30"/>
  <c r="I625" i="30"/>
  <c r="I624" i="30"/>
  <c r="I623" i="30"/>
  <c r="I622" i="30"/>
  <c r="I621" i="30"/>
  <c r="I620" i="30"/>
  <c r="I619" i="30"/>
  <c r="I618" i="30"/>
  <c r="I617" i="30"/>
  <c r="I616" i="30"/>
  <c r="I615" i="30"/>
  <c r="I614" i="30"/>
  <c r="I613" i="30"/>
  <c r="I612" i="30"/>
  <c r="I611" i="30"/>
  <c r="I610" i="30"/>
  <c r="I609" i="30"/>
  <c r="I608" i="30"/>
  <c r="I607" i="30"/>
  <c r="I606" i="30"/>
  <c r="I605" i="30"/>
  <c r="I604" i="30"/>
  <c r="I603" i="30"/>
  <c r="I602" i="30"/>
  <c r="I601" i="30"/>
  <c r="I600" i="30"/>
  <c r="I599" i="30"/>
  <c r="I598" i="30"/>
  <c r="I597" i="30"/>
  <c r="I596" i="30"/>
  <c r="I595" i="30"/>
  <c r="I594" i="30"/>
  <c r="I593" i="30"/>
  <c r="I592" i="30"/>
  <c r="I591" i="30"/>
  <c r="I590" i="30"/>
  <c r="I589" i="30"/>
  <c r="I588" i="30"/>
  <c r="I587" i="30"/>
  <c r="I586" i="30"/>
  <c r="I585" i="30"/>
  <c r="I584" i="30"/>
  <c r="I583" i="30"/>
  <c r="I582" i="30"/>
  <c r="I581" i="30"/>
  <c r="I580" i="30"/>
  <c r="I579" i="30"/>
  <c r="I578" i="30"/>
  <c r="I577" i="30"/>
  <c r="I576" i="30"/>
  <c r="I575" i="30"/>
  <c r="I574" i="30"/>
  <c r="I573" i="30"/>
  <c r="I572" i="30"/>
  <c r="I571" i="30"/>
  <c r="I570" i="30"/>
  <c r="I569" i="30"/>
  <c r="I568" i="30"/>
  <c r="I567" i="30"/>
  <c r="I566" i="30"/>
  <c r="I565" i="30"/>
  <c r="I564" i="30"/>
  <c r="I563" i="30"/>
  <c r="I562" i="30"/>
  <c r="I561" i="30"/>
  <c r="I560" i="30"/>
  <c r="I559" i="30"/>
  <c r="I558" i="30"/>
  <c r="I557" i="30"/>
  <c r="I556" i="30"/>
  <c r="I555" i="30"/>
  <c r="M554" i="30"/>
  <c r="M553" i="30"/>
  <c r="M552" i="30"/>
  <c r="M551" i="30"/>
  <c r="M550" i="30"/>
  <c r="M549" i="30"/>
  <c r="M548" i="30"/>
  <c r="M547" i="30"/>
  <c r="M546" i="30"/>
  <c r="M545" i="30"/>
  <c r="M544" i="30"/>
  <c r="M543" i="30"/>
  <c r="M542" i="30"/>
  <c r="M541" i="30"/>
  <c r="M540" i="30"/>
  <c r="I554" i="30"/>
  <c r="I553" i="30"/>
  <c r="I552" i="30"/>
  <c r="I551" i="30"/>
  <c r="I550" i="30"/>
  <c r="I549" i="30"/>
  <c r="I548" i="30"/>
  <c r="I547" i="30"/>
  <c r="I546" i="30"/>
  <c r="I545" i="30"/>
  <c r="I544" i="30"/>
  <c r="I543" i="30"/>
  <c r="I542" i="30"/>
  <c r="I541" i="30"/>
  <c r="I540" i="30"/>
  <c r="M908" i="30" l="1"/>
  <c r="M980" i="9"/>
  <c r="C432" i="6" l="1"/>
  <c r="I79" i="14"/>
  <c r="D1281" i="9"/>
  <c r="F1281" i="9" s="1"/>
  <c r="K725" i="30"/>
  <c r="G766" i="30"/>
  <c r="C1234" i="9" s="1"/>
  <c r="G771" i="30"/>
  <c r="C1238" i="9" s="1"/>
  <c r="F1192" i="9"/>
  <c r="C433" i="6" l="1"/>
  <c r="G433" i="6" s="1"/>
  <c r="L433" i="6" s="1"/>
  <c r="Z433" i="6" s="1"/>
  <c r="C982" i="9" l="1"/>
  <c r="D982" i="9"/>
  <c r="I109" i="21" l="1"/>
  <c r="H109" i="21"/>
  <c r="G109" i="21"/>
  <c r="J109" i="21"/>
  <c r="I103" i="21"/>
  <c r="H103" i="21"/>
  <c r="G103" i="21"/>
  <c r="N102" i="21"/>
  <c r="N101" i="21"/>
  <c r="N100" i="21"/>
  <c r="N99" i="21"/>
  <c r="N97" i="21"/>
  <c r="I93" i="21"/>
  <c r="H93" i="21"/>
  <c r="N75" i="21"/>
  <c r="N74" i="21"/>
  <c r="N73" i="21"/>
  <c r="N72" i="21"/>
  <c r="N71" i="21"/>
  <c r="N70" i="21"/>
  <c r="N69" i="21"/>
  <c r="N68" i="21"/>
  <c r="N67" i="21"/>
  <c r="N66" i="21"/>
  <c r="N65" i="21"/>
  <c r="N64" i="21"/>
  <c r="N63" i="21"/>
  <c r="N62" i="21"/>
  <c r="N61" i="21"/>
  <c r="J40" i="21"/>
  <c r="I40" i="21"/>
  <c r="H40" i="21"/>
  <c r="G40" i="21"/>
  <c r="I36" i="21"/>
  <c r="H36" i="21"/>
  <c r="G36" i="21"/>
  <c r="J36" i="21"/>
  <c r="I32" i="21"/>
  <c r="H32" i="21"/>
  <c r="J32" i="21" l="1"/>
  <c r="J103" i="21"/>
  <c r="J93" i="21"/>
  <c r="N108" i="21"/>
  <c r="N60" i="21"/>
  <c r="N98" i="21"/>
  <c r="E63" i="9" l="1"/>
  <c r="E62" i="9"/>
  <c r="E60" i="9"/>
  <c r="C63" i="9"/>
  <c r="C62" i="9"/>
  <c r="G50" i="9"/>
  <c r="G51" i="9"/>
  <c r="G48" i="9"/>
  <c r="G46" i="9"/>
  <c r="G45" i="9"/>
  <c r="G44" i="9"/>
  <c r="E51" i="9"/>
  <c r="E50" i="9"/>
  <c r="E48" i="9"/>
  <c r="E46" i="9"/>
  <c r="E45" i="9"/>
  <c r="E44" i="9"/>
  <c r="E39" i="9"/>
  <c r="E38" i="9"/>
  <c r="E37" i="9"/>
  <c r="E35" i="9"/>
  <c r="E34" i="9"/>
  <c r="E33" i="9"/>
  <c r="E32" i="9"/>
  <c r="E31" i="9"/>
  <c r="E30" i="9"/>
  <c r="G41" i="8" l="1"/>
  <c r="K820" i="30" l="1"/>
  <c r="K819" i="30"/>
  <c r="M727" i="30"/>
  <c r="K727" i="30"/>
  <c r="M539" i="30"/>
  <c r="M538" i="30"/>
  <c r="M537" i="30"/>
  <c r="M536" i="30"/>
  <c r="M535" i="30"/>
  <c r="M534" i="30"/>
  <c r="M533" i="30"/>
  <c r="M532" i="30"/>
  <c r="M531" i="30"/>
  <c r="M530" i="30"/>
  <c r="M529" i="30"/>
  <c r="M528" i="30"/>
  <c r="M527" i="30"/>
  <c r="M526" i="30"/>
  <c r="M525" i="30"/>
  <c r="M524" i="30"/>
  <c r="M523" i="30"/>
  <c r="M522" i="30"/>
  <c r="M521" i="30"/>
  <c r="M520" i="30"/>
  <c r="M519" i="30"/>
  <c r="M518" i="30"/>
  <c r="M517" i="30"/>
  <c r="M516" i="30"/>
  <c r="M515" i="30"/>
  <c r="M514" i="30"/>
  <c r="M513" i="30"/>
  <c r="M512" i="30"/>
  <c r="M511" i="30"/>
  <c r="M510" i="30"/>
  <c r="M509" i="30"/>
  <c r="M508" i="30"/>
  <c r="M507" i="30"/>
  <c r="M506" i="30"/>
  <c r="M505" i="30"/>
  <c r="M504" i="30"/>
  <c r="M503" i="30"/>
  <c r="M502" i="30"/>
  <c r="M501" i="30"/>
  <c r="M500" i="30"/>
  <c r="M499" i="30"/>
  <c r="M498" i="30"/>
  <c r="M497" i="30"/>
  <c r="M496" i="30"/>
  <c r="M495" i="30"/>
  <c r="M494" i="30"/>
  <c r="M493" i="30"/>
  <c r="M492" i="30"/>
  <c r="M491" i="30"/>
  <c r="M490" i="30"/>
  <c r="M489" i="30"/>
  <c r="M488" i="30"/>
  <c r="M487" i="30"/>
  <c r="M486" i="30"/>
  <c r="M485" i="30"/>
  <c r="M484" i="30"/>
  <c r="M483" i="30"/>
  <c r="M482" i="30"/>
  <c r="M481" i="30"/>
  <c r="M480" i="30"/>
  <c r="M479" i="30"/>
  <c r="M478" i="30"/>
  <c r="M477" i="30"/>
  <c r="M476" i="30"/>
  <c r="M475" i="30"/>
  <c r="M474" i="30"/>
  <c r="M473" i="30"/>
  <c r="M472" i="30"/>
  <c r="M471" i="30"/>
  <c r="M470" i="30"/>
  <c r="M469" i="30"/>
  <c r="M468" i="30"/>
  <c r="M467" i="30"/>
  <c r="M466" i="30"/>
  <c r="M465" i="30"/>
  <c r="M464" i="30"/>
  <c r="M463" i="30"/>
  <c r="M462" i="30"/>
  <c r="M461" i="30"/>
  <c r="M460" i="30"/>
  <c r="M459" i="30"/>
  <c r="M458" i="30"/>
  <c r="M457" i="30"/>
  <c r="M456" i="30"/>
  <c r="M455" i="30"/>
  <c r="M454" i="30"/>
  <c r="M453" i="30"/>
  <c r="M452" i="30"/>
  <c r="M451" i="30"/>
  <c r="M450" i="30"/>
  <c r="M449" i="30"/>
  <c r="M448" i="30"/>
  <c r="M447" i="30"/>
  <c r="M446" i="30"/>
  <c r="M445" i="30"/>
  <c r="M444" i="30"/>
  <c r="M443" i="30"/>
  <c r="M442" i="30"/>
  <c r="M441" i="30"/>
  <c r="M440" i="30"/>
  <c r="M439" i="30"/>
  <c r="M438" i="30"/>
  <c r="M437" i="30"/>
  <c r="M436" i="30"/>
  <c r="M435" i="30"/>
  <c r="M434" i="30"/>
  <c r="M433" i="30"/>
  <c r="M432" i="30"/>
  <c r="M431" i="30"/>
  <c r="M430" i="30"/>
  <c r="M429" i="30"/>
  <c r="M428" i="30"/>
  <c r="M427" i="30"/>
  <c r="M426" i="30"/>
  <c r="M425" i="30"/>
  <c r="M424" i="30"/>
  <c r="M423" i="30"/>
  <c r="M422" i="30"/>
  <c r="M421" i="30"/>
  <c r="M420" i="30"/>
  <c r="M419" i="30"/>
  <c r="M418" i="30"/>
  <c r="M417" i="30"/>
  <c r="M416" i="30"/>
  <c r="M415" i="30"/>
  <c r="M414" i="30"/>
  <c r="M413" i="30"/>
  <c r="I539" i="30"/>
  <c r="I538" i="30"/>
  <c r="I537" i="30"/>
  <c r="I536" i="30"/>
  <c r="I535" i="30"/>
  <c r="I534" i="30"/>
  <c r="I533" i="30"/>
  <c r="I532" i="30"/>
  <c r="I531" i="30"/>
  <c r="I530" i="30"/>
  <c r="I529" i="30"/>
  <c r="I528" i="30"/>
  <c r="I527" i="30"/>
  <c r="D50" i="9" s="1"/>
  <c r="F50" i="9" s="1"/>
  <c r="I526" i="30"/>
  <c r="I525" i="30"/>
  <c r="I524" i="30"/>
  <c r="I523" i="30"/>
  <c r="I522" i="30"/>
  <c r="I521" i="30"/>
  <c r="I520" i="30"/>
  <c r="I519" i="30"/>
  <c r="I518" i="30"/>
  <c r="I517" i="30"/>
  <c r="I516" i="30"/>
  <c r="I515" i="30"/>
  <c r="I514" i="30"/>
  <c r="I513" i="30"/>
  <c r="I512" i="30"/>
  <c r="I511" i="30"/>
  <c r="I510" i="30"/>
  <c r="I509" i="30"/>
  <c r="I508" i="30"/>
  <c r="I507" i="30"/>
  <c r="I506" i="30"/>
  <c r="I505" i="30"/>
  <c r="I504" i="30"/>
  <c r="I502" i="30"/>
  <c r="I501" i="30"/>
  <c r="I500" i="30"/>
  <c r="I499" i="30"/>
  <c r="I498" i="30"/>
  <c r="I497" i="30"/>
  <c r="I496" i="30"/>
  <c r="I495" i="30"/>
  <c r="I494" i="30"/>
  <c r="I493" i="30"/>
  <c r="I492" i="30"/>
  <c r="I491" i="30"/>
  <c r="I490" i="30"/>
  <c r="I489" i="30"/>
  <c r="I488" i="30"/>
  <c r="I487" i="30"/>
  <c r="I486" i="30"/>
  <c r="I485" i="30"/>
  <c r="I484" i="30"/>
  <c r="I483" i="30"/>
  <c r="I482" i="30"/>
  <c r="I481" i="30"/>
  <c r="I480" i="30"/>
  <c r="I479" i="30"/>
  <c r="I478" i="30"/>
  <c r="I477" i="30"/>
  <c r="I476" i="30"/>
  <c r="I475" i="30"/>
  <c r="I474" i="30"/>
  <c r="I473" i="30"/>
  <c r="I472" i="30"/>
  <c r="I471" i="30"/>
  <c r="I470" i="30"/>
  <c r="I469" i="30"/>
  <c r="I468" i="30"/>
  <c r="I467" i="30"/>
  <c r="I466" i="30"/>
  <c r="I465" i="30"/>
  <c r="I464" i="30"/>
  <c r="I463" i="30"/>
  <c r="I462" i="30"/>
  <c r="I461" i="30"/>
  <c r="I460" i="30"/>
  <c r="I459" i="30"/>
  <c r="I458" i="30"/>
  <c r="I457" i="30"/>
  <c r="I456" i="30"/>
  <c r="D48" i="9" s="1"/>
  <c r="F48" i="9" s="1"/>
  <c r="I455" i="30"/>
  <c r="I454" i="30"/>
  <c r="I453" i="30"/>
  <c r="I452" i="30"/>
  <c r="I451" i="30"/>
  <c r="I450" i="30"/>
  <c r="I449" i="30"/>
  <c r="I448" i="30"/>
  <c r="I447" i="30"/>
  <c r="I446" i="30"/>
  <c r="I445" i="30"/>
  <c r="I444" i="30"/>
  <c r="I443" i="30"/>
  <c r="I442" i="30"/>
  <c r="I441" i="30"/>
  <c r="I440" i="30"/>
  <c r="I439" i="30"/>
  <c r="I438" i="30"/>
  <c r="I437" i="30"/>
  <c r="I436" i="30"/>
  <c r="I435" i="30"/>
  <c r="I434" i="30"/>
  <c r="I433" i="30"/>
  <c r="I432" i="30"/>
  <c r="I431" i="30"/>
  <c r="I430" i="30"/>
  <c r="I429" i="30"/>
  <c r="I428" i="30"/>
  <c r="I427" i="30"/>
  <c r="I426" i="30"/>
  <c r="I425" i="30"/>
  <c r="I424" i="30"/>
  <c r="I423" i="30"/>
  <c r="I422" i="30"/>
  <c r="I421" i="30"/>
  <c r="D45" i="9" s="1"/>
  <c r="F45" i="9" s="1"/>
  <c r="I420" i="30"/>
  <c r="I419" i="30"/>
  <c r="I418" i="30"/>
  <c r="I417" i="30"/>
  <c r="I416" i="30"/>
  <c r="I415" i="30"/>
  <c r="I414" i="30"/>
  <c r="K413" i="30"/>
  <c r="I413" i="30"/>
  <c r="M702" i="30"/>
  <c r="K702" i="30"/>
  <c r="M701" i="30"/>
  <c r="K701" i="30"/>
  <c r="M700" i="30"/>
  <c r="K700" i="30"/>
  <c r="M699" i="30"/>
  <c r="K699" i="30"/>
  <c r="M698" i="30"/>
  <c r="K698" i="30"/>
  <c r="M697" i="30"/>
  <c r="K697" i="30"/>
  <c r="M696" i="30"/>
  <c r="K696" i="30"/>
  <c r="M695" i="30"/>
  <c r="K695" i="30"/>
  <c r="M694" i="30"/>
  <c r="K694" i="30"/>
  <c r="M693" i="30"/>
  <c r="K693" i="30"/>
  <c r="M692" i="30"/>
  <c r="K692" i="30"/>
  <c r="M691" i="30"/>
  <c r="K691" i="30"/>
  <c r="M690" i="30"/>
  <c r="M689" i="30"/>
  <c r="M688" i="30"/>
  <c r="K688" i="30"/>
  <c r="M687" i="30"/>
  <c r="K687" i="30"/>
  <c r="M686" i="30"/>
  <c r="K686" i="30"/>
  <c r="M685" i="30"/>
  <c r="K685" i="30"/>
  <c r="M684" i="30"/>
  <c r="K684" i="30"/>
  <c r="M683" i="30"/>
  <c r="K683" i="30"/>
  <c r="M682" i="30"/>
  <c r="K682" i="30"/>
  <c r="M681" i="30"/>
  <c r="K681" i="30"/>
  <c r="M680" i="30"/>
  <c r="K680" i="30"/>
  <c r="M679" i="30"/>
  <c r="K679" i="30"/>
  <c r="M678" i="30"/>
  <c r="K678" i="30"/>
  <c r="M677" i="30"/>
  <c r="K677" i="30"/>
  <c r="M676" i="30"/>
  <c r="K676" i="30"/>
  <c r="M675" i="30"/>
  <c r="K675" i="30"/>
  <c r="M674" i="30"/>
  <c r="K674" i="30"/>
  <c r="M673" i="30"/>
  <c r="K673" i="30"/>
  <c r="M672" i="30"/>
  <c r="K672" i="30"/>
  <c r="M671" i="30"/>
  <c r="K671" i="30"/>
  <c r="M670" i="30"/>
  <c r="K670" i="30"/>
  <c r="M669" i="30"/>
  <c r="K669" i="30"/>
  <c r="M668" i="30"/>
  <c r="K668" i="30"/>
  <c r="M667" i="30"/>
  <c r="K667" i="30"/>
  <c r="M665" i="30"/>
  <c r="K665" i="30"/>
  <c r="M664" i="30"/>
  <c r="K664" i="30"/>
  <c r="M663" i="30"/>
  <c r="K663" i="30"/>
  <c r="M662" i="30"/>
  <c r="K662" i="30"/>
  <c r="M661" i="30"/>
  <c r="K661" i="30"/>
  <c r="M658" i="30"/>
  <c r="K658" i="30"/>
  <c r="M657" i="30"/>
  <c r="K657" i="30"/>
  <c r="M656" i="30"/>
  <c r="K656" i="30"/>
  <c r="M655" i="30"/>
  <c r="K655" i="30"/>
  <c r="M654" i="30"/>
  <c r="K654" i="30"/>
  <c r="M653" i="30"/>
  <c r="K653" i="30"/>
  <c r="M652" i="30"/>
  <c r="K652" i="30"/>
  <c r="M651" i="30"/>
  <c r="K651" i="30"/>
  <c r="M650" i="30"/>
  <c r="K650" i="30"/>
  <c r="M649" i="30"/>
  <c r="K649" i="30"/>
  <c r="M648" i="30"/>
  <c r="K648" i="30"/>
  <c r="M647" i="30"/>
  <c r="K647" i="30"/>
  <c r="M646" i="30"/>
  <c r="K646" i="30"/>
  <c r="M645" i="30"/>
  <c r="K645" i="30"/>
  <c r="M644" i="30"/>
  <c r="K644" i="30"/>
  <c r="M643" i="30"/>
  <c r="K643" i="30"/>
  <c r="M642" i="30"/>
  <c r="K642" i="30"/>
  <c r="M641" i="30"/>
  <c r="K641" i="30"/>
  <c r="M640" i="30"/>
  <c r="K640" i="30"/>
  <c r="M639" i="30"/>
  <c r="K639" i="30"/>
  <c r="M638" i="30"/>
  <c r="K638" i="30"/>
  <c r="M637" i="30"/>
  <c r="K637" i="30"/>
  <c r="M636" i="30"/>
  <c r="K636" i="30"/>
  <c r="M635" i="30"/>
  <c r="K635" i="30"/>
  <c r="M634" i="30"/>
  <c r="K634" i="30"/>
  <c r="M633" i="30"/>
  <c r="K633" i="30"/>
  <c r="M632" i="30"/>
  <c r="K632" i="30"/>
  <c r="M631" i="30"/>
  <c r="K631" i="30"/>
  <c r="M630" i="30"/>
  <c r="K630" i="30"/>
  <c r="M629" i="30"/>
  <c r="K629" i="30"/>
  <c r="M628" i="30"/>
  <c r="K628" i="30"/>
  <c r="M627" i="30"/>
  <c r="K627" i="30"/>
  <c r="M626" i="30"/>
  <c r="K626" i="30"/>
  <c r="M625" i="30"/>
  <c r="K625" i="30"/>
  <c r="M624" i="30"/>
  <c r="K624" i="30"/>
  <c r="M623" i="30"/>
  <c r="K623" i="30"/>
  <c r="M622" i="30"/>
  <c r="K622" i="30"/>
  <c r="M621" i="30"/>
  <c r="K621" i="30"/>
  <c r="M620" i="30"/>
  <c r="K620" i="30"/>
  <c r="M619" i="30"/>
  <c r="K619" i="30"/>
  <c r="M618" i="30"/>
  <c r="K618" i="30"/>
  <c r="M617" i="30"/>
  <c r="K617" i="30"/>
  <c r="M616" i="30"/>
  <c r="K616" i="30"/>
  <c r="M615" i="30"/>
  <c r="K615" i="30"/>
  <c r="M614" i="30"/>
  <c r="K614" i="30"/>
  <c r="M613" i="30"/>
  <c r="K613" i="30"/>
  <c r="M612" i="30"/>
  <c r="K612" i="30"/>
  <c r="M611" i="30"/>
  <c r="K611" i="30"/>
  <c r="M610" i="30"/>
  <c r="K610" i="30"/>
  <c r="M609" i="30"/>
  <c r="K609" i="30"/>
  <c r="M608" i="30"/>
  <c r="K608" i="30"/>
  <c r="M607" i="30"/>
  <c r="K607" i="30"/>
  <c r="M606" i="30"/>
  <c r="K606" i="30"/>
  <c r="M605" i="30"/>
  <c r="K605" i="30"/>
  <c r="M604" i="30"/>
  <c r="K604" i="30"/>
  <c r="M603" i="30"/>
  <c r="K603" i="30"/>
  <c r="M602" i="30"/>
  <c r="K602" i="30"/>
  <c r="M601" i="30"/>
  <c r="K601" i="30"/>
  <c r="M600" i="30"/>
  <c r="K600" i="30"/>
  <c r="M599" i="30"/>
  <c r="K599" i="30"/>
  <c r="M598" i="30"/>
  <c r="K598" i="30"/>
  <c r="M597" i="30"/>
  <c r="K597" i="30"/>
  <c r="M596" i="30"/>
  <c r="K596" i="30"/>
  <c r="M595" i="30"/>
  <c r="K595" i="30"/>
  <c r="M594" i="30"/>
  <c r="K594" i="30"/>
  <c r="M593" i="30"/>
  <c r="K593" i="30"/>
  <c r="M592" i="30"/>
  <c r="K592" i="30"/>
  <c r="M591" i="30"/>
  <c r="K591" i="30"/>
  <c r="M590" i="30"/>
  <c r="K590" i="30"/>
  <c r="M589" i="30"/>
  <c r="K589" i="30"/>
  <c r="M588" i="30"/>
  <c r="K588" i="30"/>
  <c r="M587" i="30"/>
  <c r="K587" i="30"/>
  <c r="M586" i="30"/>
  <c r="K586" i="30"/>
  <c r="M585" i="30"/>
  <c r="K585" i="30"/>
  <c r="M584" i="30"/>
  <c r="K584" i="30"/>
  <c r="M583" i="30"/>
  <c r="K583" i="30"/>
  <c r="M582" i="30"/>
  <c r="K582" i="30"/>
  <c r="M581" i="30"/>
  <c r="K581" i="30"/>
  <c r="M580" i="30"/>
  <c r="K580" i="30"/>
  <c r="M579" i="30"/>
  <c r="K579" i="30"/>
  <c r="M578" i="30"/>
  <c r="K578" i="30"/>
  <c r="M577" i="30"/>
  <c r="K577" i="30"/>
  <c r="M576" i="30"/>
  <c r="K576" i="30"/>
  <c r="M575" i="30"/>
  <c r="K575" i="30"/>
  <c r="M574" i="30"/>
  <c r="K574" i="30"/>
  <c r="M573" i="30"/>
  <c r="K573" i="30"/>
  <c r="M572" i="30"/>
  <c r="K572" i="30"/>
  <c r="M571" i="30"/>
  <c r="K571" i="30"/>
  <c r="M570" i="30"/>
  <c r="K570" i="30"/>
  <c r="M569" i="30"/>
  <c r="K569" i="30"/>
  <c r="M568" i="30"/>
  <c r="K568" i="30"/>
  <c r="M567" i="30"/>
  <c r="K567" i="30"/>
  <c r="M566" i="30"/>
  <c r="K566" i="30"/>
  <c r="M565" i="30"/>
  <c r="K565" i="30"/>
  <c r="M564" i="30"/>
  <c r="K564" i="30"/>
  <c r="M563" i="30"/>
  <c r="K563" i="30"/>
  <c r="M562" i="30"/>
  <c r="K562" i="30"/>
  <c r="M561" i="30"/>
  <c r="K561" i="30"/>
  <c r="M560" i="30"/>
  <c r="K560" i="30"/>
  <c r="M559" i="30"/>
  <c r="K559" i="30"/>
  <c r="M558" i="30"/>
  <c r="K558" i="30"/>
  <c r="M557" i="30"/>
  <c r="K557" i="30"/>
  <c r="M556" i="30"/>
  <c r="K556" i="30"/>
  <c r="K555" i="30"/>
  <c r="M555" i="30"/>
  <c r="I907" i="30" l="1"/>
  <c r="D44" i="9"/>
  <c r="F44" i="9" s="1"/>
  <c r="D46" i="9"/>
  <c r="F46" i="9" s="1"/>
  <c r="D51" i="9"/>
  <c r="F51" i="9" s="1"/>
  <c r="M907" i="30"/>
  <c r="I910" i="30"/>
  <c r="D1289" i="9"/>
  <c r="D1295" i="9" s="1"/>
  <c r="F1207" i="9"/>
  <c r="F52" i="9" l="1"/>
  <c r="D52" i="9"/>
  <c r="K554" i="30" l="1"/>
  <c r="F297" i="6" s="1"/>
  <c r="K553" i="30"/>
  <c r="F296" i="6" s="1"/>
  <c r="K552" i="30"/>
  <c r="F295" i="6" s="1"/>
  <c r="K551" i="30"/>
  <c r="F294" i="6" s="1"/>
  <c r="K550" i="30"/>
  <c r="K549" i="30"/>
  <c r="F293" i="6" s="1"/>
  <c r="K548" i="30"/>
  <c r="F292" i="6" s="1"/>
  <c r="K547" i="30"/>
  <c r="F291" i="6" s="1"/>
  <c r="K546" i="30"/>
  <c r="F290" i="6" s="1"/>
  <c r="K545" i="30"/>
  <c r="F289" i="6" s="1"/>
  <c r="K544" i="30"/>
  <c r="F288" i="6" s="1"/>
  <c r="K543" i="30"/>
  <c r="F287" i="6" s="1"/>
  <c r="K542" i="30"/>
  <c r="F286" i="6" s="1"/>
  <c r="K541" i="30"/>
  <c r="F285" i="6" s="1"/>
  <c r="K540" i="30"/>
  <c r="K539" i="30"/>
  <c r="K538" i="30"/>
  <c r="K537" i="30"/>
  <c r="K536" i="30"/>
  <c r="K535" i="30"/>
  <c r="K534" i="30"/>
  <c r="K533" i="30"/>
  <c r="F282" i="6" s="1"/>
  <c r="K532" i="30"/>
  <c r="F281" i="6" s="1"/>
  <c r="K531" i="30"/>
  <c r="F280" i="6" s="1"/>
  <c r="K530" i="30"/>
  <c r="F279" i="6" s="1"/>
  <c r="K529" i="30"/>
  <c r="F278" i="6" s="1"/>
  <c r="K528" i="30"/>
  <c r="F277" i="6" s="1"/>
  <c r="K527" i="30"/>
  <c r="F276" i="6" s="1"/>
  <c r="K526" i="30"/>
  <c r="F275" i="6" s="1"/>
  <c r="K525" i="30"/>
  <c r="F274" i="6" s="1"/>
  <c r="K524" i="30"/>
  <c r="F273" i="6" s="1"/>
  <c r="K523" i="30"/>
  <c r="F272" i="6" s="1"/>
  <c r="K522" i="30"/>
  <c r="K521" i="30"/>
  <c r="F271" i="6" s="1"/>
  <c r="K520" i="30"/>
  <c r="F270" i="6" s="1"/>
  <c r="K519" i="30"/>
  <c r="F269" i="6" s="1"/>
  <c r="K518" i="30"/>
  <c r="K517" i="30"/>
  <c r="F268" i="6" s="1"/>
  <c r="K516" i="30"/>
  <c r="F267" i="6" s="1"/>
  <c r="K515" i="30"/>
  <c r="F266" i="6" s="1"/>
  <c r="K514" i="30"/>
  <c r="K513" i="30"/>
  <c r="F265" i="6" s="1"/>
  <c r="K512" i="30"/>
  <c r="K511" i="30"/>
  <c r="K510" i="30"/>
  <c r="K509" i="30"/>
  <c r="K508" i="30"/>
  <c r="K507" i="30"/>
  <c r="K506" i="30"/>
  <c r="K505" i="30"/>
  <c r="K504" i="30"/>
  <c r="F264" i="6" s="1"/>
  <c r="K503" i="30"/>
  <c r="F263" i="6" s="1"/>
  <c r="K502" i="30"/>
  <c r="K501" i="30"/>
  <c r="K500" i="30"/>
  <c r="K499" i="30"/>
  <c r="F261" i="6" s="1"/>
  <c r="K498" i="30"/>
  <c r="K497" i="30"/>
  <c r="F258" i="6" s="1"/>
  <c r="K496" i="30"/>
  <c r="F259" i="6" s="1"/>
  <c r="K495" i="30"/>
  <c r="F257" i="6" s="1"/>
  <c r="K494" i="30"/>
  <c r="F256" i="6" s="1"/>
  <c r="K493" i="30"/>
  <c r="F255" i="6" s="1"/>
  <c r="K492" i="30"/>
  <c r="K491" i="30"/>
  <c r="F254" i="6" s="1"/>
  <c r="K490" i="30"/>
  <c r="F253" i="6" s="1"/>
  <c r="K489" i="30"/>
  <c r="K488" i="30"/>
  <c r="K487" i="30"/>
  <c r="K486" i="30"/>
  <c r="F251" i="6" s="1"/>
  <c r="K485" i="30"/>
  <c r="F250" i="6" s="1"/>
  <c r="K484" i="30"/>
  <c r="K483" i="30"/>
  <c r="K482" i="30"/>
  <c r="K481" i="30"/>
  <c r="K480" i="30"/>
  <c r="K479" i="30"/>
  <c r="K478" i="30"/>
  <c r="K477" i="30"/>
  <c r="F249" i="6" s="1"/>
  <c r="K476" i="30"/>
  <c r="F248" i="6" s="1"/>
  <c r="K475" i="30"/>
  <c r="F247" i="6" s="1"/>
  <c r="K474" i="30"/>
  <c r="F246" i="6" s="1"/>
  <c r="K473" i="30"/>
  <c r="F245" i="6" s="1"/>
  <c r="K472" i="30"/>
  <c r="F244" i="6" s="1"/>
  <c r="K471" i="30"/>
  <c r="F243" i="6" s="1"/>
  <c r="K470" i="30"/>
  <c r="F242" i="6" s="1"/>
  <c r="K469" i="30"/>
  <c r="F241" i="6" s="1"/>
  <c r="K468" i="30"/>
  <c r="F240" i="6" s="1"/>
  <c r="K467" i="30"/>
  <c r="K466" i="30"/>
  <c r="F238" i="6" s="1"/>
  <c r="K465" i="30"/>
  <c r="F237" i="6" s="1"/>
  <c r="K464" i="30"/>
  <c r="K463" i="30"/>
  <c r="K462" i="30"/>
  <c r="K461" i="30"/>
  <c r="K460" i="30"/>
  <c r="K459" i="30"/>
  <c r="K458" i="30"/>
  <c r="K457" i="30"/>
  <c r="K456" i="30"/>
  <c r="F236" i="6" s="1"/>
  <c r="K455" i="30"/>
  <c r="F235" i="6" s="1"/>
  <c r="K454" i="30"/>
  <c r="K453" i="30"/>
  <c r="F234" i="6" s="1"/>
  <c r="K452" i="30"/>
  <c r="F233" i="6" s="1"/>
  <c r="K451" i="30"/>
  <c r="F232" i="6" s="1"/>
  <c r="K450" i="30"/>
  <c r="F231" i="6" s="1"/>
  <c r="K449" i="30"/>
  <c r="K448" i="30"/>
  <c r="K447" i="30"/>
  <c r="K446" i="30"/>
  <c r="K445" i="30"/>
  <c r="K444" i="30"/>
  <c r="K443" i="30"/>
  <c r="K442" i="30"/>
  <c r="K441" i="30"/>
  <c r="K440" i="30"/>
  <c r="F230" i="6" s="1"/>
  <c r="K439" i="30"/>
  <c r="F229" i="6" s="1"/>
  <c r="K438" i="30"/>
  <c r="F228" i="6" s="1"/>
  <c r="K437" i="30"/>
  <c r="F227" i="6" s="1"/>
  <c r="K436" i="30"/>
  <c r="K435" i="30"/>
  <c r="K434" i="30"/>
  <c r="K433" i="30"/>
  <c r="K432" i="30"/>
  <c r="K431" i="30"/>
  <c r="K430" i="30"/>
  <c r="F225" i="6" s="1"/>
  <c r="K429" i="30"/>
  <c r="F224" i="6" s="1"/>
  <c r="K428" i="30"/>
  <c r="K427" i="30"/>
  <c r="F223" i="6" s="1"/>
  <c r="K426" i="30"/>
  <c r="F222" i="6" s="1"/>
  <c r="K425" i="30"/>
  <c r="F221" i="6" s="1"/>
  <c r="K424" i="30"/>
  <c r="F220" i="6" s="1"/>
  <c r="K423" i="30"/>
  <c r="K422" i="30"/>
  <c r="K421" i="30"/>
  <c r="F219" i="6" s="1"/>
  <c r="K420" i="30"/>
  <c r="F218" i="6" s="1"/>
  <c r="K419" i="30"/>
  <c r="F217" i="6" s="1"/>
  <c r="K418" i="30"/>
  <c r="F216" i="6" s="1"/>
  <c r="K417" i="30"/>
  <c r="F215" i="6" s="1"/>
  <c r="K416" i="30"/>
  <c r="F214" i="6" s="1"/>
  <c r="K415" i="30"/>
  <c r="F213" i="6" s="1"/>
  <c r="K414" i="30"/>
  <c r="G702" i="30"/>
  <c r="C389" i="6" s="1"/>
  <c r="G701" i="30"/>
  <c r="G700" i="30"/>
  <c r="G699" i="30"/>
  <c r="C1275" i="9" s="1"/>
  <c r="G698" i="30"/>
  <c r="G697" i="30"/>
  <c r="G696" i="30"/>
  <c r="G695" i="30"/>
  <c r="G694" i="30"/>
  <c r="G693" i="30"/>
  <c r="C1277" i="9" s="1"/>
  <c r="G692" i="30"/>
  <c r="G691" i="30"/>
  <c r="C382" i="6" s="1"/>
  <c r="G690" i="30"/>
  <c r="G689" i="30"/>
  <c r="G688" i="30"/>
  <c r="C379" i="6" s="1"/>
  <c r="G687" i="30"/>
  <c r="C1287" i="9" s="1"/>
  <c r="G686" i="30"/>
  <c r="C377" i="6" s="1"/>
  <c r="G685" i="30"/>
  <c r="C1220" i="9" s="1"/>
  <c r="G684" i="30"/>
  <c r="C1219" i="9" s="1"/>
  <c r="G683" i="30"/>
  <c r="C374" i="6" s="1"/>
  <c r="G682" i="30"/>
  <c r="C1218" i="9" s="1"/>
  <c r="G681" i="30"/>
  <c r="C1217" i="9" s="1"/>
  <c r="G680" i="30"/>
  <c r="C371" i="6" s="1"/>
  <c r="G679" i="30"/>
  <c r="C1216" i="9" s="1"/>
  <c r="G678" i="30"/>
  <c r="C1215" i="9" s="1"/>
  <c r="G677" i="30"/>
  <c r="C368" i="6" s="1"/>
  <c r="G676" i="30"/>
  <c r="G675" i="30"/>
  <c r="G674" i="30"/>
  <c r="G673" i="30"/>
  <c r="G672" i="30"/>
  <c r="C367" i="6" s="1"/>
  <c r="G367" i="6" s="1"/>
  <c r="H367" i="6" s="1"/>
  <c r="Z367" i="6" s="1"/>
  <c r="G671" i="30"/>
  <c r="G670" i="30"/>
  <c r="G669" i="30"/>
  <c r="C1214" i="9" s="1"/>
  <c r="G668" i="30"/>
  <c r="C365" i="6" s="1"/>
  <c r="G667" i="30"/>
  <c r="C364" i="6" s="1"/>
  <c r="G665" i="30"/>
  <c r="C1158" i="9" s="1"/>
  <c r="G664" i="30"/>
  <c r="C1157" i="9" s="1"/>
  <c r="G663" i="30"/>
  <c r="C1156" i="9" s="1"/>
  <c r="G662" i="30"/>
  <c r="C359" i="6" s="1"/>
  <c r="G359" i="6" s="1"/>
  <c r="G661" i="30"/>
  <c r="C358" i="6" s="1"/>
  <c r="G358" i="6" s="1"/>
  <c r="G658" i="30"/>
  <c r="G657" i="30"/>
  <c r="G656" i="30"/>
  <c r="G655" i="30"/>
  <c r="G654" i="30"/>
  <c r="C352" i="6" s="1"/>
  <c r="G653" i="30"/>
  <c r="G652" i="30"/>
  <c r="C351" i="6" s="1"/>
  <c r="G651" i="30"/>
  <c r="G650" i="30"/>
  <c r="C350" i="6" s="1"/>
  <c r="G649" i="30"/>
  <c r="G648" i="30"/>
  <c r="G647" i="30"/>
  <c r="G646" i="30"/>
  <c r="G645" i="30"/>
  <c r="G644" i="30"/>
  <c r="G643" i="30"/>
  <c r="G642" i="30"/>
  <c r="C349" i="6" s="1"/>
  <c r="G641" i="30"/>
  <c r="G640" i="30"/>
  <c r="G639" i="30"/>
  <c r="G637" i="30"/>
  <c r="G636" i="30"/>
  <c r="G635" i="30"/>
  <c r="G634" i="30"/>
  <c r="G633" i="30"/>
  <c r="G632" i="30"/>
  <c r="G631" i="30"/>
  <c r="G630" i="30"/>
  <c r="C344" i="6" s="1"/>
  <c r="G629" i="30"/>
  <c r="C343" i="6" s="1"/>
  <c r="G628" i="30"/>
  <c r="C342" i="6" s="1"/>
  <c r="G627" i="30"/>
  <c r="C341" i="6" s="1"/>
  <c r="G626" i="30"/>
  <c r="G625" i="30"/>
  <c r="C339" i="6" s="1"/>
  <c r="G624" i="30"/>
  <c r="C338" i="6" s="1"/>
  <c r="G623" i="30"/>
  <c r="C337" i="6" s="1"/>
  <c r="G622" i="30"/>
  <c r="C336" i="6" s="1"/>
  <c r="G621" i="30"/>
  <c r="C335" i="6" s="1"/>
  <c r="G620" i="30"/>
  <c r="C334" i="6" s="1"/>
  <c r="G619" i="30"/>
  <c r="G618" i="30"/>
  <c r="C333" i="6" s="1"/>
  <c r="G617" i="30"/>
  <c r="C332" i="6" s="1"/>
  <c r="G616" i="30"/>
  <c r="G615" i="30"/>
  <c r="C331" i="6" s="1"/>
  <c r="G614" i="30"/>
  <c r="G613" i="30"/>
  <c r="G612" i="30"/>
  <c r="G611" i="30"/>
  <c r="G610" i="30"/>
  <c r="G609" i="30"/>
  <c r="G608" i="30"/>
  <c r="G607" i="30"/>
  <c r="G606" i="30"/>
  <c r="G605" i="30"/>
  <c r="G604" i="30"/>
  <c r="C330" i="6" s="1"/>
  <c r="G603" i="30"/>
  <c r="G602" i="30"/>
  <c r="C328" i="6" s="1"/>
  <c r="G601" i="30"/>
  <c r="G600" i="30"/>
  <c r="G599" i="30"/>
  <c r="G598" i="30"/>
  <c r="G597" i="30"/>
  <c r="G596" i="30"/>
  <c r="G595" i="30"/>
  <c r="C326" i="6" s="1"/>
  <c r="G594" i="30"/>
  <c r="C325" i="6" s="1"/>
  <c r="G593" i="30"/>
  <c r="C324" i="6" s="1"/>
  <c r="G592" i="30"/>
  <c r="C323" i="6" s="1"/>
  <c r="G591" i="30"/>
  <c r="C322" i="6" s="1"/>
  <c r="G590" i="30"/>
  <c r="C321" i="6" s="1"/>
  <c r="G589" i="30"/>
  <c r="C320" i="6" s="1"/>
  <c r="G588" i="30"/>
  <c r="C319" i="6" s="1"/>
  <c r="G319" i="6" s="1"/>
  <c r="S319" i="6" s="1"/>
  <c r="Z319" i="6" s="1"/>
  <c r="G587" i="30"/>
  <c r="C318" i="6" s="1"/>
  <c r="G586" i="30"/>
  <c r="C317" i="6" s="1"/>
  <c r="G585" i="30"/>
  <c r="C316" i="6" s="1"/>
  <c r="G584" i="30"/>
  <c r="C315" i="6" s="1"/>
  <c r="G583" i="30"/>
  <c r="C314" i="6" s="1"/>
  <c r="G582" i="30"/>
  <c r="G581" i="30"/>
  <c r="C313" i="6" s="1"/>
  <c r="G580" i="30"/>
  <c r="G579" i="30"/>
  <c r="G578" i="30"/>
  <c r="C311" i="6" s="1"/>
  <c r="G577" i="30"/>
  <c r="G576" i="30"/>
  <c r="C309" i="6" s="1"/>
  <c r="G575" i="30"/>
  <c r="C308" i="6" s="1"/>
  <c r="G574" i="30"/>
  <c r="C307" i="6" s="1"/>
  <c r="G573" i="30"/>
  <c r="G572" i="30"/>
  <c r="G571" i="30"/>
  <c r="G570" i="30"/>
  <c r="G569" i="30"/>
  <c r="G568" i="30"/>
  <c r="G567" i="30"/>
  <c r="G566" i="30"/>
  <c r="G565" i="30"/>
  <c r="G564" i="30"/>
  <c r="G563" i="30"/>
  <c r="C306" i="6" s="1"/>
  <c r="G562" i="30"/>
  <c r="C305" i="6" s="1"/>
  <c r="G561" i="30"/>
  <c r="C304" i="6" s="1"/>
  <c r="G560" i="30"/>
  <c r="G559" i="30"/>
  <c r="G558" i="30"/>
  <c r="C302" i="6" s="1"/>
  <c r="G557" i="30"/>
  <c r="C301" i="6" s="1"/>
  <c r="G556" i="30"/>
  <c r="C300" i="6" s="1"/>
  <c r="G555" i="30"/>
  <c r="G554" i="30"/>
  <c r="D1193" i="9" s="1"/>
  <c r="D1194" i="9" s="1"/>
  <c r="G553" i="30"/>
  <c r="C296" i="6" s="1"/>
  <c r="D296" i="6" s="1"/>
  <c r="E297" i="6" s="1"/>
  <c r="G552" i="30"/>
  <c r="C295" i="6" s="1"/>
  <c r="G551" i="30"/>
  <c r="C294" i="6" s="1"/>
  <c r="G550" i="30"/>
  <c r="G549" i="30"/>
  <c r="C293" i="6" s="1"/>
  <c r="G548" i="30"/>
  <c r="C292" i="6" s="1"/>
  <c r="G547" i="30"/>
  <c r="C291" i="6" s="1"/>
  <c r="G546" i="30"/>
  <c r="C290" i="6" s="1"/>
  <c r="G545" i="30"/>
  <c r="C289" i="6" s="1"/>
  <c r="G544" i="30"/>
  <c r="C288" i="6" s="1"/>
  <c r="G543" i="30"/>
  <c r="C287" i="6" s="1"/>
  <c r="G542" i="30"/>
  <c r="C286" i="6" s="1"/>
  <c r="G541" i="30"/>
  <c r="C285" i="6" s="1"/>
  <c r="G540" i="30"/>
  <c r="G539" i="30"/>
  <c r="G538" i="30"/>
  <c r="G537" i="30"/>
  <c r="G536" i="30"/>
  <c r="G535" i="30"/>
  <c r="G534" i="30"/>
  <c r="G533" i="30"/>
  <c r="G532" i="30"/>
  <c r="C1113" i="9" s="1"/>
  <c r="G531" i="30"/>
  <c r="G530" i="30"/>
  <c r="G529" i="30"/>
  <c r="C278" i="6" s="1"/>
  <c r="G528" i="30"/>
  <c r="C1109" i="9" s="1"/>
  <c r="G527" i="30"/>
  <c r="C1108" i="9" s="1"/>
  <c r="G526" i="30"/>
  <c r="C1107" i="9" s="1"/>
  <c r="G525" i="30"/>
  <c r="C274" i="6" s="1"/>
  <c r="G524" i="30"/>
  <c r="C1114" i="9" s="1"/>
  <c r="G523" i="30"/>
  <c r="C1111" i="9" s="1"/>
  <c r="G522" i="30"/>
  <c r="G521" i="30"/>
  <c r="C1112" i="9" s="1"/>
  <c r="G520" i="30"/>
  <c r="C1110" i="9" s="1"/>
  <c r="G519" i="30"/>
  <c r="G518" i="30"/>
  <c r="G517" i="30"/>
  <c r="C1106" i="9" s="1"/>
  <c r="G516" i="30"/>
  <c r="G515" i="30"/>
  <c r="C266" i="6" s="1"/>
  <c r="G514" i="30"/>
  <c r="G513" i="30"/>
  <c r="C265" i="6" s="1"/>
  <c r="G512" i="30"/>
  <c r="G511" i="30"/>
  <c r="G510" i="30"/>
  <c r="G509" i="30"/>
  <c r="G508" i="30"/>
  <c r="G507" i="30"/>
  <c r="G506" i="30"/>
  <c r="G505" i="30"/>
  <c r="G504" i="30"/>
  <c r="C264" i="6" s="1"/>
  <c r="G503" i="30"/>
  <c r="C1067" i="9" s="1"/>
  <c r="G502" i="30"/>
  <c r="C1065" i="9" s="1"/>
  <c r="G501" i="30"/>
  <c r="G500" i="30"/>
  <c r="G499" i="30"/>
  <c r="C261" i="6" s="1"/>
  <c r="G498" i="30"/>
  <c r="C1064" i="9" s="1"/>
  <c r="G497" i="30"/>
  <c r="C258" i="6" s="1"/>
  <c r="G496" i="30"/>
  <c r="C259" i="6" s="1"/>
  <c r="G259" i="6" s="1"/>
  <c r="L259" i="6" s="1"/>
  <c r="Z259" i="6" s="1"/>
  <c r="G495" i="30"/>
  <c r="C257" i="6" s="1"/>
  <c r="G494" i="30"/>
  <c r="C1105" i="9" s="1"/>
  <c r="G493" i="30"/>
  <c r="C1066" i="9" s="1"/>
  <c r="G492" i="30"/>
  <c r="G491" i="30"/>
  <c r="C1104" i="9" s="1"/>
  <c r="G490" i="30"/>
  <c r="G489" i="30"/>
  <c r="G488" i="30"/>
  <c r="G487" i="30"/>
  <c r="C252" i="6" s="1"/>
  <c r="G486" i="30"/>
  <c r="C251" i="6" s="1"/>
  <c r="G485" i="30"/>
  <c r="C250" i="6" s="1"/>
  <c r="G484" i="30"/>
  <c r="G483" i="30"/>
  <c r="G482" i="30"/>
  <c r="G481" i="30"/>
  <c r="G480" i="30"/>
  <c r="G479" i="30"/>
  <c r="G478" i="30"/>
  <c r="G477" i="30"/>
  <c r="G476" i="30"/>
  <c r="C248" i="6" s="1"/>
  <c r="G475" i="30"/>
  <c r="G474" i="30"/>
  <c r="G473" i="30"/>
  <c r="C245" i="6" s="1"/>
  <c r="G472" i="30"/>
  <c r="C244" i="6" s="1"/>
  <c r="G471" i="30"/>
  <c r="C243" i="6" s="1"/>
  <c r="G470" i="30"/>
  <c r="C242" i="6" s="1"/>
  <c r="G469" i="30"/>
  <c r="G468" i="30"/>
  <c r="C240" i="6" s="1"/>
  <c r="G467" i="30"/>
  <c r="G466" i="30"/>
  <c r="G465" i="30"/>
  <c r="C237" i="6" s="1"/>
  <c r="G464" i="30"/>
  <c r="G463" i="30"/>
  <c r="G462" i="30"/>
  <c r="G461" i="30"/>
  <c r="G460" i="30"/>
  <c r="G459" i="30"/>
  <c r="G458" i="30"/>
  <c r="G457" i="30"/>
  <c r="G456" i="30"/>
  <c r="G455" i="30"/>
  <c r="C235" i="6" s="1"/>
  <c r="G454" i="30"/>
  <c r="G453" i="30"/>
  <c r="G452" i="30"/>
  <c r="C233" i="6" s="1"/>
  <c r="G451" i="30"/>
  <c r="C232" i="6" s="1"/>
  <c r="G450" i="30"/>
  <c r="C231" i="6" s="1"/>
  <c r="G449" i="30"/>
  <c r="G448" i="30"/>
  <c r="G447" i="30"/>
  <c r="G446" i="30"/>
  <c r="G445" i="30"/>
  <c r="G444" i="30"/>
  <c r="G443" i="30"/>
  <c r="G442" i="30"/>
  <c r="G441" i="30"/>
  <c r="G440" i="30"/>
  <c r="C1056" i="9" s="1"/>
  <c r="G439" i="30"/>
  <c r="C1055" i="9" s="1"/>
  <c r="G438" i="30"/>
  <c r="C1054" i="9" s="1"/>
  <c r="G437" i="30"/>
  <c r="C227" i="6" s="1"/>
  <c r="G436" i="30"/>
  <c r="G435" i="30"/>
  <c r="G434" i="30"/>
  <c r="G433" i="30"/>
  <c r="G432" i="30"/>
  <c r="G431" i="30"/>
  <c r="G430" i="30"/>
  <c r="C225" i="6" s="1"/>
  <c r="G429" i="30"/>
  <c r="C224" i="6" s="1"/>
  <c r="G428" i="30"/>
  <c r="G427" i="30"/>
  <c r="C223" i="6" s="1"/>
  <c r="G426" i="30"/>
  <c r="C1044" i="9" s="1"/>
  <c r="G425" i="30"/>
  <c r="C221" i="6" s="1"/>
  <c r="G424" i="30"/>
  <c r="C220" i="6" s="1"/>
  <c r="G423" i="30"/>
  <c r="G422" i="30"/>
  <c r="G421" i="30"/>
  <c r="C1043" i="9" s="1"/>
  <c r="G420" i="30"/>
  <c r="C1042" i="9" s="1"/>
  <c r="G419" i="30"/>
  <c r="G418" i="30"/>
  <c r="C1040" i="9" s="1"/>
  <c r="G417" i="30"/>
  <c r="C215" i="6" s="1"/>
  <c r="G416" i="30"/>
  <c r="C214" i="6" s="1"/>
  <c r="G415" i="30"/>
  <c r="C213" i="6" s="1"/>
  <c r="G414" i="30"/>
  <c r="C212" i="6" s="1"/>
  <c r="G413" i="30"/>
  <c r="M861" i="30"/>
  <c r="K861" i="30"/>
  <c r="I861" i="30"/>
  <c r="G861" i="30"/>
  <c r="C1258" i="9" s="1"/>
  <c r="I727" i="30"/>
  <c r="G727" i="30"/>
  <c r="C413" i="6" s="1"/>
  <c r="G413" i="6" s="1"/>
  <c r="H413" i="6" s="1"/>
  <c r="M403" i="30"/>
  <c r="K403" i="30"/>
  <c r="I403" i="30"/>
  <c r="G403" i="30"/>
  <c r="M317" i="30"/>
  <c r="K317" i="30"/>
  <c r="F168" i="6" s="1"/>
  <c r="I317" i="30"/>
  <c r="G317" i="30"/>
  <c r="C1013" i="9" s="1"/>
  <c r="M220" i="30"/>
  <c r="K220" i="30"/>
  <c r="F114" i="6" s="1"/>
  <c r="I220" i="30"/>
  <c r="G220" i="30"/>
  <c r="C114" i="6" s="1"/>
  <c r="G904" i="30"/>
  <c r="G903" i="30"/>
  <c r="G902" i="30"/>
  <c r="G901" i="30"/>
  <c r="G900" i="30"/>
  <c r="G899" i="30"/>
  <c r="G898" i="30"/>
  <c r="G897" i="30"/>
  <c r="G896" i="30"/>
  <c r="G895" i="30"/>
  <c r="G894" i="30"/>
  <c r="G893" i="30"/>
  <c r="G892" i="30"/>
  <c r="G891" i="30"/>
  <c r="G890" i="30"/>
  <c r="G889" i="30"/>
  <c r="G888" i="30"/>
  <c r="G887" i="30"/>
  <c r="G886" i="30"/>
  <c r="G885" i="30"/>
  <c r="C1280" i="9" s="1"/>
  <c r="G884" i="30"/>
  <c r="G883" i="30"/>
  <c r="G882" i="30"/>
  <c r="G881" i="30"/>
  <c r="G880" i="30"/>
  <c r="G879" i="30"/>
  <c r="C1264" i="9" s="1"/>
  <c r="G878" i="30"/>
  <c r="C1263" i="9" s="1"/>
  <c r="G877" i="30"/>
  <c r="C1262" i="9" s="1"/>
  <c r="G876" i="30"/>
  <c r="G875" i="30"/>
  <c r="G874" i="30"/>
  <c r="G873" i="30"/>
  <c r="G872" i="30"/>
  <c r="D63" i="9" s="1"/>
  <c r="G871" i="30"/>
  <c r="D62" i="9" s="1"/>
  <c r="G870" i="30"/>
  <c r="G869" i="30"/>
  <c r="G868" i="30"/>
  <c r="C1260" i="9" s="1"/>
  <c r="G867" i="30"/>
  <c r="D1153" i="9" s="1"/>
  <c r="G866" i="30"/>
  <c r="G865" i="30"/>
  <c r="G864" i="30"/>
  <c r="G863" i="30"/>
  <c r="G862" i="30"/>
  <c r="C1259" i="9" s="1"/>
  <c r="G860" i="30"/>
  <c r="C1257" i="9" s="1"/>
  <c r="G859" i="30"/>
  <c r="C1256" i="9" s="1"/>
  <c r="G858" i="30"/>
  <c r="G857" i="30"/>
  <c r="G856" i="30"/>
  <c r="C1265" i="9" s="1"/>
  <c r="G855" i="30"/>
  <c r="C1254" i="9" s="1"/>
  <c r="G854" i="30"/>
  <c r="G853" i="30"/>
  <c r="G852" i="30"/>
  <c r="G851" i="30"/>
  <c r="G850" i="30"/>
  <c r="C1253" i="9" s="1"/>
  <c r="G849" i="30"/>
  <c r="G848" i="30"/>
  <c r="G847" i="30"/>
  <c r="C1252" i="9" s="1"/>
  <c r="G846" i="30"/>
  <c r="C1251" i="9" s="1"/>
  <c r="G845" i="30"/>
  <c r="C492" i="6" s="1"/>
  <c r="G492" i="6" s="1"/>
  <c r="L492" i="6" s="1"/>
  <c r="Z492" i="6" s="1"/>
  <c r="G844" i="30"/>
  <c r="G843" i="30"/>
  <c r="G842" i="30"/>
  <c r="C1250" i="9" s="1"/>
  <c r="G841" i="30"/>
  <c r="C1249" i="9" s="1"/>
  <c r="G840" i="30"/>
  <c r="G839" i="30"/>
  <c r="G838" i="30"/>
  <c r="G837" i="30"/>
  <c r="G836" i="30"/>
  <c r="G835" i="30"/>
  <c r="G834" i="30"/>
  <c r="G833" i="30"/>
  <c r="G832" i="30"/>
  <c r="G831" i="30"/>
  <c r="G830" i="30"/>
  <c r="G829" i="30"/>
  <c r="G828" i="30"/>
  <c r="G827" i="30"/>
  <c r="G826" i="30"/>
  <c r="G825" i="30"/>
  <c r="G824" i="30"/>
  <c r="G823" i="30"/>
  <c r="G822" i="30"/>
  <c r="G821" i="30"/>
  <c r="E991" i="9" s="1"/>
  <c r="G820" i="30"/>
  <c r="G819" i="30"/>
  <c r="E999" i="9" s="1"/>
  <c r="F999" i="9" s="1"/>
  <c r="F1001" i="9" s="1"/>
  <c r="G818" i="30"/>
  <c r="G815" i="30"/>
  <c r="G814" i="30"/>
  <c r="G813" i="30"/>
  <c r="G812" i="30"/>
  <c r="G811" i="30"/>
  <c r="G810" i="30"/>
  <c r="G809" i="30"/>
  <c r="G808" i="30"/>
  <c r="I978" i="9" s="1"/>
  <c r="G807" i="30"/>
  <c r="G806" i="30"/>
  <c r="G805" i="30"/>
  <c r="G803" i="30"/>
  <c r="G802" i="30"/>
  <c r="G801" i="30"/>
  <c r="G800" i="30"/>
  <c r="G799" i="30"/>
  <c r="G798" i="30"/>
  <c r="G797" i="30"/>
  <c r="G796" i="30"/>
  <c r="D1168" i="9" s="1"/>
  <c r="G795" i="30"/>
  <c r="G794" i="30"/>
  <c r="G793" i="30"/>
  <c r="G792" i="30"/>
  <c r="G791" i="30"/>
  <c r="C1247" i="9" s="1"/>
  <c r="G790" i="30"/>
  <c r="C1246" i="9" s="1"/>
  <c r="G789" i="30"/>
  <c r="C1245" i="9" s="1"/>
  <c r="G788" i="30"/>
  <c r="C1244" i="9" s="1"/>
  <c r="G787" i="30"/>
  <c r="G786" i="30"/>
  <c r="G785" i="30"/>
  <c r="C1243" i="9" s="1"/>
  <c r="G784" i="30"/>
  <c r="G783" i="30"/>
  <c r="G782" i="30"/>
  <c r="G781" i="30"/>
  <c r="G780" i="30"/>
  <c r="G779" i="30"/>
  <c r="G778" i="30"/>
  <c r="G777" i="30"/>
  <c r="G776" i="30"/>
  <c r="G775" i="30"/>
  <c r="G774" i="30"/>
  <c r="C1240" i="9" s="1"/>
  <c r="G773" i="30"/>
  <c r="C1239" i="9" s="1"/>
  <c r="G772" i="30"/>
  <c r="G770" i="30"/>
  <c r="C1237" i="9" s="1"/>
  <c r="G769" i="30"/>
  <c r="G768" i="30"/>
  <c r="G767" i="30"/>
  <c r="C434" i="6" s="1"/>
  <c r="G763" i="30"/>
  <c r="C430" i="6" s="1"/>
  <c r="G762" i="30"/>
  <c r="G761" i="30"/>
  <c r="G760" i="30"/>
  <c r="G759" i="30"/>
  <c r="G758" i="30"/>
  <c r="G757" i="30"/>
  <c r="G756" i="30"/>
  <c r="G755" i="30"/>
  <c r="G754" i="30"/>
  <c r="G753" i="30"/>
  <c r="G752" i="30"/>
  <c r="G751" i="30"/>
  <c r="G750" i="30"/>
  <c r="G749" i="30"/>
  <c r="G747" i="30"/>
  <c r="G745" i="30"/>
  <c r="G744" i="30"/>
  <c r="G743" i="30"/>
  <c r="G742" i="30"/>
  <c r="G741" i="30"/>
  <c r="G740" i="30"/>
  <c r="G739" i="30"/>
  <c r="G738" i="30"/>
  <c r="G737" i="30"/>
  <c r="C422" i="6" s="1"/>
  <c r="G422" i="6" s="1"/>
  <c r="H422" i="6" s="1"/>
  <c r="G736" i="30"/>
  <c r="G735" i="30"/>
  <c r="G734" i="30"/>
  <c r="G733" i="30"/>
  <c r="G732" i="30"/>
  <c r="G731" i="30"/>
  <c r="G730" i="30"/>
  <c r="G729" i="30"/>
  <c r="G726" i="30"/>
  <c r="G725" i="30"/>
  <c r="G724" i="30"/>
  <c r="D1151" i="9" s="1"/>
  <c r="G723" i="30"/>
  <c r="G722" i="30"/>
  <c r="G721" i="30"/>
  <c r="G720" i="30"/>
  <c r="G719" i="30"/>
  <c r="G718" i="30"/>
  <c r="C1229" i="9" s="1"/>
  <c r="G717" i="30"/>
  <c r="G716" i="30"/>
  <c r="G715" i="30"/>
  <c r="G714" i="30"/>
  <c r="G713" i="30"/>
  <c r="G712" i="30"/>
  <c r="G711" i="30"/>
  <c r="G710" i="30"/>
  <c r="G709" i="30"/>
  <c r="G708" i="30"/>
  <c r="G707" i="30"/>
  <c r="G706" i="30"/>
  <c r="G705" i="30"/>
  <c r="G704" i="30"/>
  <c r="G703" i="30"/>
  <c r="G412" i="30"/>
  <c r="C1017" i="9" s="1"/>
  <c r="G411" i="30"/>
  <c r="G410" i="30"/>
  <c r="G409" i="30"/>
  <c r="G408" i="30"/>
  <c r="G407" i="30"/>
  <c r="G406" i="30"/>
  <c r="G405" i="30"/>
  <c r="G404" i="30"/>
  <c r="C202" i="6" s="1"/>
  <c r="G402" i="30"/>
  <c r="G401" i="30"/>
  <c r="G400" i="30"/>
  <c r="G399" i="30"/>
  <c r="G398" i="30"/>
  <c r="G397" i="30"/>
  <c r="G396" i="30"/>
  <c r="G395" i="30"/>
  <c r="G394" i="30"/>
  <c r="G393" i="30"/>
  <c r="G392" i="30"/>
  <c r="G391" i="30"/>
  <c r="G390" i="30"/>
  <c r="G389" i="30"/>
  <c r="G388" i="30"/>
  <c r="G386" i="30"/>
  <c r="G385" i="30"/>
  <c r="C193" i="6" s="1"/>
  <c r="G384" i="30"/>
  <c r="C192" i="6" s="1"/>
  <c r="G383" i="30"/>
  <c r="C191" i="6" s="1"/>
  <c r="G382" i="30"/>
  <c r="G381" i="30"/>
  <c r="G380" i="30"/>
  <c r="G379" i="30"/>
  <c r="G378" i="30"/>
  <c r="G377" i="30"/>
  <c r="G376" i="30"/>
  <c r="G375" i="30"/>
  <c r="G374" i="30"/>
  <c r="G373" i="30"/>
  <c r="G372" i="30"/>
  <c r="G371" i="30"/>
  <c r="G370" i="30"/>
  <c r="G369" i="30"/>
  <c r="G368" i="30"/>
  <c r="G367" i="30"/>
  <c r="G366" i="30"/>
  <c r="G365" i="30"/>
  <c r="G364" i="30"/>
  <c r="G363" i="30"/>
  <c r="G362" i="30"/>
  <c r="G361" i="30"/>
  <c r="G360" i="30"/>
  <c r="G359" i="30"/>
  <c r="G358" i="30"/>
  <c r="G357" i="30"/>
  <c r="G356" i="30"/>
  <c r="G355" i="30"/>
  <c r="G354" i="30"/>
  <c r="G353" i="30"/>
  <c r="G352" i="30"/>
  <c r="G351" i="30"/>
  <c r="G350" i="30"/>
  <c r="G349" i="30"/>
  <c r="G348" i="30"/>
  <c r="G347" i="30"/>
  <c r="G346" i="30"/>
  <c r="G345" i="30"/>
  <c r="G344" i="30"/>
  <c r="G343" i="30"/>
  <c r="G342" i="30"/>
  <c r="G341" i="30"/>
  <c r="G340" i="30"/>
  <c r="G339" i="30"/>
  <c r="G338" i="30"/>
  <c r="E1130" i="9" s="1"/>
  <c r="G337" i="30"/>
  <c r="G336" i="30"/>
  <c r="G335" i="30"/>
  <c r="G334" i="30"/>
  <c r="G333" i="30"/>
  <c r="G332" i="30"/>
  <c r="G331" i="30"/>
  <c r="G330" i="30"/>
  <c r="G329" i="30"/>
  <c r="G328" i="30"/>
  <c r="G327" i="30"/>
  <c r="G326" i="30"/>
  <c r="G325" i="30"/>
  <c r="G324" i="30"/>
  <c r="G323" i="30"/>
  <c r="C1012" i="9" s="1"/>
  <c r="G322" i="30"/>
  <c r="G321" i="30"/>
  <c r="G320" i="30"/>
  <c r="G319" i="30"/>
  <c r="G318" i="30"/>
  <c r="G316" i="30"/>
  <c r="C1016" i="9" s="1"/>
  <c r="G315" i="30"/>
  <c r="C1015" i="9" s="1"/>
  <c r="G314" i="30"/>
  <c r="C1019" i="9" s="1"/>
  <c r="G313" i="30"/>
  <c r="C1014" i="9" s="1"/>
  <c r="G312" i="30"/>
  <c r="C1018" i="9" s="1"/>
  <c r="G311" i="30"/>
  <c r="G310" i="30"/>
  <c r="G309" i="30"/>
  <c r="G308" i="30"/>
  <c r="G307" i="30"/>
  <c r="G306" i="30"/>
  <c r="G305" i="30"/>
  <c r="G304" i="30"/>
  <c r="G303" i="30"/>
  <c r="G302" i="30"/>
  <c r="C970" i="9" s="1"/>
  <c r="G301" i="30"/>
  <c r="G300" i="30"/>
  <c r="G299" i="30"/>
  <c r="G298" i="30"/>
  <c r="G297" i="30"/>
  <c r="G295" i="30"/>
  <c r="G294" i="30"/>
  <c r="C1011" i="9" s="1"/>
  <c r="G293" i="30"/>
  <c r="C1010" i="9" s="1"/>
  <c r="G292" i="30"/>
  <c r="G291" i="30"/>
  <c r="G290" i="30"/>
  <c r="G289" i="30"/>
  <c r="G288" i="30"/>
  <c r="C1009" i="9" s="1"/>
  <c r="G287" i="30"/>
  <c r="G286" i="30"/>
  <c r="G285" i="30"/>
  <c r="G284" i="30"/>
  <c r="G283" i="30"/>
  <c r="G282" i="30"/>
  <c r="G281" i="30"/>
  <c r="G280" i="30"/>
  <c r="G279" i="30"/>
  <c r="G278" i="30"/>
  <c r="G277" i="30"/>
  <c r="G276" i="30"/>
  <c r="G275" i="30"/>
  <c r="G274" i="30"/>
  <c r="G273" i="30"/>
  <c r="G272" i="30"/>
  <c r="C957" i="9" s="1"/>
  <c r="G271" i="30"/>
  <c r="C956" i="9" s="1"/>
  <c r="G270" i="30"/>
  <c r="G269" i="30"/>
  <c r="G268" i="30"/>
  <c r="C955" i="9" s="1"/>
  <c r="G267" i="30"/>
  <c r="G266" i="30"/>
  <c r="G265" i="30"/>
  <c r="G264" i="30"/>
  <c r="G263" i="30"/>
  <c r="G262" i="30"/>
  <c r="G261" i="30"/>
  <c r="G260" i="30"/>
  <c r="C954" i="9" s="1"/>
  <c r="G259" i="30"/>
  <c r="G258" i="30"/>
  <c r="G257" i="30"/>
  <c r="C945" i="9" s="1"/>
  <c r="G256" i="30"/>
  <c r="C944" i="9" s="1"/>
  <c r="G255" i="30"/>
  <c r="G254" i="30"/>
  <c r="G253" i="30"/>
  <c r="G252" i="30"/>
  <c r="G251" i="30"/>
  <c r="C126" i="6" s="1"/>
  <c r="G250" i="30"/>
  <c r="G249" i="30"/>
  <c r="G248" i="30"/>
  <c r="C123" i="6" s="1"/>
  <c r="G247" i="30"/>
  <c r="G246" i="30"/>
  <c r="G245" i="30"/>
  <c r="G244" i="30"/>
  <c r="G243" i="30"/>
  <c r="G242" i="30"/>
  <c r="G241" i="30"/>
  <c r="G240" i="30"/>
  <c r="G239" i="30"/>
  <c r="C121" i="6" s="1"/>
  <c r="G238" i="30"/>
  <c r="G237" i="30"/>
  <c r="G236" i="30"/>
  <c r="G235" i="30"/>
  <c r="G234" i="30"/>
  <c r="G233" i="30"/>
  <c r="G232" i="30"/>
  <c r="G231" i="30"/>
  <c r="G230" i="30"/>
  <c r="C120" i="6" s="1"/>
  <c r="G229" i="30"/>
  <c r="G228" i="30"/>
  <c r="G227" i="30"/>
  <c r="G226" i="30"/>
  <c r="C118" i="6" s="1"/>
  <c r="G225" i="30"/>
  <c r="G224" i="30"/>
  <c r="G223" i="30"/>
  <c r="G222" i="30"/>
  <c r="G221" i="30"/>
  <c r="C115" i="6" s="1"/>
  <c r="G219" i="30"/>
  <c r="G218" i="30"/>
  <c r="G217" i="30"/>
  <c r="G216" i="30"/>
  <c r="G215" i="30"/>
  <c r="G214" i="30"/>
  <c r="G213" i="30"/>
  <c r="G212" i="30"/>
  <c r="G211" i="30"/>
  <c r="G210" i="30"/>
  <c r="G209" i="30"/>
  <c r="G208" i="30"/>
  <c r="G207" i="30"/>
  <c r="G206" i="30"/>
  <c r="G205" i="30"/>
  <c r="G204" i="30"/>
  <c r="G203" i="30"/>
  <c r="G202" i="30"/>
  <c r="G201" i="30"/>
  <c r="G200" i="30"/>
  <c r="G199" i="30"/>
  <c r="G198" i="30"/>
  <c r="G197" i="30"/>
  <c r="G196" i="30"/>
  <c r="G195" i="30"/>
  <c r="G194" i="30"/>
  <c r="G193" i="30"/>
  <c r="G192" i="30"/>
  <c r="G191" i="30"/>
  <c r="G190" i="30"/>
  <c r="G189" i="30"/>
  <c r="G188" i="30"/>
  <c r="G187" i="30"/>
  <c r="G186" i="30"/>
  <c r="G185" i="30"/>
  <c r="G184" i="30"/>
  <c r="G183" i="30"/>
  <c r="G182" i="30"/>
  <c r="G181" i="30"/>
  <c r="G180" i="30"/>
  <c r="G179" i="30"/>
  <c r="G178" i="30"/>
  <c r="G177" i="30"/>
  <c r="G176" i="30"/>
  <c r="G175" i="30"/>
  <c r="G174" i="30"/>
  <c r="G173" i="30"/>
  <c r="G172" i="30"/>
  <c r="G171" i="30"/>
  <c r="G170" i="30"/>
  <c r="G169" i="30"/>
  <c r="C103" i="6" s="1"/>
  <c r="G168" i="30"/>
  <c r="G167" i="30"/>
  <c r="G166" i="30"/>
  <c r="G165" i="30"/>
  <c r="G164" i="30"/>
  <c r="G163" i="30"/>
  <c r="C101" i="6" s="1"/>
  <c r="G162" i="30"/>
  <c r="G161" i="30"/>
  <c r="G160" i="30"/>
  <c r="G159" i="30"/>
  <c r="G158" i="30"/>
  <c r="G157" i="30"/>
  <c r="G156" i="30"/>
  <c r="G155" i="30"/>
  <c r="G154" i="30"/>
  <c r="G153" i="30"/>
  <c r="G152" i="30"/>
  <c r="G151" i="30"/>
  <c r="G150" i="30"/>
  <c r="G149" i="30"/>
  <c r="G148" i="30"/>
  <c r="G147" i="30"/>
  <c r="G146" i="30"/>
  <c r="G145" i="30"/>
  <c r="G144" i="30"/>
  <c r="G143" i="30"/>
  <c r="G142" i="30"/>
  <c r="G141" i="30"/>
  <c r="G140" i="30"/>
  <c r="G139" i="30"/>
  <c r="G138" i="30"/>
  <c r="G137" i="30"/>
  <c r="G136" i="30"/>
  <c r="C89" i="6" s="1"/>
  <c r="G135" i="30"/>
  <c r="G134" i="30"/>
  <c r="G133" i="30"/>
  <c r="G132" i="30"/>
  <c r="G131" i="30"/>
  <c r="G130" i="30"/>
  <c r="C87" i="6" s="1"/>
  <c r="G129" i="30"/>
  <c r="G128" i="30"/>
  <c r="G127" i="30"/>
  <c r="G126" i="30"/>
  <c r="G125" i="30"/>
  <c r="G124" i="30"/>
  <c r="G123" i="30"/>
  <c r="G122" i="30"/>
  <c r="G121"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C71" i="6" s="1"/>
  <c r="G95" i="30"/>
  <c r="G94" i="30"/>
  <c r="C70" i="6" s="1"/>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58" i="30"/>
  <c r="D109" i="9" s="1"/>
  <c r="G57" i="30"/>
  <c r="D102" i="9" s="1"/>
  <c r="G56" i="30"/>
  <c r="D112" i="9" s="1"/>
  <c r="G55" i="30"/>
  <c r="D117" i="9" s="1"/>
  <c r="G54" i="30"/>
  <c r="G53" i="30"/>
  <c r="D96" i="9" s="1"/>
  <c r="G52" i="30"/>
  <c r="G51" i="30"/>
  <c r="D85" i="9" s="1"/>
  <c r="G50" i="30"/>
  <c r="D89" i="9" s="1"/>
  <c r="G49" i="30"/>
  <c r="D103" i="9" s="1"/>
  <c r="G48" i="30"/>
  <c r="D93" i="9" s="1"/>
  <c r="G47" i="30"/>
  <c r="G46" i="30"/>
  <c r="D120" i="9" s="1"/>
  <c r="G45" i="30"/>
  <c r="D106" i="9" s="1"/>
  <c r="G44" i="30"/>
  <c r="G43" i="30"/>
  <c r="D81" i="9" s="1"/>
  <c r="G42" i="30"/>
  <c r="D80" i="9" s="1"/>
  <c r="G41" i="30"/>
  <c r="D76" i="9" s="1"/>
  <c r="G40" i="30"/>
  <c r="D75" i="9" s="1"/>
  <c r="G39" i="30"/>
  <c r="G36" i="30"/>
  <c r="D122" i="9" s="1"/>
  <c r="G35" i="30"/>
  <c r="D111" i="9" s="1"/>
  <c r="G34" i="30"/>
  <c r="D125" i="9" s="1"/>
  <c r="G33" i="30"/>
  <c r="D95" i="9" s="1"/>
  <c r="G32" i="30"/>
  <c r="D100" i="9" s="1"/>
  <c r="G31" i="30"/>
  <c r="D116" i="9" s="1"/>
  <c r="G30" i="30"/>
  <c r="D114" i="9" s="1"/>
  <c r="G29" i="30"/>
  <c r="D108" i="9" s="1"/>
  <c r="G28" i="30"/>
  <c r="D98" i="9" s="1"/>
  <c r="G27" i="30"/>
  <c r="D101" i="9" s="1"/>
  <c r="G26" i="30"/>
  <c r="D92" i="9" s="1"/>
  <c r="G25" i="30"/>
  <c r="G24" i="30"/>
  <c r="D105" i="9" s="1"/>
  <c r="G23" i="30"/>
  <c r="D87" i="9" s="1"/>
  <c r="G22" i="30"/>
  <c r="D84" i="9" s="1"/>
  <c r="G21" i="30"/>
  <c r="D83" i="9" s="1"/>
  <c r="G20" i="30"/>
  <c r="G19" i="30"/>
  <c r="D79" i="9" s="1"/>
  <c r="G18" i="30"/>
  <c r="D78" i="9" s="1"/>
  <c r="G17" i="30"/>
  <c r="D74" i="9" s="1"/>
  <c r="G16" i="30"/>
  <c r="D73" i="9" s="1"/>
  <c r="G15" i="30"/>
  <c r="G14" i="30"/>
  <c r="G13" i="30"/>
  <c r="G12" i="30"/>
  <c r="G11" i="30"/>
  <c r="G10" i="30"/>
  <c r="G9" i="30"/>
  <c r="G8" i="30"/>
  <c r="G7" i="30"/>
  <c r="G6" i="30"/>
  <c r="G5" i="30"/>
  <c r="C1274" i="9" l="1"/>
  <c r="C383" i="6"/>
  <c r="G383" i="6" s="1"/>
  <c r="D119" i="9"/>
  <c r="C17" i="6"/>
  <c r="C354" i="6"/>
  <c r="G354" i="6" s="1"/>
  <c r="H354" i="6" s="1"/>
  <c r="Z354" i="6" s="1"/>
  <c r="C1213" i="9"/>
  <c r="C348" i="6"/>
  <c r="C1150" i="9"/>
  <c r="E1128" i="9"/>
  <c r="E1127" i="9"/>
  <c r="E1131" i="9"/>
  <c r="C1068" i="9"/>
  <c r="C234" i="6"/>
  <c r="C1030" i="9"/>
  <c r="C1031" i="9" s="1"/>
  <c r="C249" i="6"/>
  <c r="G1081" i="9"/>
  <c r="C1057" i="9"/>
  <c r="C1021" i="9"/>
  <c r="C969" i="9"/>
  <c r="C971" i="9" s="1"/>
  <c r="C238" i="6"/>
  <c r="C933" i="9"/>
  <c r="C246" i="6"/>
  <c r="C932" i="9"/>
  <c r="C930" i="9"/>
  <c r="C946" i="9"/>
  <c r="C929" i="9"/>
  <c r="D129" i="9"/>
  <c r="C953" i="9"/>
  <c r="C958" i="9" s="1"/>
  <c r="G524" i="9"/>
  <c r="D918" i="9" s="1"/>
  <c r="F918" i="9" s="1"/>
  <c r="F919" i="9" s="1"/>
  <c r="C1232" i="9"/>
  <c r="C1115" i="9"/>
  <c r="C1206" i="9"/>
  <c r="C1255" i="9"/>
  <c r="C1248" i="9"/>
  <c r="C1276" i="9"/>
  <c r="C1300" i="9"/>
  <c r="C1301" i="9" s="1"/>
  <c r="C1041" i="9"/>
  <c r="C1149" i="9"/>
  <c r="C1221" i="9"/>
  <c r="C1222" i="9" s="1"/>
  <c r="C267" i="6"/>
  <c r="C1116" i="9"/>
  <c r="C1292" i="9"/>
  <c r="C1288" i="9"/>
  <c r="C1289" i="9" s="1"/>
  <c r="D59" i="9"/>
  <c r="C253" i="6"/>
  <c r="C1103" i="9"/>
  <c r="C1231" i="9"/>
  <c r="C1293" i="9"/>
  <c r="D60" i="9"/>
  <c r="I979" i="9"/>
  <c r="I982" i="9" s="1"/>
  <c r="E993" i="9"/>
  <c r="F993" i="9" s="1"/>
  <c r="C1261" i="9"/>
  <c r="D1154" i="9"/>
  <c r="C1281" i="9"/>
  <c r="C1160" i="9"/>
  <c r="C1230" i="9"/>
  <c r="E1132" i="9"/>
  <c r="G1082" i="9"/>
  <c r="C1148" i="9"/>
  <c r="E992" i="9"/>
  <c r="C297" i="6"/>
  <c r="C524" i="6" s="1"/>
  <c r="C347" i="6"/>
  <c r="C254" i="6"/>
  <c r="C272" i="6"/>
  <c r="C273" i="6"/>
  <c r="G273" i="6" s="1"/>
  <c r="L273" i="6" s="1"/>
  <c r="Z273" i="6" s="1"/>
  <c r="C269" i="6"/>
  <c r="C281" i="6"/>
  <c r="C270" i="6"/>
  <c r="E1126" i="9"/>
  <c r="C271" i="6"/>
  <c r="L978" i="9"/>
  <c r="E1001" i="9"/>
  <c r="F991" i="9"/>
  <c r="C26" i="6"/>
  <c r="C28" i="6"/>
  <c r="E1129" i="9"/>
  <c r="G220" i="6"/>
  <c r="R220" i="6" s="1"/>
  <c r="Z220" i="6" s="1"/>
  <c r="F284" i="6"/>
  <c r="K908" i="30"/>
  <c r="K907" i="30"/>
  <c r="F212" i="6"/>
  <c r="G910" i="30"/>
  <c r="Z422" i="6"/>
  <c r="F252" i="6"/>
  <c r="F239" i="6"/>
  <c r="G907" i="30"/>
  <c r="C387" i="6"/>
  <c r="C384" i="6"/>
  <c r="C388" i="6"/>
  <c r="C1241" i="9"/>
  <c r="G908" i="30"/>
  <c r="G906" i="30"/>
  <c r="C416" i="6"/>
  <c r="G416" i="6" s="1"/>
  <c r="H416" i="6" s="1"/>
  <c r="C450" i="6"/>
  <c r="C375" i="6"/>
  <c r="C376" i="6"/>
  <c r="C369" i="6"/>
  <c r="C370" i="6"/>
  <c r="C372" i="6"/>
  <c r="C373" i="6"/>
  <c r="C353" i="6"/>
  <c r="C355" i="6"/>
  <c r="C360" i="6"/>
  <c r="G360" i="6" s="1"/>
  <c r="C340" i="6"/>
  <c r="C361" i="6"/>
  <c r="G361" i="6" s="1"/>
  <c r="C362" i="6"/>
  <c r="G362" i="6" s="1"/>
  <c r="C366" i="6"/>
  <c r="C346" i="6"/>
  <c r="C386" i="6"/>
  <c r="C345" i="6"/>
  <c r="C329" i="6"/>
  <c r="C236" i="6"/>
  <c r="C327" i="6"/>
  <c r="C279" i="6"/>
  <c r="C280" i="6"/>
  <c r="C268" i="6"/>
  <c r="C282" i="6"/>
  <c r="C275" i="6"/>
  <c r="C276" i="6"/>
  <c r="C256" i="6"/>
  <c r="C277" i="6"/>
  <c r="C241" i="6"/>
  <c r="C263" i="6"/>
  <c r="C255" i="6"/>
  <c r="C230" i="6"/>
  <c r="C229" i="6"/>
  <c r="C228" i="6"/>
  <c r="C222" i="6"/>
  <c r="C217" i="6"/>
  <c r="C218" i="6"/>
  <c r="C219" i="6"/>
  <c r="C216" i="6"/>
  <c r="C168" i="6"/>
  <c r="C239" i="6"/>
  <c r="C247" i="6"/>
  <c r="C179" i="6"/>
  <c r="C380" i="6"/>
  <c r="C381" i="6"/>
  <c r="G114" i="6"/>
  <c r="F226" i="6"/>
  <c r="F260" i="6"/>
  <c r="G235" i="6"/>
  <c r="O235" i="6" s="1"/>
  <c r="Z235" i="6" s="1"/>
  <c r="F262" i="6"/>
  <c r="C515" i="6"/>
  <c r="E515" i="6" s="1"/>
  <c r="C310" i="6"/>
  <c r="G310" i="6" s="1"/>
  <c r="C260" i="6"/>
  <c r="R358" i="6"/>
  <c r="Z358" i="6" s="1"/>
  <c r="C385" i="6"/>
  <c r="Z413" i="6"/>
  <c r="C312" i="6"/>
  <c r="R359" i="6"/>
  <c r="Z359" i="6" s="1"/>
  <c r="C378" i="6"/>
  <c r="C262" i="6"/>
  <c r="C303" i="6"/>
  <c r="C226" i="6"/>
  <c r="E1046" i="9"/>
  <c r="E1032" i="9"/>
  <c r="E1058" i="9"/>
  <c r="C1278" i="9" l="1"/>
  <c r="E1278" i="9" s="1"/>
  <c r="H383" i="6"/>
  <c r="Z383" i="6"/>
  <c r="C299" i="6"/>
  <c r="C211" i="6"/>
  <c r="C284" i="6"/>
  <c r="C1266" i="9"/>
  <c r="C1235" i="9"/>
  <c r="E1140" i="9"/>
  <c r="E1031" i="9"/>
  <c r="G1080" i="9"/>
  <c r="G1090" i="9" s="1"/>
  <c r="E946" i="9"/>
  <c r="C931" i="9"/>
  <c r="E958" i="9"/>
  <c r="C934" i="9"/>
  <c r="L979" i="9"/>
  <c r="M979" i="9" s="1"/>
  <c r="E994" i="9"/>
  <c r="C1180" i="9"/>
  <c r="F992" i="9"/>
  <c r="F994" i="9" s="1"/>
  <c r="E1222" i="9"/>
  <c r="D1180" i="9"/>
  <c r="F1193" i="9"/>
  <c r="F1194" i="9" s="1"/>
  <c r="C1117" i="9"/>
  <c r="F1117" i="9" s="1"/>
  <c r="C1045" i="9"/>
  <c r="E1045" i="9" s="1"/>
  <c r="M978" i="9"/>
  <c r="D919" i="9"/>
  <c r="F211" i="6"/>
  <c r="G909" i="30"/>
  <c r="R114" i="6"/>
  <c r="Z114" i="6" s="1"/>
  <c r="H360" i="6"/>
  <c r="Z360" i="6" s="1"/>
  <c r="H362" i="6"/>
  <c r="Z362" i="6" s="1"/>
  <c r="Z416" i="6"/>
  <c r="H361" i="6"/>
  <c r="Z361" i="6" s="1"/>
  <c r="G168" i="6"/>
  <c r="L168" i="6" s="1"/>
  <c r="G450" i="6"/>
  <c r="L450" i="6" s="1"/>
  <c r="C1294" i="9"/>
  <c r="C1295" i="9" s="1"/>
  <c r="E1068" i="9"/>
  <c r="C436" i="6"/>
  <c r="C504" i="6"/>
  <c r="E504" i="6" s="1"/>
  <c r="E444" i="27"/>
  <c r="E451" i="27"/>
  <c r="E443" i="27"/>
  <c r="G764" i="30"/>
  <c r="E450" i="27"/>
  <c r="E442" i="27"/>
  <c r="E446" i="27"/>
  <c r="E449" i="27"/>
  <c r="E448" i="27"/>
  <c r="E447" i="27"/>
  <c r="E445" i="27"/>
  <c r="C523" i="6"/>
  <c r="C507" i="6"/>
  <c r="G507" i="6" s="1"/>
  <c r="X507" i="6" s="1"/>
  <c r="E1057" i="9"/>
  <c r="G256" i="6"/>
  <c r="G282" i="6"/>
  <c r="G280" i="6"/>
  <c r="H310" i="6"/>
  <c r="Z310" i="6" s="1"/>
  <c r="G279" i="6"/>
  <c r="E1069" i="9"/>
  <c r="G525" i="9"/>
  <c r="C935" i="9" l="1"/>
  <c r="L982" i="9"/>
  <c r="L984" i="9" s="1"/>
  <c r="G504" i="6"/>
  <c r="L504" i="6" s="1"/>
  <c r="D281" i="6"/>
  <c r="G281" i="6" s="1"/>
  <c r="R281" i="6" s="1"/>
  <c r="Z281" i="6" s="1"/>
  <c r="C431" i="6"/>
  <c r="G911" i="30"/>
  <c r="G912" i="30" s="1"/>
  <c r="R282" i="6"/>
  <c r="Z282" i="6" s="1"/>
  <c r="Z507" i="6"/>
  <c r="I256" i="6"/>
  <c r="Z256" i="6" s="1"/>
  <c r="R280" i="6"/>
  <c r="Z280" i="6" s="1"/>
  <c r="Z450" i="6"/>
  <c r="Z168" i="6"/>
  <c r="G436" i="6"/>
  <c r="L436" i="6" s="1"/>
  <c r="E1235" i="9"/>
  <c r="R279" i="6"/>
  <c r="Z279" i="6" s="1"/>
  <c r="J504" i="6" l="1"/>
  <c r="Z504" i="6" s="1"/>
  <c r="Z436" i="6"/>
  <c r="I5" i="30"/>
  <c r="K5" i="30"/>
  <c r="M5" i="30"/>
  <c r="I6" i="30"/>
  <c r="K6" i="30"/>
  <c r="M6" i="30"/>
  <c r="I7" i="30"/>
  <c r="K7" i="30"/>
  <c r="M7" i="30"/>
  <c r="I8" i="30"/>
  <c r="K8" i="30"/>
  <c r="M8" i="30"/>
  <c r="I9" i="30"/>
  <c r="K9" i="30"/>
  <c r="M9" i="30"/>
  <c r="I10" i="30"/>
  <c r="K10" i="30"/>
  <c r="M10" i="30"/>
  <c r="I11" i="30"/>
  <c r="K11" i="30"/>
  <c r="M11" i="30"/>
  <c r="I12" i="30"/>
  <c r="K12" i="30"/>
  <c r="M12" i="30"/>
  <c r="I13" i="30"/>
  <c r="K13" i="30"/>
  <c r="M13" i="30"/>
  <c r="I14" i="30"/>
  <c r="K14" i="30"/>
  <c r="M14" i="30"/>
  <c r="I15" i="30"/>
  <c r="K15" i="30"/>
  <c r="F8" i="6" s="1"/>
  <c r="M15" i="30"/>
  <c r="I16" i="30"/>
  <c r="M16" i="30"/>
  <c r="I17" i="30"/>
  <c r="M17" i="30"/>
  <c r="I18" i="30"/>
  <c r="M18" i="30"/>
  <c r="I19" i="30"/>
  <c r="M19" i="30"/>
  <c r="I20" i="30"/>
  <c r="K20" i="30"/>
  <c r="M20" i="30"/>
  <c r="I21" i="30"/>
  <c r="M21" i="30"/>
  <c r="I22" i="30"/>
  <c r="M22" i="30"/>
  <c r="I23" i="30"/>
  <c r="M23" i="30"/>
  <c r="I24" i="30"/>
  <c r="M24" i="30"/>
  <c r="I25" i="30"/>
  <c r="K25" i="30"/>
  <c r="F17" i="6" s="1"/>
  <c r="G17" i="6" s="1"/>
  <c r="Z17" i="6" s="1"/>
  <c r="M25" i="30"/>
  <c r="I26" i="30"/>
  <c r="M26" i="30"/>
  <c r="I27" i="30"/>
  <c r="M27" i="30"/>
  <c r="I28" i="30"/>
  <c r="M28" i="30"/>
  <c r="I29" i="30"/>
  <c r="M29" i="30"/>
  <c r="I30" i="30"/>
  <c r="K30" i="30"/>
  <c r="M30" i="30"/>
  <c r="I31" i="30"/>
  <c r="K31" i="30"/>
  <c r="M31" i="30"/>
  <c r="I32" i="30"/>
  <c r="K32" i="30"/>
  <c r="M32" i="30"/>
  <c r="I33" i="30"/>
  <c r="K33" i="30"/>
  <c r="M33" i="30"/>
  <c r="I34" i="30"/>
  <c r="K34" i="30"/>
  <c r="F26" i="6" s="1"/>
  <c r="G26" i="6" s="1"/>
  <c r="Z26" i="6" s="1"/>
  <c r="M34" i="30"/>
  <c r="I35" i="30"/>
  <c r="K35" i="30"/>
  <c r="M35" i="30"/>
  <c r="I36" i="30"/>
  <c r="K36" i="30"/>
  <c r="F28" i="6" s="1"/>
  <c r="G28" i="6" s="1"/>
  <c r="Z28" i="6" s="1"/>
  <c r="M36" i="30"/>
  <c r="I39" i="30"/>
  <c r="K39" i="30"/>
  <c r="M39" i="30"/>
  <c r="I40" i="30"/>
  <c r="K40" i="30"/>
  <c r="M40" i="30"/>
  <c r="I41" i="30"/>
  <c r="M41" i="30"/>
  <c r="I42" i="30"/>
  <c r="M42" i="30"/>
  <c r="I43" i="30"/>
  <c r="M43" i="30"/>
  <c r="I44" i="30"/>
  <c r="K44" i="30"/>
  <c r="M44" i="30"/>
  <c r="I45" i="30"/>
  <c r="M45" i="30"/>
  <c r="I46" i="30"/>
  <c r="K46" i="30"/>
  <c r="M46" i="30"/>
  <c r="I47" i="30"/>
  <c r="K47" i="30"/>
  <c r="M47" i="30"/>
  <c r="I48" i="30"/>
  <c r="M48" i="30"/>
  <c r="I49" i="30"/>
  <c r="M49" i="30"/>
  <c r="I50" i="30"/>
  <c r="M50" i="30"/>
  <c r="I51" i="30"/>
  <c r="M51" i="30"/>
  <c r="I52" i="30"/>
  <c r="K52" i="30"/>
  <c r="M52" i="30"/>
  <c r="I53" i="30"/>
  <c r="K53" i="30"/>
  <c r="M53" i="30"/>
  <c r="I54" i="30"/>
  <c r="K54" i="30"/>
  <c r="M54" i="30"/>
  <c r="I55" i="30"/>
  <c r="K55" i="30"/>
  <c r="M55" i="30"/>
  <c r="I56" i="30"/>
  <c r="K56" i="30"/>
  <c r="M56" i="30"/>
  <c r="I57" i="30"/>
  <c r="K57" i="30"/>
  <c r="M57" i="30"/>
  <c r="I58" i="30"/>
  <c r="K58" i="30"/>
  <c r="M58" i="30"/>
  <c r="I62" i="30"/>
  <c r="K62" i="30"/>
  <c r="M62" i="30"/>
  <c r="I63" i="30"/>
  <c r="K63" i="30"/>
  <c r="M63" i="30"/>
  <c r="I64" i="30"/>
  <c r="K64" i="30"/>
  <c r="M64" i="30"/>
  <c r="I65" i="30"/>
  <c r="K65" i="30"/>
  <c r="M65" i="30"/>
  <c r="I66" i="30"/>
  <c r="K66" i="30"/>
  <c r="M66" i="30"/>
  <c r="I67" i="30"/>
  <c r="K67" i="30"/>
  <c r="M67" i="30"/>
  <c r="I68" i="30"/>
  <c r="K68" i="30"/>
  <c r="M68" i="30"/>
  <c r="I69" i="30"/>
  <c r="K69" i="30"/>
  <c r="M69" i="30"/>
  <c r="I70" i="30"/>
  <c r="K70" i="30"/>
  <c r="M70" i="30"/>
  <c r="I71" i="30"/>
  <c r="K71" i="30"/>
  <c r="M71" i="30"/>
  <c r="I72" i="30"/>
  <c r="K72" i="30"/>
  <c r="M72" i="30"/>
  <c r="I73" i="30"/>
  <c r="K73" i="30"/>
  <c r="M73" i="30"/>
  <c r="I74" i="30"/>
  <c r="K74" i="30"/>
  <c r="M74" i="30"/>
  <c r="I75" i="30"/>
  <c r="K75" i="30"/>
  <c r="M75" i="30"/>
  <c r="I76" i="30"/>
  <c r="K76" i="30"/>
  <c r="M76" i="30"/>
  <c r="I77" i="30"/>
  <c r="K77" i="30"/>
  <c r="M77" i="30"/>
  <c r="I78" i="30"/>
  <c r="K78" i="30"/>
  <c r="M78" i="30"/>
  <c r="I79" i="30"/>
  <c r="K79" i="30"/>
  <c r="M79" i="30"/>
  <c r="I80" i="30"/>
  <c r="K80" i="30"/>
  <c r="M80" i="30"/>
  <c r="I81" i="30"/>
  <c r="K81" i="30"/>
  <c r="M81" i="30"/>
  <c r="I82" i="30"/>
  <c r="K82" i="30"/>
  <c r="M82" i="30"/>
  <c r="I83" i="30"/>
  <c r="K83" i="30"/>
  <c r="M83" i="30"/>
  <c r="I84" i="30"/>
  <c r="K84" i="30"/>
  <c r="M84" i="30"/>
  <c r="I85" i="30"/>
  <c r="K85" i="30"/>
  <c r="M85" i="30"/>
  <c r="I86" i="30"/>
  <c r="K86" i="30"/>
  <c r="M86" i="30"/>
  <c r="I87" i="30"/>
  <c r="K87" i="30"/>
  <c r="M87" i="30"/>
  <c r="I88" i="30"/>
  <c r="K88" i="30"/>
  <c r="M88" i="30"/>
  <c r="I89" i="30"/>
  <c r="K89" i="30"/>
  <c r="M89" i="30"/>
  <c r="I90" i="30"/>
  <c r="K90" i="30"/>
  <c r="M90" i="30"/>
  <c r="I91" i="30"/>
  <c r="K91" i="30"/>
  <c r="M91" i="30"/>
  <c r="I92" i="30"/>
  <c r="K92" i="30"/>
  <c r="M92" i="30"/>
  <c r="I93" i="30"/>
  <c r="K93" i="30"/>
  <c r="M93" i="30"/>
  <c r="I94" i="30"/>
  <c r="K94" i="30"/>
  <c r="F70" i="6" s="1"/>
  <c r="G70" i="6" s="1"/>
  <c r="R70" i="6" s="1"/>
  <c r="Z70" i="6" s="1"/>
  <c r="M94" i="30"/>
  <c r="I95" i="30"/>
  <c r="K95" i="30"/>
  <c r="M95" i="30"/>
  <c r="I96" i="30"/>
  <c r="K96" i="30"/>
  <c r="F71" i="6" s="1"/>
  <c r="G71" i="6" s="1"/>
  <c r="R71" i="6" s="1"/>
  <c r="Z71" i="6" s="1"/>
  <c r="M96" i="30"/>
  <c r="I97" i="30"/>
  <c r="K97" i="30"/>
  <c r="M97" i="30"/>
  <c r="I98" i="30"/>
  <c r="K98" i="30"/>
  <c r="M98" i="30"/>
  <c r="I99" i="30"/>
  <c r="K99" i="30"/>
  <c r="M99" i="30"/>
  <c r="I100" i="30"/>
  <c r="K100" i="30"/>
  <c r="M100" i="30"/>
  <c r="I101" i="30"/>
  <c r="K101" i="30"/>
  <c r="M101" i="30"/>
  <c r="I102" i="30"/>
  <c r="K102" i="30"/>
  <c r="M102" i="30"/>
  <c r="I103" i="30"/>
  <c r="K103" i="30"/>
  <c r="M103" i="30"/>
  <c r="I104" i="30"/>
  <c r="K104" i="30"/>
  <c r="M104" i="30"/>
  <c r="I105" i="30"/>
  <c r="K105" i="30"/>
  <c r="M105" i="30"/>
  <c r="I106" i="30"/>
  <c r="K106" i="30"/>
  <c r="M106" i="30"/>
  <c r="I107" i="30"/>
  <c r="K107" i="30"/>
  <c r="M107" i="30"/>
  <c r="I108" i="30"/>
  <c r="K108" i="30"/>
  <c r="M108" i="30"/>
  <c r="I109" i="30"/>
  <c r="K109" i="30"/>
  <c r="M109" i="30"/>
  <c r="I110" i="30"/>
  <c r="K110" i="30"/>
  <c r="M110" i="30"/>
  <c r="I111" i="30"/>
  <c r="K111" i="30"/>
  <c r="M111" i="30"/>
  <c r="I112" i="30"/>
  <c r="K112" i="30"/>
  <c r="M112" i="30"/>
  <c r="I113" i="30"/>
  <c r="K113" i="30"/>
  <c r="M113" i="30"/>
  <c r="I114" i="30"/>
  <c r="K114" i="30"/>
  <c r="M114" i="30"/>
  <c r="I115" i="30"/>
  <c r="K115" i="30"/>
  <c r="M115" i="30"/>
  <c r="I116" i="30"/>
  <c r="K116" i="30"/>
  <c r="M116" i="30"/>
  <c r="I117" i="30"/>
  <c r="K117" i="30"/>
  <c r="M117" i="30"/>
  <c r="I118" i="30"/>
  <c r="K118" i="30"/>
  <c r="M118" i="30"/>
  <c r="I121" i="30"/>
  <c r="K121" i="30"/>
  <c r="M121" i="30"/>
  <c r="I122" i="30"/>
  <c r="K122" i="30"/>
  <c r="M122" i="30"/>
  <c r="I123" i="30"/>
  <c r="K123" i="30"/>
  <c r="M123" i="30"/>
  <c r="I124" i="30"/>
  <c r="K124" i="30"/>
  <c r="M124" i="30"/>
  <c r="I125" i="30"/>
  <c r="K125" i="30"/>
  <c r="M125" i="30"/>
  <c r="I126" i="30"/>
  <c r="K126" i="30"/>
  <c r="M126" i="30"/>
  <c r="I127" i="30"/>
  <c r="K127" i="30"/>
  <c r="M127" i="30"/>
  <c r="I128" i="30"/>
  <c r="K128" i="30"/>
  <c r="M128" i="30"/>
  <c r="I129" i="30"/>
  <c r="K129" i="30"/>
  <c r="M129" i="30"/>
  <c r="I130" i="30"/>
  <c r="K130" i="30"/>
  <c r="F87" i="6" s="1"/>
  <c r="G87" i="6" s="1"/>
  <c r="S87" i="6" s="1"/>
  <c r="Z87" i="6" s="1"/>
  <c r="M130" i="30"/>
  <c r="I131" i="30"/>
  <c r="K131" i="30"/>
  <c r="M131" i="30"/>
  <c r="I132" i="30"/>
  <c r="K132" i="30"/>
  <c r="M132" i="30"/>
  <c r="I133" i="30"/>
  <c r="K133" i="30"/>
  <c r="M133" i="30"/>
  <c r="I134" i="30"/>
  <c r="K134" i="30"/>
  <c r="M134" i="30"/>
  <c r="I135" i="30"/>
  <c r="K135" i="30"/>
  <c r="M135" i="30"/>
  <c r="I136" i="30"/>
  <c r="K136" i="30"/>
  <c r="F89" i="6" s="1"/>
  <c r="G89" i="6" s="1"/>
  <c r="M136" i="30"/>
  <c r="I137" i="30"/>
  <c r="K137" i="30"/>
  <c r="M137" i="30"/>
  <c r="I138" i="30"/>
  <c r="K138" i="30"/>
  <c r="M138" i="30"/>
  <c r="I139" i="30"/>
  <c r="K139" i="30"/>
  <c r="M139" i="30"/>
  <c r="I140" i="30"/>
  <c r="K140" i="30"/>
  <c r="M140" i="30"/>
  <c r="I141" i="30"/>
  <c r="K141" i="30"/>
  <c r="M141" i="30"/>
  <c r="I142" i="30"/>
  <c r="K142" i="30"/>
  <c r="M142" i="30"/>
  <c r="I143" i="30"/>
  <c r="K143" i="30"/>
  <c r="M143" i="30"/>
  <c r="I144" i="30"/>
  <c r="K144" i="30"/>
  <c r="M144" i="30"/>
  <c r="I145" i="30"/>
  <c r="K145" i="30"/>
  <c r="M145" i="30"/>
  <c r="I146" i="30"/>
  <c r="K146" i="30"/>
  <c r="M146" i="30"/>
  <c r="I147" i="30"/>
  <c r="K147" i="30"/>
  <c r="M147" i="30"/>
  <c r="I148" i="30"/>
  <c r="K148" i="30"/>
  <c r="M148" i="30"/>
  <c r="I149" i="30"/>
  <c r="K149" i="30"/>
  <c r="M149" i="30"/>
  <c r="I150" i="30"/>
  <c r="K150" i="30"/>
  <c r="M150" i="30"/>
  <c r="I151" i="30"/>
  <c r="K151" i="30"/>
  <c r="M151" i="30"/>
  <c r="I152" i="30"/>
  <c r="K152" i="30"/>
  <c r="M152" i="30"/>
  <c r="I153" i="30"/>
  <c r="K153" i="30"/>
  <c r="M153" i="30"/>
  <c r="I154" i="30"/>
  <c r="K154" i="30"/>
  <c r="M154" i="30"/>
  <c r="I155" i="30"/>
  <c r="K155" i="30"/>
  <c r="M155" i="30"/>
  <c r="I156" i="30"/>
  <c r="K156" i="30"/>
  <c r="M156" i="30"/>
  <c r="I157" i="30"/>
  <c r="K157" i="30"/>
  <c r="M157" i="30"/>
  <c r="I158" i="30"/>
  <c r="K158" i="30"/>
  <c r="M158" i="30"/>
  <c r="I159" i="30"/>
  <c r="K159" i="30"/>
  <c r="M159" i="30"/>
  <c r="I160" i="30"/>
  <c r="K160" i="30"/>
  <c r="M160" i="30"/>
  <c r="I161" i="30"/>
  <c r="K161" i="30"/>
  <c r="M161" i="30"/>
  <c r="I162" i="30"/>
  <c r="K162" i="30"/>
  <c r="M162" i="30"/>
  <c r="I163" i="30"/>
  <c r="K163" i="30"/>
  <c r="F101" i="6" s="1"/>
  <c r="G101" i="6" s="1"/>
  <c r="M163" i="30"/>
  <c r="I164" i="30"/>
  <c r="K164" i="30"/>
  <c r="M164" i="30"/>
  <c r="I165" i="30"/>
  <c r="K165" i="30"/>
  <c r="M165" i="30"/>
  <c r="I166" i="30"/>
  <c r="K166" i="30"/>
  <c r="M166" i="30"/>
  <c r="I167" i="30"/>
  <c r="K167" i="30"/>
  <c r="M167" i="30"/>
  <c r="I168" i="30"/>
  <c r="K168" i="30"/>
  <c r="M168" i="30"/>
  <c r="I169" i="30"/>
  <c r="K169" i="30"/>
  <c r="F103" i="6" s="1"/>
  <c r="G103" i="6" s="1"/>
  <c r="S103" i="6" s="1"/>
  <c r="Z103" i="6" s="1"/>
  <c r="M169" i="30"/>
  <c r="I170" i="30"/>
  <c r="K170" i="30"/>
  <c r="M170" i="30"/>
  <c r="I171" i="30"/>
  <c r="K171" i="30"/>
  <c r="M171" i="30"/>
  <c r="I172" i="30"/>
  <c r="K172" i="30"/>
  <c r="M172" i="30"/>
  <c r="I173" i="30"/>
  <c r="K173" i="30"/>
  <c r="M173" i="30"/>
  <c r="I174" i="30"/>
  <c r="K174" i="30"/>
  <c r="M174" i="30"/>
  <c r="I175" i="30"/>
  <c r="K175" i="30"/>
  <c r="M175" i="30"/>
  <c r="I176" i="30"/>
  <c r="K176" i="30"/>
  <c r="M176" i="30"/>
  <c r="I177" i="30"/>
  <c r="K177" i="30"/>
  <c r="M177" i="30"/>
  <c r="I178" i="30"/>
  <c r="K178" i="30"/>
  <c r="M178" i="30"/>
  <c r="I179" i="30"/>
  <c r="K179" i="30"/>
  <c r="M179" i="30"/>
  <c r="I180" i="30"/>
  <c r="K180" i="30"/>
  <c r="M180" i="30"/>
  <c r="I181" i="30"/>
  <c r="K181" i="30"/>
  <c r="M181" i="30"/>
  <c r="I182" i="30"/>
  <c r="K182" i="30"/>
  <c r="M182" i="30"/>
  <c r="I183" i="30"/>
  <c r="K183" i="30"/>
  <c r="M183" i="30"/>
  <c r="I184" i="30"/>
  <c r="K184" i="30"/>
  <c r="M184" i="30"/>
  <c r="I185" i="30"/>
  <c r="K185" i="30"/>
  <c r="M185" i="30"/>
  <c r="I186" i="30"/>
  <c r="K186" i="30"/>
  <c r="M186" i="30"/>
  <c r="I187" i="30"/>
  <c r="K187" i="30"/>
  <c r="M187" i="30"/>
  <c r="I188" i="30"/>
  <c r="K188" i="30"/>
  <c r="M188" i="30"/>
  <c r="I189" i="30"/>
  <c r="K189" i="30"/>
  <c r="M189" i="30"/>
  <c r="I190" i="30"/>
  <c r="K190" i="30"/>
  <c r="M190" i="30"/>
  <c r="I191" i="30"/>
  <c r="K191" i="30"/>
  <c r="M191" i="30"/>
  <c r="I192" i="30"/>
  <c r="K192" i="30"/>
  <c r="M192" i="30"/>
  <c r="I193" i="30"/>
  <c r="K193" i="30"/>
  <c r="M193" i="30"/>
  <c r="I194" i="30"/>
  <c r="K194" i="30"/>
  <c r="M194" i="30"/>
  <c r="I195" i="30"/>
  <c r="K195" i="30"/>
  <c r="M195" i="30"/>
  <c r="I196" i="30"/>
  <c r="K196" i="30"/>
  <c r="M196" i="30"/>
  <c r="I197" i="30"/>
  <c r="K197" i="30"/>
  <c r="M197" i="30"/>
  <c r="I198" i="30"/>
  <c r="K198" i="30"/>
  <c r="M198" i="30"/>
  <c r="I199" i="30"/>
  <c r="K199" i="30"/>
  <c r="M199" i="30"/>
  <c r="I200" i="30"/>
  <c r="K200" i="30"/>
  <c r="M200" i="30"/>
  <c r="I201" i="30"/>
  <c r="K201" i="30"/>
  <c r="M201" i="30"/>
  <c r="I202" i="30"/>
  <c r="K202" i="30"/>
  <c r="M202" i="30"/>
  <c r="I203" i="30"/>
  <c r="K203" i="30"/>
  <c r="M203" i="30"/>
  <c r="I204" i="30"/>
  <c r="K204" i="30"/>
  <c r="M204" i="30"/>
  <c r="I205" i="30"/>
  <c r="K205" i="30"/>
  <c r="M205" i="30"/>
  <c r="I206" i="30"/>
  <c r="K206" i="30"/>
  <c r="M206" i="30"/>
  <c r="I207" i="30"/>
  <c r="K207" i="30"/>
  <c r="M207" i="30"/>
  <c r="I208" i="30"/>
  <c r="K208" i="30"/>
  <c r="M208" i="30"/>
  <c r="I209" i="30"/>
  <c r="K209" i="30"/>
  <c r="M209" i="30"/>
  <c r="I210" i="30"/>
  <c r="K210" i="30"/>
  <c r="M210" i="30"/>
  <c r="I211" i="30"/>
  <c r="K211" i="30"/>
  <c r="M211" i="30"/>
  <c r="I212" i="30"/>
  <c r="K212" i="30"/>
  <c r="M212" i="30"/>
  <c r="I213" i="30"/>
  <c r="K213" i="30"/>
  <c r="M213" i="30"/>
  <c r="I214" i="30"/>
  <c r="K214" i="30"/>
  <c r="M214" i="30"/>
  <c r="I215" i="30"/>
  <c r="K215" i="30"/>
  <c r="M215" i="30"/>
  <c r="I216" i="30"/>
  <c r="K216" i="30"/>
  <c r="M216" i="30"/>
  <c r="I217" i="30"/>
  <c r="K217" i="30"/>
  <c r="M217" i="30"/>
  <c r="I218" i="30"/>
  <c r="K218" i="30"/>
  <c r="M218" i="30"/>
  <c r="I219" i="30"/>
  <c r="K219" i="30"/>
  <c r="M219" i="30"/>
  <c r="I221" i="30"/>
  <c r="K221" i="30"/>
  <c r="F115" i="6" s="1"/>
  <c r="G115" i="6" s="1"/>
  <c r="Z115" i="6" s="1"/>
  <c r="M221" i="30"/>
  <c r="I222" i="30"/>
  <c r="K222" i="30"/>
  <c r="M222" i="30"/>
  <c r="I223" i="30"/>
  <c r="K223" i="30"/>
  <c r="M223" i="30"/>
  <c r="I224" i="30"/>
  <c r="K224" i="30"/>
  <c r="M224" i="30"/>
  <c r="I225" i="30"/>
  <c r="K225" i="30"/>
  <c r="M225" i="30"/>
  <c r="I226" i="30"/>
  <c r="K226" i="30"/>
  <c r="F118" i="6" s="1"/>
  <c r="G118" i="6" s="1"/>
  <c r="R118" i="6" s="1"/>
  <c r="Z118" i="6" s="1"/>
  <c r="M226" i="30"/>
  <c r="I227" i="30"/>
  <c r="K227" i="30"/>
  <c r="M227" i="30"/>
  <c r="I228" i="30"/>
  <c r="K228" i="30"/>
  <c r="M228" i="30"/>
  <c r="I229" i="30"/>
  <c r="K229" i="30"/>
  <c r="M229" i="30"/>
  <c r="I230" i="30"/>
  <c r="K230" i="30"/>
  <c r="F120" i="6" s="1"/>
  <c r="G120" i="6" s="1"/>
  <c r="R120" i="6" s="1"/>
  <c r="Z120" i="6" s="1"/>
  <c r="M230" i="30"/>
  <c r="I231" i="30"/>
  <c r="K231" i="30"/>
  <c r="M231" i="30"/>
  <c r="I232" i="30"/>
  <c r="K232" i="30"/>
  <c r="M232" i="30"/>
  <c r="I233" i="30"/>
  <c r="K233" i="30"/>
  <c r="M233" i="30"/>
  <c r="I234" i="30"/>
  <c r="K234" i="30"/>
  <c r="M234" i="30"/>
  <c r="I235" i="30"/>
  <c r="K235" i="30"/>
  <c r="M235" i="30"/>
  <c r="I236" i="30"/>
  <c r="K236" i="30"/>
  <c r="M236" i="30"/>
  <c r="I237" i="30"/>
  <c r="K237" i="30"/>
  <c r="M237" i="30"/>
  <c r="I238" i="30"/>
  <c r="K238" i="30"/>
  <c r="M238" i="30"/>
  <c r="I239" i="30"/>
  <c r="K239" i="30"/>
  <c r="F121" i="6" s="1"/>
  <c r="G121" i="6" s="1"/>
  <c r="R121" i="6" s="1"/>
  <c r="Z121" i="6" s="1"/>
  <c r="M239" i="30"/>
  <c r="I240" i="30"/>
  <c r="K240" i="30"/>
  <c r="M240" i="30"/>
  <c r="I241" i="30"/>
  <c r="K241" i="30"/>
  <c r="M241" i="30"/>
  <c r="I242" i="30"/>
  <c r="K242" i="30"/>
  <c r="M242" i="30"/>
  <c r="I243" i="30"/>
  <c r="K243" i="30"/>
  <c r="M243" i="30"/>
  <c r="I244" i="30"/>
  <c r="K244" i="30"/>
  <c r="M244" i="30"/>
  <c r="I245" i="30"/>
  <c r="K245" i="30"/>
  <c r="M245" i="30"/>
  <c r="I246" i="30"/>
  <c r="K246" i="30"/>
  <c r="M246" i="30"/>
  <c r="I247" i="30"/>
  <c r="K247" i="30"/>
  <c r="M247" i="30"/>
  <c r="I248" i="30"/>
  <c r="K248" i="30"/>
  <c r="F123" i="6" s="1"/>
  <c r="G123" i="6" s="1"/>
  <c r="R123" i="6" s="1"/>
  <c r="Z123" i="6" s="1"/>
  <c r="M248" i="30"/>
  <c r="I249" i="30"/>
  <c r="K249" i="30"/>
  <c r="M249" i="30"/>
  <c r="I250" i="30"/>
  <c r="K250" i="30"/>
  <c r="M250" i="30"/>
  <c r="I251" i="30"/>
  <c r="K251" i="30"/>
  <c r="F126" i="6" s="1"/>
  <c r="G126" i="6" s="1"/>
  <c r="R126" i="6" s="1"/>
  <c r="Z126" i="6" s="1"/>
  <c r="M251" i="30"/>
  <c r="I252" i="30"/>
  <c r="K252" i="30"/>
  <c r="M252" i="30"/>
  <c r="I253" i="30"/>
  <c r="K253" i="30"/>
  <c r="M253" i="30"/>
  <c r="I254" i="30"/>
  <c r="K254" i="30"/>
  <c r="M254" i="30"/>
  <c r="I255" i="30"/>
  <c r="K255" i="30"/>
  <c r="M255" i="30"/>
  <c r="I256" i="30"/>
  <c r="K256" i="30"/>
  <c r="M256" i="30"/>
  <c r="I257" i="30"/>
  <c r="D37" i="9" s="1"/>
  <c r="F37" i="9" s="1"/>
  <c r="K257" i="30"/>
  <c r="M257" i="30"/>
  <c r="I258" i="30"/>
  <c r="K258" i="30"/>
  <c r="M258" i="30"/>
  <c r="I259" i="30"/>
  <c r="K259" i="30"/>
  <c r="D953" i="9" s="1"/>
  <c r="M259" i="30"/>
  <c r="I260" i="30"/>
  <c r="D38" i="9" s="1"/>
  <c r="F38" i="9" s="1"/>
  <c r="K260" i="30"/>
  <c r="D954" i="9" s="1"/>
  <c r="M260" i="30"/>
  <c r="I261" i="30"/>
  <c r="K261" i="30"/>
  <c r="M261" i="30"/>
  <c r="I262" i="30"/>
  <c r="K262" i="30"/>
  <c r="M262" i="30"/>
  <c r="I263" i="30"/>
  <c r="K263" i="30"/>
  <c r="M263" i="30"/>
  <c r="I264" i="30"/>
  <c r="K264" i="30"/>
  <c r="M264" i="30"/>
  <c r="I265" i="30"/>
  <c r="K265" i="30"/>
  <c r="M265" i="30"/>
  <c r="I266" i="30"/>
  <c r="K266" i="30"/>
  <c r="M266" i="30"/>
  <c r="I267" i="30"/>
  <c r="K267" i="30"/>
  <c r="M267" i="30"/>
  <c r="I268" i="30"/>
  <c r="K268" i="30"/>
  <c r="D955" i="9" s="1"/>
  <c r="M268" i="30"/>
  <c r="I269" i="30"/>
  <c r="K269" i="30"/>
  <c r="M269" i="30"/>
  <c r="I270" i="30"/>
  <c r="K270" i="30"/>
  <c r="M270" i="30"/>
  <c r="I271" i="30"/>
  <c r="K271" i="30"/>
  <c r="D956" i="9" s="1"/>
  <c r="M271" i="30"/>
  <c r="I272" i="30"/>
  <c r="K272" i="30"/>
  <c r="D957" i="9" s="1"/>
  <c r="M272" i="30"/>
  <c r="I273" i="30"/>
  <c r="K273" i="30"/>
  <c r="M273" i="30"/>
  <c r="I274" i="30"/>
  <c r="K274" i="30"/>
  <c r="M274" i="30"/>
  <c r="I275" i="30"/>
  <c r="K275" i="30"/>
  <c r="M275" i="30"/>
  <c r="I276" i="30"/>
  <c r="K276" i="30"/>
  <c r="M276" i="30"/>
  <c r="I277" i="30"/>
  <c r="K277" i="30"/>
  <c r="M277" i="30"/>
  <c r="I278" i="30"/>
  <c r="K278" i="30"/>
  <c r="M278" i="30"/>
  <c r="I279" i="30"/>
  <c r="D39" i="9" s="1"/>
  <c r="F39" i="9" s="1"/>
  <c r="K279" i="30"/>
  <c r="M279" i="30"/>
  <c r="I280" i="30"/>
  <c r="K280" i="30"/>
  <c r="M280" i="30"/>
  <c r="I281" i="30"/>
  <c r="K281" i="30"/>
  <c r="M281" i="30"/>
  <c r="I282" i="30"/>
  <c r="K282" i="30"/>
  <c r="M282" i="30"/>
  <c r="I283" i="30"/>
  <c r="K283" i="30"/>
  <c r="M283" i="30"/>
  <c r="I284" i="30"/>
  <c r="K284" i="30"/>
  <c r="M284" i="30"/>
  <c r="I285" i="30"/>
  <c r="K285" i="30"/>
  <c r="M285" i="30"/>
  <c r="I286" i="30"/>
  <c r="K286" i="30"/>
  <c r="M286" i="30"/>
  <c r="I287" i="30"/>
  <c r="K287" i="30"/>
  <c r="M287" i="30"/>
  <c r="I288" i="30"/>
  <c r="K288" i="30"/>
  <c r="M288" i="30"/>
  <c r="I289" i="30"/>
  <c r="K289" i="30"/>
  <c r="M289" i="30"/>
  <c r="I290" i="30"/>
  <c r="K290" i="30"/>
  <c r="M290" i="30"/>
  <c r="I291" i="30"/>
  <c r="K291" i="30"/>
  <c r="M291" i="30"/>
  <c r="I292" i="30"/>
  <c r="K292" i="30"/>
  <c r="M292" i="30"/>
  <c r="I293" i="30"/>
  <c r="K293" i="30"/>
  <c r="M293" i="30"/>
  <c r="I294" i="30"/>
  <c r="K294" i="30"/>
  <c r="M294" i="30"/>
  <c r="I295" i="30"/>
  <c r="K295" i="30"/>
  <c r="M295" i="30"/>
  <c r="I297" i="30"/>
  <c r="K297" i="30"/>
  <c r="M297" i="30"/>
  <c r="I298" i="30"/>
  <c r="K298" i="30"/>
  <c r="M298" i="30"/>
  <c r="I299" i="30"/>
  <c r="K299" i="30"/>
  <c r="M299" i="30"/>
  <c r="I300" i="30"/>
  <c r="K300" i="30"/>
  <c r="M300" i="30"/>
  <c r="I301" i="30"/>
  <c r="K301" i="30"/>
  <c r="M301" i="30"/>
  <c r="I302" i="30"/>
  <c r="K302" i="30"/>
  <c r="M302" i="30"/>
  <c r="I303" i="30"/>
  <c r="K303" i="30"/>
  <c r="M303" i="30"/>
  <c r="I304" i="30"/>
  <c r="K304" i="30"/>
  <c r="M304" i="30"/>
  <c r="I305" i="30"/>
  <c r="K305" i="30"/>
  <c r="M305" i="30"/>
  <c r="I306" i="30"/>
  <c r="K306" i="30"/>
  <c r="M306" i="30"/>
  <c r="I307" i="30"/>
  <c r="K307" i="30"/>
  <c r="M307" i="30"/>
  <c r="I308" i="30"/>
  <c r="K308" i="30"/>
  <c r="M308" i="30"/>
  <c r="I309" i="30"/>
  <c r="K309" i="30"/>
  <c r="M309" i="30"/>
  <c r="I310" i="30"/>
  <c r="K310" i="30"/>
  <c r="M310" i="30"/>
  <c r="I311" i="30"/>
  <c r="K311" i="30"/>
  <c r="M311" i="30"/>
  <c r="I312" i="30"/>
  <c r="K312" i="30"/>
  <c r="M312" i="30"/>
  <c r="I313" i="30"/>
  <c r="K313" i="30"/>
  <c r="M313" i="30"/>
  <c r="I314" i="30"/>
  <c r="K314" i="30"/>
  <c r="M314" i="30"/>
  <c r="I315" i="30"/>
  <c r="K315" i="30"/>
  <c r="M315" i="30"/>
  <c r="I316" i="30"/>
  <c r="K316" i="30"/>
  <c r="M316" i="30"/>
  <c r="I318" i="30"/>
  <c r="K318" i="30"/>
  <c r="M318" i="30"/>
  <c r="I319" i="30"/>
  <c r="K319" i="30"/>
  <c r="M319" i="30"/>
  <c r="I320" i="30"/>
  <c r="K320" i="30"/>
  <c r="M320" i="30"/>
  <c r="I321" i="30"/>
  <c r="K321" i="30"/>
  <c r="M321" i="30"/>
  <c r="I322" i="30"/>
  <c r="K322" i="30"/>
  <c r="M322" i="30"/>
  <c r="I323" i="30"/>
  <c r="K323" i="30"/>
  <c r="M323" i="30"/>
  <c r="I324" i="30"/>
  <c r="K324" i="30"/>
  <c r="M324" i="30"/>
  <c r="I325" i="30"/>
  <c r="K325" i="30"/>
  <c r="M325" i="30"/>
  <c r="I326" i="30"/>
  <c r="K326" i="30"/>
  <c r="M326" i="30"/>
  <c r="I327" i="30"/>
  <c r="K327" i="30"/>
  <c r="M327" i="30"/>
  <c r="I328" i="30"/>
  <c r="K328" i="30"/>
  <c r="M328" i="30"/>
  <c r="I329" i="30"/>
  <c r="K329" i="30"/>
  <c r="M329" i="30"/>
  <c r="I330" i="30"/>
  <c r="K330" i="30"/>
  <c r="M330" i="30"/>
  <c r="I331" i="30"/>
  <c r="K331" i="30"/>
  <c r="M331" i="30"/>
  <c r="I332" i="30"/>
  <c r="K332" i="30"/>
  <c r="F179" i="6" s="1"/>
  <c r="G179" i="6" s="1"/>
  <c r="M332" i="30"/>
  <c r="I333" i="30"/>
  <c r="K333" i="30"/>
  <c r="M333" i="30"/>
  <c r="I334" i="30"/>
  <c r="K334" i="30"/>
  <c r="M334" i="30"/>
  <c r="I335" i="30"/>
  <c r="K335" i="30"/>
  <c r="M335" i="30"/>
  <c r="I336" i="30"/>
  <c r="K336" i="30"/>
  <c r="M336" i="30"/>
  <c r="I337" i="30"/>
  <c r="K337" i="30"/>
  <c r="M337" i="30"/>
  <c r="I338" i="30"/>
  <c r="K338" i="30"/>
  <c r="M338" i="30"/>
  <c r="I339" i="30"/>
  <c r="K339" i="30"/>
  <c r="M339" i="30"/>
  <c r="I340" i="30"/>
  <c r="K340" i="30"/>
  <c r="M340" i="30"/>
  <c r="I341" i="30"/>
  <c r="K341" i="30"/>
  <c r="M341" i="30"/>
  <c r="I342" i="30"/>
  <c r="K342" i="30"/>
  <c r="M342" i="30"/>
  <c r="I343" i="30"/>
  <c r="K343" i="30"/>
  <c r="M343" i="30"/>
  <c r="I344" i="30"/>
  <c r="K344" i="30"/>
  <c r="M344" i="30"/>
  <c r="I345" i="30"/>
  <c r="K345" i="30"/>
  <c r="M345" i="30"/>
  <c r="I346" i="30"/>
  <c r="K346" i="30"/>
  <c r="M346" i="30"/>
  <c r="I347" i="30"/>
  <c r="K347" i="30"/>
  <c r="M347" i="30"/>
  <c r="I348" i="30"/>
  <c r="K348" i="30"/>
  <c r="M348" i="30"/>
  <c r="I349" i="30"/>
  <c r="K349" i="30"/>
  <c r="M349" i="30"/>
  <c r="I350" i="30"/>
  <c r="K350" i="30"/>
  <c r="M350" i="30"/>
  <c r="I351" i="30"/>
  <c r="K351" i="30"/>
  <c r="M351" i="30"/>
  <c r="I352" i="30"/>
  <c r="K352" i="30"/>
  <c r="M352" i="30"/>
  <c r="I353" i="30"/>
  <c r="K353" i="30"/>
  <c r="M353" i="30"/>
  <c r="I354" i="30"/>
  <c r="K354" i="30"/>
  <c r="M354" i="30"/>
  <c r="I355" i="30"/>
  <c r="K355" i="30"/>
  <c r="M355" i="30"/>
  <c r="I356" i="30"/>
  <c r="K356" i="30"/>
  <c r="M356" i="30"/>
  <c r="I357" i="30"/>
  <c r="K357" i="30"/>
  <c r="M357" i="30"/>
  <c r="I358" i="30"/>
  <c r="K358" i="30"/>
  <c r="M358" i="30"/>
  <c r="I359" i="30"/>
  <c r="K359" i="30"/>
  <c r="M359" i="30"/>
  <c r="I360" i="30"/>
  <c r="K360" i="30"/>
  <c r="M360" i="30"/>
  <c r="I361" i="30"/>
  <c r="K361" i="30"/>
  <c r="M361" i="30"/>
  <c r="I362" i="30"/>
  <c r="K362" i="30"/>
  <c r="M362" i="30"/>
  <c r="I363" i="30"/>
  <c r="K363" i="30"/>
  <c r="M363" i="30"/>
  <c r="I364" i="30"/>
  <c r="K364" i="30"/>
  <c r="M364" i="30"/>
  <c r="I365" i="30"/>
  <c r="K365" i="30"/>
  <c r="M365" i="30"/>
  <c r="I366" i="30"/>
  <c r="K366" i="30"/>
  <c r="M366" i="30"/>
  <c r="I367" i="30"/>
  <c r="K367" i="30"/>
  <c r="M367" i="30"/>
  <c r="I368" i="30"/>
  <c r="K368" i="30"/>
  <c r="M368" i="30"/>
  <c r="I369" i="30"/>
  <c r="K369" i="30"/>
  <c r="M369" i="30"/>
  <c r="I370" i="30"/>
  <c r="K370" i="30"/>
  <c r="M370" i="30"/>
  <c r="I371" i="30"/>
  <c r="K371" i="30"/>
  <c r="M371" i="30"/>
  <c r="I372" i="30"/>
  <c r="K372" i="30"/>
  <c r="M372" i="30"/>
  <c r="I373" i="30"/>
  <c r="K373" i="30"/>
  <c r="M373" i="30"/>
  <c r="I374" i="30"/>
  <c r="K374" i="30"/>
  <c r="M374" i="30"/>
  <c r="I375" i="30"/>
  <c r="K375" i="30"/>
  <c r="M375" i="30"/>
  <c r="I376" i="30"/>
  <c r="K376" i="30"/>
  <c r="M376" i="30"/>
  <c r="I377" i="30"/>
  <c r="K377" i="30"/>
  <c r="M377" i="30"/>
  <c r="I378" i="30"/>
  <c r="K378" i="30"/>
  <c r="M378" i="30"/>
  <c r="I379" i="30"/>
  <c r="K379" i="30"/>
  <c r="M379" i="30"/>
  <c r="I380" i="30"/>
  <c r="K380" i="30"/>
  <c r="M380" i="30"/>
  <c r="I381" i="30"/>
  <c r="K381" i="30"/>
  <c r="M381" i="30"/>
  <c r="I382" i="30"/>
  <c r="K382" i="30"/>
  <c r="M382" i="30"/>
  <c r="I383" i="30"/>
  <c r="K383" i="30"/>
  <c r="F191" i="6" s="1"/>
  <c r="G191" i="6" s="1"/>
  <c r="Z191" i="6" s="1"/>
  <c r="M383" i="30"/>
  <c r="I384" i="30"/>
  <c r="K384" i="30"/>
  <c r="M384" i="30"/>
  <c r="I385" i="30"/>
  <c r="K385" i="30"/>
  <c r="F193" i="6" s="1"/>
  <c r="M385" i="30"/>
  <c r="I386" i="30"/>
  <c r="K386" i="30"/>
  <c r="M386" i="30"/>
  <c r="I388" i="30"/>
  <c r="K388" i="30"/>
  <c r="M388" i="30"/>
  <c r="I389" i="30"/>
  <c r="K389" i="30"/>
  <c r="M389" i="30"/>
  <c r="I390" i="30"/>
  <c r="K390" i="30"/>
  <c r="M390" i="30"/>
  <c r="I391" i="30"/>
  <c r="K391" i="30"/>
  <c r="M391" i="30"/>
  <c r="I392" i="30"/>
  <c r="K392" i="30"/>
  <c r="M392" i="30"/>
  <c r="I393" i="30"/>
  <c r="K393" i="30"/>
  <c r="M393" i="30"/>
  <c r="I394" i="30"/>
  <c r="K394" i="30"/>
  <c r="M394" i="30"/>
  <c r="I395" i="30"/>
  <c r="K395" i="30"/>
  <c r="M395" i="30"/>
  <c r="I396" i="30"/>
  <c r="K396" i="30"/>
  <c r="M396" i="30"/>
  <c r="I397" i="30"/>
  <c r="K397" i="30"/>
  <c r="M397" i="30"/>
  <c r="I398" i="30"/>
  <c r="K398" i="30"/>
  <c r="M398" i="30"/>
  <c r="I399" i="30"/>
  <c r="K399" i="30"/>
  <c r="M399" i="30"/>
  <c r="I400" i="30"/>
  <c r="K400" i="30"/>
  <c r="M400" i="30"/>
  <c r="I401" i="30"/>
  <c r="K401" i="30"/>
  <c r="M401" i="30"/>
  <c r="I402" i="30"/>
  <c r="K402" i="30"/>
  <c r="M402" i="30"/>
  <c r="I404" i="30"/>
  <c r="K404" i="30"/>
  <c r="F202" i="6" s="1"/>
  <c r="G202" i="6" s="1"/>
  <c r="L202" i="6" s="1"/>
  <c r="M404" i="30"/>
  <c r="I405" i="30"/>
  <c r="K405" i="30"/>
  <c r="M405" i="30"/>
  <c r="I406" i="30"/>
  <c r="K406" i="30"/>
  <c r="M406" i="30"/>
  <c r="I407" i="30"/>
  <c r="K407" i="30"/>
  <c r="M407" i="30"/>
  <c r="I408" i="30"/>
  <c r="K408" i="30"/>
  <c r="F206" i="6" s="1"/>
  <c r="M408" i="30"/>
  <c r="I409" i="30"/>
  <c r="K409" i="30"/>
  <c r="F207" i="6" s="1"/>
  <c r="M409" i="30"/>
  <c r="I410" i="30"/>
  <c r="K410" i="30"/>
  <c r="M410" i="30"/>
  <c r="I411" i="30"/>
  <c r="K411" i="30"/>
  <c r="M411" i="30"/>
  <c r="I412" i="30"/>
  <c r="K412" i="30"/>
  <c r="M412" i="30"/>
  <c r="I703" i="30"/>
  <c r="K703" i="30"/>
  <c r="M703" i="30"/>
  <c r="I704" i="30"/>
  <c r="K704" i="30"/>
  <c r="M704" i="30"/>
  <c r="I705" i="30"/>
  <c r="K705" i="30"/>
  <c r="M705" i="30"/>
  <c r="I706" i="30"/>
  <c r="K706" i="30"/>
  <c r="M706" i="30"/>
  <c r="I707" i="30"/>
  <c r="K707" i="30"/>
  <c r="M707" i="30"/>
  <c r="I708" i="30"/>
  <c r="K708" i="30"/>
  <c r="M708" i="30"/>
  <c r="I709" i="30"/>
  <c r="K709" i="30"/>
  <c r="M709" i="30"/>
  <c r="I710" i="30"/>
  <c r="K710" i="30"/>
  <c r="M710" i="30"/>
  <c r="I711" i="30"/>
  <c r="K711" i="30"/>
  <c r="M711" i="30"/>
  <c r="I712" i="30"/>
  <c r="K712" i="30"/>
  <c r="M712" i="30"/>
  <c r="I713" i="30"/>
  <c r="K713" i="30"/>
  <c r="M713" i="30"/>
  <c r="I714" i="30"/>
  <c r="K714" i="30"/>
  <c r="M714" i="30"/>
  <c r="I715" i="30"/>
  <c r="K715" i="30"/>
  <c r="M715" i="30"/>
  <c r="I716" i="30"/>
  <c r="K716" i="30"/>
  <c r="M716" i="30"/>
  <c r="I717" i="30"/>
  <c r="K717" i="30"/>
  <c r="M717" i="30"/>
  <c r="I718" i="30"/>
  <c r="K718" i="30"/>
  <c r="M718" i="30"/>
  <c r="I719" i="30"/>
  <c r="K719" i="30"/>
  <c r="M719" i="30"/>
  <c r="I720" i="30"/>
  <c r="K720" i="30"/>
  <c r="M720" i="30"/>
  <c r="I721" i="30"/>
  <c r="K721" i="30"/>
  <c r="F1222" i="9" s="1"/>
  <c r="M721" i="30"/>
  <c r="I722" i="30"/>
  <c r="K722" i="30"/>
  <c r="M722" i="30"/>
  <c r="I723" i="30"/>
  <c r="K723" i="30"/>
  <c r="M723" i="30"/>
  <c r="I724" i="30"/>
  <c r="K724" i="30"/>
  <c r="M724" i="30"/>
  <c r="I725" i="30"/>
  <c r="M725" i="30"/>
  <c r="I726" i="30"/>
  <c r="K726" i="30"/>
  <c r="M726" i="30"/>
  <c r="I729" i="30"/>
  <c r="K729" i="30"/>
  <c r="M729" i="30"/>
  <c r="I730" i="30"/>
  <c r="K730" i="30"/>
  <c r="M730" i="30"/>
  <c r="I731" i="30"/>
  <c r="K731" i="30"/>
  <c r="M731" i="30"/>
  <c r="I732" i="30"/>
  <c r="K732" i="30"/>
  <c r="M732" i="30"/>
  <c r="I733" i="30"/>
  <c r="K733" i="30"/>
  <c r="M733" i="30"/>
  <c r="I734" i="30"/>
  <c r="K734" i="30"/>
  <c r="M734" i="30"/>
  <c r="I735" i="30"/>
  <c r="K735" i="30"/>
  <c r="M735" i="30"/>
  <c r="I736" i="30"/>
  <c r="K736" i="30"/>
  <c r="M736" i="30"/>
  <c r="I737" i="30"/>
  <c r="K737" i="30"/>
  <c r="M737" i="30"/>
  <c r="I738" i="30"/>
  <c r="K738" i="30"/>
  <c r="M738" i="30"/>
  <c r="I739" i="30"/>
  <c r="K739" i="30"/>
  <c r="M739" i="30"/>
  <c r="I740" i="30"/>
  <c r="K740" i="30"/>
  <c r="M740" i="30"/>
  <c r="I741" i="30"/>
  <c r="K741" i="30"/>
  <c r="M741" i="30"/>
  <c r="I742" i="30"/>
  <c r="K742" i="30"/>
  <c r="M742" i="30"/>
  <c r="I743" i="30"/>
  <c r="K743" i="30"/>
  <c r="M743" i="30"/>
  <c r="I744" i="30"/>
  <c r="K744" i="30"/>
  <c r="M744" i="30"/>
  <c r="I745" i="30"/>
  <c r="K745" i="30"/>
  <c r="M745" i="30"/>
  <c r="I746" i="30"/>
  <c r="K746" i="30"/>
  <c r="M746" i="30"/>
  <c r="I747" i="30"/>
  <c r="K747" i="30"/>
  <c r="M747" i="30"/>
  <c r="I748" i="30"/>
  <c r="K748" i="30"/>
  <c r="M748" i="30"/>
  <c r="I749" i="30"/>
  <c r="K749" i="30"/>
  <c r="M749" i="30"/>
  <c r="I750" i="30"/>
  <c r="K750" i="30"/>
  <c r="M750" i="30"/>
  <c r="I751" i="30"/>
  <c r="K751" i="30"/>
  <c r="M751" i="30"/>
  <c r="I752" i="30"/>
  <c r="K752" i="30"/>
  <c r="M752" i="30"/>
  <c r="I753" i="30"/>
  <c r="K753" i="30"/>
  <c r="M753" i="30"/>
  <c r="I754" i="30"/>
  <c r="K754" i="30"/>
  <c r="M754" i="30"/>
  <c r="I755" i="30"/>
  <c r="K755" i="30"/>
  <c r="M755" i="30"/>
  <c r="I756" i="30"/>
  <c r="K756" i="30"/>
  <c r="M756" i="30"/>
  <c r="I757" i="30"/>
  <c r="K757" i="30"/>
  <c r="M757" i="30"/>
  <c r="I758" i="30"/>
  <c r="K758" i="30"/>
  <c r="M758" i="30"/>
  <c r="I759" i="30"/>
  <c r="K759" i="30"/>
  <c r="M759" i="30"/>
  <c r="I760" i="30"/>
  <c r="K760" i="30"/>
  <c r="M760" i="30"/>
  <c r="I761" i="30"/>
  <c r="K761" i="30"/>
  <c r="M761" i="30"/>
  <c r="I762" i="30"/>
  <c r="K762" i="30"/>
  <c r="M762" i="30"/>
  <c r="I763" i="30"/>
  <c r="K763" i="30"/>
  <c r="M763" i="30"/>
  <c r="I764" i="30"/>
  <c r="K764" i="30"/>
  <c r="M764" i="30"/>
  <c r="I766" i="30"/>
  <c r="K766" i="30"/>
  <c r="M766" i="30"/>
  <c r="I767" i="30"/>
  <c r="K767" i="30"/>
  <c r="M767" i="30"/>
  <c r="I768" i="30"/>
  <c r="K768" i="30"/>
  <c r="M768" i="30"/>
  <c r="I769" i="30"/>
  <c r="K769" i="30"/>
  <c r="M769" i="30"/>
  <c r="I770" i="30"/>
  <c r="K770" i="30"/>
  <c r="M770" i="30"/>
  <c r="I771" i="30"/>
  <c r="K771" i="30"/>
  <c r="M771" i="30"/>
  <c r="I772" i="30"/>
  <c r="K772" i="30"/>
  <c r="M772" i="30"/>
  <c r="I773" i="30"/>
  <c r="K773" i="30"/>
  <c r="M773" i="30"/>
  <c r="I774" i="30"/>
  <c r="K774" i="30"/>
  <c r="M774" i="30"/>
  <c r="I775" i="30"/>
  <c r="K775" i="30"/>
  <c r="M775" i="30"/>
  <c r="I776" i="30"/>
  <c r="K776" i="30"/>
  <c r="M776" i="30"/>
  <c r="I777" i="30"/>
  <c r="K777" i="30"/>
  <c r="M777" i="30"/>
  <c r="I778" i="30"/>
  <c r="K778" i="30"/>
  <c r="M778" i="30"/>
  <c r="I779" i="30"/>
  <c r="K779" i="30"/>
  <c r="M779" i="30"/>
  <c r="I780" i="30"/>
  <c r="K780" i="30"/>
  <c r="M780" i="30"/>
  <c r="I781" i="30"/>
  <c r="K781" i="30"/>
  <c r="M781" i="30"/>
  <c r="I782" i="30"/>
  <c r="K782" i="30"/>
  <c r="M782" i="30"/>
  <c r="I783" i="30"/>
  <c r="K783" i="30"/>
  <c r="M783" i="30"/>
  <c r="I784" i="30"/>
  <c r="K784" i="30"/>
  <c r="M784" i="30"/>
  <c r="I785" i="30"/>
  <c r="K785" i="30"/>
  <c r="M785" i="30"/>
  <c r="I786" i="30"/>
  <c r="K786" i="30"/>
  <c r="M786" i="30"/>
  <c r="I787" i="30"/>
  <c r="K787" i="30"/>
  <c r="M787" i="30"/>
  <c r="I788" i="30"/>
  <c r="K788" i="30"/>
  <c r="M788" i="30"/>
  <c r="I789" i="30"/>
  <c r="K789" i="30"/>
  <c r="M789" i="30"/>
  <c r="I790" i="30"/>
  <c r="K790" i="30"/>
  <c r="M790" i="30"/>
  <c r="I791" i="30"/>
  <c r="K791" i="30"/>
  <c r="M791" i="30"/>
  <c r="I792" i="30"/>
  <c r="K792" i="30"/>
  <c r="M792" i="30"/>
  <c r="I793" i="30"/>
  <c r="K793" i="30"/>
  <c r="M793" i="30"/>
  <c r="I794" i="30"/>
  <c r="K794" i="30"/>
  <c r="M794" i="30"/>
  <c r="I795" i="30"/>
  <c r="K795" i="30"/>
  <c r="M795" i="30"/>
  <c r="I796" i="30"/>
  <c r="K796" i="30"/>
  <c r="M796" i="30"/>
  <c r="I797" i="30"/>
  <c r="K797" i="30"/>
  <c r="M797" i="30"/>
  <c r="I798" i="30"/>
  <c r="K798" i="30"/>
  <c r="M798" i="30"/>
  <c r="I799" i="30"/>
  <c r="K799" i="30"/>
  <c r="M799" i="30"/>
  <c r="I800" i="30"/>
  <c r="K800" i="30"/>
  <c r="M800" i="30"/>
  <c r="I801" i="30"/>
  <c r="K801" i="30"/>
  <c r="M801" i="30"/>
  <c r="I802" i="30"/>
  <c r="K802" i="30"/>
  <c r="M802" i="30"/>
  <c r="I803" i="30"/>
  <c r="K803" i="30"/>
  <c r="M803" i="30"/>
  <c r="I805" i="30"/>
  <c r="K805" i="30"/>
  <c r="M805" i="30"/>
  <c r="I806" i="30"/>
  <c r="K806" i="30"/>
  <c r="M806" i="30"/>
  <c r="I807" i="30"/>
  <c r="K807" i="30"/>
  <c r="M807" i="30"/>
  <c r="I808" i="30"/>
  <c r="K808" i="30"/>
  <c r="M808" i="30"/>
  <c r="I809" i="30"/>
  <c r="K809" i="30"/>
  <c r="M809" i="30"/>
  <c r="I810" i="30"/>
  <c r="K810" i="30"/>
  <c r="M810" i="30"/>
  <c r="I811" i="30"/>
  <c r="K811" i="30"/>
  <c r="M811" i="30"/>
  <c r="I812" i="30"/>
  <c r="K812" i="30"/>
  <c r="M812" i="30"/>
  <c r="I813" i="30"/>
  <c r="K813" i="30"/>
  <c r="M813" i="30"/>
  <c r="I814" i="30"/>
  <c r="K814" i="30"/>
  <c r="M814" i="30"/>
  <c r="I815" i="30"/>
  <c r="K815" i="30"/>
  <c r="M815" i="30"/>
  <c r="I818" i="30"/>
  <c r="K818" i="30"/>
  <c r="M818" i="30"/>
  <c r="I819" i="30"/>
  <c r="M819" i="30"/>
  <c r="I820" i="30"/>
  <c r="M820" i="30"/>
  <c r="I821" i="30"/>
  <c r="K821" i="30"/>
  <c r="M821" i="30"/>
  <c r="I822" i="30"/>
  <c r="K822" i="30"/>
  <c r="M822" i="30"/>
  <c r="I823" i="30"/>
  <c r="K823" i="30"/>
  <c r="M823" i="30"/>
  <c r="I824" i="30"/>
  <c r="K824" i="30"/>
  <c r="M824" i="30"/>
  <c r="I825" i="30"/>
  <c r="K825" i="30"/>
  <c r="M825" i="30"/>
  <c r="I826" i="30"/>
  <c r="K826" i="30"/>
  <c r="M826" i="30"/>
  <c r="I827" i="30"/>
  <c r="K827" i="30"/>
  <c r="M827" i="30"/>
  <c r="I828" i="30"/>
  <c r="K828" i="30"/>
  <c r="M828" i="30"/>
  <c r="I829" i="30"/>
  <c r="K829" i="30"/>
  <c r="M829" i="30"/>
  <c r="I830" i="30"/>
  <c r="K830" i="30"/>
  <c r="M830" i="30"/>
  <c r="I831" i="30"/>
  <c r="K831" i="30"/>
  <c r="M831" i="30"/>
  <c r="I832" i="30"/>
  <c r="K832" i="30"/>
  <c r="M832" i="30"/>
  <c r="I833" i="30"/>
  <c r="K833" i="30"/>
  <c r="M833" i="30"/>
  <c r="I834" i="30"/>
  <c r="K834" i="30"/>
  <c r="M834" i="30"/>
  <c r="I835" i="30"/>
  <c r="K835" i="30"/>
  <c r="M835" i="30"/>
  <c r="I836" i="30"/>
  <c r="K836" i="30"/>
  <c r="M836" i="30"/>
  <c r="I837" i="30"/>
  <c r="K837" i="30"/>
  <c r="M837" i="30"/>
  <c r="I838" i="30"/>
  <c r="K838" i="30"/>
  <c r="M838" i="30"/>
  <c r="I839" i="30"/>
  <c r="K839" i="30"/>
  <c r="M839" i="30"/>
  <c r="I840" i="30"/>
  <c r="K840" i="30"/>
  <c r="M840" i="30"/>
  <c r="I841" i="30"/>
  <c r="K841" i="30"/>
  <c r="M841" i="30"/>
  <c r="I842" i="30"/>
  <c r="K842" i="30"/>
  <c r="M842" i="30"/>
  <c r="I843" i="30"/>
  <c r="K843" i="30"/>
  <c r="M843" i="30"/>
  <c r="I844" i="30"/>
  <c r="K844" i="30"/>
  <c r="M844" i="30"/>
  <c r="I845" i="30"/>
  <c r="K845" i="30"/>
  <c r="M845" i="30"/>
  <c r="I846" i="30"/>
  <c r="K846" i="30"/>
  <c r="M846" i="30"/>
  <c r="I847" i="30"/>
  <c r="K847" i="30"/>
  <c r="M847" i="30"/>
  <c r="I848" i="30"/>
  <c r="K848" i="30"/>
  <c r="M848" i="30"/>
  <c r="I849" i="30"/>
  <c r="K849" i="30"/>
  <c r="M849" i="30"/>
  <c r="I850" i="30"/>
  <c r="K850" i="30"/>
  <c r="M850" i="30"/>
  <c r="I851" i="30"/>
  <c r="K851" i="30"/>
  <c r="M851" i="30"/>
  <c r="I852" i="30"/>
  <c r="K852" i="30"/>
  <c r="M852" i="30"/>
  <c r="I853" i="30"/>
  <c r="K853" i="30"/>
  <c r="M853" i="30"/>
  <c r="I854" i="30"/>
  <c r="K854" i="30"/>
  <c r="M854" i="30"/>
  <c r="I855" i="30"/>
  <c r="K855" i="30"/>
  <c r="M855" i="30"/>
  <c r="I856" i="30"/>
  <c r="K856" i="30"/>
  <c r="M856" i="30"/>
  <c r="I857" i="30"/>
  <c r="K857" i="30"/>
  <c r="M857" i="30"/>
  <c r="I858" i="30"/>
  <c r="K858" i="30"/>
  <c r="M858" i="30"/>
  <c r="I859" i="30"/>
  <c r="K859" i="30"/>
  <c r="M859" i="30"/>
  <c r="I860" i="30"/>
  <c r="K860" i="30"/>
  <c r="M860" i="30"/>
  <c r="I862" i="30"/>
  <c r="K862" i="30"/>
  <c r="M862" i="30"/>
  <c r="I863" i="30"/>
  <c r="K863" i="30"/>
  <c r="M863" i="30"/>
  <c r="I864" i="30"/>
  <c r="K864" i="30"/>
  <c r="M864" i="30"/>
  <c r="I865" i="30"/>
  <c r="K865" i="30"/>
  <c r="M865" i="30"/>
  <c r="I866" i="30"/>
  <c r="K866" i="30"/>
  <c r="M866" i="30"/>
  <c r="I867" i="30"/>
  <c r="K867" i="30"/>
  <c r="M867" i="30"/>
  <c r="I868" i="30"/>
  <c r="K868" i="30"/>
  <c r="M868" i="30"/>
  <c r="I869" i="30"/>
  <c r="K869" i="30"/>
  <c r="M869" i="30"/>
  <c r="I870" i="30"/>
  <c r="K870" i="30"/>
  <c r="M870" i="30"/>
  <c r="I871" i="30"/>
  <c r="M871" i="30"/>
  <c r="I872" i="30"/>
  <c r="M872" i="30"/>
  <c r="I873" i="30"/>
  <c r="K873" i="30"/>
  <c r="M873" i="30"/>
  <c r="I874" i="30"/>
  <c r="K874" i="30"/>
  <c r="M874" i="30"/>
  <c r="I875" i="30"/>
  <c r="K875" i="30"/>
  <c r="M875" i="30"/>
  <c r="I876" i="30"/>
  <c r="K876" i="30"/>
  <c r="M876" i="30"/>
  <c r="I877" i="30"/>
  <c r="K877" i="30"/>
  <c r="M877" i="30"/>
  <c r="I878" i="30"/>
  <c r="K878" i="30"/>
  <c r="M878" i="30"/>
  <c r="I879" i="30"/>
  <c r="K879" i="30"/>
  <c r="M879" i="30"/>
  <c r="I880" i="30"/>
  <c r="K880" i="30"/>
  <c r="M880" i="30"/>
  <c r="I881" i="30"/>
  <c r="K881" i="30"/>
  <c r="M881" i="30"/>
  <c r="I882" i="30"/>
  <c r="K882" i="30"/>
  <c r="M882" i="30"/>
  <c r="I883" i="30"/>
  <c r="K883" i="30"/>
  <c r="M883" i="30"/>
  <c r="I884" i="30"/>
  <c r="K884" i="30"/>
  <c r="M884" i="30"/>
  <c r="I885" i="30"/>
  <c r="K885" i="30"/>
  <c r="M885" i="30"/>
  <c r="I886" i="30"/>
  <c r="K886" i="30"/>
  <c r="M886" i="30"/>
  <c r="I887" i="30"/>
  <c r="K887" i="30"/>
  <c r="M887" i="30"/>
  <c r="I888" i="30"/>
  <c r="K888" i="30"/>
  <c r="M888" i="30"/>
  <c r="I889" i="30"/>
  <c r="K889" i="30"/>
  <c r="M889" i="30"/>
  <c r="I890" i="30"/>
  <c r="K890" i="30"/>
  <c r="M890" i="30"/>
  <c r="I891" i="30"/>
  <c r="K891" i="30"/>
  <c r="M891" i="30"/>
  <c r="I892" i="30"/>
  <c r="K892" i="30"/>
  <c r="M892" i="30"/>
  <c r="I893" i="30"/>
  <c r="K893" i="30"/>
  <c r="M893" i="30"/>
  <c r="I894" i="30"/>
  <c r="K894" i="30"/>
  <c r="M894" i="30"/>
  <c r="I895" i="30"/>
  <c r="K895" i="30"/>
  <c r="M895" i="30"/>
  <c r="I896" i="30"/>
  <c r="K896" i="30"/>
  <c r="M896" i="30"/>
  <c r="I897" i="30"/>
  <c r="K897" i="30"/>
  <c r="M897" i="30"/>
  <c r="I898" i="30"/>
  <c r="K898" i="30"/>
  <c r="M898" i="30"/>
  <c r="I899" i="30"/>
  <c r="K899" i="30"/>
  <c r="M899" i="30"/>
  <c r="I900" i="30"/>
  <c r="K900" i="30"/>
  <c r="M900" i="30"/>
  <c r="I901" i="30"/>
  <c r="K901" i="30"/>
  <c r="M901" i="30"/>
  <c r="I902" i="30"/>
  <c r="K902" i="30"/>
  <c r="M902" i="30"/>
  <c r="I903" i="30"/>
  <c r="M903" i="30"/>
  <c r="I904" i="30"/>
  <c r="K904" i="30"/>
  <c r="M904" i="30"/>
  <c r="D33" i="9" l="1"/>
  <c r="F33" i="9" s="1"/>
  <c r="D31" i="9"/>
  <c r="F31" i="9" s="1"/>
  <c r="D34" i="9"/>
  <c r="F34" i="9" s="1"/>
  <c r="D30" i="9"/>
  <c r="F30" i="9" s="1"/>
  <c r="D32" i="9"/>
  <c r="D35" i="9"/>
  <c r="F35" i="9" s="1"/>
  <c r="D28" i="9"/>
  <c r="F28" i="9" s="1"/>
  <c r="M906" i="30"/>
  <c r="M909" i="30" s="1"/>
  <c r="K906" i="30"/>
  <c r="K909" i="30" s="1"/>
  <c r="N179" i="6"/>
  <c r="Z179" i="6" s="1"/>
  <c r="S101" i="6"/>
  <c r="Z101" i="6" s="1"/>
  <c r="S89" i="6"/>
  <c r="Z89" i="6" s="1"/>
  <c r="Z202" i="6"/>
  <c r="I911" i="30"/>
  <c r="I912" i="30" s="1"/>
  <c r="D958" i="9"/>
  <c r="F1295" i="9"/>
  <c r="G526" i="9"/>
  <c r="F946" i="9"/>
  <c r="F971" i="9"/>
  <c r="I908" i="30"/>
  <c r="I906" i="30"/>
  <c r="C447" i="6"/>
  <c r="C448" i="6"/>
  <c r="C460" i="6"/>
  <c r="C461" i="6"/>
  <c r="C464" i="6"/>
  <c r="C495" i="6"/>
  <c r="C498" i="6"/>
  <c r="C503" i="6"/>
  <c r="E503" i="6" s="1"/>
  <c r="D277" i="6" s="1"/>
  <c r="C519" i="6"/>
  <c r="C117" i="6"/>
  <c r="C124" i="6"/>
  <c r="C127" i="6"/>
  <c r="D262" i="6"/>
  <c r="D261" i="6"/>
  <c r="E230"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E425" i="27"/>
  <c r="E426" i="27"/>
  <c r="E427" i="27"/>
  <c r="E428" i="27"/>
  <c r="E429" i="27"/>
  <c r="E430" i="27"/>
  <c r="E431" i="27"/>
  <c r="E432" i="27"/>
  <c r="E433" i="27"/>
  <c r="E434" i="27"/>
  <c r="E435" i="27"/>
  <c r="E436" i="27"/>
  <c r="E437" i="27"/>
  <c r="E438" i="27"/>
  <c r="E439" i="27"/>
  <c r="E440" i="27"/>
  <c r="E441" i="27"/>
  <c r="C23" i="6"/>
  <c r="F23" i="6"/>
  <c r="C25" i="6"/>
  <c r="F25" i="6"/>
  <c r="C43" i="6"/>
  <c r="F43" i="6"/>
  <c r="C44" i="6"/>
  <c r="C64" i="6"/>
  <c r="C72" i="6"/>
  <c r="F72" i="6"/>
  <c r="C73" i="6"/>
  <c r="F73" i="6"/>
  <c r="C93" i="6"/>
  <c r="F93" i="6"/>
  <c r="C107" i="6"/>
  <c r="F107" i="6"/>
  <c r="C116" i="6"/>
  <c r="F116" i="6"/>
  <c r="C119" i="6"/>
  <c r="F119" i="6"/>
  <c r="F117" i="6"/>
  <c r="C122" i="6"/>
  <c r="F122" i="6"/>
  <c r="F124" i="6"/>
  <c r="C125" i="6"/>
  <c r="F125" i="6"/>
  <c r="F127" i="6"/>
  <c r="C141" i="6"/>
  <c r="F141" i="6"/>
  <c r="C166" i="6"/>
  <c r="F166" i="6"/>
  <c r="C167" i="6"/>
  <c r="F167" i="6"/>
  <c r="C412" i="6"/>
  <c r="C483" i="6"/>
  <c r="C490" i="6"/>
  <c r="E1281" i="9"/>
  <c r="I909" i="30" l="1"/>
  <c r="N983" i="9"/>
  <c r="D40" i="9"/>
  <c r="F32" i="9"/>
  <c r="F40" i="9" s="1"/>
  <c r="G141" i="6"/>
  <c r="H141" i="6" s="1"/>
  <c r="K911" i="30"/>
  <c r="F1241" i="9"/>
  <c r="F1266" i="9"/>
  <c r="F1021" i="9"/>
  <c r="G1002" i="9"/>
  <c r="F958" i="9"/>
  <c r="G129" i="9"/>
  <c r="G521" i="9"/>
  <c r="H521" i="9" s="1"/>
  <c r="K910" i="30"/>
  <c r="G376" i="6"/>
  <c r="G119" i="6"/>
  <c r="G25" i="6"/>
  <c r="G389" i="6"/>
  <c r="G490" i="6"/>
  <c r="G122" i="6"/>
  <c r="G93" i="6"/>
  <c r="G117" i="6"/>
  <c r="G107" i="6"/>
  <c r="G72" i="6"/>
  <c r="G125" i="6"/>
  <c r="G261" i="6"/>
  <c r="G166" i="6"/>
  <c r="L166" i="6" s="1"/>
  <c r="G127" i="6"/>
  <c r="G355" i="6"/>
  <c r="H355" i="6" s="1"/>
  <c r="G73" i="6"/>
  <c r="G519" i="6"/>
  <c r="L519" i="6" s="1"/>
  <c r="G43" i="6"/>
  <c r="G124" i="6"/>
  <c r="G353" i="6"/>
  <c r="G387" i="6"/>
  <c r="G495" i="6"/>
  <c r="G116" i="6"/>
  <c r="G167" i="6"/>
  <c r="L167" i="6" s="1"/>
  <c r="G23" i="6"/>
  <c r="G262" i="6"/>
  <c r="L262" i="6" s="1"/>
  <c r="G277" i="6"/>
  <c r="G412" i="6"/>
  <c r="H412" i="6" s="1"/>
  <c r="G464" i="6"/>
  <c r="G226" i="6"/>
  <c r="G447" i="6"/>
  <c r="G483" i="6"/>
  <c r="L483" i="6" s="1"/>
  <c r="G503" i="6"/>
  <c r="G309" i="6"/>
  <c r="G460" i="6"/>
  <c r="Z43" i="6" l="1"/>
  <c r="J503" i="6"/>
  <c r="Z23" i="6"/>
  <c r="Z25" i="6"/>
  <c r="K912" i="30"/>
  <c r="E1241" i="9"/>
  <c r="Z483" i="6"/>
  <c r="R72" i="6"/>
  <c r="Z72" i="6" s="1"/>
  <c r="I447" i="6"/>
  <c r="Z447" i="6" s="1"/>
  <c r="R116" i="6"/>
  <c r="Z116" i="6" s="1"/>
  <c r="Z355" i="6"/>
  <c r="S107" i="6"/>
  <c r="Z107" i="6" s="1"/>
  <c r="R119" i="6"/>
  <c r="Z119" i="6" s="1"/>
  <c r="H376" i="6"/>
  <c r="Z376" i="6" s="1"/>
  <c r="L464" i="6"/>
  <c r="Z464" i="6" s="1"/>
  <c r="H387" i="6"/>
  <c r="Z387" i="6" s="1"/>
  <c r="Z141" i="6"/>
  <c r="Z412" i="6"/>
  <c r="R353" i="6"/>
  <c r="Z353" i="6" s="1"/>
  <c r="Z166" i="6"/>
  <c r="S93" i="6"/>
  <c r="Z93" i="6" s="1"/>
  <c r="R117" i="6"/>
  <c r="Z117" i="6" s="1"/>
  <c r="L460" i="6"/>
  <c r="Z460" i="6" s="1"/>
  <c r="J277" i="6"/>
  <c r="Z277" i="6" s="1"/>
  <c r="R124" i="6"/>
  <c r="Z124" i="6" s="1"/>
  <c r="M261" i="6"/>
  <c r="Z261" i="6" s="1"/>
  <c r="R122" i="6"/>
  <c r="Z122" i="6" s="1"/>
  <c r="R73" i="6"/>
  <c r="Z73" i="6" s="1"/>
  <c r="V226" i="6"/>
  <c r="Z226" i="6" s="1"/>
  <c r="H309" i="6"/>
  <c r="Z309" i="6" s="1"/>
  <c r="Z262" i="6"/>
  <c r="R125" i="6"/>
  <c r="Z125" i="6" s="1"/>
  <c r="L490" i="6"/>
  <c r="Z490" i="6" s="1"/>
  <c r="Z167" i="6"/>
  <c r="R127" i="6"/>
  <c r="Z127" i="6" s="1"/>
  <c r="L503" i="6"/>
  <c r="Z519" i="6"/>
  <c r="H389" i="6"/>
  <c r="Z389" i="6" s="1"/>
  <c r="E1295" i="9"/>
  <c r="L495" i="6"/>
  <c r="Z495" i="6" s="1"/>
  <c r="Z503" i="6" l="1"/>
  <c r="M981" i="9" l="1"/>
  <c r="M982" i="9" l="1"/>
  <c r="N982" i="9" s="1"/>
  <c r="H982" i="9"/>
  <c r="G982" i="9" l="1"/>
  <c r="G984" i="9" s="1"/>
  <c r="E525" i="9"/>
  <c r="I75" i="14" l="1"/>
  <c r="G390" i="6" l="1"/>
  <c r="Z390" i="6" s="1"/>
  <c r="G298" i="6"/>
  <c r="Z298" i="6" s="1"/>
  <c r="G283" i="6"/>
  <c r="Z283" i="6" s="1"/>
  <c r="G210" i="6"/>
  <c r="Z210" i="6" s="1"/>
  <c r="C480" i="6" l="1"/>
  <c r="C481" i="6"/>
  <c r="F208" i="6"/>
  <c r="C208" i="6"/>
  <c r="F112" i="6"/>
  <c r="F27" i="6"/>
  <c r="G480" i="6" l="1"/>
  <c r="Z480" i="6" s="1"/>
  <c r="G481" i="6"/>
  <c r="L481" i="6" s="1"/>
  <c r="G208" i="6"/>
  <c r="D386" i="6" l="1"/>
  <c r="E181" i="6" s="1"/>
  <c r="Z481" i="6"/>
  <c r="K982" i="9" l="1"/>
  <c r="J982" i="9"/>
  <c r="C14" i="6" l="1"/>
  <c r="C13" i="6"/>
  <c r="C10" i="6"/>
  <c r="D1301" i="9" l="1"/>
  <c r="F1301" i="9" s="1"/>
  <c r="C12" i="6"/>
  <c r="C11" i="6"/>
  <c r="G386" i="6" l="1"/>
  <c r="F209" i="6"/>
  <c r="F205" i="6"/>
  <c r="F204" i="6"/>
  <c r="F203" i="6"/>
  <c r="F201" i="6"/>
  <c r="F200" i="6"/>
  <c r="F198" i="6"/>
  <c r="F197" i="6"/>
  <c r="F196" i="6"/>
  <c r="F195" i="6"/>
  <c r="F194" i="6"/>
  <c r="F192" i="6"/>
  <c r="F190" i="6"/>
  <c r="F189" i="6"/>
  <c r="F188" i="6"/>
  <c r="F187" i="6"/>
  <c r="F186" i="6"/>
  <c r="F185" i="6"/>
  <c r="F184" i="6"/>
  <c r="F183" i="6"/>
  <c r="F182" i="6"/>
  <c r="F181" i="6"/>
  <c r="F180" i="6"/>
  <c r="F178" i="6"/>
  <c r="F174" i="6"/>
  <c r="F173" i="6"/>
  <c r="F172" i="6"/>
  <c r="F171" i="6"/>
  <c r="F170" i="6"/>
  <c r="F169" i="6"/>
  <c r="F165" i="6"/>
  <c r="F164" i="6"/>
  <c r="F163" i="6"/>
  <c r="F162" i="6"/>
  <c r="F161" i="6"/>
  <c r="F160" i="6"/>
  <c r="F159" i="6"/>
  <c r="F158" i="6"/>
  <c r="F157" i="6"/>
  <c r="F156" i="6"/>
  <c r="F155" i="6"/>
  <c r="F154" i="6"/>
  <c r="F153" i="6"/>
  <c r="F151" i="6"/>
  <c r="F150" i="6"/>
  <c r="F149" i="6"/>
  <c r="F148" i="6"/>
  <c r="F147" i="6"/>
  <c r="F146" i="6"/>
  <c r="F145" i="6"/>
  <c r="F144" i="6"/>
  <c r="F143" i="6"/>
  <c r="F142" i="6"/>
  <c r="F140" i="6"/>
  <c r="F139" i="6"/>
  <c r="F138" i="6"/>
  <c r="F137" i="6"/>
  <c r="F136" i="6"/>
  <c r="F135" i="6"/>
  <c r="F134" i="6"/>
  <c r="F133" i="6"/>
  <c r="F132" i="6"/>
  <c r="F131" i="6"/>
  <c r="F130" i="6"/>
  <c r="F129" i="6"/>
  <c r="F128" i="6"/>
  <c r="F113" i="6"/>
  <c r="F111" i="6"/>
  <c r="F110" i="6"/>
  <c r="F109" i="6"/>
  <c r="F108" i="6"/>
  <c r="F177" i="6"/>
  <c r="F176" i="6"/>
  <c r="F175" i="6"/>
  <c r="F106" i="6"/>
  <c r="F105" i="6"/>
  <c r="F104" i="6"/>
  <c r="F102" i="6"/>
  <c r="F100" i="6"/>
  <c r="F99" i="6"/>
  <c r="F98" i="6"/>
  <c r="F97" i="6"/>
  <c r="F96" i="6"/>
  <c r="F95" i="6"/>
  <c r="F94" i="6"/>
  <c r="F92" i="6"/>
  <c r="F91" i="6"/>
  <c r="F90" i="6"/>
  <c r="F85" i="6"/>
  <c r="F84" i="6"/>
  <c r="F83" i="6"/>
  <c r="F82" i="6"/>
  <c r="F81" i="6"/>
  <c r="F80" i="6"/>
  <c r="F79" i="6"/>
  <c r="F76" i="6"/>
  <c r="F75" i="6"/>
  <c r="F74" i="6"/>
  <c r="F69" i="6"/>
  <c r="F68" i="6"/>
  <c r="F67" i="6"/>
  <c r="F66" i="6"/>
  <c r="F65" i="6"/>
  <c r="F64" i="6"/>
  <c r="G64" i="6" s="1"/>
  <c r="F63" i="6"/>
  <c r="F62" i="6"/>
  <c r="F61" i="6"/>
  <c r="F60" i="6"/>
  <c r="F59" i="6"/>
  <c r="F58" i="6"/>
  <c r="F57" i="6"/>
  <c r="F56" i="6"/>
  <c r="F55" i="6"/>
  <c r="F54" i="6"/>
  <c r="F53" i="6"/>
  <c r="F52" i="6"/>
  <c r="F51" i="6"/>
  <c r="F50" i="6"/>
  <c r="F46" i="6"/>
  <c r="F45" i="6"/>
  <c r="F44" i="6"/>
  <c r="G44" i="6" s="1"/>
  <c r="F42" i="6"/>
  <c r="F41" i="6"/>
  <c r="F40" i="6"/>
  <c r="F39" i="6"/>
  <c r="F38" i="6"/>
  <c r="F37" i="6"/>
  <c r="F36" i="6"/>
  <c r="F35" i="6"/>
  <c r="F34" i="6"/>
  <c r="F33" i="6"/>
  <c r="F32" i="6"/>
  <c r="F31" i="6"/>
  <c r="F30" i="6"/>
  <c r="F24" i="6"/>
  <c r="F22" i="6"/>
  <c r="F21" i="6"/>
  <c r="F20" i="6"/>
  <c r="F19" i="6"/>
  <c r="F18" i="6"/>
  <c r="F16" i="6"/>
  <c r="F15" i="6"/>
  <c r="F14" i="6"/>
  <c r="G14" i="6" s="1"/>
  <c r="F13" i="6"/>
  <c r="G13" i="6" s="1"/>
  <c r="F12" i="6"/>
  <c r="G12" i="6" s="1"/>
  <c r="F11" i="6"/>
  <c r="G11" i="6" s="1"/>
  <c r="F10" i="6"/>
  <c r="G10" i="6" s="1"/>
  <c r="F9" i="6"/>
  <c r="F7" i="6"/>
  <c r="F6" i="6"/>
  <c r="F5" i="6"/>
  <c r="F199" i="6"/>
  <c r="Z10" i="6" l="1"/>
  <c r="Z11" i="6"/>
  <c r="Z12" i="6"/>
  <c r="Z44" i="6"/>
  <c r="Z13" i="6"/>
  <c r="R64" i="6"/>
  <c r="Z64" i="6" s="1"/>
  <c r="Z14" i="6"/>
  <c r="F88" i="6"/>
  <c r="F86" i="6"/>
  <c r="G498" i="6"/>
  <c r="G461" i="6"/>
  <c r="G308" i="6"/>
  <c r="G448" i="6"/>
  <c r="F1118" i="9"/>
  <c r="F4" i="6" l="1"/>
  <c r="F525" i="6" s="1"/>
  <c r="H308" i="6"/>
  <c r="Z308" i="6" s="1"/>
  <c r="G1194" i="9" l="1"/>
  <c r="C512" i="6"/>
  <c r="G512" i="6" s="1"/>
  <c r="C511" i="6"/>
  <c r="G511" i="6" s="1"/>
  <c r="C489" i="6"/>
  <c r="G489" i="6" s="1"/>
  <c r="C485" i="6"/>
  <c r="C482" i="6"/>
  <c r="C479" i="6"/>
  <c r="C478" i="6"/>
  <c r="C477" i="6"/>
  <c r="C458" i="6"/>
  <c r="G458" i="6" s="1"/>
  <c r="G430" i="6"/>
  <c r="G382" i="6"/>
  <c r="Z382" i="6" s="1"/>
  <c r="G379" i="6"/>
  <c r="Z379" i="6" s="1"/>
  <c r="G377" i="6"/>
  <c r="Z377" i="6" s="1"/>
  <c r="G374" i="6"/>
  <c r="Z374" i="6" s="1"/>
  <c r="G371" i="6"/>
  <c r="Z371" i="6" s="1"/>
  <c r="G368" i="6"/>
  <c r="Z368" i="6" s="1"/>
  <c r="G365" i="6"/>
  <c r="G364" i="6"/>
  <c r="Z364" i="6" s="1"/>
  <c r="G349" i="6"/>
  <c r="H349" i="6" s="1"/>
  <c r="G348" i="6"/>
  <c r="H348" i="6" s="1"/>
  <c r="G347" i="6"/>
  <c r="H347" i="6" s="1"/>
  <c r="G341" i="6"/>
  <c r="H341" i="6" s="1"/>
  <c r="G339" i="6"/>
  <c r="G338" i="6"/>
  <c r="G337" i="6"/>
  <c r="G336" i="6"/>
  <c r="G335" i="6"/>
  <c r="Z335" i="6" s="1"/>
  <c r="G334" i="6"/>
  <c r="Z334" i="6" s="1"/>
  <c r="G333" i="6"/>
  <c r="G332" i="6"/>
  <c r="G331" i="6"/>
  <c r="G328" i="6"/>
  <c r="G326" i="6"/>
  <c r="G324" i="6"/>
  <c r="G323" i="6"/>
  <c r="G320" i="6"/>
  <c r="G318" i="6"/>
  <c r="G317" i="6"/>
  <c r="Z317" i="6" s="1"/>
  <c r="G316" i="6"/>
  <c r="Z316" i="6" s="1"/>
  <c r="G314" i="6"/>
  <c r="G311" i="6"/>
  <c r="Z311" i="6" s="1"/>
  <c r="G307" i="6"/>
  <c r="Z307" i="6" s="1"/>
  <c r="G304" i="6"/>
  <c r="Z304" i="6" s="1"/>
  <c r="G296" i="6"/>
  <c r="Z296" i="6" s="1"/>
  <c r="G274" i="6"/>
  <c r="L274" i="6" s="1"/>
  <c r="C209" i="6"/>
  <c r="C207" i="6"/>
  <c r="C206" i="6"/>
  <c r="C205" i="6"/>
  <c r="C204" i="6"/>
  <c r="C203" i="6"/>
  <c r="G203" i="6" s="1"/>
  <c r="Z203" i="6" s="1"/>
  <c r="C200" i="6"/>
  <c r="G200" i="6" s="1"/>
  <c r="C199" i="6"/>
  <c r="G199" i="6" s="1"/>
  <c r="C189" i="6"/>
  <c r="G189" i="6" s="1"/>
  <c r="C178" i="6"/>
  <c r="G178" i="6" s="1"/>
  <c r="Z178" i="6" s="1"/>
  <c r="C139" i="6"/>
  <c r="G139" i="6" s="1"/>
  <c r="Z139" i="6" s="1"/>
  <c r="C137" i="6"/>
  <c r="G137" i="6" s="1"/>
  <c r="Z137" i="6" s="1"/>
  <c r="C136" i="6"/>
  <c r="G136" i="6" s="1"/>
  <c r="Z136" i="6" s="1"/>
  <c r="C133" i="6"/>
  <c r="G133" i="6" s="1"/>
  <c r="Z133" i="6" s="1"/>
  <c r="C130" i="6"/>
  <c r="G130" i="6" s="1"/>
  <c r="C129" i="6"/>
  <c r="G129" i="6" s="1"/>
  <c r="Z129" i="6" s="1"/>
  <c r="C128" i="6"/>
  <c r="G128" i="6" s="1"/>
  <c r="Z128" i="6" s="1"/>
  <c r="C112" i="6"/>
  <c r="G112" i="6" s="1"/>
  <c r="C111" i="6"/>
  <c r="C110" i="6"/>
  <c r="G110" i="6" s="1"/>
  <c r="Z110" i="6" s="1"/>
  <c r="C109" i="6"/>
  <c r="G109" i="6" s="1"/>
  <c r="Z109" i="6" s="1"/>
  <c r="C108" i="6"/>
  <c r="G108" i="6" s="1"/>
  <c r="Z108" i="6" s="1"/>
  <c r="C177" i="6"/>
  <c r="G177" i="6" s="1"/>
  <c r="C176" i="6"/>
  <c r="G176" i="6" s="1"/>
  <c r="C175" i="6"/>
  <c r="G175" i="6" s="1"/>
  <c r="C106" i="6"/>
  <c r="G106" i="6" s="1"/>
  <c r="C102" i="6"/>
  <c r="G102" i="6" s="1"/>
  <c r="C95" i="6"/>
  <c r="G95" i="6" s="1"/>
  <c r="C94" i="6"/>
  <c r="G94" i="6" s="1"/>
  <c r="C92" i="6"/>
  <c r="G92" i="6" s="1"/>
  <c r="C86" i="6"/>
  <c r="G86" i="6" s="1"/>
  <c r="C81" i="6"/>
  <c r="G81" i="6" s="1"/>
  <c r="C80" i="6"/>
  <c r="G80" i="6" s="1"/>
  <c r="Z80" i="6" s="1"/>
  <c r="C79" i="6"/>
  <c r="G79" i="6" s="1"/>
  <c r="C27" i="6"/>
  <c r="G27" i="6" s="1"/>
  <c r="C19" i="6"/>
  <c r="G19" i="6" s="1"/>
  <c r="C18" i="6"/>
  <c r="G18" i="6" s="1"/>
  <c r="C16" i="6"/>
  <c r="G16" i="6" s="1"/>
  <c r="C15" i="6"/>
  <c r="G15" i="6" s="1"/>
  <c r="C8" i="6"/>
  <c r="C7" i="6"/>
  <c r="C6" i="6"/>
  <c r="C5" i="6"/>
  <c r="Z16" i="6" l="1"/>
  <c r="Z18" i="6"/>
  <c r="Z19" i="6"/>
  <c r="Z27" i="6"/>
  <c r="Z15" i="6"/>
  <c r="G478" i="6"/>
  <c r="L478" i="6" s="1"/>
  <c r="G479" i="6"/>
  <c r="L479" i="6" s="1"/>
  <c r="G482" i="6"/>
  <c r="L482" i="6" s="1"/>
  <c r="G485" i="6"/>
  <c r="L485" i="6" s="1"/>
  <c r="G477" i="6"/>
  <c r="L477" i="6" s="1"/>
  <c r="R175" i="6"/>
  <c r="Z175" i="6" s="1"/>
  <c r="S81" i="6"/>
  <c r="T176" i="6"/>
  <c r="S86" i="6"/>
  <c r="Z86" i="6" s="1"/>
  <c r="T177" i="6"/>
  <c r="Z177" i="6" s="1"/>
  <c r="S92" i="6"/>
  <c r="Z92" i="6" s="1"/>
  <c r="S95" i="6"/>
  <c r="Z95" i="6" s="1"/>
  <c r="S102" i="6"/>
  <c r="Z102" i="6" s="1"/>
  <c r="S94" i="6"/>
  <c r="Z94" i="6" s="1"/>
  <c r="S106" i="6"/>
  <c r="Z106" i="6" s="1"/>
  <c r="R112" i="6"/>
  <c r="Z112" i="6" s="1"/>
  <c r="G209" i="6"/>
  <c r="L209" i="6" s="1"/>
  <c r="G111" i="6"/>
  <c r="G306" i="6"/>
  <c r="G321" i="6"/>
  <c r="G350" i="6"/>
  <c r="H350" i="6" s="1"/>
  <c r="G322" i="6"/>
  <c r="G351" i="6"/>
  <c r="H351" i="6" s="1"/>
  <c r="G342" i="6"/>
  <c r="H342" i="6" s="1"/>
  <c r="G343" i="6"/>
  <c r="H343" i="6" s="1"/>
  <c r="G352" i="6"/>
  <c r="H352" i="6" s="1"/>
  <c r="G276" i="6"/>
  <c r="L276" i="6" s="1"/>
  <c r="G325" i="6"/>
  <c r="G344" i="6"/>
  <c r="H344" i="6" s="1"/>
  <c r="G305" i="6"/>
  <c r="G330" i="6"/>
  <c r="G385" i="6"/>
  <c r="H385" i="6" s="1"/>
  <c r="E1301" i="9"/>
  <c r="G384" i="6"/>
  <c r="H384" i="6" s="1"/>
  <c r="C500" i="6"/>
  <c r="C509" i="6"/>
  <c r="C505" i="6"/>
  <c r="C494" i="6"/>
  <c r="G494" i="6" s="1"/>
  <c r="C410" i="6"/>
  <c r="C409" i="6"/>
  <c r="C510" i="6"/>
  <c r="C150" i="6"/>
  <c r="C36" i="6"/>
  <c r="G36" i="6" s="1"/>
  <c r="G247" i="6"/>
  <c r="C396" i="6"/>
  <c r="C423" i="6"/>
  <c r="C82" i="6"/>
  <c r="C105" i="6"/>
  <c r="C32" i="6"/>
  <c r="G32" i="6" s="1"/>
  <c r="C418" i="6"/>
  <c r="C65" i="6"/>
  <c r="G65" i="6" s="1"/>
  <c r="C62" i="6"/>
  <c r="G62" i="6" s="1"/>
  <c r="C163" i="6"/>
  <c r="C41" i="6"/>
  <c r="G41" i="6" s="1"/>
  <c r="C180" i="6"/>
  <c r="G180" i="6" s="1"/>
  <c r="Z180" i="6" s="1"/>
  <c r="C417" i="6"/>
  <c r="C428" i="6"/>
  <c r="C188" i="6"/>
  <c r="G231" i="6"/>
  <c r="Z231" i="6" s="1"/>
  <c r="G293" i="6"/>
  <c r="C56" i="6"/>
  <c r="C144" i="6"/>
  <c r="C183" i="6"/>
  <c r="G183" i="6" s="1"/>
  <c r="G233" i="6"/>
  <c r="G286" i="6"/>
  <c r="Z286" i="6" s="1"/>
  <c r="C91" i="6"/>
  <c r="C146" i="6"/>
  <c r="G146" i="6" s="1"/>
  <c r="C58" i="6"/>
  <c r="C392" i="6"/>
  <c r="C50" i="6"/>
  <c r="G50" i="6" s="1"/>
  <c r="Z50" i="6" s="1"/>
  <c r="C51" i="6"/>
  <c r="C181" i="6"/>
  <c r="G181" i="6" s="1"/>
  <c r="C96" i="6"/>
  <c r="C164" i="6"/>
  <c r="C424" i="6"/>
  <c r="C393" i="6"/>
  <c r="G393" i="6" s="1"/>
  <c r="Z393" i="6" s="1"/>
  <c r="G270" i="6"/>
  <c r="L270" i="6" s="1"/>
  <c r="C83" i="6"/>
  <c r="G83" i="6" s="1"/>
  <c r="G213" i="6"/>
  <c r="Z213" i="6" s="1"/>
  <c r="G264" i="6"/>
  <c r="L264" i="6" s="1"/>
  <c r="G295" i="6"/>
  <c r="C419" i="6"/>
  <c r="C33" i="6"/>
  <c r="G33" i="6" s="1"/>
  <c r="C63" i="6"/>
  <c r="G63" i="6" s="1"/>
  <c r="C143" i="6"/>
  <c r="G143" i="6" s="1"/>
  <c r="Z143" i="6" s="1"/>
  <c r="C154" i="6"/>
  <c r="G154" i="6" s="1"/>
  <c r="Z154" i="6" s="1"/>
  <c r="C182" i="6"/>
  <c r="G182" i="6" s="1"/>
  <c r="G232" i="6"/>
  <c r="G263" i="6"/>
  <c r="L263" i="6" s="1"/>
  <c r="G294" i="6"/>
  <c r="C398" i="6"/>
  <c r="G398" i="6" s="1"/>
  <c r="Z398" i="6" s="1"/>
  <c r="C61" i="6"/>
  <c r="C67" i="6"/>
  <c r="G67" i="6" s="1"/>
  <c r="S318" i="6"/>
  <c r="Z318" i="6" s="1"/>
  <c r="G227" i="6"/>
  <c r="S320" i="6"/>
  <c r="Z320" i="6" s="1"/>
  <c r="R337" i="6"/>
  <c r="Z337" i="6" s="1"/>
  <c r="C195" i="6"/>
  <c r="G195" i="6" s="1"/>
  <c r="Z195" i="6" s="1"/>
  <c r="C201" i="6"/>
  <c r="R79" i="6"/>
  <c r="Z79" i="6" s="1"/>
  <c r="R336" i="6"/>
  <c r="Z336" i="6" s="1"/>
  <c r="Z347" i="6"/>
  <c r="C190" i="6"/>
  <c r="G190" i="6" s="1"/>
  <c r="Z190" i="6" s="1"/>
  <c r="C198" i="6"/>
  <c r="G303" i="6"/>
  <c r="G315" i="6"/>
  <c r="Z315" i="6" s="1"/>
  <c r="S323" i="6"/>
  <c r="Z323" i="6" s="1"/>
  <c r="R338" i="6"/>
  <c r="Z338" i="6" s="1"/>
  <c r="Z348" i="6"/>
  <c r="C9" i="6"/>
  <c r="Z341" i="6"/>
  <c r="C196" i="6"/>
  <c r="G196" i="6" s="1"/>
  <c r="Z274" i="6"/>
  <c r="G257" i="6"/>
  <c r="L257" i="6" s="1"/>
  <c r="G255" i="6"/>
  <c r="L255" i="6" s="1"/>
  <c r="H314" i="6"/>
  <c r="Z314" i="6" s="1"/>
  <c r="S331" i="6"/>
  <c r="Z331" i="6" s="1"/>
  <c r="C57" i="6"/>
  <c r="S324" i="6"/>
  <c r="Z324" i="6" s="1"/>
  <c r="S332" i="6"/>
  <c r="Z332" i="6" s="1"/>
  <c r="R339" i="6"/>
  <c r="Z339" i="6" s="1"/>
  <c r="G301" i="6"/>
  <c r="Z301" i="6" s="1"/>
  <c r="G313" i="6"/>
  <c r="Z313" i="6" s="1"/>
  <c r="C153" i="6"/>
  <c r="S328" i="6"/>
  <c r="Z328" i="6" s="1"/>
  <c r="T333" i="6"/>
  <c r="Z333" i="6" s="1"/>
  <c r="Z349" i="6"/>
  <c r="S326" i="6"/>
  <c r="Z326" i="6" s="1"/>
  <c r="C161" i="6"/>
  <c r="G161" i="6" s="1"/>
  <c r="Z161" i="6" s="1"/>
  <c r="C187" i="6"/>
  <c r="G187" i="6" s="1"/>
  <c r="G312" i="6"/>
  <c r="C397" i="6"/>
  <c r="G397" i="6" s="1"/>
  <c r="Z397" i="6" s="1"/>
  <c r="C98" i="6"/>
  <c r="G98" i="6" s="1"/>
  <c r="C156" i="6"/>
  <c r="G156" i="6" s="1"/>
  <c r="L156" i="6" s="1"/>
  <c r="C425" i="6"/>
  <c r="G425" i="6" s="1"/>
  <c r="H425" i="6" s="1"/>
  <c r="C438" i="6"/>
  <c r="C465" i="6"/>
  <c r="G465" i="6" s="1"/>
  <c r="C52" i="6"/>
  <c r="G52" i="6" s="1"/>
  <c r="C85" i="6"/>
  <c r="G85" i="6" s="1"/>
  <c r="C75" i="6"/>
  <c r="G75" i="6" s="1"/>
  <c r="C157" i="6"/>
  <c r="G157" i="6" s="1"/>
  <c r="L157" i="6" s="1"/>
  <c r="C172" i="6"/>
  <c r="G172" i="6" s="1"/>
  <c r="Z172" i="6" s="1"/>
  <c r="G229" i="6"/>
  <c r="G275" i="6"/>
  <c r="L275" i="6" s="1"/>
  <c r="C42" i="6"/>
  <c r="G42" i="6" s="1"/>
  <c r="C53" i="6"/>
  <c r="G53" i="6" s="1"/>
  <c r="C90" i="6"/>
  <c r="G90" i="6" s="1"/>
  <c r="C99" i="6"/>
  <c r="G99" i="6" s="1"/>
  <c r="C76" i="6"/>
  <c r="G76" i="6" s="1"/>
  <c r="C173" i="6"/>
  <c r="C174" i="6"/>
  <c r="G174" i="6" s="1"/>
  <c r="Z174" i="6" s="1"/>
  <c r="G237" i="6"/>
  <c r="Z237" i="6" s="1"/>
  <c r="C420" i="6"/>
  <c r="G420" i="6" s="1"/>
  <c r="H420" i="6" s="1"/>
  <c r="C522" i="6"/>
  <c r="G522" i="6" s="1"/>
  <c r="Z522" i="6" s="1"/>
  <c r="C506" i="6"/>
  <c r="G506" i="6" s="1"/>
  <c r="Z506" i="6" s="1"/>
  <c r="C69" i="6"/>
  <c r="C185" i="6"/>
  <c r="G185" i="6" s="1"/>
  <c r="C55" i="6"/>
  <c r="G55" i="6" s="1"/>
  <c r="R55" i="6" s="1"/>
  <c r="C453" i="6"/>
  <c r="G453" i="6" s="1"/>
  <c r="Z453" i="6" s="1"/>
  <c r="C486" i="6"/>
  <c r="G486" i="6" s="1"/>
  <c r="C88" i="6"/>
  <c r="G88" i="6" s="1"/>
  <c r="C113" i="6"/>
  <c r="G113" i="6" s="1"/>
  <c r="C197" i="6"/>
  <c r="C401" i="6"/>
  <c r="G401" i="6" s="1"/>
  <c r="Z401" i="6" s="1"/>
  <c r="C404" i="6"/>
  <c r="G431" i="6"/>
  <c r="C456" i="6"/>
  <c r="G456" i="6" s="1"/>
  <c r="C439" i="6"/>
  <c r="G439" i="6" s="1"/>
  <c r="L439" i="6" s="1"/>
  <c r="C466" i="6"/>
  <c r="G466" i="6" s="1"/>
  <c r="Z466" i="6" s="1"/>
  <c r="C516" i="6"/>
  <c r="C497" i="6"/>
  <c r="G497" i="6" s="1"/>
  <c r="C100" i="6"/>
  <c r="G100" i="6" s="1"/>
  <c r="G221" i="6"/>
  <c r="Z221" i="6" s="1"/>
  <c r="C405" i="6"/>
  <c r="G405" i="6" s="1"/>
  <c r="C411" i="6"/>
  <c r="C426" i="6"/>
  <c r="G426" i="6" s="1"/>
  <c r="H426" i="6" s="1"/>
  <c r="G432" i="6"/>
  <c r="L432" i="6" s="1"/>
  <c r="C457" i="6"/>
  <c r="G457" i="6" s="1"/>
  <c r="C440" i="6"/>
  <c r="G440" i="6" s="1"/>
  <c r="Z440" i="6" s="1"/>
  <c r="C467" i="6"/>
  <c r="E467" i="6" s="1"/>
  <c r="C442" i="6"/>
  <c r="G442" i="6" s="1"/>
  <c r="C471" i="6"/>
  <c r="G471" i="6" s="1"/>
  <c r="C454" i="6"/>
  <c r="C487" i="6"/>
  <c r="C34" i="6"/>
  <c r="G34" i="6" s="1"/>
  <c r="C39" i="6"/>
  <c r="G39" i="6" s="1"/>
  <c r="C54" i="6"/>
  <c r="G54" i="6" s="1"/>
  <c r="C59" i="6"/>
  <c r="G59" i="6" s="1"/>
  <c r="R59" i="6" s="1"/>
  <c r="Z59" i="6" s="1"/>
  <c r="C104" i="6"/>
  <c r="G104" i="6" s="1"/>
  <c r="C147" i="6"/>
  <c r="G147" i="6" s="1"/>
  <c r="C170" i="6"/>
  <c r="C184" i="6"/>
  <c r="G184" i="6" s="1"/>
  <c r="Z184" i="6" s="1"/>
  <c r="G292" i="6"/>
  <c r="Z292" i="6" s="1"/>
  <c r="C394" i="6"/>
  <c r="G394" i="6" s="1"/>
  <c r="Z394" i="6" s="1"/>
  <c r="C406" i="6"/>
  <c r="G406" i="6" s="1"/>
  <c r="Z406" i="6" s="1"/>
  <c r="C427" i="6"/>
  <c r="C443" i="6"/>
  <c r="G443" i="6" s="1"/>
  <c r="C472" i="6"/>
  <c r="E472" i="6" s="1"/>
  <c r="D206" i="6" s="1"/>
  <c r="G206" i="6" s="1"/>
  <c r="C514" i="6"/>
  <c r="G514" i="6" s="1"/>
  <c r="C493" i="6"/>
  <c r="C517" i="6"/>
  <c r="G517" i="6" s="1"/>
  <c r="C46" i="6"/>
  <c r="G46" i="6" s="1"/>
  <c r="C68" i="6"/>
  <c r="G68" i="6" s="1"/>
  <c r="G289" i="6"/>
  <c r="Z289" i="6" s="1"/>
  <c r="G225" i="6"/>
  <c r="L225" i="6" s="1"/>
  <c r="C84" i="6"/>
  <c r="G84" i="6" s="1"/>
  <c r="C169" i="6"/>
  <c r="G169" i="6" s="1"/>
  <c r="Z169" i="6" s="1"/>
  <c r="G228" i="6"/>
  <c r="C400" i="6"/>
  <c r="C521" i="6"/>
  <c r="C502" i="6"/>
  <c r="C35" i="6"/>
  <c r="G35" i="6" s="1"/>
  <c r="C40" i="6"/>
  <c r="G40" i="6" s="1"/>
  <c r="C45" i="6"/>
  <c r="G45" i="6" s="1"/>
  <c r="C60" i="6"/>
  <c r="C66" i="6"/>
  <c r="G66" i="6" s="1"/>
  <c r="C74" i="6"/>
  <c r="G74" i="6" s="1"/>
  <c r="C171" i="6"/>
  <c r="G171" i="6" s="1"/>
  <c r="Z171" i="6" s="1"/>
  <c r="G216" i="6"/>
  <c r="R216" i="6" s="1"/>
  <c r="G246" i="6"/>
  <c r="G278" i="6"/>
  <c r="C395" i="6"/>
  <c r="G395" i="6" s="1"/>
  <c r="Z395" i="6" s="1"/>
  <c r="C399" i="6"/>
  <c r="C402" i="6"/>
  <c r="C415" i="6"/>
  <c r="G415" i="6" s="1"/>
  <c r="C421" i="6"/>
  <c r="G421" i="6" s="1"/>
  <c r="H421" i="6" s="1"/>
  <c r="C459" i="6"/>
  <c r="G459" i="6" s="1"/>
  <c r="C441" i="6"/>
  <c r="G441" i="6" s="1"/>
  <c r="Z441" i="6" s="1"/>
  <c r="C468" i="6"/>
  <c r="E468" i="6" s="1"/>
  <c r="D193" i="6" s="1"/>
  <c r="C444" i="6"/>
  <c r="G444" i="6" s="1"/>
  <c r="C473" i="6"/>
  <c r="E473" i="6" s="1"/>
  <c r="D207" i="6" s="1"/>
  <c r="G207" i="6" s="1"/>
  <c r="C455" i="6"/>
  <c r="C488" i="6"/>
  <c r="C518" i="6"/>
  <c r="C499" i="6"/>
  <c r="G499" i="6" s="1"/>
  <c r="C408" i="6"/>
  <c r="G408" i="6" s="1"/>
  <c r="H408" i="6" s="1"/>
  <c r="C429" i="6"/>
  <c r="G434" i="6"/>
  <c r="C446" i="6"/>
  <c r="C475" i="6"/>
  <c r="E475" i="6" s="1"/>
  <c r="C451" i="6"/>
  <c r="C484" i="6"/>
  <c r="G484" i="6" s="1"/>
  <c r="Z484" i="6" s="1"/>
  <c r="C508" i="6"/>
  <c r="G508" i="6" s="1"/>
  <c r="G241" i="6"/>
  <c r="G258" i="6"/>
  <c r="C445" i="6"/>
  <c r="G445" i="6" s="1"/>
  <c r="Z445" i="6" s="1"/>
  <c r="C474" i="6"/>
  <c r="E474" i="6" s="1"/>
  <c r="G271" i="6"/>
  <c r="L271" i="6" s="1"/>
  <c r="C97" i="6"/>
  <c r="G97" i="6" s="1"/>
  <c r="C165" i="6"/>
  <c r="G165" i="6" s="1"/>
  <c r="L165" i="6" s="1"/>
  <c r="C186" i="6"/>
  <c r="G186" i="6" s="1"/>
  <c r="G243" i="6"/>
  <c r="G272" i="6"/>
  <c r="L272" i="6" s="1"/>
  <c r="C403" i="6"/>
  <c r="C435" i="6"/>
  <c r="C462" i="6"/>
  <c r="G462" i="6" s="1"/>
  <c r="I448" i="6"/>
  <c r="Z448" i="6" s="1"/>
  <c r="C476" i="6"/>
  <c r="G476" i="6" s="1"/>
  <c r="C513" i="6"/>
  <c r="G513" i="6" s="1"/>
  <c r="C491" i="6"/>
  <c r="G491" i="6" s="1"/>
  <c r="C496" i="6"/>
  <c r="G496" i="6" s="1"/>
  <c r="C520" i="6"/>
  <c r="C501" i="6"/>
  <c r="G501" i="6" s="1"/>
  <c r="G224" i="6"/>
  <c r="G265" i="6"/>
  <c r="Z265" i="6" s="1"/>
  <c r="G238" i="6"/>
  <c r="G239" i="6"/>
  <c r="G248" i="6"/>
  <c r="G254" i="6"/>
  <c r="G250" i="6"/>
  <c r="G251" i="6"/>
  <c r="G252" i="6"/>
  <c r="G249" i="6"/>
  <c r="G253" i="6"/>
  <c r="I253" i="6" s="1"/>
  <c r="G245" i="6"/>
  <c r="G240" i="6"/>
  <c r="G217" i="6"/>
  <c r="R217" i="6" s="1"/>
  <c r="G218" i="6"/>
  <c r="R218" i="6" s="1"/>
  <c r="J208" i="6"/>
  <c r="Z208" i="6" s="1"/>
  <c r="C149" i="6"/>
  <c r="G149" i="6" s="1"/>
  <c r="C159" i="6"/>
  <c r="C162" i="6"/>
  <c r="G162" i="6" s="1"/>
  <c r="C160" i="6"/>
  <c r="G160" i="6" s="1"/>
  <c r="C151" i="6"/>
  <c r="C158" i="6"/>
  <c r="G158" i="6" s="1"/>
  <c r="C148" i="6"/>
  <c r="G148" i="6" s="1"/>
  <c r="Z148" i="6" s="1"/>
  <c r="C155" i="6"/>
  <c r="G155" i="6" s="1"/>
  <c r="Z155" i="6" s="1"/>
  <c r="C145" i="6"/>
  <c r="C134" i="6"/>
  <c r="C135" i="6"/>
  <c r="C142" i="6"/>
  <c r="G142" i="6" s="1"/>
  <c r="C140" i="6"/>
  <c r="C132" i="6"/>
  <c r="G132" i="6" s="1"/>
  <c r="C138" i="6"/>
  <c r="G138" i="6" s="1"/>
  <c r="C131" i="6"/>
  <c r="G131" i="6" s="1"/>
  <c r="C21" i="6"/>
  <c r="G21" i="6" s="1"/>
  <c r="C24" i="6"/>
  <c r="G24" i="6" s="1"/>
  <c r="C22" i="6"/>
  <c r="G22" i="6" s="1"/>
  <c r="C38" i="6"/>
  <c r="G38" i="6" s="1"/>
  <c r="C37" i="6"/>
  <c r="G37" i="6" s="1"/>
  <c r="C20" i="6"/>
  <c r="G20" i="6" s="1"/>
  <c r="C30" i="6"/>
  <c r="G30" i="6" s="1"/>
  <c r="C31" i="6"/>
  <c r="G31" i="6" s="1"/>
  <c r="Z31" i="6" s="1"/>
  <c r="G242" i="6"/>
  <c r="G244" i="6"/>
  <c r="G288" i="6"/>
  <c r="C452" i="6"/>
  <c r="C437" i="6"/>
  <c r="C407" i="6"/>
  <c r="G407" i="6" s="1"/>
  <c r="C449" i="6"/>
  <c r="C391" i="6" l="1"/>
  <c r="D192" i="6"/>
  <c r="G192" i="6" s="1"/>
  <c r="D64" i="9"/>
  <c r="C4" i="6"/>
  <c r="G193" i="6"/>
  <c r="Z193" i="6" s="1"/>
  <c r="T525" i="6"/>
  <c r="Z477" i="6"/>
  <c r="Z478" i="6"/>
  <c r="Z39" i="6"/>
  <c r="R67" i="6"/>
  <c r="Z67" i="6" s="1"/>
  <c r="Z21" i="6"/>
  <c r="Z207" i="6"/>
  <c r="L228" i="6"/>
  <c r="Z34" i="6"/>
  <c r="Z293" i="6"/>
  <c r="Z46" i="6"/>
  <c r="Z42" i="6"/>
  <c r="Z33" i="6"/>
  <c r="Z36" i="6"/>
  <c r="Z30" i="6"/>
  <c r="Z37" i="6"/>
  <c r="Z45" i="6"/>
  <c r="Z41" i="6"/>
  <c r="Z38" i="6"/>
  <c r="Z40" i="6"/>
  <c r="L229" i="6"/>
  <c r="Z229" i="6" s="1"/>
  <c r="Z32" i="6"/>
  <c r="Z20" i="6"/>
  <c r="Z22" i="6"/>
  <c r="Z35" i="6"/>
  <c r="Z24" i="6"/>
  <c r="Z176" i="6"/>
  <c r="Z81" i="6"/>
  <c r="G520" i="6"/>
  <c r="L520" i="6" s="1"/>
  <c r="G487" i="6"/>
  <c r="L487" i="6" s="1"/>
  <c r="G500" i="6"/>
  <c r="L500" i="6" s="1"/>
  <c r="G454" i="6"/>
  <c r="L454" i="6" s="1"/>
  <c r="G438" i="6"/>
  <c r="L438" i="6" s="1"/>
  <c r="G510" i="6"/>
  <c r="L510" i="6" s="1"/>
  <c r="G404" i="6"/>
  <c r="L404" i="6" s="1"/>
  <c r="G198" i="6"/>
  <c r="L198" i="6" s="1"/>
  <c r="G151" i="6"/>
  <c r="L151" i="6" s="1"/>
  <c r="G159" i="6"/>
  <c r="L159" i="6" s="1"/>
  <c r="G518" i="6"/>
  <c r="L518" i="6" s="1"/>
  <c r="G451" i="6"/>
  <c r="L451" i="6" s="1"/>
  <c r="G488" i="6"/>
  <c r="L488" i="6" s="1"/>
  <c r="G521" i="6"/>
  <c r="L521" i="6" s="1"/>
  <c r="G197" i="6"/>
  <c r="L197" i="6" s="1"/>
  <c r="G455" i="6"/>
  <c r="L455" i="6" s="1"/>
  <c r="G402" i="6"/>
  <c r="H402" i="6" s="1"/>
  <c r="G400" i="6"/>
  <c r="H400" i="6" s="1"/>
  <c r="G516" i="6"/>
  <c r="L516" i="6" s="1"/>
  <c r="G153" i="6"/>
  <c r="L153" i="6" s="1"/>
  <c r="G505" i="6"/>
  <c r="L505" i="6" s="1"/>
  <c r="G170" i="6"/>
  <c r="L170" i="6" s="1"/>
  <c r="G449" i="6"/>
  <c r="L449" i="6" s="1"/>
  <c r="G437" i="6"/>
  <c r="L437" i="6" s="1"/>
  <c r="G435" i="6"/>
  <c r="L435" i="6" s="1"/>
  <c r="G446" i="6"/>
  <c r="L446" i="6" s="1"/>
  <c r="G509" i="6"/>
  <c r="L509" i="6" s="1"/>
  <c r="G140" i="6"/>
  <c r="H140" i="6" s="1"/>
  <c r="G145" i="6"/>
  <c r="H145" i="6" s="1"/>
  <c r="G135" i="6"/>
  <c r="H135" i="6" s="1"/>
  <c r="G134" i="6"/>
  <c r="H134" i="6" s="1"/>
  <c r="Z432" i="6"/>
  <c r="R68" i="6"/>
  <c r="Z68" i="6" s="1"/>
  <c r="S100" i="6"/>
  <c r="Z100" i="6" s="1"/>
  <c r="R76" i="6"/>
  <c r="Z76" i="6" s="1"/>
  <c r="S98" i="6"/>
  <c r="Z98" i="6" s="1"/>
  <c r="Z344" i="6"/>
  <c r="S97" i="6"/>
  <c r="Z97" i="6" s="1"/>
  <c r="Z217" i="6"/>
  <c r="S99" i="6"/>
  <c r="Z99" i="6" s="1"/>
  <c r="R75" i="6"/>
  <c r="Z75" i="6" s="1"/>
  <c r="S104" i="6"/>
  <c r="Z104" i="6" s="1"/>
  <c r="H132" i="6"/>
  <c r="Z132" i="6" s="1"/>
  <c r="R74" i="6"/>
  <c r="Z74" i="6" s="1"/>
  <c r="R113" i="6"/>
  <c r="Z113" i="6" s="1"/>
  <c r="S90" i="6"/>
  <c r="Z90" i="6" s="1"/>
  <c r="S85" i="6"/>
  <c r="Z85" i="6" s="1"/>
  <c r="S83" i="6"/>
  <c r="Z83" i="6" s="1"/>
  <c r="H306" i="6"/>
  <c r="Z306" i="6" s="1"/>
  <c r="R66" i="6"/>
  <c r="Z66" i="6" s="1"/>
  <c r="S88" i="6"/>
  <c r="Z88" i="6" s="1"/>
  <c r="Z255" i="6"/>
  <c r="R111" i="6"/>
  <c r="Z111" i="6" s="1"/>
  <c r="Z216" i="6"/>
  <c r="R63" i="6"/>
  <c r="Z63" i="6" s="1"/>
  <c r="R62" i="6"/>
  <c r="Z62" i="6" s="1"/>
  <c r="Z343" i="6"/>
  <c r="S84" i="6"/>
  <c r="Z84" i="6" s="1"/>
  <c r="Q206" i="6"/>
  <c r="Z206" i="6" s="1"/>
  <c r="R65" i="6"/>
  <c r="Z65" i="6" s="1"/>
  <c r="Z342" i="6"/>
  <c r="Z209" i="6"/>
  <c r="Z253" i="6"/>
  <c r="M147" i="6"/>
  <c r="G194" i="6"/>
  <c r="G1001" i="9"/>
  <c r="G69" i="6"/>
  <c r="G9" i="6"/>
  <c r="G428" i="6"/>
  <c r="H428" i="6" s="1"/>
  <c r="G345" i="6"/>
  <c r="H345" i="6" s="1"/>
  <c r="G373" i="6"/>
  <c r="G375" i="6"/>
  <c r="G523" i="6"/>
  <c r="L523" i="6" s="1"/>
  <c r="G502" i="6"/>
  <c r="L502" i="6" s="1"/>
  <c r="G411" i="6"/>
  <c r="H411" i="6" s="1"/>
  <c r="G61" i="6"/>
  <c r="G51" i="6"/>
  <c r="G417" i="6"/>
  <c r="H417" i="6" s="1"/>
  <c r="G105" i="6"/>
  <c r="H305" i="6"/>
  <c r="Z305" i="6" s="1"/>
  <c r="S322" i="6"/>
  <c r="Z322" i="6" s="1"/>
  <c r="G429" i="6"/>
  <c r="H429" i="6" s="1"/>
  <c r="G399" i="6"/>
  <c r="H399" i="6" s="1"/>
  <c r="G82" i="6"/>
  <c r="G150" i="6"/>
  <c r="L150" i="6" s="1"/>
  <c r="G327" i="6"/>
  <c r="G372" i="6"/>
  <c r="G366" i="6"/>
  <c r="S325" i="6"/>
  <c r="Z325" i="6" s="1"/>
  <c r="Z352" i="6"/>
  <c r="Z350" i="6"/>
  <c r="G427" i="6"/>
  <c r="H427" i="6" s="1"/>
  <c r="G230" i="6"/>
  <c r="G267" i="6"/>
  <c r="L267" i="6" s="1"/>
  <c r="G287" i="6"/>
  <c r="G144" i="6"/>
  <c r="L144" i="6" s="1"/>
  <c r="G423" i="6"/>
  <c r="H423" i="6" s="1"/>
  <c r="G388" i="6"/>
  <c r="G452" i="6"/>
  <c r="G493" i="6"/>
  <c r="G268" i="6"/>
  <c r="L268" i="6" s="1"/>
  <c r="G57" i="6"/>
  <c r="G419" i="6"/>
  <c r="H419" i="6" s="1"/>
  <c r="G58" i="6"/>
  <c r="G56" i="6"/>
  <c r="G163" i="6"/>
  <c r="L163" i="6" s="1"/>
  <c r="G396" i="6"/>
  <c r="H396" i="6" s="1"/>
  <c r="G346" i="6"/>
  <c r="H346" i="6" s="1"/>
  <c r="G370" i="6"/>
  <c r="Z276" i="6"/>
  <c r="G60" i="6"/>
  <c r="G378" i="6"/>
  <c r="G236" i="6"/>
  <c r="G424" i="6"/>
  <c r="H424" i="6" s="1"/>
  <c r="G269" i="6"/>
  <c r="L269" i="6" s="1"/>
  <c r="G222" i="6"/>
  <c r="G409" i="6"/>
  <c r="H409" i="6" s="1"/>
  <c r="G381" i="6"/>
  <c r="Z351" i="6"/>
  <c r="G403" i="6"/>
  <c r="H403" i="6" s="1"/>
  <c r="G223" i="6"/>
  <c r="G266" i="6"/>
  <c r="G201" i="6"/>
  <c r="G164" i="6"/>
  <c r="L164" i="6" s="1"/>
  <c r="G329" i="6"/>
  <c r="G340" i="6"/>
  <c r="H340" i="6" s="1"/>
  <c r="G369" i="6"/>
  <c r="S330" i="6"/>
  <c r="Z330" i="6" s="1"/>
  <c r="S321" i="6"/>
  <c r="Z321" i="6" s="1"/>
  <c r="G219" i="6"/>
  <c r="R219" i="6" s="1"/>
  <c r="G173" i="6"/>
  <c r="G234" i="6"/>
  <c r="G96" i="6"/>
  <c r="G91" i="6"/>
  <c r="G188" i="6"/>
  <c r="G418" i="6"/>
  <c r="H418" i="6" s="1"/>
  <c r="G410" i="6"/>
  <c r="H410" i="6" s="1"/>
  <c r="G380" i="6"/>
  <c r="G392" i="6"/>
  <c r="Z392" i="6" s="1"/>
  <c r="G212" i="6"/>
  <c r="G285" i="6"/>
  <c r="Z285" i="6" s="1"/>
  <c r="G300" i="6"/>
  <c r="Z300" i="6" s="1"/>
  <c r="E1266" i="9"/>
  <c r="D61" i="9"/>
  <c r="Z263" i="6"/>
  <c r="J517" i="6"/>
  <c r="Z517" i="6" s="1"/>
  <c r="I456" i="6"/>
  <c r="Z456" i="6" s="1"/>
  <c r="Q181" i="6"/>
  <c r="R247" i="6"/>
  <c r="Z247" i="6" s="1"/>
  <c r="L494" i="6"/>
  <c r="Z494" i="6" s="1"/>
  <c r="R278" i="6"/>
  <c r="Z278" i="6" s="1"/>
  <c r="I442" i="6"/>
  <c r="Z442" i="6" s="1"/>
  <c r="R431" i="6"/>
  <c r="Z431" i="6" s="1"/>
  <c r="Z420" i="6"/>
  <c r="R53" i="6"/>
  <c r="Z53" i="6" s="1"/>
  <c r="R52" i="6"/>
  <c r="Z52" i="6" s="1"/>
  <c r="Z479" i="6"/>
  <c r="H303" i="6"/>
  <c r="Z303" i="6" s="1"/>
  <c r="J149" i="6"/>
  <c r="Z149" i="6" s="1"/>
  <c r="J246" i="6"/>
  <c r="R246" i="6"/>
  <c r="R54" i="6"/>
  <c r="Z54" i="6" s="1"/>
  <c r="H294" i="6"/>
  <c r="Z294" i="6" s="1"/>
  <c r="O233" i="6"/>
  <c r="Z233" i="6" s="1"/>
  <c r="H295" i="6"/>
  <c r="Z295" i="6" s="1"/>
  <c r="H312" i="6"/>
  <c r="Z312" i="6" s="1"/>
  <c r="Z272" i="6"/>
  <c r="Z225" i="6"/>
  <c r="Z55" i="6"/>
  <c r="Z275" i="6"/>
  <c r="O232" i="6"/>
  <c r="Z232" i="6" s="1"/>
  <c r="J146" i="6"/>
  <c r="Z146" i="6" s="1"/>
  <c r="J489" i="6"/>
  <c r="Z489" i="6" s="1"/>
  <c r="L458" i="6"/>
  <c r="Z458" i="6" s="1"/>
  <c r="Y513" i="6"/>
  <c r="Z513" i="6" s="1"/>
  <c r="Z425" i="6"/>
  <c r="J196" i="6"/>
  <c r="Z196" i="6" s="1"/>
  <c r="Z264" i="6"/>
  <c r="H130" i="6"/>
  <c r="Z485" i="6"/>
  <c r="Z482" i="6"/>
  <c r="R248" i="6"/>
  <c r="Z248" i="6" s="1"/>
  <c r="U288" i="6"/>
  <c r="Z288" i="6" s="1"/>
  <c r="R241" i="6"/>
  <c r="Z241" i="6" s="1"/>
  <c r="Z156" i="6"/>
  <c r="Q182" i="6"/>
  <c r="Z182" i="6" s="1"/>
  <c r="Q189" i="6"/>
  <c r="Z189" i="6" s="1"/>
  <c r="Y512" i="6"/>
  <c r="Z512" i="6" s="1"/>
  <c r="Q187" i="6"/>
  <c r="Z187" i="6" s="1"/>
  <c r="R249" i="6"/>
  <c r="Z249" i="6" s="1"/>
  <c r="I444" i="6"/>
  <c r="Z444" i="6" s="1"/>
  <c r="Z426" i="6"/>
  <c r="Q183" i="6"/>
  <c r="Z183" i="6" s="1"/>
  <c r="J511" i="6"/>
  <c r="Z511" i="6" s="1"/>
  <c r="Z408" i="6"/>
  <c r="V227" i="6"/>
  <c r="Z227" i="6" s="1"/>
  <c r="Z270" i="6"/>
  <c r="L491" i="6"/>
  <c r="Z491" i="6" s="1"/>
  <c r="J199" i="6"/>
  <c r="Z199" i="6" s="1"/>
  <c r="Z421" i="6"/>
  <c r="L497" i="6"/>
  <c r="Z497" i="6" s="1"/>
  <c r="Z257" i="6"/>
  <c r="D260" i="6"/>
  <c r="G260" i="6" s="1"/>
  <c r="D204" i="6"/>
  <c r="G204" i="6" s="1"/>
  <c r="D205" i="6"/>
  <c r="G205" i="6" s="1"/>
  <c r="L498" i="6"/>
  <c r="Z498" i="6" s="1"/>
  <c r="X508" i="6"/>
  <c r="Z508" i="6" s="1"/>
  <c r="L501" i="6"/>
  <c r="Z501" i="6" s="1"/>
  <c r="J200" i="6"/>
  <c r="Z200" i="6" s="1"/>
  <c r="Z439" i="6"/>
  <c r="G302" i="6"/>
  <c r="R245" i="6"/>
  <c r="Z245" i="6" s="1"/>
  <c r="G290" i="6"/>
  <c r="G215" i="6"/>
  <c r="Z271" i="6"/>
  <c r="Z218" i="6"/>
  <c r="G291" i="6"/>
  <c r="G214" i="6"/>
  <c r="Q185" i="6"/>
  <c r="Z185" i="6" s="1"/>
  <c r="E524" i="6"/>
  <c r="E525" i="6" s="1"/>
  <c r="J258" i="6"/>
  <c r="Z258" i="6" s="1"/>
  <c r="Q186" i="6"/>
  <c r="Z186" i="6" s="1"/>
  <c r="J486" i="6"/>
  <c r="Z486" i="6" s="1"/>
  <c r="J252" i="6"/>
  <c r="Z252" i="6" s="1"/>
  <c r="L461" i="6"/>
  <c r="Z461" i="6" s="1"/>
  <c r="J514" i="6"/>
  <c r="Z514" i="6" s="1"/>
  <c r="J430" i="6"/>
  <c r="Z430" i="6" s="1"/>
  <c r="J434" i="6"/>
  <c r="Z434" i="6" s="1"/>
  <c r="J251" i="6"/>
  <c r="Z251" i="6" s="1"/>
  <c r="Z384" i="6"/>
  <c r="Z385" i="6"/>
  <c r="J405" i="6"/>
  <c r="Z405" i="6" s="1"/>
  <c r="J386" i="6"/>
  <c r="Z386" i="6" s="1"/>
  <c r="Y365" i="6"/>
  <c r="Z365" i="6" s="1"/>
  <c r="L242" i="6"/>
  <c r="Z242" i="6" s="1"/>
  <c r="C525" i="6" l="1"/>
  <c r="D65" i="9"/>
  <c r="Z228" i="6"/>
  <c r="Z194" i="6"/>
  <c r="R58" i="6"/>
  <c r="Z58" i="6" s="1"/>
  <c r="L230" i="6"/>
  <c r="Z230" i="6" s="1"/>
  <c r="R61" i="6"/>
  <c r="Z61" i="6" s="1"/>
  <c r="Z9" i="6"/>
  <c r="Z201" i="6"/>
  <c r="Z192" i="6"/>
  <c r="Z509" i="6"/>
  <c r="Z170" i="6"/>
  <c r="Z400" i="6"/>
  <c r="Z521" i="6"/>
  <c r="Z159" i="6"/>
  <c r="Z510" i="6"/>
  <c r="Z435" i="6"/>
  <c r="Z505" i="6"/>
  <c r="Z402" i="6"/>
  <c r="Z520" i="6"/>
  <c r="Z449" i="6"/>
  <c r="Z516" i="6"/>
  <c r="Z197" i="6"/>
  <c r="Z518" i="6"/>
  <c r="Z500" i="6"/>
  <c r="Z151" i="6"/>
  <c r="Z147" i="6"/>
  <c r="Z130" i="6"/>
  <c r="Z181" i="6"/>
  <c r="Z153" i="6"/>
  <c r="Z455" i="6"/>
  <c r="Z198" i="6"/>
  <c r="Z454" i="6"/>
  <c r="Z134" i="6"/>
  <c r="Z135" i="6"/>
  <c r="Z246" i="6"/>
  <c r="H370" i="6"/>
  <c r="Z370" i="6" s="1"/>
  <c r="J212" i="6"/>
  <c r="Z212" i="6" s="1"/>
  <c r="V234" i="6"/>
  <c r="Z234" i="6" s="1"/>
  <c r="Z164" i="6"/>
  <c r="H222" i="6"/>
  <c r="Z222" i="6" s="1"/>
  <c r="L493" i="6"/>
  <c r="Z493" i="6" s="1"/>
  <c r="S82" i="6"/>
  <c r="N173" i="6"/>
  <c r="N525" i="6" s="1"/>
  <c r="Z269" i="6"/>
  <c r="Z399" i="6"/>
  <c r="R69" i="6"/>
  <c r="Z69" i="6" s="1"/>
  <c r="Z268" i="6"/>
  <c r="Y380" i="6"/>
  <c r="Z380" i="6" s="1"/>
  <c r="Z424" i="6"/>
  <c r="Z409" i="6"/>
  <c r="Z150" i="6"/>
  <c r="Z410" i="6"/>
  <c r="H223" i="6"/>
  <c r="Z223" i="6" s="1"/>
  <c r="V236" i="6"/>
  <c r="Z236" i="6" s="1"/>
  <c r="R56" i="6"/>
  <c r="Z423" i="6"/>
  <c r="Z523" i="6"/>
  <c r="S329" i="6"/>
  <c r="Z329" i="6" s="1"/>
  <c r="Z418" i="6"/>
  <c r="H378" i="6"/>
  <c r="Z378" i="6" s="1"/>
  <c r="Z144" i="6"/>
  <c r="S96" i="6"/>
  <c r="Z96" i="6" s="1"/>
  <c r="Q188" i="6"/>
  <c r="Z188" i="6" s="1"/>
  <c r="H369" i="6"/>
  <c r="Z369" i="6" s="1"/>
  <c r="R60" i="6"/>
  <c r="Z60" i="6" s="1"/>
  <c r="U287" i="6"/>
  <c r="Z287" i="6" s="1"/>
  <c r="S105" i="6"/>
  <c r="Z105" i="6" s="1"/>
  <c r="S91" i="6"/>
  <c r="Z91" i="6" s="1"/>
  <c r="R57" i="6"/>
  <c r="Z417" i="6"/>
  <c r="Q204" i="6"/>
  <c r="Z204" i="6" s="1"/>
  <c r="Q205" i="6"/>
  <c r="Z205" i="6" s="1"/>
  <c r="D297" i="6"/>
  <c r="G297" i="6" s="1"/>
  <c r="G284" i="6"/>
  <c r="Z284" i="6" s="1"/>
  <c r="G468" i="6"/>
  <c r="G473" i="6"/>
  <c r="Z163" i="6"/>
  <c r="O57" i="6"/>
  <c r="H372" i="6"/>
  <c r="Z372" i="6" s="1"/>
  <c r="H373" i="6"/>
  <c r="Z373" i="6" s="1"/>
  <c r="Z219" i="6"/>
  <c r="G475" i="6"/>
  <c r="G472" i="6"/>
  <c r="Z403" i="6"/>
  <c r="Y381" i="6"/>
  <c r="Z381" i="6" s="1"/>
  <c r="O56" i="6"/>
  <c r="I452" i="6"/>
  <c r="Z452" i="6" s="1"/>
  <c r="S327" i="6"/>
  <c r="Z327" i="6" s="1"/>
  <c r="Z502" i="6"/>
  <c r="Z345" i="6"/>
  <c r="G474" i="6"/>
  <c r="G515" i="6"/>
  <c r="Z346" i="6"/>
  <c r="G467" i="6"/>
  <c r="H388" i="6"/>
  <c r="Z388" i="6" s="1"/>
  <c r="R51" i="6"/>
  <c r="Z428" i="6"/>
  <c r="Z340" i="6"/>
  <c r="J266" i="6"/>
  <c r="Z266" i="6" s="1"/>
  <c r="Z411" i="6"/>
  <c r="Z396" i="6"/>
  <c r="Z419" i="6"/>
  <c r="Z267" i="6"/>
  <c r="Z427" i="6"/>
  <c r="H366" i="6"/>
  <c r="Z366" i="6" s="1"/>
  <c r="Z429" i="6"/>
  <c r="H375" i="6"/>
  <c r="Z375" i="6" s="1"/>
  <c r="J162" i="6"/>
  <c r="Z162" i="6" s="1"/>
  <c r="R244" i="6"/>
  <c r="Z244" i="6" s="1"/>
  <c r="I254" i="6"/>
  <c r="Z254" i="6" s="1"/>
  <c r="L459" i="6"/>
  <c r="Z459" i="6" s="1"/>
  <c r="Z404" i="6"/>
  <c r="L496" i="6"/>
  <c r="Z496" i="6" s="1"/>
  <c r="V224" i="6"/>
  <c r="Z224" i="6" s="1"/>
  <c r="R240" i="6"/>
  <c r="Z240" i="6" s="1"/>
  <c r="H302" i="6"/>
  <c r="Z302" i="6" s="1"/>
  <c r="X471" i="6"/>
  <c r="Z471" i="6" s="1"/>
  <c r="Z488" i="6"/>
  <c r="H215" i="6"/>
  <c r="Z215" i="6" s="1"/>
  <c r="R239" i="6"/>
  <c r="Z239" i="6" s="1"/>
  <c r="R243" i="6"/>
  <c r="Z243" i="6" s="1"/>
  <c r="I443" i="6"/>
  <c r="Z443" i="6" s="1"/>
  <c r="Z487" i="6"/>
  <c r="R415" i="6"/>
  <c r="Z415" i="6" s="1"/>
  <c r="Z446" i="6"/>
  <c r="J158" i="6"/>
  <c r="Z158" i="6" s="1"/>
  <c r="M260" i="6"/>
  <c r="M525" i="6" s="1"/>
  <c r="L499" i="6"/>
  <c r="Z499" i="6" s="1"/>
  <c r="H291" i="6"/>
  <c r="Z291" i="6" s="1"/>
  <c r="J142" i="6"/>
  <c r="Z140" i="6"/>
  <c r="Z145" i="6"/>
  <c r="Y476" i="6"/>
  <c r="Z476" i="6" s="1"/>
  <c r="Z437" i="6"/>
  <c r="J465" i="6"/>
  <c r="Z465" i="6" s="1"/>
  <c r="I238" i="6"/>
  <c r="H131" i="6"/>
  <c r="Z131" i="6" s="1"/>
  <c r="J457" i="6"/>
  <c r="Z457" i="6" s="1"/>
  <c r="Z451" i="6"/>
  <c r="J250" i="6"/>
  <c r="Z250" i="6" s="1"/>
  <c r="Z157" i="6"/>
  <c r="Z438" i="6"/>
  <c r="J160" i="6"/>
  <c r="Z160" i="6" s="1"/>
  <c r="H214" i="6"/>
  <c r="Z214" i="6" s="1"/>
  <c r="H290" i="6"/>
  <c r="Z290" i="6" s="1"/>
  <c r="L462" i="6"/>
  <c r="Z462" i="6" s="1"/>
  <c r="H138" i="6"/>
  <c r="Z138" i="6" s="1"/>
  <c r="Z165" i="6"/>
  <c r="G391" i="6"/>
  <c r="Z391" i="6" s="1"/>
  <c r="G299" i="6"/>
  <c r="G211" i="6"/>
  <c r="Z211" i="6" s="1"/>
  <c r="G4" i="6"/>
  <c r="J407" i="6"/>
  <c r="Z407" i="6" s="1"/>
  <c r="G524" i="6"/>
  <c r="D525" i="6" l="1"/>
  <c r="E526" i="6" s="1"/>
  <c r="O525" i="6"/>
  <c r="I525" i="6"/>
  <c r="S525" i="6"/>
  <c r="R525" i="6"/>
  <c r="L525" i="6"/>
  <c r="Q525" i="6"/>
  <c r="Z468" i="6"/>
  <c r="Z297" i="6"/>
  <c r="Z474" i="6"/>
  <c r="Z238" i="6"/>
  <c r="Z51" i="6"/>
  <c r="Z142" i="6"/>
  <c r="Z173" i="6"/>
  <c r="Z82" i="6"/>
  <c r="Z56" i="6"/>
  <c r="Z57" i="6"/>
  <c r="Z260" i="6"/>
  <c r="J515" i="6"/>
  <c r="Z515" i="6" s="1"/>
  <c r="Y475" i="6"/>
  <c r="Z475" i="6" s="1"/>
  <c r="J467" i="6"/>
  <c r="Z467" i="6" s="1"/>
  <c r="J472" i="6"/>
  <c r="Z472" i="6" s="1"/>
  <c r="H299" i="6"/>
  <c r="H525" i="6" s="1"/>
  <c r="J473" i="6"/>
  <c r="Z473" i="6" s="1"/>
  <c r="J525" i="6" l="1"/>
  <c r="Z299" i="6"/>
  <c r="W525" i="6" l="1"/>
  <c r="M526" i="6" l="1"/>
  <c r="G8" i="6" l="1"/>
  <c r="Z8" i="6" s="1"/>
  <c r="G7" i="6" l="1"/>
  <c r="Z7" i="6" s="1"/>
  <c r="U525" i="6" l="1"/>
  <c r="V525" i="6"/>
  <c r="X525" i="6" l="1"/>
  <c r="X526" i="6" l="1"/>
  <c r="Z524" i="6"/>
  <c r="Y525" i="6"/>
  <c r="Y526" i="6" l="1"/>
  <c r="T526" i="6"/>
  <c r="Z526" i="6" l="1"/>
  <c r="C1207" i="9" l="1"/>
  <c r="E1207" i="9" s="1"/>
  <c r="G914" i="9" l="1"/>
  <c r="H520" i="9"/>
  <c r="G5" i="6"/>
  <c r="G6" i="6"/>
  <c r="Z6" i="6" s="1"/>
  <c r="Z5" i="6" l="1"/>
  <c r="G525" i="6"/>
  <c r="H525" i="9"/>
  <c r="G919" i="9"/>
  <c r="Z525" i="6"/>
  <c r="AA526" i="6" s="1"/>
  <c r="E971" i="9"/>
  <c r="E1021" i="9"/>
  <c r="C333" i="8" l="1"/>
  <c r="F61" i="9" l="1"/>
  <c r="F65" i="9" s="1"/>
  <c r="F129" i="9" l="1"/>
</calcChain>
</file>

<file path=xl/sharedStrings.xml><?xml version="1.0" encoding="utf-8"?>
<sst xmlns="http://schemas.openxmlformats.org/spreadsheetml/2006/main" count="10037" uniqueCount="1847">
  <si>
    <t>USD</t>
  </si>
  <si>
    <t>Cuenta</t>
  </si>
  <si>
    <t>Moneda</t>
  </si>
  <si>
    <t>ACTIVO</t>
  </si>
  <si>
    <t>ACTIVO CORRIENTE</t>
  </si>
  <si>
    <t>DISPONIBILIDADES</t>
  </si>
  <si>
    <t>GS</t>
  </si>
  <si>
    <t>ACTIVO NO CORRIENTE</t>
  </si>
  <si>
    <t>PASIVO</t>
  </si>
  <si>
    <t>PASIVO CORRIENTE</t>
  </si>
  <si>
    <t>PROVISIONES</t>
  </si>
  <si>
    <t>CAPITAL</t>
  </si>
  <si>
    <t>RESERVAS</t>
  </si>
  <si>
    <t>RESULTADO DEL EJERCICIO</t>
  </si>
  <si>
    <t>GASTOS DE ADMINISTRACION</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</si>
  <si>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</si>
  <si>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</si>
  <si>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</si>
  <si>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</si>
  <si>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</si>
  <si>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</si>
  <si>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</si>
  <si>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</si>
  <si>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</si>
  <si>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</si>
  <si>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</si>
  <si>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</si>
  <si>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</si>
  <si>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</si>
  <si>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</si>
  <si>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Clasificacion</t>
  </si>
  <si>
    <t>Para los EEFF</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</si>
  <si>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</si>
  <si>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</si>
  <si>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</si>
  <si>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</si>
  <si>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</si>
  <si>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</si>
  <si>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</si>
  <si>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</si>
  <si>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</si>
  <si>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</si>
  <si>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</si>
  <si>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</si>
  <si>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</si>
  <si>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</si>
  <si>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</si>
  <si>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</si>
  <si>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</si>
  <si>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</si>
  <si>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</si>
  <si>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</si>
  <si>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</si>
  <si>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</si>
  <si>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</si>
  <si>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</si>
  <si>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</si>
  <si>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</si>
  <si>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</si>
  <si>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</si>
  <si>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</si>
  <si>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</si>
  <si>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</si>
  <si>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Compra de Propiedad, planta y Equipo</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</si>
  <si>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</si>
  <si>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</si>
  <si>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</si>
  <si>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</si>
  <si>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</si>
  <si>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</si>
  <si>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</si>
  <si>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</si>
  <si>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</si>
  <si>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</si>
  <si>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Descripción</t>
  </si>
  <si>
    <t>Totales</t>
  </si>
  <si>
    <t>Intereses pagados</t>
  </si>
  <si>
    <t>Impuesto a la Renta</t>
  </si>
  <si>
    <t>Gastos Bancarios</t>
  </si>
  <si>
    <t>Recaudaciones a Depositar</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</si>
  <si>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</si>
  <si>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</si>
  <si>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</si>
  <si>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</si>
  <si>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</si>
  <si>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</si>
  <si>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</si>
  <si>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</si>
  <si>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</si>
  <si>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</si>
  <si>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</si>
  <si>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</si>
  <si>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</si>
  <si>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</si>
  <si>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</si>
  <si>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</si>
  <si>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</si>
  <si>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</si>
  <si>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</si>
  <si>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</si>
  <si>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</si>
  <si>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</si>
  <si>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</si>
  <si>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</si>
  <si>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</si>
  <si>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</si>
  <si>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</si>
  <si>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</si>
  <si>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</si>
  <si>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</si>
  <si>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</si>
  <si>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</si>
  <si>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</si>
  <si>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</si>
  <si>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</si>
  <si>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</si>
  <si>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</si>
  <si>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</si>
  <si>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</si>
  <si>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</si>
  <si>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</si>
  <si>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</si>
  <si>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</si>
  <si>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</si>
  <si>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</si>
  <si>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</si>
  <si>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</si>
  <si>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</si>
  <si>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</si>
  <si>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</si>
  <si>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</si>
  <si>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</si>
  <si>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</si>
  <si>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</si>
  <si>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</si>
  <si>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</si>
  <si>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</si>
  <si>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</si>
  <si>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</si>
  <si>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</si>
  <si>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</si>
  <si>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</si>
  <si>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</si>
  <si>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</si>
  <si>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</si>
  <si>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</si>
  <si>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</si>
  <si>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</si>
  <si>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Acciones de Empresas</t>
  </si>
  <si>
    <t>CRÉDITOS</t>
  </si>
  <si>
    <t>Operaciones de Reporto</t>
  </si>
  <si>
    <t>Anticipos al Personal</t>
  </si>
  <si>
    <t>INVERSIONES PERMANENTES</t>
  </si>
  <si>
    <t>Instalaciones</t>
  </si>
  <si>
    <t>CARGOS DIFERIDOS</t>
  </si>
  <si>
    <t>Gastos de Constitución</t>
  </si>
  <si>
    <t>Aportes y Retenciones a Pagar</t>
  </si>
  <si>
    <t>Gastos de Infraestructura a Pagar</t>
  </si>
  <si>
    <t>Gastos de Telefonía a Pagar</t>
  </si>
  <si>
    <t>Gastos de Marketing a Pagar</t>
  </si>
  <si>
    <t>Auditoria Externa a Pagar</t>
  </si>
  <si>
    <t>Otros Ingresos</t>
  </si>
  <si>
    <t>Otras cuentas por cobrar</t>
  </si>
  <si>
    <t>CAPITAL SOCIAL</t>
  </si>
  <si>
    <t>Capital Integrado</t>
  </si>
  <si>
    <t>Reserva Legal</t>
  </si>
  <si>
    <t>Reserva de Revaluación</t>
  </si>
  <si>
    <t>Resultados Acumulados</t>
  </si>
  <si>
    <t>Resultado del Ejercicio</t>
  </si>
  <si>
    <t>INGRESOS</t>
  </si>
  <si>
    <t>Aranceles BVPASA</t>
  </si>
  <si>
    <t>Ingresos Extraordinarios</t>
  </si>
  <si>
    <t>Sueldos y Jornales</t>
  </si>
  <si>
    <t>Otras Remuneraciones</t>
  </si>
  <si>
    <t>Aguinaldos</t>
  </si>
  <si>
    <t>Vacaciones</t>
  </si>
  <si>
    <t>Capacitación y Entrenamiento</t>
  </si>
  <si>
    <t>Gastos de Representación</t>
  </si>
  <si>
    <t>Mantenimiento y Reparaciones</t>
  </si>
  <si>
    <t>Cuotas y Suscripciones</t>
  </si>
  <si>
    <t>Servicio de Asesoría</t>
  </si>
  <si>
    <t>Intereses y Gastos de Sobregiros</t>
  </si>
  <si>
    <t>Registro de Administración de Cartera</t>
  </si>
  <si>
    <t>Registro de Operaciones de Reporto de Te</t>
  </si>
  <si>
    <t>Responsabilidad por Administración de Ca</t>
  </si>
  <si>
    <t>Control de Operaciones de Reporto de Ter</t>
  </si>
  <si>
    <t>US</t>
  </si>
  <si>
    <t>Regional Casa de Bolsa S.A.</t>
  </si>
  <si>
    <t>Código Cuenta</t>
  </si>
  <si>
    <t>EGRESOS</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</si>
  <si>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</si>
  <si>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</si>
  <si>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</si>
  <si>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</si>
  <si>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</si>
  <si>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</si>
  <si>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</si>
  <si>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</si>
  <si>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</si>
  <si>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</si>
  <si>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</si>
  <si>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</si>
  <si>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</si>
  <si>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</si>
  <si>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</si>
  <si>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</si>
  <si>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</si>
  <si>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</si>
  <si>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</si>
  <si>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</si>
  <si>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</si>
  <si>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</si>
  <si>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</si>
  <si>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</si>
  <si>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</si>
  <si>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</si>
  <si>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</si>
  <si>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</si>
  <si>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a) Comprar y vender valores por cuenta de terceros y por cuenta con recursos propios, en la bolsa o fuera de ella. </t>
  </si>
  <si>
    <t>e) Actuar como representante de los obligacionistas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</si>
  <si>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</si>
  <si>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</si>
  <si>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</si>
  <si>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</si>
  <si>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</si>
  <si>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</si>
  <si>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</si>
  <si>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Balance General - Moneda Local</t>
  </si>
  <si>
    <t>ACTIVOS INTANGIBLES</t>
  </si>
  <si>
    <t>Fondo de Garantía</t>
  </si>
  <si>
    <t>INGRESOS FINANCIEROS</t>
  </si>
  <si>
    <t>Intereses Cobrados</t>
  </si>
  <si>
    <t>Arancel CNV</t>
  </si>
  <si>
    <t>GASTOS DE COMERCIALIZACION</t>
  </si>
  <si>
    <t>Comisiones Pagadas</t>
  </si>
  <si>
    <t>Remuneraciones</t>
  </si>
  <si>
    <t>Courier y Encomiendas</t>
  </si>
  <si>
    <t>Gastos de Infraestr.y Manten.</t>
  </si>
  <si>
    <t>Gastos de Asamblea</t>
  </si>
  <si>
    <t>EGRESOS NO OPERATIVOS</t>
  </si>
  <si>
    <t>EGRESOS FISCALES</t>
  </si>
  <si>
    <t>Retencion Renta</t>
  </si>
  <si>
    <t>Bonos Subordinados USD</t>
  </si>
  <si>
    <t>CAPITAL ADICIONAL</t>
  </si>
  <si>
    <t>CUENTAS DE ORDEN EN EL ACTIVO</t>
  </si>
  <si>
    <t>CUENTAS DE ORDEN EN EL PASIVO</t>
  </si>
  <si>
    <t>OK</t>
  </si>
  <si>
    <t>Gastos Generales</t>
  </si>
  <si>
    <t xml:space="preserve">Por intermediación de renta fija en rueda  </t>
  </si>
  <si>
    <t>Control</t>
  </si>
  <si>
    <t>CUENTAS</t>
  </si>
  <si>
    <t>BALANCE Y RESULTADOS</t>
  </si>
  <si>
    <t>ELIMINACIONES</t>
  </si>
  <si>
    <t>VARIACIÓN</t>
  </si>
  <si>
    <t>ACTIVIDADES DE OPERACIONES</t>
  </si>
  <si>
    <t>ACTIVIDADES DE INVERSIÓN</t>
  </si>
  <si>
    <t>ACTIVIDADES DE FINANCIAMIENTO</t>
  </si>
  <si>
    <t>DEBITOS</t>
  </si>
  <si>
    <t>DEBITOS (CRÉDITOS)</t>
  </si>
  <si>
    <t>Disponibilidades</t>
  </si>
  <si>
    <t>ESTADO DE FLUJO DE EFECTIVO</t>
  </si>
  <si>
    <t>Pagos No Aplicados IVA</t>
  </si>
  <si>
    <t>Aranceles Pagados por Adelantado</t>
  </si>
  <si>
    <t>Gastos de Desarrollo</t>
  </si>
  <si>
    <t>Contadora</t>
  </si>
  <si>
    <t>Vicepresidente</t>
  </si>
  <si>
    <t>Marcelo Prono</t>
  </si>
  <si>
    <t>Anticipos a Proveedores GS</t>
  </si>
  <si>
    <t>Resp. por Custodia de Valores Gs.</t>
  </si>
  <si>
    <t>Dieta a Directores</t>
  </si>
  <si>
    <t>NI</t>
  </si>
  <si>
    <t>I</t>
  </si>
  <si>
    <t>***</t>
  </si>
  <si>
    <t>***  I  : Cuenta Imputable</t>
  </si>
  <si>
    <t>***  NI : Cuenta No Imputable</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</si>
  <si>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</si>
  <si>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</si>
  <si>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</si>
  <si>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</si>
  <si>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</si>
  <si>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</si>
  <si>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</si>
  <si>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</si>
  <si>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</si>
  <si>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</si>
  <si>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</si>
  <si>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</si>
  <si>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</si>
  <si>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</si>
  <si>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Accionista</t>
  </si>
  <si>
    <t>Totales:</t>
  </si>
  <si>
    <t>Banco Regional S.A.E.C.A.</t>
  </si>
  <si>
    <t>GASTOS PAGADOS POR ANTICIPADO</t>
  </si>
  <si>
    <t>Servicio de Asesoría a Pagar</t>
  </si>
  <si>
    <t>Capacitacion del Personal a Pagar</t>
  </si>
  <si>
    <t>Comisiones Comerciales a Pagar</t>
  </si>
  <si>
    <t>Fondo Proyectos de Innovación a Pagar</t>
  </si>
  <si>
    <t>Alquileres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</si>
  <si>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</si>
  <si>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</si>
  <si>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</si>
  <si>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</si>
  <si>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</si>
  <si>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</si>
  <si>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</si>
  <si>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</si>
  <si>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</si>
  <si>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</si>
  <si>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</si>
  <si>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</si>
  <si>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</si>
  <si>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</si>
  <si>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</si>
  <si>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</si>
  <si>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</si>
  <si>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</si>
  <si>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</si>
  <si>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</si>
  <si>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</si>
  <si>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</si>
  <si>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</si>
  <si>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</si>
  <si>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</si>
  <si>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</si>
  <si>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</si>
  <si>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</si>
  <si>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</si>
  <si>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</si>
  <si>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</si>
  <si>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</si>
  <si>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</si>
  <si>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</si>
  <si>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</si>
  <si>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</si>
  <si>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</si>
  <si>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</si>
  <si>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</si>
  <si>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</si>
  <si>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</si>
  <si>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</si>
  <si>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</si>
  <si>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</si>
  <si>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</si>
  <si>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</si>
  <si>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</si>
  <si>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</si>
  <si>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</si>
  <si>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</si>
  <si>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</si>
  <si>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</si>
  <si>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</si>
  <si>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</si>
  <si>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</si>
  <si>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</si>
  <si>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</si>
  <si>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</si>
  <si>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</si>
  <si>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</si>
  <si>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</si>
  <si>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</si>
  <si>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</si>
  <si>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</si>
  <si>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</si>
  <si>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</si>
  <si>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</si>
  <si>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</si>
  <si>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</si>
  <si>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</si>
  <si>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</si>
  <si>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</si>
  <si>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</si>
  <si>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</si>
  <si>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</si>
  <si>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</si>
  <si>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</si>
  <si>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</si>
  <si>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5.m) Provisiones</t>
  </si>
  <si>
    <t>5.o) Cuentas por pagar a personas y empresas relacionadas</t>
  </si>
  <si>
    <t>Sobregiro en cuenta Corriente</t>
  </si>
  <si>
    <t>1 día</t>
  </si>
  <si>
    <t xml:space="preserve">5.p) Obligaciones por contrato de underwriting </t>
  </si>
  <si>
    <t>5.q) Otros pasivos corrientes y no corrientes</t>
  </si>
  <si>
    <t>Regional AFPISA</t>
  </si>
  <si>
    <t>Capital integrado</t>
  </si>
  <si>
    <t>No aplicable. Los presentes estados financieros no incluyen previsiones.</t>
  </si>
  <si>
    <t>Otros gastos de administración</t>
  </si>
  <si>
    <t>Otros ingresos</t>
  </si>
  <si>
    <t>Otros egresos</t>
  </si>
  <si>
    <t>Intereses pagados por sobregiros</t>
  </si>
  <si>
    <t>Resultados financieros netos</t>
  </si>
  <si>
    <t>Ingresos varios</t>
  </si>
  <si>
    <t>6.a) Compromisos directos</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</si>
  <si>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</si>
  <si>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</si>
  <si>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</si>
  <si>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</si>
  <si>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</si>
  <si>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</si>
  <si>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Gastos de Salubridad - COVID 19</t>
  </si>
  <si>
    <t xml:space="preserve">Banco Atlas S.A. </t>
  </si>
  <si>
    <t>Bonos Bursátiles Corto Plazo Gs.</t>
  </si>
  <si>
    <t>Acciones Regional AFPISA</t>
  </si>
  <si>
    <t>Operaciones a Liquidar Gs</t>
  </si>
  <si>
    <t>Anticipo de Clientes U$S</t>
  </si>
  <si>
    <t>Aportes para Futuras Capitalizaciones</t>
  </si>
  <si>
    <t>Reservas Especiales</t>
  </si>
  <si>
    <t>Otros Gastos de Personal</t>
  </si>
  <si>
    <t>Tarjetas de Gourmet - Empleados</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</si>
  <si>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</si>
  <si>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</si>
  <si>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</si>
  <si>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</si>
  <si>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</si>
  <si>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</si>
  <si>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</si>
  <si>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</si>
  <si>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</si>
  <si>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</si>
  <si>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</si>
  <si>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</si>
  <si>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</si>
  <si>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</si>
  <si>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</si>
  <si>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</si>
  <si>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</si>
  <si>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</si>
  <si>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</si>
  <si>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</si>
  <si>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</si>
  <si>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</si>
  <si>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</si>
  <si>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</si>
  <si>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</si>
  <si>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</si>
  <si>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</si>
  <si>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</si>
  <si>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</si>
  <si>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</si>
  <si>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</si>
  <si>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</si>
  <si>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</si>
  <si>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</si>
  <si>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</si>
  <si>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</si>
  <si>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</si>
  <si>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Gerente de Finanzas Corporativas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</si>
  <si>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</si>
  <si>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</si>
  <si>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</si>
  <si>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</si>
  <si>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</si>
  <si>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</si>
  <si>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</si>
  <si>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</si>
  <si>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</si>
  <si>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</si>
  <si>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</si>
  <si>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</si>
  <si>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</si>
  <si>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</si>
  <si>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</si>
  <si>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</si>
  <si>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</si>
  <si>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t>6. PERSONAS VINCULADAS</t>
  </si>
  <si>
    <t>PERSONAS VINCULADAS</t>
  </si>
  <si>
    <t>Tipo de vínculo</t>
  </si>
  <si>
    <t>Director</t>
  </si>
  <si>
    <t>Sociedad controlante (*)</t>
  </si>
  <si>
    <t>Clara Francisca Peroni Peña</t>
  </si>
  <si>
    <t>Aumento de Capital</t>
  </si>
  <si>
    <t>Bonos Financieros</t>
  </si>
  <si>
    <t xml:space="preserve">Banco Nacional de Fomento </t>
  </si>
  <si>
    <t>BANCO REGIONAL S.A.E.C.A</t>
  </si>
  <si>
    <t>Valores Recibidos en Custodia Gs.</t>
  </si>
  <si>
    <t>Fondo de Garantía a Pagar Gs</t>
  </si>
  <si>
    <t>Capital Suscripto</t>
  </si>
  <si>
    <t>www.regionalcasadebolsa.com.py</t>
  </si>
  <si>
    <t>Revaluación de Acciones</t>
  </si>
  <si>
    <t>(-) Capital a Integrar / Accionistas</t>
  </si>
  <si>
    <t>Revaluacion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</si>
  <si>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</si>
  <si>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</si>
  <si>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</si>
  <si>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</si>
  <si>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</si>
  <si>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</si>
  <si>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</si>
  <si>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</si>
  <si>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Shirley Vichini</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</si>
  <si>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</si>
  <si>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</si>
  <si>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</si>
  <si>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</si>
  <si>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</si>
  <si>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</si>
  <si>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</si>
  <si>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</si>
  <si>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</si>
  <si>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</si>
  <si>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</si>
  <si>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</si>
  <si>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</si>
  <si>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</si>
  <si>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</si>
  <si>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</si>
  <si>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Participación en Resultados</t>
  </si>
  <si>
    <t>Participación en Resultados Otras Empres</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</si>
  <si>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</si>
  <si>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</si>
  <si>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</si>
  <si>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</si>
  <si>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</si>
  <si>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</si>
  <si>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t>Dividendos a Cobrar</t>
  </si>
  <si>
    <t>Dividendos a Devengar</t>
  </si>
  <si>
    <t>Valores Recibidos por Reporto Gs</t>
  </si>
  <si>
    <t>Operaciones a Liquidar</t>
  </si>
  <si>
    <t>Cauciones</t>
  </si>
  <si>
    <t>Retribuciones Especiales a Pagar</t>
  </si>
  <si>
    <t>Fondo de Garantia a Pagar U$S</t>
  </si>
  <si>
    <t>Retribuciones Especiales</t>
  </si>
  <si>
    <t>Mantenimiento de Software</t>
  </si>
  <si>
    <t>Deudas con terceros por operaciones de reporto</t>
  </si>
  <si>
    <t>BANCO ITAÚ PARAGUAY S.A.</t>
  </si>
  <si>
    <t>Títulos de Renta Variable ANC</t>
  </si>
  <si>
    <t xml:space="preserve">Inversiones </t>
  </si>
  <si>
    <t xml:space="preserve">Acciones </t>
  </si>
  <si>
    <t>Participacion en Resultados</t>
  </si>
  <si>
    <t>Auditor Interno</t>
  </si>
  <si>
    <t>Asignación del resultado acumulado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</si>
  <si>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</si>
  <si>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5.j) Préstamos financieros</t>
  </si>
  <si>
    <t>Porción circulante de préstamos a largo plazo</t>
  </si>
  <si>
    <t>5.k) Acreedores por intermediación</t>
  </si>
  <si>
    <t>5.l ) Acreedores varios</t>
  </si>
  <si>
    <t>Disponibles</t>
  </si>
  <si>
    <t>Sobregiros bancarios</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</si>
  <si>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</si>
  <si>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</si>
  <si>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</si>
  <si>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</si>
  <si>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</si>
  <si>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</si>
  <si>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</si>
  <si>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</si>
  <si>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</si>
  <si>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</si>
  <si>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</si>
  <si>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</si>
  <si>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Las 12 notas que se acompañan forman parte integrante de los Estados Contables</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</si>
  <si>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</si>
  <si>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</si>
  <si>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</si>
  <si>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</si>
  <si>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</si>
  <si>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</si>
  <si>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</si>
  <si>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</si>
  <si>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</si>
  <si>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</si>
  <si>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</si>
  <si>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</si>
  <si>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</si>
  <si>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</si>
  <si>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</si>
  <si>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</si>
  <si>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</si>
  <si>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</si>
  <si>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</si>
  <si>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</si>
  <si>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</si>
  <si>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</si>
  <si>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</si>
  <si>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5.f.2</t>
  </si>
  <si>
    <t>Nota 5.f.4</t>
  </si>
  <si>
    <t>Derechos sobre títulos por contratos de underwriting</t>
  </si>
  <si>
    <t>Nota 5.f.5</t>
  </si>
  <si>
    <t>Equipos de informática</t>
  </si>
  <si>
    <t>Saldo inicial</t>
  </si>
  <si>
    <t>Aumentos</t>
  </si>
  <si>
    <t>Amortizaciones</t>
  </si>
  <si>
    <t>Saldo neto final</t>
  </si>
  <si>
    <t xml:space="preserve">Activo Intagibles y Cargos Diferidos </t>
  </si>
  <si>
    <t>Nota 5.h</t>
  </si>
  <si>
    <t>Los otros activos corrientes se componen como sigue:</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</si>
  <si>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</si>
  <si>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</si>
  <si>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</si>
  <si>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</si>
  <si>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</si>
  <si>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</si>
  <si>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</si>
  <si>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</si>
  <si>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</si>
  <si>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</si>
  <si>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</si>
  <si>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</si>
  <si>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5.q</t>
  </si>
  <si>
    <t>Los saldos con empresas y personas relacionadas se componen como sigue:</t>
  </si>
  <si>
    <t>Saldos</t>
  </si>
  <si>
    <t>Nota 5.w</t>
  </si>
  <si>
    <t>Nota 5.x</t>
  </si>
  <si>
    <t>Nota 5.y</t>
  </si>
  <si>
    <t>Efectivo y su equivalente al cierre del ejercicio</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</si>
  <si>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</si>
  <si>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</si>
  <si>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</si>
  <si>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</si>
  <si>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</si>
  <si>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</si>
  <si>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</si>
  <si>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</si>
  <si>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</si>
  <si>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</si>
  <si>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</si>
  <si>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</si>
  <si>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</si>
  <si>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Nota 5.s</t>
  </si>
  <si>
    <t>Balance General - Bimonetario</t>
  </si>
  <si>
    <t>Guaranies</t>
  </si>
  <si>
    <t>Dolares</t>
  </si>
  <si>
    <t>Bancos - Moneda Local</t>
  </si>
  <si>
    <t>Banco Regional C. A. N° 8070726</t>
  </si>
  <si>
    <t>Banco ITAU Cta Cte N°40000054/1</t>
  </si>
  <si>
    <t>Banco ITAU Cta Cte N°40000054/3</t>
  </si>
  <si>
    <t>Banco Atlas Cta Cte N°1150897</t>
  </si>
  <si>
    <t>Banco Atlas Caja de Ahorro N°1150895</t>
  </si>
  <si>
    <t>Banco Río Caja de Ahorro N°01-00391570-0</t>
  </si>
  <si>
    <t>BANCOP Ahorro a la Vista N°0310068606</t>
  </si>
  <si>
    <t>Banco GNB Caja de Ahorro N°12798011</t>
  </si>
  <si>
    <t>Banco Continental Caja de Ahorro N°01-00</t>
  </si>
  <si>
    <t>Banco Nacional de Fomento N°821857/4</t>
  </si>
  <si>
    <t>Bancos - Moneda Extranjera</t>
  </si>
  <si>
    <t>Banco Regional C. A. N° 8070727</t>
  </si>
  <si>
    <t>Banco ITAU Cta.Cte. N° 400000060</t>
  </si>
  <si>
    <t>Banco ITAU Cta.Cte. N° 400000061</t>
  </si>
  <si>
    <t>Bancop Ahorro a la Vista U$S N° 03100686</t>
  </si>
  <si>
    <t>Finexpar Caja de Ahorro U$S N° 101550026</t>
  </si>
  <si>
    <t>Banco GNB Caja de Ahorro U$S N° 12798011</t>
  </si>
  <si>
    <t>Banco Río Caja de Ahorro Nro. 8270013240</t>
  </si>
  <si>
    <t>Banco Atlas Cta Cte N° 1150898</t>
  </si>
  <si>
    <t>Financiera El Comercio Caja de Ahorro N°</t>
  </si>
  <si>
    <t>Solar C.A. N° 0187071</t>
  </si>
  <si>
    <t>Banco GNB CC Usd N° 2101050099</t>
  </si>
  <si>
    <t>Banco Nacional de Fomento CC USD</t>
  </si>
  <si>
    <t>Titulos de Renta Fija</t>
  </si>
  <si>
    <t>Titulos de Renta Fija - Local</t>
  </si>
  <si>
    <t>Emitidos por el Estado y Entidades Públi</t>
  </si>
  <si>
    <t>Bonos Públicos</t>
  </si>
  <si>
    <t>Bonos Públicos GS</t>
  </si>
  <si>
    <t>Emitidos por el Sector Financiero</t>
  </si>
  <si>
    <t>Bonos Financieros - GS</t>
  </si>
  <si>
    <t>CDA - GS</t>
  </si>
  <si>
    <t>CDA - U$S</t>
  </si>
  <si>
    <t>Emitidos por Entidades del Sector Privad</t>
  </si>
  <si>
    <t>Bonos Corporativos</t>
  </si>
  <si>
    <t>Bonos Corporativos - GS</t>
  </si>
  <si>
    <t>BBCP</t>
  </si>
  <si>
    <t>BBCP - GS</t>
  </si>
  <si>
    <t>Emitidos por Empresas Vinculadas</t>
  </si>
  <si>
    <t>CDA - GS VINCULADAS</t>
  </si>
  <si>
    <t>Intereses Devengados s/ Renta Fija</t>
  </si>
  <si>
    <t>Intereses a Cobrar s/ Renta Fija</t>
  </si>
  <si>
    <t>Int. a Cobrar - Bonos Financieros - Gs</t>
  </si>
  <si>
    <t>Int. a Cobrar - CDA - Gs</t>
  </si>
  <si>
    <t>Int. a Cobrar - CDA - U$S</t>
  </si>
  <si>
    <t>Int. a Cobrar - Bonos Corporativos - Gs</t>
  </si>
  <si>
    <t>Int. a Cobrar - BBCP - Gs</t>
  </si>
  <si>
    <t>Int. a Cobrar - CDA - Gs VINCULADAS</t>
  </si>
  <si>
    <t>Int. a Cobrar - CDA - U$S VINCULADAS</t>
  </si>
  <si>
    <t>Int. a Cobrar - Bonos Públicos Gs</t>
  </si>
  <si>
    <t>(Intereses a Devengar)</t>
  </si>
  <si>
    <t>Int. a Deveng. Bonos Fin. - Gs</t>
  </si>
  <si>
    <t>Int. a Deveng. CDA - Gs</t>
  </si>
  <si>
    <t>Int. a Deveng. CDA - U$S</t>
  </si>
  <si>
    <t>Int. a Deveng. Bonos Corp. - Gs</t>
  </si>
  <si>
    <t>Int. a Deveng. BBCP - Gs</t>
  </si>
  <si>
    <t>Int. a Deveng. CDA - Gs VINC.</t>
  </si>
  <si>
    <t>Int. a Deveng. CDA - U$S VINC.</t>
  </si>
  <si>
    <t>Int. a Deveng. Bonos Públicos Gs</t>
  </si>
  <si>
    <t>Valores entregados por Reporto</t>
  </si>
  <si>
    <t>Deudores por títulos Renta Fija en Repor</t>
  </si>
  <si>
    <t>Deudores Títulos Renta Fija en Repo Gs</t>
  </si>
  <si>
    <t>Deudores Titulos Renta Fija en Repo U$S</t>
  </si>
  <si>
    <t>CREDITOS VIGENTES</t>
  </si>
  <si>
    <t>Comisiones por cobrar por intermediación</t>
  </si>
  <si>
    <t>Comisiones por cobrar Gs</t>
  </si>
  <si>
    <t>Comisiones por cobrar U$S</t>
  </si>
  <si>
    <t>Documentos y cuentas por cobrar</t>
  </si>
  <si>
    <t>Cuentas por Cobrar</t>
  </si>
  <si>
    <t>Servicios Prestados por cobrar - U$S</t>
  </si>
  <si>
    <t>Otras cuentas por cobrar - Gs</t>
  </si>
  <si>
    <t>Otras cuentas por cobrar - U$S</t>
  </si>
  <si>
    <t>Deudores varios Vigentes</t>
  </si>
  <si>
    <t>Cuentas a cobrar personas y empresas rel</t>
  </si>
  <si>
    <t>Gtos a recuperar personas y empresas rel</t>
  </si>
  <si>
    <t>Impuestos Nacionales</t>
  </si>
  <si>
    <t>Anticipo Impuesto a la Renta</t>
  </si>
  <si>
    <t>Retención RENTA</t>
  </si>
  <si>
    <t>Otras cuentas operativas por cobrar</t>
  </si>
  <si>
    <t>Anticipos a Rendir</t>
  </si>
  <si>
    <t>Anticipos a rendir - Varios Gs.</t>
  </si>
  <si>
    <t>Aranceles CNV</t>
  </si>
  <si>
    <t>Gastos de Mantenimiento Anual Surecomp</t>
  </si>
  <si>
    <t>Seguros Pagados por Adelantado</t>
  </si>
  <si>
    <t>Títulos de Renta Variable</t>
  </si>
  <si>
    <t>Títulos Valores de Renta Variable - Loca</t>
  </si>
  <si>
    <t>ACCION DE LA BOLSA DE VALORES</t>
  </si>
  <si>
    <t>Acción - REGIONAL Casa de Bolsa</t>
  </si>
  <si>
    <t>BIENES DE USO</t>
  </si>
  <si>
    <t>Bienes de Uso Propios</t>
  </si>
  <si>
    <t>Equipos de Oficina</t>
  </si>
  <si>
    <t>Equipos de Computación</t>
  </si>
  <si>
    <t>(-) Depreciación acumulada</t>
  </si>
  <si>
    <t>Deprec. Acumulada Equipos de Oficina</t>
  </si>
  <si>
    <t>Deprec. Acumulada Equipos de Computación</t>
  </si>
  <si>
    <t>ACTIVOS INTANGIBLES Y CARGOS DIFERIDOS</t>
  </si>
  <si>
    <t>Liciencia - U$S</t>
  </si>
  <si>
    <t>Prográmas Informáticos</t>
  </si>
  <si>
    <t>Gastos de Constitución - AFPISA</t>
  </si>
  <si>
    <t>(-) Amortización acumulada</t>
  </si>
  <si>
    <t>Programas Informáticos</t>
  </si>
  <si>
    <t>DEUDAS VIGENTES</t>
  </si>
  <si>
    <t>Acreedores por intermediación</t>
  </si>
  <si>
    <t>Operaciones a Liquidar - U$S</t>
  </si>
  <si>
    <t>Anticipo de Clientes</t>
  </si>
  <si>
    <t>Anticipo de Clientes Gs</t>
  </si>
  <si>
    <t>Proveedores de Bienes y/o Servicios</t>
  </si>
  <si>
    <t>Proveedores de Bienes y/o Servicios Gs.</t>
  </si>
  <si>
    <t>Proveedores de Bienes y/o Servicios U$S</t>
  </si>
  <si>
    <t>OBLIGACIONES FINANCIERAS A CORTO PLAZO</t>
  </si>
  <si>
    <t>Bancos M/L</t>
  </si>
  <si>
    <t>Banco Regional Cta Cte GS</t>
  </si>
  <si>
    <t>Bancos M/E</t>
  </si>
  <si>
    <t>Banco Regional Cta Cte N° 8070731</t>
  </si>
  <si>
    <t>Operaciones de Reverse Reporto</t>
  </si>
  <si>
    <t>Prima a Pagar - REPO</t>
  </si>
  <si>
    <t>Prima a pagar - REPO Gs</t>
  </si>
  <si>
    <t>Acreedores por títulos de renta fija en</t>
  </si>
  <si>
    <t>Acreedores Titulos Renta Fija en Repo Gs</t>
  </si>
  <si>
    <t>Acreedores Titulos Renta Fija en Repo U$</t>
  </si>
  <si>
    <t>Sueldos y Cargas Sociales</t>
  </si>
  <si>
    <t>Aguinaldos por Pagar</t>
  </si>
  <si>
    <t>Obligaciones Fiscales</t>
  </si>
  <si>
    <t>Impuesto al Valor Agregado</t>
  </si>
  <si>
    <t>IVA Debito Fiscal a Pagar</t>
  </si>
  <si>
    <t>Retención IVA a Pagar</t>
  </si>
  <si>
    <t>Retención RENTA a Pagar</t>
  </si>
  <si>
    <t>Otras Provisiones</t>
  </si>
  <si>
    <t>Gastos de Viajes a Pagar</t>
  </si>
  <si>
    <t>Comisiones Cobradas</t>
  </si>
  <si>
    <t>Por intermediación de acciones</t>
  </si>
  <si>
    <t>Por intermediación de acciones Gs</t>
  </si>
  <si>
    <t>Por intermediación de renta fija</t>
  </si>
  <si>
    <t>Por intermediación de renta fija Gs</t>
  </si>
  <si>
    <t>Por intermediación de renta fija U$S</t>
  </si>
  <si>
    <t>Comisiones por operaciones fuera de rued</t>
  </si>
  <si>
    <t>Comisiones por contratos de colocación p</t>
  </si>
  <si>
    <t>Por contratos de de colocación primaria</t>
  </si>
  <si>
    <t>Ingresos por servicios prestados</t>
  </si>
  <si>
    <t>Asesoría Financiera</t>
  </si>
  <si>
    <t>Asesoría Financiera - U$S</t>
  </si>
  <si>
    <t>Ingresos y rentas de cartera propia</t>
  </si>
  <si>
    <t>Intereses y dividendos de cartera propia</t>
  </si>
  <si>
    <t>Bonos Financieros - Gs</t>
  </si>
  <si>
    <t>Bonos Subordinados - Gs</t>
  </si>
  <si>
    <t>Bonos Subordinados - U$S</t>
  </si>
  <si>
    <t>CDA - Gs</t>
  </si>
  <si>
    <t>Bonos Corporativos - Gs</t>
  </si>
  <si>
    <t>Bonos Corporativos - U$S</t>
  </si>
  <si>
    <t>BBCP - Gs</t>
  </si>
  <si>
    <t>Bonos Financieros - U$S VINCULADAS</t>
  </si>
  <si>
    <t>Bonos Subordinados - U$S VINCULADAS</t>
  </si>
  <si>
    <t>CDA - Gs VINCULADAS</t>
  </si>
  <si>
    <t>CDA - U$S VINCULADAS</t>
  </si>
  <si>
    <t>Bonos Públicos Gs</t>
  </si>
  <si>
    <t>Dividendos por participaciones accionari</t>
  </si>
  <si>
    <t>Por diferencia de valor de títulos valor</t>
  </si>
  <si>
    <t>Utilidad en compraventa de titulos valor</t>
  </si>
  <si>
    <t>Bonos Financieros - U$S</t>
  </si>
  <si>
    <t>Resultado Bonos Sub. - U$S</t>
  </si>
  <si>
    <t>Bonos Financieros - Gs VINCULADAS</t>
  </si>
  <si>
    <t>BBCP - Gs VINCULADAS</t>
  </si>
  <si>
    <t>Acciones - Gs.</t>
  </si>
  <si>
    <t>Bonos Publicos - Gs Vinculadas</t>
  </si>
  <si>
    <t>OTROS INGRESOS OPERATIVOS</t>
  </si>
  <si>
    <t>Aranceles - BVPASA</t>
  </si>
  <si>
    <t>Aranceles - BVPASA Gs</t>
  </si>
  <si>
    <t>Aranceles - BVPASA U$S</t>
  </si>
  <si>
    <t>Fondo de Garantía - Gs</t>
  </si>
  <si>
    <t>Fondo de Garantía - U$S</t>
  </si>
  <si>
    <t>Otros Ingresos Operativos - GS</t>
  </si>
  <si>
    <t>Ganancia por Diferencia de Cambio</t>
  </si>
  <si>
    <t>Diferencia de cambio cuentas activas</t>
  </si>
  <si>
    <t>Diferencia de cambio cuentas pasivas</t>
  </si>
  <si>
    <t>OTROS INGRESOS NO OPERATIVOS</t>
  </si>
  <si>
    <t>Ingresos por ajustes y redondeos</t>
  </si>
  <si>
    <t>EGRESOS OPERATIVOS</t>
  </si>
  <si>
    <t>GASTOS DE OPERACIÓN</t>
  </si>
  <si>
    <t>Comisiones por colocaciones bursátiles</t>
  </si>
  <si>
    <t>Comisiones por colocaciones bursátiles -</t>
  </si>
  <si>
    <t>Aranceles por negociación Bolsa de Valor</t>
  </si>
  <si>
    <t>Aranceles pagados - BVPASA</t>
  </si>
  <si>
    <t>Aranceles pagados - BVPASA U$S</t>
  </si>
  <si>
    <t>Perdida por compraventa de titulos valor</t>
  </si>
  <si>
    <t>Canon Anual - Seprelad</t>
  </si>
  <si>
    <t>Gastos de pubicidad y marketing</t>
  </si>
  <si>
    <t>Gastos de Viaje</t>
  </si>
  <si>
    <t>Cargas Sociales</t>
  </si>
  <si>
    <t>Aporte Patronal IPS 16,5%</t>
  </si>
  <si>
    <t>Gratificaciones por desempeño</t>
  </si>
  <si>
    <t>Seguros Privados al Personal</t>
  </si>
  <si>
    <t>Sindicos</t>
  </si>
  <si>
    <t>Honorarios de Escribanía</t>
  </si>
  <si>
    <t>Otros Honorarios Profesionales</t>
  </si>
  <si>
    <t>Alquiler de Bienes Inmuebles</t>
  </si>
  <si>
    <t>Previsiones, Depreciaciones y Amortizaci</t>
  </si>
  <si>
    <t>Depreciación de Propiedades y Equipos</t>
  </si>
  <si>
    <t>Depreciacion Equipos de Oficina</t>
  </si>
  <si>
    <t>Depreciacion Equipos de Computación</t>
  </si>
  <si>
    <t>Amortización Activos Intangibles y Cargo</t>
  </si>
  <si>
    <t>Amortización de Gastos de Constitucion</t>
  </si>
  <si>
    <t>Amortización de Programas Informáticos</t>
  </si>
  <si>
    <t>Amortización Licencias</t>
  </si>
  <si>
    <t>Amortización Marcas</t>
  </si>
  <si>
    <t>Equipos de Computación y Sistemas</t>
  </si>
  <si>
    <t>Seguros pagados</t>
  </si>
  <si>
    <t>Patentes y Tasas Municipales</t>
  </si>
  <si>
    <t>Tasas y Contribuciones</t>
  </si>
  <si>
    <t>Comunicaciones</t>
  </si>
  <si>
    <t>Papelería,Útiles e Impresos</t>
  </si>
  <si>
    <t>Demostraciones y Agasajos</t>
  </si>
  <si>
    <t>Gastos de refrigerios</t>
  </si>
  <si>
    <t>Fondo Proyectos de Innovacion</t>
  </si>
  <si>
    <t>EGRESOS FINANCIEROS</t>
  </si>
  <si>
    <t>Intereses y Gastos de sobregiros - Perso</t>
  </si>
  <si>
    <t>Gastos Bancarios - Personas y Empresas R</t>
  </si>
  <si>
    <t>Pérdida por Diferencia de Cambio</t>
  </si>
  <si>
    <t>Retención Renta</t>
  </si>
  <si>
    <t>Gastos no Deducibles</t>
  </si>
  <si>
    <t>Gastos no Deducibles - Gs</t>
  </si>
  <si>
    <t>IVA Costo</t>
  </si>
  <si>
    <t>Egresos por ajustes y redondeos</t>
  </si>
  <si>
    <t>Fondo Fijo</t>
  </si>
  <si>
    <t>Guaraníes</t>
  </si>
  <si>
    <t>Dólares</t>
  </si>
  <si>
    <t>Banco Regional Cta Cte N°8070729</t>
  </si>
  <si>
    <t>Finexpar Caja de Ahorro N°155007484</t>
  </si>
  <si>
    <t>Int. a Cobrar - Bonos Subord. - U$S</t>
  </si>
  <si>
    <t>Int. a Deveng. Bonos Sub - U$S</t>
  </si>
  <si>
    <t>Creditos</t>
  </si>
  <si>
    <t xml:space="preserve">Por intermediación de acciones en rueda </t>
  </si>
  <si>
    <t>Estado de Resultados</t>
  </si>
  <si>
    <t>Inversiones en Reporto</t>
  </si>
  <si>
    <t>Compra de propiedad, planta y equipo</t>
  </si>
  <si>
    <t>Código</t>
  </si>
  <si>
    <t>Aranceles pagados - BVPASA Gs</t>
  </si>
  <si>
    <t>Caja</t>
  </si>
  <si>
    <t>Recaudaciones a Depositar GS</t>
  </si>
  <si>
    <t>Recaudaciones a Depositar U$S</t>
  </si>
  <si>
    <t>Visión Banco Caja de Ahorro N°13352758</t>
  </si>
  <si>
    <t>Citibank Ahorro a la Vista N°5198764002</t>
  </si>
  <si>
    <t>Banco Familiar Caja de Ahorro N°00-0231</t>
  </si>
  <si>
    <t>Banco Interfisa C.A. N°1027186</t>
  </si>
  <si>
    <t>FIC de Finanzas Caja de Ahorro N°0131001</t>
  </si>
  <si>
    <t>Financiera Solar Cta Cte N°185554</t>
  </si>
  <si>
    <t>Banco Regional Cta. Cte. N° 8070731</t>
  </si>
  <si>
    <t>Visión Banco Caja de Ahorro N° 13352739</t>
  </si>
  <si>
    <t>Citibank Ahorro a la Vista U$S N° 519876</t>
  </si>
  <si>
    <t>Banco Continental Caja de Ahorro U$S N°</t>
  </si>
  <si>
    <t>Banco BBVA Cta Cte N° 2101050099</t>
  </si>
  <si>
    <t>FIC S.A. de Finanzas C.C. 0131001281</t>
  </si>
  <si>
    <t>Banco Interfisa C.A. N° 10271866</t>
  </si>
  <si>
    <t>Certificados Bancarios y Otros Similares</t>
  </si>
  <si>
    <t>Depósitos en Instituciones Financieras</t>
  </si>
  <si>
    <t>Fondos para Propósitos Especiales</t>
  </si>
  <si>
    <t>Disponible Sujeto a Restricción</t>
  </si>
  <si>
    <t>Bonos Públicos U$S</t>
  </si>
  <si>
    <t>Bonos Subordinados</t>
  </si>
  <si>
    <t>Bonos Subordinados - GS</t>
  </si>
  <si>
    <t>BBCP - U$S</t>
  </si>
  <si>
    <t>Títulos de Crédito</t>
  </si>
  <si>
    <t>Títulos de Crédito - GS</t>
  </si>
  <si>
    <t>Títulos de Crédito - U$S</t>
  </si>
  <si>
    <t>Bonos Financieros - GS VINCULADAS</t>
  </si>
  <si>
    <t>Bonos Subordinados - GS VINCULADAS</t>
  </si>
  <si>
    <t>Otras Inversiones</t>
  </si>
  <si>
    <t>Depósitos Restringidos</t>
  </si>
  <si>
    <t>Depósitos Restringidos - GS</t>
  </si>
  <si>
    <t>Depósitos Restringidos - U$S</t>
  </si>
  <si>
    <t>Inversiones Especiales</t>
  </si>
  <si>
    <t>Inversiones Especiales - GS</t>
  </si>
  <si>
    <t>Inversiones Especiales - U$S</t>
  </si>
  <si>
    <t>Int. a Cobrar - Bonos Financieros - U$S</t>
  </si>
  <si>
    <t>Int. a Cobrar - Bonos Subord. - Gs</t>
  </si>
  <si>
    <t>Int. a Cobrar - Bonos Corporativos - U$S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</si>
  <si>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</si>
  <si>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</si>
  <si>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</si>
  <si>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</si>
  <si>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</si>
  <si>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</si>
  <si>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BBCP - Gs VINCULADAS</t>
  </si>
  <si>
    <t>Int. a Cobrar - BBCP U$S VINCULADAS</t>
  </si>
  <si>
    <t>Int. a Cobrar - Depósitos Restringidos -</t>
  </si>
  <si>
    <t>Int. a Cobrar - Inversiones Especiales -</t>
  </si>
  <si>
    <t>Int. a Cobrar - Bonos Públicos U$S</t>
  </si>
  <si>
    <t>Int. a Cobrar - Bonos Sub Gs Vinculadas</t>
  </si>
  <si>
    <t>Int a Cobrar - Bonos Sub USD Vinculadas</t>
  </si>
  <si>
    <t>Int. a Deveng. Bonos Fin. - U$S</t>
  </si>
  <si>
    <t>Int. a Deveng. Bonos Sub. - Gs</t>
  </si>
  <si>
    <t>Int. a Deveng. Bonos Corp. - U$S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</si>
  <si>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</si>
  <si>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</si>
  <si>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</si>
  <si>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</si>
  <si>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</si>
  <si>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</si>
  <si>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</si>
  <si>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</si>
  <si>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</si>
  <si>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</si>
  <si>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</si>
  <si>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</si>
  <si>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</si>
  <si>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</si>
  <si>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</si>
  <si>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</si>
  <si>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</si>
  <si>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U$S</t>
  </si>
  <si>
    <t>Int. a Deveng. Bonos Sub. Gs Vinculadas</t>
  </si>
  <si>
    <t>Int. a Deveng. Bonos Sub USD Vinculadas</t>
  </si>
  <si>
    <t>Títulos Valores de Renta Fija - Exterior</t>
  </si>
  <si>
    <t>Emitidos por el Estado y Entidades del E</t>
  </si>
  <si>
    <t>Títulos Valores de Renta Variable</t>
  </si>
  <si>
    <t>Acciones</t>
  </si>
  <si>
    <t>Acciones - Gs</t>
  </si>
  <si>
    <t>Dividendos y Participaciones - Renta Var</t>
  </si>
  <si>
    <t>Dividendos y Participaciones a Cobrar</t>
  </si>
  <si>
    <t>Dividendos y Participaciones a Devengar</t>
  </si>
  <si>
    <t>(-) Previsiones s/Títulos Valores de Ren</t>
  </si>
  <si>
    <t>Valores recibidos por Reporto</t>
  </si>
  <si>
    <t>Títulos de Crédito - Gs</t>
  </si>
  <si>
    <t>Bonos Financieros - Gs V</t>
  </si>
  <si>
    <t>BBCP - U$S VINCULADAS</t>
  </si>
  <si>
    <t>Prima por Diferencia de Precio a Cobrar</t>
  </si>
  <si>
    <t>Prima por Diferencia de Precio a Devenga</t>
  </si>
  <si>
    <t>Créditos otorgados</t>
  </si>
  <si>
    <t>Préstamos a Directores y Personal Superi</t>
  </si>
  <si>
    <t>Préstamos a Personas y Empresas Vinculad</t>
  </si>
  <si>
    <t>Préstamos al Personal</t>
  </si>
  <si>
    <t>Préstamos a Terceros</t>
  </si>
  <si>
    <t>Servicios Prestados por cobrar - Gs</t>
  </si>
  <si>
    <t>Intereses Devengados</t>
  </si>
  <si>
    <t>Intereses Documentados</t>
  </si>
  <si>
    <t>Otras cuentas por cobrar a personas y em</t>
  </si>
  <si>
    <t>Capital Suscripto a Pagar</t>
  </si>
  <si>
    <t>Anticipo de Sueldos y Jornales al Person</t>
  </si>
  <si>
    <t>Anticipo de Aguinaldo al Personal</t>
  </si>
  <si>
    <t>Derechos sobre títulos por Contratos Und</t>
  </si>
  <si>
    <t>IVA Crédito Fiscal 10%</t>
  </si>
  <si>
    <t>IVA Crédito Fiscal 5%</t>
  </si>
  <si>
    <t>Retención IVA</t>
  </si>
  <si>
    <t>Retención IDU</t>
  </si>
  <si>
    <t>Anticipos a Proveedores</t>
  </si>
  <si>
    <t>Anticipos a Proveedores U$S</t>
  </si>
  <si>
    <t>Anticipos a rendir - Varios U$S</t>
  </si>
  <si>
    <t>Previsión para incobrables</t>
  </si>
  <si>
    <t>Previsión para incobrables terceros</t>
  </si>
  <si>
    <t>Previsión para incobrables personas y em</t>
  </si>
  <si>
    <t>CREDITOS VENCIDOS</t>
  </si>
  <si>
    <t>Insumos de Computación</t>
  </si>
  <si>
    <t>Incendio</t>
  </si>
  <si>
    <t>Robo</t>
  </si>
  <si>
    <t>Accidentes Personales</t>
  </si>
  <si>
    <t>Automóviles</t>
  </si>
  <si>
    <t>Otras secciones varias</t>
  </si>
  <si>
    <t>Dividendos y Participaciones - Acciones</t>
  </si>
  <si>
    <t>Dividendos a Devengar - Acciones</t>
  </si>
  <si>
    <t>Diferencia de Precios Diferido - Accione</t>
  </si>
  <si>
    <t>Previsiones s/Títulos Valores de Renta V</t>
  </si>
  <si>
    <t>Títulos Valores de Renta Variable - Exte</t>
  </si>
  <si>
    <t>Previsiones s/Títulos Valores de Renta</t>
  </si>
  <si>
    <t>Títulos Renta Fija</t>
  </si>
  <si>
    <t>Títulos Valores de Renta Fija - Local</t>
  </si>
  <si>
    <t>Colocación de Valores en el Mercado Secu</t>
  </si>
  <si>
    <t>Inmuebles</t>
  </si>
  <si>
    <t>Rodados</t>
  </si>
  <si>
    <t>Construcciones en Curso</t>
  </si>
  <si>
    <t>Deprec. Acumulada Inmuebles</t>
  </si>
  <si>
    <t>Deprec. Acumulada Instalaciones</t>
  </si>
  <si>
    <t>Deprec. Acumulada Rodados</t>
  </si>
  <si>
    <t>Bienes de Uso Tomados en Arrendamiento F</t>
  </si>
  <si>
    <t>Maquinarias y Equipos de Oficina en Leas</t>
  </si>
  <si>
    <t>Equipos de Computación en Leasing</t>
  </si>
  <si>
    <t>Rodados en Leasing</t>
  </si>
  <si>
    <t>Licencia - Gs.</t>
  </si>
  <si>
    <t>Mejoras en Propiedad de Terceros</t>
  </si>
  <si>
    <t>Resultado por Cambio de Sistema Contable</t>
  </si>
  <si>
    <t>Operaciones a Liquidar - Terceros</t>
  </si>
  <si>
    <t>Operaciones a Liquidar Terceros - Gs</t>
  </si>
  <si>
    <t>Operaciones a Liquidar Terceros - U$S</t>
  </si>
  <si>
    <t>Comisiones a Pagar a Administradora</t>
  </si>
  <si>
    <t>Cuentas a pagar a personas y empresas re</t>
  </si>
  <si>
    <t>Obligaciones por contratos de underwriti</t>
  </si>
  <si>
    <t>Obligaciones por administración de carte</t>
  </si>
  <si>
    <t>Acreedores varios GS</t>
  </si>
  <si>
    <t>Proveedores del Exterior USD</t>
  </si>
  <si>
    <t>DEUDAS VENCIDAS</t>
  </si>
  <si>
    <t>Otras Cuentas por Pagar</t>
  </si>
  <si>
    <t>Otras Cuentas por Pagar Gs.</t>
  </si>
  <si>
    <t>Otras Cuentas por Pagar U$S</t>
  </si>
  <si>
    <t>Banco Regional Cta Cte USD</t>
  </si>
  <si>
    <t>Préstamos en bancos y otras entidades fi</t>
  </si>
  <si>
    <t>Intereses devengados por pagar s/ obliga</t>
  </si>
  <si>
    <t>Intereses documentados s/obligaciones fi</t>
  </si>
  <si>
    <t>Intereses documentados a devengar s/ obl</t>
  </si>
  <si>
    <t>Prima a pagar - REPO ME</t>
  </si>
  <si>
    <t>Prima a devengar - REPO</t>
  </si>
  <si>
    <t>Prima a devengar - REPO Gs</t>
  </si>
  <si>
    <t>Prima a devengar - REPO M</t>
  </si>
  <si>
    <t>Intereses a Pagar</t>
  </si>
  <si>
    <t>Honorarios Directores</t>
  </si>
  <si>
    <t>Honorarios Síndicos</t>
  </si>
  <si>
    <t>Multas e Intereses por Pagar</t>
  </si>
  <si>
    <t>Seguro Médico a Pagar</t>
  </si>
  <si>
    <t>Sueldos y Jornales a Pagar</t>
  </si>
  <si>
    <t>IVA Débito Fiscal 10%</t>
  </si>
  <si>
    <t>IVA Débito Fiscal 5%</t>
  </si>
  <si>
    <t>Impuestos y Tasas Municipales</t>
  </si>
  <si>
    <t>Multas y Recargos por Pagar</t>
  </si>
  <si>
    <t>Honorarios a Profesionales Externos</t>
  </si>
  <si>
    <t>Auditoría Externa</t>
  </si>
  <si>
    <t>Asesoría Legal</t>
  </si>
  <si>
    <t>Asesoría Informática</t>
  </si>
  <si>
    <t>Honorarios de Escribanía por Pagar</t>
  </si>
  <si>
    <t>Otros honorarios profesionales</t>
  </si>
  <si>
    <t>Gastos de Constitución a Pagar</t>
  </si>
  <si>
    <t>CUENTAS DIFERIDAS</t>
  </si>
  <si>
    <t>Moneda Nacional</t>
  </si>
  <si>
    <t>Ingresos Diferidos</t>
  </si>
  <si>
    <t>Intereses Recibidos por Anticipado</t>
  </si>
  <si>
    <t>Comisiones Recibidas por Anticipado</t>
  </si>
  <si>
    <t>Por intermediación de acciones U$S</t>
  </si>
  <si>
    <t>Por Operaciones Bursatiles</t>
  </si>
  <si>
    <t>Comisiones de Reporto Bursatil - GS</t>
  </si>
  <si>
    <t>Comisiones de Reporto Bursatil - U$S</t>
  </si>
  <si>
    <t>Administración de cartera</t>
  </si>
  <si>
    <t>Custodia de Valores</t>
  </si>
  <si>
    <t>Asesoría Financiera - Gs</t>
  </si>
  <si>
    <t>Bonos Subordinados - Gs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</si>
  <si>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</si>
  <si>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</si>
  <si>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</si>
  <si>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</si>
  <si>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</si>
  <si>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</si>
  <si>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</si>
  <si>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</si>
  <si>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</si>
  <si>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Resultado B.Sub. - U$S VINC</t>
  </si>
  <si>
    <t>Acciones - U$S</t>
  </si>
  <si>
    <t>Bonos Publicos - USD Vinculadas</t>
  </si>
  <si>
    <t>Primas por valor de compra futura (repo)</t>
  </si>
  <si>
    <t>Ingresos personas relacionadas</t>
  </si>
  <si>
    <t>Operaciones y servicios a personas relac</t>
  </si>
  <si>
    <t>Representante de Obligacionistas</t>
  </si>
  <si>
    <t>Representante de Obligacionistas - GS</t>
  </si>
  <si>
    <t>Representante de Obligacionistas - U$S</t>
  </si>
  <si>
    <t>Servicios por transferencia de Cartera</t>
  </si>
  <si>
    <t>Servicios por transferencia de Cartera -</t>
  </si>
  <si>
    <t>Recupero de Gastos</t>
  </si>
  <si>
    <t>Recupero de Gastos - Gs</t>
  </si>
  <si>
    <t>Recupero de Gastos - U$S</t>
  </si>
  <si>
    <t>Otros Ingresos Operativos - U$S</t>
  </si>
  <si>
    <t>Descuentos Obtenidos</t>
  </si>
  <si>
    <t>Ajustes de resultados anteriores</t>
  </si>
  <si>
    <t>Recuperación de Castigos de Cuentas Inco</t>
  </si>
  <si>
    <t>Utilidad en Venta de Propiedades y Equip</t>
  </si>
  <si>
    <t>Utilidad en Venta de Activos Intangibles</t>
  </si>
  <si>
    <t>Comisiones Pagadas Personas y Empresas r</t>
  </si>
  <si>
    <t>Folletos e Impresiones</t>
  </si>
  <si>
    <t>Actualizacion Pagina Web</t>
  </si>
  <si>
    <t>Otros Gastos de Comercialización</t>
  </si>
  <si>
    <t>Horas Extras</t>
  </si>
  <si>
    <t>Comisiones</t>
  </si>
  <si>
    <t>Bonificación Familiar</t>
  </si>
  <si>
    <t>Indemnización y Preaviso</t>
  </si>
  <si>
    <t>Uniformes</t>
  </si>
  <si>
    <t>Sueldos Gerentes</t>
  </si>
  <si>
    <t>Asesoría en Computación</t>
  </si>
  <si>
    <t>Alquiler de Bienes Muebles</t>
  </si>
  <si>
    <t>Depreciacion Maquinarias y Equipos</t>
  </si>
  <si>
    <t>Depreciacion Rodados</t>
  </si>
  <si>
    <t>Maquinarias en Leasing</t>
  </si>
  <si>
    <t>Equipos de Oficina en Leasing</t>
  </si>
  <si>
    <t>Muebles e Instalaciones</t>
  </si>
  <si>
    <t>Maquinarias y Equipos</t>
  </si>
  <si>
    <t>Alquileres Pagados</t>
  </si>
  <si>
    <t>Impuesto Inmobiliario</t>
  </si>
  <si>
    <t>Otros Impuestos Nacionales</t>
  </si>
  <si>
    <t>Energía Eléctrica</t>
  </si>
  <si>
    <t>Agua</t>
  </si>
  <si>
    <t>Correo y Franqueo</t>
  </si>
  <si>
    <t>Movildad y Transporte</t>
  </si>
  <si>
    <t>Gastos de limpieza y afines</t>
  </si>
  <si>
    <t>Custodia y Vigilancia</t>
  </si>
  <si>
    <t>Donaciones y Contribuciones</t>
  </si>
  <si>
    <t>Gastos de Informes</t>
  </si>
  <si>
    <t>Otros Gastos Administrativos</t>
  </si>
  <si>
    <t>Intereses y Gastos de Préstamos</t>
  </si>
  <si>
    <t>Intereses y Gastos de Préstamos - Person</t>
  </si>
  <si>
    <t>Gastos no Deducibles - U$S</t>
  </si>
  <si>
    <t>Recargos y Multas</t>
  </si>
  <si>
    <t>Pérdida por Venta de Bienes de Uso</t>
  </si>
  <si>
    <t>Pérdida por Venta de Activos Intangibles</t>
  </si>
  <si>
    <t>Gastos de Ejercicios Anteriores</t>
  </si>
  <si>
    <t>Gastos Extraordinarios</t>
  </si>
  <si>
    <t>Cuentas de Dudoso Recaudo</t>
  </si>
  <si>
    <t>Registro de Garantías Otorgadas</t>
  </si>
  <si>
    <t>Valores Recibidos en Custodia U$S</t>
  </si>
  <si>
    <t>Valores Recibidos para Colocación Primar</t>
  </si>
  <si>
    <t>Registro de Garantías Recibidas</t>
  </si>
  <si>
    <t>Control de Garantías Otorgadas</t>
  </si>
  <si>
    <t>Resp. por Custodia de Valores U$S</t>
  </si>
  <si>
    <t>Responsabilidad por Colocación Primaria</t>
  </si>
  <si>
    <t>Responsabilidad por Garantías Recibidas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</si>
  <si>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</si>
  <si>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</si>
  <si>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</si>
  <si>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</si>
  <si>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</si>
  <si>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</si>
  <si>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</si>
  <si>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REGIONAL CASA DE BOLSA SOCIEDAD ANÓNIMA</t>
  </si>
  <si>
    <t>No se han registrado cambios en las políticas y procedimientos contables durante el ejercicio informado.</t>
  </si>
  <si>
    <t>b. Inversiones</t>
  </si>
  <si>
    <t>Intereses a Cobrar</t>
  </si>
  <si>
    <t>Financiera El Comercio S.A.E.C.A.</t>
  </si>
  <si>
    <t>Emisor</t>
  </si>
  <si>
    <t>Serie/ ISIN</t>
  </si>
  <si>
    <t>Fecha Vencimiento</t>
  </si>
  <si>
    <t>Tasa (%)</t>
  </si>
  <si>
    <t>Valor Nominal</t>
  </si>
  <si>
    <t>PYNUC04F1340</t>
  </si>
  <si>
    <t>PYNUC05F1356</t>
  </si>
  <si>
    <t>PYTNA01F8731</t>
  </si>
  <si>
    <t>MINISTERIO DE HACIENDA</t>
  </si>
  <si>
    <t>% Cotización</t>
  </si>
  <si>
    <t>Títulos de renta fija en Reporto</t>
  </si>
  <si>
    <t>Bolsa de Valores &amp; Productos de Asunción - BVPASA</t>
  </si>
  <si>
    <t>Cuentas</t>
  </si>
  <si>
    <t>Comisiones por cobrar - U$S</t>
  </si>
  <si>
    <t>Comisiones por cobrar - Gs</t>
  </si>
  <si>
    <t>Muebles y Equipos de Oficina</t>
  </si>
  <si>
    <t>Corto plazo Gs.</t>
  </si>
  <si>
    <t>Institución</t>
  </si>
  <si>
    <t>Proveedores de Bienes y/o Servicios - Gs</t>
  </si>
  <si>
    <t>Persona o Empresa Vinculada</t>
  </si>
  <si>
    <t>Total Ingresos</t>
  </si>
  <si>
    <t>Total Egresos</t>
  </si>
  <si>
    <t xml:space="preserve">Participación en Resultados </t>
  </si>
  <si>
    <t>5.s) Resultado con personas o empresas vinculadas</t>
  </si>
  <si>
    <t xml:space="preserve">Honorarios Dieta / Presidente </t>
  </si>
  <si>
    <t>Remuneracion Gerente General / Dieta Vicepresidente</t>
  </si>
  <si>
    <t>Guillermo Alexis Cespedes Mazur</t>
  </si>
  <si>
    <t>Honorarios Sindico</t>
  </si>
  <si>
    <t>Generado por Activos</t>
  </si>
  <si>
    <t>Generado por Pasivos</t>
  </si>
  <si>
    <t>IG!A1</t>
  </si>
  <si>
    <t>Índice</t>
  </si>
  <si>
    <t>BG!A1</t>
  </si>
  <si>
    <t>EERR!A1</t>
  </si>
  <si>
    <t>EFE!A1</t>
  </si>
  <si>
    <t>VPN!A1</t>
  </si>
  <si>
    <t>Notas a los Estados Financieros (Nota 5)</t>
  </si>
  <si>
    <t>Nota 1 a Nota 4'!A1</t>
  </si>
  <si>
    <t>Nota 5'!A1</t>
  </si>
  <si>
    <t>Nota 6 a Nota 12'!A1</t>
  </si>
  <si>
    <t>Intereses generados por Bonos emitidos por el Banco Regional</t>
  </si>
  <si>
    <t>Intereses generados por CDA emitidos por el Banco Regional</t>
  </si>
  <si>
    <t>Banco Familiar  Caja de Ahorro N°00-0231</t>
  </si>
  <si>
    <t>Banco GNB Cta Cte N°2101050080</t>
  </si>
  <si>
    <t>Financiera Paraguayo Japonesa Cta Gs</t>
  </si>
  <si>
    <t>Deudores Títulos R.Fija en Repo Gs VIN</t>
  </si>
  <si>
    <t>Cupones Pendientes de Reembolso GS</t>
  </si>
  <si>
    <t>Cupones Pendientes de Reembolso USD</t>
  </si>
  <si>
    <t>OTROS ACTIVOS NO CORRIENTES</t>
  </si>
  <si>
    <t>Garantia de Alquiler</t>
  </si>
  <si>
    <t>Cupones Cobrados de Clientes - GS</t>
  </si>
  <si>
    <t>Cupones Cobrados de Clientes - U$S</t>
  </si>
  <si>
    <t>Prima a pagar - REPO Gs VINC</t>
  </si>
  <si>
    <t>Prima a devengar - REPO ME</t>
  </si>
  <si>
    <t>Prima a devengar - REPO Gs VINC</t>
  </si>
  <si>
    <t>Acreedores Titulos R.Fija en Repo Gs VIN</t>
  </si>
  <si>
    <t>Comisiones Comerciales a Pagar -  Banco</t>
  </si>
  <si>
    <t>Prov. Operaciones Trading Book - VINCUL</t>
  </si>
  <si>
    <t>Reintegro de Gastos Gravados GS</t>
  </si>
  <si>
    <t>Otras Provisiones Operativas</t>
  </si>
  <si>
    <t>Operaciones Trading Book - VINCULADAS</t>
  </si>
  <si>
    <t>Comisiones Pagadas - Larrain Vial</t>
  </si>
  <si>
    <t>Financiera Pyo Japonesa</t>
  </si>
  <si>
    <t>Otros Activos No Corrientes</t>
  </si>
  <si>
    <t>Garantía de Alquiler</t>
  </si>
  <si>
    <t>Anticipo de Clientes USD</t>
  </si>
  <si>
    <t>Banco Regional C. A. N° 8070729</t>
  </si>
  <si>
    <t>1 al 9.999</t>
  </si>
  <si>
    <t>Leticia Carolina Duarte Helman</t>
  </si>
  <si>
    <t>Gerente de Administración y Operaciones</t>
  </si>
  <si>
    <t>Yan Elmar González Acosta</t>
  </si>
  <si>
    <t>Gerente de Mesa de Dinero</t>
  </si>
  <si>
    <t>PYTAU01F1133</t>
  </si>
  <si>
    <t>Prima a pagar por operaciones de reporto</t>
  </si>
  <si>
    <t>Diferencias de cambio netas - Pérdida</t>
  </si>
  <si>
    <t>Banco Familiar S.A.</t>
  </si>
  <si>
    <t>Citibank S.A.</t>
  </si>
  <si>
    <t>Seguros - Cauciones</t>
  </si>
  <si>
    <t>Cupones Cobrados de Clientes</t>
  </si>
  <si>
    <t>Reporto CDA</t>
  </si>
  <si>
    <t>Diferencia de Precios - Operaciones Bonos</t>
  </si>
  <si>
    <t>Diferencia de Precios - Operaciones CDA</t>
  </si>
  <si>
    <t xml:space="preserve">Diferencia de Precio (+) - Operaciones CDA </t>
  </si>
  <si>
    <t>Reintegro de Gastos Gravados</t>
  </si>
  <si>
    <t>Banco Interfisa C.A. N° 10290848</t>
  </si>
  <si>
    <t>Int a Cobrar  - Bonos Sub USD Vinculadas</t>
  </si>
  <si>
    <t>Prima a Cobrar - REPO</t>
  </si>
  <si>
    <t>Prima a Cobrar - REPO U$S</t>
  </si>
  <si>
    <t>Prima a Devengar - REPO</t>
  </si>
  <si>
    <t>Prima a Devengar - REPO U$S</t>
  </si>
  <si>
    <t>Créditos Fiscales</t>
  </si>
  <si>
    <t>Gastos Pagados por Adelantado</t>
  </si>
  <si>
    <t>Suscripciones Pagadas por Adelantado</t>
  </si>
  <si>
    <t>Gastos de Marketing a Devengar</t>
  </si>
  <si>
    <t>Acciones en Otras Empresas</t>
  </si>
  <si>
    <t>Tarjeta de Crédito a Pagar - VINCULADAS</t>
  </si>
  <si>
    <t>Prov. por Contingencias Operativas</t>
  </si>
  <si>
    <t>Reintegro de Gastos Exentos GS</t>
  </si>
  <si>
    <t>Reintegro de Gastos Gravados USD</t>
  </si>
  <si>
    <t>Bonos Corporativos Gs.</t>
  </si>
  <si>
    <t>Asesoría Informatica</t>
  </si>
  <si>
    <t>Servicios Tercerizados</t>
  </si>
  <si>
    <t>Expensas</t>
  </si>
  <si>
    <t>Contingencias Operativas</t>
  </si>
  <si>
    <t>Banco Interfisa S.A.E.C.A.</t>
  </si>
  <si>
    <t>PYCEC01F1940</t>
  </si>
  <si>
    <t>AY 1729</t>
  </si>
  <si>
    <t>BB 4636</t>
  </si>
  <si>
    <t>BB 4638</t>
  </si>
  <si>
    <t>Deudores Titulos R.Fija en Repo U$S VIN</t>
  </si>
  <si>
    <t>Alquileres Pagados por adelantado</t>
  </si>
  <si>
    <t>Programas informaticos en desarrollo</t>
  </si>
  <si>
    <t>Vacaciones a Pagar</t>
  </si>
  <si>
    <t>Serv. de Limpieza a Pagar</t>
  </si>
  <si>
    <t>Gastos de Cafeteria a Pagar</t>
  </si>
  <si>
    <t>Diágnostico/Plan Táctico Integral a Pag.</t>
  </si>
  <si>
    <t>Gastos de Publicidad a Pagar</t>
  </si>
  <si>
    <t>Por Contratos de Coloc. Prim. R. Fija Gs</t>
  </si>
  <si>
    <t>Por Contratos de Coloc.Prim. R. Fija U$S</t>
  </si>
  <si>
    <t>Por Contratos de Coloc. Prim.  Acciones</t>
  </si>
  <si>
    <t>Servicios de Cumplimiento Normativo</t>
  </si>
  <si>
    <t>Serv. de Deposito y Custodio de Valores</t>
  </si>
  <si>
    <t>Servicios Administrativos</t>
  </si>
  <si>
    <t>Intereses bancarios cobrados</t>
  </si>
  <si>
    <t>Ingresos Varios</t>
  </si>
  <si>
    <t>Bonos Subordinados U$S</t>
  </si>
  <si>
    <t>Gastos de publicidad y marketing</t>
  </si>
  <si>
    <t>Diágnostico y Plan Táctico Integral</t>
  </si>
  <si>
    <t>Del   01/01/2021   al   31/12/2021</t>
  </si>
  <si>
    <t>BALANCE AL 31/12/2021</t>
  </si>
  <si>
    <t>Deudores Títulos R.Fija en Repo USD VIN</t>
  </si>
  <si>
    <t>Bienes de Uso</t>
  </si>
  <si>
    <t>(-) Depreciación Acumulada</t>
  </si>
  <si>
    <t>(-) Amortización Acumulada</t>
  </si>
  <si>
    <t>Cuentas a pagar a personas y empresas relacionadas</t>
  </si>
  <si>
    <t>Total al 31/12/2021</t>
  </si>
  <si>
    <t>Int. a Deveng. - Bonos Financieros - U$S</t>
  </si>
  <si>
    <t>Por contratos de de colocación primaria Acciones</t>
  </si>
  <si>
    <t>ok</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</si>
  <si>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3"/>
        <color theme="1"/>
        <rFont val="Arial Narrow"/>
        <family val="2"/>
      </rPr>
      <t>Ver Nota 3.2.b.</t>
    </r>
  </si>
  <si>
    <r>
      <t xml:space="preserve">c. </t>
    </r>
    <r>
      <rPr>
        <b/>
        <u/>
        <sz val="13"/>
        <color theme="1"/>
        <rFont val="Arial Narrow"/>
        <family val="2"/>
      </rPr>
      <t>Bienes de uso:</t>
    </r>
  </si>
  <si>
    <r>
      <t xml:space="preserve">d. </t>
    </r>
    <r>
      <rPr>
        <b/>
        <u/>
        <sz val="13"/>
        <color theme="1"/>
        <rFont val="Arial Narrow"/>
        <family val="2"/>
      </rPr>
      <t>Activos intangibles:</t>
    </r>
  </si>
  <si>
    <t>a. Intereses sobre títulos y otros valores: Los ingresos generados durante el ejercicio son registrados conforme se devengan.</t>
  </si>
  <si>
    <t>Saldo al 31/12/2021</t>
  </si>
  <si>
    <t>Moneda
Extranjera
Clase</t>
  </si>
  <si>
    <t>Moneda
Extranjera
Monto</t>
  </si>
  <si>
    <t>TIPO DE CAMBIO COMPRADOR</t>
  </si>
  <si>
    <t>TIPO DE CAMBIO VENDEDOR</t>
  </si>
  <si>
    <t>Cambio
Cierre
31/12/2021</t>
  </si>
  <si>
    <t>Saldo
31/12/2021
(GS)</t>
  </si>
  <si>
    <t>MONEDA</t>
  </si>
  <si>
    <t>Valores Recibidos en Reporto</t>
  </si>
  <si>
    <t>Valores entregados en Reporto</t>
  </si>
  <si>
    <t>Cupones Pendientes de Reembolso</t>
  </si>
  <si>
    <t>Deudas Vigentes</t>
  </si>
  <si>
    <t>Uso o Destino</t>
  </si>
  <si>
    <t>Acreedores Varios</t>
  </si>
  <si>
    <t>Tipo de Cambio
31/12/2021</t>
  </si>
  <si>
    <t>Monto Ajustado
31/12/2021
(GS)</t>
  </si>
  <si>
    <t>Cuenta Corriente Guaraníes No. 8070729</t>
  </si>
  <si>
    <t>Caja de Ahorro Guaraníes No. 8070726</t>
  </si>
  <si>
    <t>Cuenta Corriente Dólares No. 8070731</t>
  </si>
  <si>
    <t>Caja de Ahorro Dólares No. 8070727</t>
  </si>
  <si>
    <t>Cuenta Terceros</t>
  </si>
  <si>
    <t>Cuenta Propia</t>
  </si>
  <si>
    <t>Cuenta Corriente Guaraníes No. 40000054/1</t>
  </si>
  <si>
    <t>Cuenta Corriente Guaraníes No. 40000054/3</t>
  </si>
  <si>
    <t>Cuenta Corriente Dólares No. 400000060</t>
  </si>
  <si>
    <t>Cuenta Corriente Dólares No. 400000061</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</si>
  <si>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</si>
  <si>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</si>
  <si>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</si>
  <si>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</si>
  <si>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</si>
  <si>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</si>
  <si>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</si>
  <si>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</si>
  <si>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</si>
  <si>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Caja de Ahorro Guaraníes No. 583739</t>
  </si>
  <si>
    <t>Caja de Ahorro Dólares No. 583739</t>
  </si>
  <si>
    <t>Caja de Ahorro Guaraníes N° 01-00758710-04</t>
  </si>
  <si>
    <t xml:space="preserve">Cuenta Corriente Guaraníes No. 2101050080 </t>
  </si>
  <si>
    <t>Caja de Ahorro Guaraníes No. 12798011</t>
  </si>
  <si>
    <t>Cuenta Corriente Dólares No. 2101050099</t>
  </si>
  <si>
    <t>Caja de Ahorro Dólares No. 12798011</t>
  </si>
  <si>
    <t>Cuenta Administrativa</t>
  </si>
  <si>
    <t>Ahorro a la Vista Guaraníes No. 0310068606</t>
  </si>
  <si>
    <t>Ahorro a la Vista Dólares No. 0310068614</t>
  </si>
  <si>
    <t>Cuenta Corriente Guaraníes No. 821857/4</t>
  </si>
  <si>
    <t>Cuenta Corriente Dólares No. 821857/4</t>
  </si>
  <si>
    <t>Solar Ahorros y Finanzas S.A.</t>
  </si>
  <si>
    <t>Cuenta Guaraníes No. 185554</t>
  </si>
  <si>
    <t>Cuenta Dólares No. 187071</t>
  </si>
  <si>
    <t>Cuenta Corriente Guaraníes No. 02317942</t>
  </si>
  <si>
    <t>Cuenta Guaraníes No. 1027186</t>
  </si>
  <si>
    <t>Ahorro a la Vista Dólares No. 5198764029</t>
  </si>
  <si>
    <t>Financiera Paraguayo Japonesa</t>
  </si>
  <si>
    <t>Cuenta Guaraníes No. 203308</t>
  </si>
  <si>
    <t>Valor
contable</t>
  </si>
  <si>
    <t>Patrimonio
Neto</t>
  </si>
  <si>
    <t>TU FINANCIERA S.A.E.C.A</t>
  </si>
  <si>
    <t>(GS)</t>
  </si>
  <si>
    <t>(USD)</t>
  </si>
  <si>
    <t>INTERFISA BANCO S.A.E.C.A.</t>
  </si>
  <si>
    <t>NUCLEO S.A.</t>
  </si>
  <si>
    <t>IMPERIAL COMPAÑÍA DISTRIBUIDORA DE PETRÓLEO Y DERIVADOS S.A.E.</t>
  </si>
  <si>
    <t>TELEFONICA CELULAR DEL PARAGUAY S.A.E.</t>
  </si>
  <si>
    <t>FINANCIERA FINEXPAR S.A.E.C.A.</t>
  </si>
  <si>
    <t>CEMENTOS CONCEPCIÓN S.A.E.</t>
  </si>
  <si>
    <t>ACCIONES</t>
  </si>
  <si>
    <t>FINANCIERA UENO S.A.E.C.A.</t>
  </si>
  <si>
    <r>
      <rPr>
        <b/>
        <u/>
        <sz val="11"/>
        <rFont val="Arial Narrow"/>
        <family val="2"/>
      </rPr>
      <t>RUBRO:</t>
    </r>
    <r>
      <rPr>
        <b/>
        <sz val="11"/>
        <rFont val="Arial Narrow"/>
        <family val="2"/>
      </rPr>
      <t xml:space="preserve">      112 - INVERSIONES TEMPORARIAS</t>
    </r>
  </si>
  <si>
    <t>CUENTA:        11201 - TÍTULOS DE RENTA FIJA EN CARTERA PROPIA</t>
  </si>
  <si>
    <t>Fecha
Emisión</t>
  </si>
  <si>
    <t>(+) Intereses a Cobrar</t>
  </si>
  <si>
    <t>(-) Intereses a Devengar</t>
  </si>
  <si>
    <t>Valor
Contable
(GS)</t>
  </si>
  <si>
    <t>Fecha Última Cotización</t>
  </si>
  <si>
    <t>Valor de Mercado</t>
  </si>
  <si>
    <t>BONOS CORPORATIVOS - GS</t>
  </si>
  <si>
    <t>PYIPD01F1403</t>
  </si>
  <si>
    <t>PYTEL02F9363</t>
  </si>
  <si>
    <t>PYIPD02F2756</t>
  </si>
  <si>
    <t>BONOS FINANCIEROS - GS</t>
  </si>
  <si>
    <t>BONOS PÚBLICOS - GS</t>
  </si>
  <si>
    <t>BONOS SUBORDINADOS - USD</t>
  </si>
  <si>
    <t xml:space="preserve">CDA - GS </t>
  </si>
  <si>
    <t>AA 6555</t>
  </si>
  <si>
    <t>AA 6556</t>
  </si>
  <si>
    <t>CDA GS - VINCULADAS</t>
  </si>
  <si>
    <t>AD 4423</t>
  </si>
  <si>
    <t>CDA - USD</t>
  </si>
  <si>
    <t>INVERSIONES NO CORRIENTES</t>
  </si>
  <si>
    <t>INVERSIONES CORRIENTES</t>
  </si>
  <si>
    <t>Operaciones de reporto - Neto</t>
  </si>
  <si>
    <t>5.i) Otros activos corrientes y no corrientes</t>
  </si>
  <si>
    <t>Acumuladas al Cierre</t>
  </si>
  <si>
    <t>Neto Resultante</t>
  </si>
  <si>
    <t>Saldo Neto Final</t>
  </si>
  <si>
    <t>Alquileres Pagados por Adelantado</t>
  </si>
  <si>
    <t>Insumos de Computacion</t>
  </si>
  <si>
    <t>Anticipo de Clientes - GS</t>
  </si>
  <si>
    <t>Operaciones a Liquidar - GS</t>
  </si>
  <si>
    <t>Proveedores del Exterior - USD</t>
  </si>
  <si>
    <t>Proveedores de Bienes y/o Servicios - USD</t>
  </si>
  <si>
    <t>Cupones Cobrados de Clientes - USD</t>
  </si>
  <si>
    <t>Bancop Ahorro a la Vista USD N° 03100686</t>
  </si>
  <si>
    <t>Citibank Ahorro a la Vista USD N° 519876</t>
  </si>
  <si>
    <t>Finexpar Caja de Ahorro USD N° 101550026</t>
  </si>
  <si>
    <t>Banco GNB Caja de Ahorro USD N° 12798011</t>
  </si>
  <si>
    <t>Bonos Subordinados - USD</t>
  </si>
  <si>
    <t>Int. a Cobrar - Bonos Subord. - USD</t>
  </si>
  <si>
    <t>Int. a Cobrar - CDA - USD</t>
  </si>
  <si>
    <t>Int. a Cobrar - Bonos Financieros - USD</t>
  </si>
  <si>
    <t>Int. a Cobrar - CDA - USD VINCULADAS</t>
  </si>
  <si>
    <t>Int. a Deveng. Bonos Sub - USD</t>
  </si>
  <si>
    <t>Int. a Deveng. CDA - USD</t>
  </si>
  <si>
    <t>Int. a Deveng. Bonos Corp. - USD</t>
  </si>
  <si>
    <t>Int. a Deveng. CDA - USD VINC.</t>
  </si>
  <si>
    <t>Deudores Titulos Renta Fija en Repo USD</t>
  </si>
  <si>
    <t>Bonos Financieros - USD</t>
  </si>
  <si>
    <t>Comisiones por cobrar USD</t>
  </si>
  <si>
    <t>Otras cuentas por cobrar - USD</t>
  </si>
  <si>
    <t>Liciencia - USD</t>
  </si>
  <si>
    <t>Operaciones a Liquidar - USD</t>
  </si>
  <si>
    <t>Por intermediación de renta fija USD</t>
  </si>
  <si>
    <t>Asesoría Financiera - USD</t>
  </si>
  <si>
    <t>Bonos Corporativos - USD</t>
  </si>
  <si>
    <t>Bonos Financieros - USD VINCULADAS</t>
  </si>
  <si>
    <t>Bonos Subordinados - USD VINCULADAS</t>
  </si>
  <si>
    <t>CDA - USD VINCULADAS</t>
  </si>
  <si>
    <t>Resultado Bonos Sub. - USD</t>
  </si>
  <si>
    <t>Aranceles - BVPASA USD</t>
  </si>
  <si>
    <t>Fondo de Garantía - USD</t>
  </si>
  <si>
    <t>Otros Ingresos Operativos - USD</t>
  </si>
  <si>
    <t>Aranceles pagados - BVPASA USD</t>
  </si>
  <si>
    <t>Gastos no Deducibles - USD</t>
  </si>
  <si>
    <t>Acreedores Titulos Renta Fija en Repo USD</t>
  </si>
  <si>
    <t>Tipo de
Operación</t>
  </si>
  <si>
    <t>Deuda Tarjeta de Crédito</t>
  </si>
  <si>
    <t>Alquiler Anual s/ Contrato</t>
  </si>
  <si>
    <t>Pago de Cupones Cobrados BNF</t>
  </si>
  <si>
    <t>Corriente Gs.</t>
  </si>
  <si>
    <t>No Corriente Gs.</t>
  </si>
  <si>
    <t>Fondo de Garantía a Pagar - Gs</t>
  </si>
  <si>
    <t>Fondo de Garantia a Pagar - USD</t>
  </si>
  <si>
    <t>Servicio de Limpieza a Pagar</t>
  </si>
  <si>
    <t>Diágnostico/Plan Táctico Integral a Pagar</t>
  </si>
  <si>
    <t>5.r) Saldos y transacciones con personas y empresas relacionadas</t>
  </si>
  <si>
    <t>Capitalización de Intereses - Cuentas Bancarias</t>
  </si>
  <si>
    <t>Remuneración Auditor Interno</t>
  </si>
  <si>
    <t>Remuneración Gerente de Adm. Y Operaciones</t>
  </si>
  <si>
    <t>Remuneración Oficial de Cumplimiento</t>
  </si>
  <si>
    <t>Remuneración Gerente de Mesa de Dinero</t>
  </si>
  <si>
    <t>Remuneración Gerente de Finanzas Corporativas</t>
  </si>
  <si>
    <t xml:space="preserve">Fondo de Garantía - Gs </t>
  </si>
  <si>
    <t xml:space="preserve">Fondo de Garantía - USD </t>
  </si>
  <si>
    <t>5.t) Patrimonio</t>
  </si>
  <si>
    <t>La composición del Patrimonio es el siguiente:</t>
  </si>
  <si>
    <t>5.u) Previsiones</t>
  </si>
  <si>
    <t>5.v) Ingresos Operativos</t>
  </si>
  <si>
    <t>5.v.1 - Ingresos por operaciones y servicios extrabursátiles</t>
  </si>
  <si>
    <t>5.v.2 - Otros ingresos operativos</t>
  </si>
  <si>
    <t>5.w) Otros gastos operativos, de comercialización y de administración</t>
  </si>
  <si>
    <t>5.x) Otros ingresos y egresos</t>
  </si>
  <si>
    <t>5.y) Resultados financieros</t>
  </si>
  <si>
    <t>5.z) Resultados extraordinarios</t>
  </si>
  <si>
    <t>Aportes no capitalizados</t>
  </si>
  <si>
    <t>Reservas</t>
  </si>
  <si>
    <t>Saldo al Inicio del Ejercicio G.</t>
  </si>
  <si>
    <t>Disminución</t>
  </si>
  <si>
    <t>Saldo al Cierre del Ejercicio G.</t>
  </si>
  <si>
    <t>Nota 5.v.1</t>
  </si>
  <si>
    <t>Nota 5.v.2</t>
  </si>
  <si>
    <t>Diferencia de Precio (-) Operaciones Bonos</t>
  </si>
  <si>
    <t>Diferencia de Precio (-) Operaciones CDA</t>
  </si>
  <si>
    <t>A la fecha de la emisión de los presentes estados financieros, no existen otros asuntos relevantes que mencionar.</t>
  </si>
  <si>
    <r>
      <t>5. AUDITOR EXTERNO INDEPENDIENTE</t>
    </r>
    <r>
      <rPr>
        <sz val="10"/>
        <color rgb="FF000000"/>
        <rFont val="Arial Narrow"/>
        <family val="2"/>
      </rPr>
      <t xml:space="preserve"> </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</si>
  <si>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</si>
  <si>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</si>
  <si>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</si>
  <si>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</si>
  <si>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</si>
  <si>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</si>
  <si>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Nota 5.o</t>
  </si>
  <si>
    <t>Nota 5.t</t>
  </si>
  <si>
    <t>Nota 5.i</t>
  </si>
  <si>
    <t>Nota 5.g</t>
  </si>
  <si>
    <t>10.001 al 25.000</t>
  </si>
  <si>
    <t>Gerente de Adm. y Operaciones</t>
  </si>
  <si>
    <t>ACCIONISTA</t>
  </si>
  <si>
    <t>Adquisición Activo Fijo</t>
  </si>
  <si>
    <t>Alquiler Anual Inmueble</t>
  </si>
  <si>
    <t>Reembolso Cupones Cobrados BNF</t>
  </si>
  <si>
    <t>RESULTADO DEL EJERCICIO (+) Utilidad (-) Pérdida</t>
  </si>
  <si>
    <t>Intereses en cartera - Títulos de renta fija en Reporto</t>
  </si>
  <si>
    <t>Revaluación de Acciones - BVPASA</t>
  </si>
  <si>
    <t xml:space="preserve">el "Aumento del Capital Social y la modificación del Art. 5 de los Estatutos Sociales". </t>
  </si>
  <si>
    <t>IDENTIFICACIÓN DE LOS ACCIONISTAS - BANCO REGIONAL S.A.E.C.A.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</si>
  <si>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</si>
  <si>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</si>
  <si>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</si>
  <si>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</si>
  <si>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</si>
  <si>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 (El detalle de cada socio no se encuentra disponible)</t>
  </si>
  <si>
    <t>Hugo Alberto Valinoti López</t>
  </si>
  <si>
    <t>María Teresa González Fretes</t>
  </si>
  <si>
    <t>Las depreciaciones son computadas a partir del año siguiente de incorporación al patrimonio de la Sociedad, mediante cargos a resultados sobre la base del sistema lineal, en los años estimados de vida útil, tal como se menciona en la Nota 3.4.</t>
  </si>
  <si>
    <t>Los activos y pasivos en moneda extranjera se valúan a los tipos de cambio vigentes a la fecha de cierre del periodo. Ver Nota 5.a.</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</si>
  <si>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</si>
  <si>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La Entidad no cuenta con ninguna limitación a libre disposición de los activos o de patrimonio y cualquier restricción al derecho de la propiedad a excepción de los títulos de deuda que conforman la cartera de operaciones en reporto (Ver Nota 5.e.1).</t>
  </si>
  <si>
    <r>
      <t>Participación</t>
    </r>
    <r>
      <rPr>
        <sz val="10"/>
        <color theme="1"/>
        <rFont val="Arial Narrow"/>
        <family val="2"/>
      </rPr>
      <t>: 99,996% de participación en el capital y en votos.</t>
    </r>
  </si>
  <si>
    <t>Diferencias de cambio - neto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</si>
  <si>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</si>
  <si>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</si>
  <si>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Jaseryn Alejandra Jimenez Carrero</t>
  </si>
  <si>
    <t>Financiera Ueno C.A. N° 583739-2</t>
  </si>
  <si>
    <t>Banco Sudameris Nº 4047569</t>
  </si>
  <si>
    <t>Banco Rio Cta. Cte. Nro. 08-868320-08</t>
  </si>
  <si>
    <t>Financiera Ueno C.A. N° 583739-1</t>
  </si>
  <si>
    <t>Financiera Paraguaya Japonesa</t>
  </si>
  <si>
    <t>Banco Río Cta. Cte. Nro. 0879416006</t>
  </si>
  <si>
    <t>Deprec. Mejoras</t>
  </si>
  <si>
    <t>Bonos Corporativos U$S</t>
  </si>
  <si>
    <t>Serv. de Seguridad Informatica</t>
  </si>
  <si>
    <t>Depreciacíon Instalacíones</t>
  </si>
  <si>
    <t>Depreciacíon Mejoras</t>
  </si>
  <si>
    <t>Gastos de Insumos y computación</t>
  </si>
  <si>
    <t xml:space="preserve">RESULTADO DEL EJERCICIO (+) Utilidad (-) Pérdida : </t>
  </si>
  <si>
    <t>Los estados contables (Balance General, Estado de Resultados, Estado de Flujo de Efectivo y Estado de Variación del Patrimonio Neto) correspondientes al 31 de diciembre de 2021 fueron considerados y aprobados por el Directorio según Acta de Asamblea Odinaria Nº 6 de fecha 20 de abril de 2022.</t>
  </si>
  <si>
    <t>Caja de Ahorro Dólares No.08-794160-06</t>
  </si>
  <si>
    <t>Caja de Ahorro Guaranies No. 08-868320-08</t>
  </si>
  <si>
    <t>Cuenta Dólares No. 10290848</t>
  </si>
  <si>
    <t>FIC S.A. de Finanzas</t>
  </si>
  <si>
    <t>Caja de Ahorro Guaraníes No. 0131001</t>
  </si>
  <si>
    <t>Sudameris Bank</t>
  </si>
  <si>
    <t>Caja de Ahorro Guaraníes No. 4047569</t>
  </si>
  <si>
    <t>Cuenta Dólares No. 203308</t>
  </si>
  <si>
    <t>FINANCIERA FINEXPAR S.A.E.C.A</t>
  </si>
  <si>
    <t>SOLAR AHORROS Y FINANZAS S.A.E.C.A.</t>
  </si>
  <si>
    <t>TU FINANCIERA S.A.E.C.A.</t>
  </si>
  <si>
    <t>BRICAPAR S.A.E.</t>
  </si>
  <si>
    <t>BANCO CONTINENTAL S.A.E.C.A.</t>
  </si>
  <si>
    <t>BANCO REGIONAL S.A.E.C.A.</t>
  </si>
  <si>
    <t>TAPE RUVICHA S.A.E.C.A.</t>
  </si>
  <si>
    <t>Gastos a Recuperar - Regional AFPISA</t>
  </si>
  <si>
    <t>Gastos a Reembolsar</t>
  </si>
  <si>
    <t>Honorarios Gerente Comercial / Dieta Directora</t>
  </si>
  <si>
    <t>Reembolso de Gastos</t>
  </si>
  <si>
    <t>Servicios de Deposito y Custodia de Valores</t>
  </si>
  <si>
    <t>Disminución de Acciones y Títulos de Deuda (Cartera Propia)</t>
  </si>
  <si>
    <t>La Sociedad no cuenta con garantías otorgadas que impliquen activos comprometidos a la fecha de cierre de los estados financieros.</t>
  </si>
  <si>
    <t>Estados Financieros correspondientes al período del 01 de Enero de 2022 al 30 de Junio de 2022</t>
  </si>
  <si>
    <t>Información al 30 de junio de 2022</t>
  </si>
  <si>
    <t xml:space="preserve">Al 30 de junio de 2022, el capital social asciende a Gs. 30.000.000.000, representado por 30.000 acciones de clase Nominativa Ordinaria de Gs. 1.000.000 cada una. En asamblea extraordinaria de fecha 26 de abril de 2021, en el segundo orden del día resuelve: </t>
  </si>
  <si>
    <t>En Asamblea Ordinaria de fecha Nº 5 de fecha 26 de abril de 2021, la asamblea resuelve en el cuarto punto del día "Capitalizar el importe de Gs. 1.945.000.000 (Guaraníes Mil novecientos cuarenta y cinco millones) correspondientes a las utilidades del ejercicio 2020" previa deducción de las reservas legal y especiales. .</t>
  </si>
  <si>
    <t>POR EL PERIODO DEL 01 DE ENERO DE 2022 AL 30 DE JUNIO DE 2022 PRESENTADO EN FORMA COMPARATIVA CON EL EJERCICIO ANTERIOR FINALIZADO EL 31 DE DICIEMBRE DE 2021</t>
  </si>
  <si>
    <t>POR EL PERIODO DEL 01 DE ENERO DE 2022 AL 30 DE JUNIO DE 2022 PRESENTADO EN FORMA COMPARATIVA CON EL MISMO PERIODO DEL EJERCICIO ANTERIOR</t>
  </si>
  <si>
    <t>Total al 30/06/2021</t>
  </si>
  <si>
    <t>Total al 30/06/2022</t>
  </si>
  <si>
    <t>NOTAS A LOS ESTADOS FINANCIEROS AL 30 DE JUNIO DE 2022</t>
  </si>
  <si>
    <t>BALANCE AL 30/06/2021</t>
  </si>
  <si>
    <t>Del   01/01/2021   al   30/06/2021</t>
  </si>
  <si>
    <t>Del   01/01/2021   al   30/06/2022</t>
  </si>
  <si>
    <t>Según el índice de precios al consumidor (IPC) publicado por el Banco Central del Paraguay, la inflación al 31 de diciembre de 2021 y 30 de Junio de 2022 fueron de 6,8%  y 6%  respectivamente.</t>
  </si>
  <si>
    <t>Los estados financieros al 30 de junio de 2022 y la información complementaria relacionadas con ellos, se presentan en forma comparativa con los respectivos estados e información complementaria correspondiente al periodo finalizado del 30 de junio de 2021, exceptuando el Balance General el cual se presenta comparativamente con el ejercicio económico anterior finalizado el 31 de diciembre de 2021.</t>
  </si>
  <si>
    <t>Los saldos al 30 de junio de 2021 que se exponen en forma comparativa, incluyen ciertas reclasificaciones de exposición a los efectos de su presentación comparativa uniforme con los del presente ejercicio.</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</si>
  <si>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30 de junio de 2022.</t>
  </si>
  <si>
    <t>Las partidas de activos y pasivos en moneda extranjera al 30 de junio de 2022 y 31 de diciembre de 2021 fueron valuadas al tipo de cambio de cierre proporcionado el Banco Central del Paraguay (BCP), el cual no difiere significativamente respecto del vigente en el mercado libre de cambios:</t>
  </si>
  <si>
    <t>Cambio
Cierre
30/06/2022</t>
  </si>
  <si>
    <t>Saldo
30/06/2022
(GS)</t>
  </si>
  <si>
    <t>Tipo de Cambio
30/06/2022</t>
  </si>
  <si>
    <t>Monto Ajustado
30/06/2022
(GS)</t>
  </si>
  <si>
    <t>La composición de la cartera de Inversiones temporarias al 30 de junio de 2022, las cuales se hallan valuadas conforme al criterio expuesto en la Nota 3.2 b. fueron las siguientes:</t>
  </si>
  <si>
    <t>Banco Rio Caja de Ahorro N°01-00391570-0</t>
  </si>
  <si>
    <t>Banco Rio Caja Ahorro Nº 8270013240008</t>
  </si>
  <si>
    <t>Banco Rio Cta. Cte. Nº 0879416006</t>
  </si>
  <si>
    <t>Encaje Legal</t>
  </si>
  <si>
    <t>Encaje Legal CDA a Recuperar - Gs</t>
  </si>
  <si>
    <t>Prima a Cobrar - REPO GS</t>
  </si>
  <si>
    <t>Prima a Devengar - REPO Gs</t>
  </si>
  <si>
    <t>Créditos Tributarios</t>
  </si>
  <si>
    <t>Banco Regional Cta Cte N° 8070729</t>
  </si>
  <si>
    <t>Custodia de Valores - Gs</t>
  </si>
  <si>
    <t>Custodia de Valores - USD</t>
  </si>
  <si>
    <t>Servicio Mesa de Dinero</t>
  </si>
  <si>
    <t>RESULTADO DEL EJERCICIO (+) Utilidad (-) Pérdida :</t>
  </si>
  <si>
    <t>BALANCE AL 30/06/2022</t>
  </si>
  <si>
    <t xml:space="preserve">En Asamblea Ordinaria de fecha Nº 3 de fecha 29 de junio de 2020, la asamblea resuelve en el segundo punto del día " Capitalizar el importe de Gs. 615.000.000 (Guaraníes seiscientos quince mil millones) correspondientes a las utilidades del ejercicio 2019" previa deducción de las reservas legal y especiales. </t>
  </si>
  <si>
    <t>Capitalización de Utilidades 2019 / 2020 / 2021</t>
  </si>
  <si>
    <t>Bonos</t>
  </si>
  <si>
    <t>Ahorro a la Vista Guaraníes N°5198764002</t>
  </si>
  <si>
    <t>INFORMACIÓN SOBRE EL EMISOR AL 30/06/2022</t>
  </si>
  <si>
    <t>AA 5319</t>
  </si>
  <si>
    <t>AA 5311</t>
  </si>
  <si>
    <t>AA 5312</t>
  </si>
  <si>
    <t>AA 5314</t>
  </si>
  <si>
    <t>AA 5315</t>
  </si>
  <si>
    <t>AA 5336</t>
  </si>
  <si>
    <t>AA 5324</t>
  </si>
  <si>
    <t>AA 5327</t>
  </si>
  <si>
    <t>AA 5320</t>
  </si>
  <si>
    <t>AA 5322</t>
  </si>
  <si>
    <t>AA 5341</t>
  </si>
  <si>
    <t>AA 5317</t>
  </si>
  <si>
    <t>AA 5313</t>
  </si>
  <si>
    <t>AA 5318</t>
  </si>
  <si>
    <t>AA 5343</t>
  </si>
  <si>
    <t>AA 5345</t>
  </si>
  <si>
    <t>AA 5492</t>
  </si>
  <si>
    <t>AA 5493</t>
  </si>
  <si>
    <t>AA 5494</t>
  </si>
  <si>
    <t>AA 5495</t>
  </si>
  <si>
    <t>AA 5496</t>
  </si>
  <si>
    <t xml:space="preserve"> AA 5684</t>
  </si>
  <si>
    <t xml:space="preserve"> AA 5685</t>
  </si>
  <si>
    <t xml:space="preserve"> AA 5686</t>
  </si>
  <si>
    <t>AA 5484</t>
  </si>
  <si>
    <t>SOLAR AHORRO Y FINANZAS S.A.E.C.A</t>
  </si>
  <si>
    <t>BA 0685</t>
  </si>
  <si>
    <t>BA 0690</t>
  </si>
  <si>
    <t>BA 0691</t>
  </si>
  <si>
    <t>BA 0692</t>
  </si>
  <si>
    <t>SUDAMERIS BANK S.A.E.C.A</t>
  </si>
  <si>
    <t>AH 1001</t>
  </si>
  <si>
    <t>FINANCIERA PARAGUAYO JAPONESA S.A.E.C.A.</t>
  </si>
  <si>
    <t>AB 2424</t>
  </si>
  <si>
    <t>AD 4450</t>
  </si>
  <si>
    <t>AD 4451</t>
  </si>
  <si>
    <t>AA 7772</t>
  </si>
  <si>
    <t>AA 7638</t>
  </si>
  <si>
    <t xml:space="preserve">BANCO RIO S.A.E.C.A. </t>
  </si>
  <si>
    <t>UT 0033</t>
  </si>
  <si>
    <t>CDA USD - VINCULADAS</t>
  </si>
  <si>
    <t>AD 3640</t>
  </si>
  <si>
    <t>BB 4166</t>
  </si>
  <si>
    <t>PYTEL03F2276</t>
  </si>
  <si>
    <t>CEMENTOS CONCEPCION S.A.E.</t>
  </si>
  <si>
    <t>PYCEC03F1369</t>
  </si>
  <si>
    <t>PYTEL01F2252</t>
  </si>
  <si>
    <t>PYTEL02F2269</t>
  </si>
  <si>
    <t>BONOS FINANCIEROS - USD VINCULADAS</t>
  </si>
  <si>
    <t>PYREG01F9215</t>
  </si>
  <si>
    <t>PYTNA01F8541</t>
  </si>
  <si>
    <t>PYFIN03F0940</t>
  </si>
  <si>
    <t>PYREG03F0659</t>
  </si>
  <si>
    <t>PYREG04F0666</t>
  </si>
  <si>
    <t>PYREG01F0321</t>
  </si>
  <si>
    <t>BONOS SUBORDINADOS - USD VINCULADAS</t>
  </si>
  <si>
    <t>INTERESES DE TITULOS BAJO REPORTO GS</t>
  </si>
  <si>
    <t>BANCO ITAÚ PARAGUAY S.A. (BONOS FINANCIEROS)</t>
  </si>
  <si>
    <t>NUCLEO S.A. (BONOS CORPORATIVOS)</t>
  </si>
  <si>
    <t>IMPERIAL COMPAÑÍA DISTRIBUIDORA DE PETRÓLEO Y DERIVADOS S.A.E. (BONOS CORPORATIVOS)</t>
  </si>
  <si>
    <t>TELEFONICA CELULAR DEL PARAGUAY S.A.E. (BONOS CORPORATIVOS)</t>
  </si>
  <si>
    <t>SOLAR AHORROS Y FINANZAS S.A.E.C.A.  (CDA)</t>
  </si>
  <si>
    <t>BA 0897</t>
  </si>
  <si>
    <t>BA 0898</t>
  </si>
  <si>
    <t>BA 0899</t>
  </si>
  <si>
    <t>BA 0900</t>
  </si>
  <si>
    <t>BA 0885</t>
  </si>
  <si>
    <t>BA 0886</t>
  </si>
  <si>
    <t>BA 0887</t>
  </si>
  <si>
    <t>BA 0888</t>
  </si>
  <si>
    <t>BA 0889</t>
  </si>
  <si>
    <t>BA 0890</t>
  </si>
  <si>
    <t>BA 0891</t>
  </si>
  <si>
    <t>BA 0892</t>
  </si>
  <si>
    <t>BA 0893</t>
  </si>
  <si>
    <t>BA 0894</t>
  </si>
  <si>
    <t>BA 0895</t>
  </si>
  <si>
    <t>BA 0896</t>
  </si>
  <si>
    <t>BA 0852</t>
  </si>
  <si>
    <t>BA 0853</t>
  </si>
  <si>
    <t>BA 0854</t>
  </si>
  <si>
    <t>BA 0855</t>
  </si>
  <si>
    <t>BA 0856</t>
  </si>
  <si>
    <t>BA 0857</t>
  </si>
  <si>
    <t>BA 0858</t>
  </si>
  <si>
    <t>BA 0859</t>
  </si>
  <si>
    <t>BA 0860</t>
  </si>
  <si>
    <t>BA 0861</t>
  </si>
  <si>
    <t>BA 0862</t>
  </si>
  <si>
    <t>BA 0863</t>
  </si>
  <si>
    <t>BA 0864</t>
  </si>
  <si>
    <t>BA 0865</t>
  </si>
  <si>
    <t>BA 0866</t>
  </si>
  <si>
    <t>BA 0867</t>
  </si>
  <si>
    <t>BA 0868</t>
  </si>
  <si>
    <t>BA 0869</t>
  </si>
  <si>
    <t>BA 0870</t>
  </si>
  <si>
    <t>BA 0871</t>
  </si>
  <si>
    <t>BA 0689</t>
  </si>
  <si>
    <t>BA 0715</t>
  </si>
  <si>
    <t>BA 0716</t>
  </si>
  <si>
    <t>FINANCIERA FINEXPAR (CDA)</t>
  </si>
  <si>
    <t>AA 5687</t>
  </si>
  <si>
    <t>AA 5688</t>
  </si>
  <si>
    <t>AA 5689</t>
  </si>
  <si>
    <t>AA 5690</t>
  </si>
  <si>
    <t>AA 5694</t>
  </si>
  <si>
    <t>AA 5693</t>
  </si>
  <si>
    <t>AA 5691</t>
  </si>
  <si>
    <t>AA 5692</t>
  </si>
  <si>
    <t>AA 4862</t>
  </si>
  <si>
    <t>AA 4863</t>
  </si>
  <si>
    <t>AA 4864</t>
  </si>
  <si>
    <t>AA 4865</t>
  </si>
  <si>
    <t>AA 4866</t>
  </si>
  <si>
    <t>AA 4867</t>
  </si>
  <si>
    <t>AA 4869</t>
  </si>
  <si>
    <t>AA 5487</t>
  </si>
  <si>
    <t>AA 5488</t>
  </si>
  <si>
    <t>AA 5489</t>
  </si>
  <si>
    <t>AA 5490</t>
  </si>
  <si>
    <t>TU FINANCIERA S.A.E.C.A (CDA)</t>
  </si>
  <si>
    <t>AA 5337</t>
  </si>
  <si>
    <t>AA 5340</t>
  </si>
  <si>
    <t>AA 5316</t>
  </si>
  <si>
    <t>INTERESES DE TITULOS BAJO REPORTO - USD</t>
  </si>
  <si>
    <t>BANCO CONTINENTAL S.A.E.C.A. (BONOS SUBORDINADOS)</t>
  </si>
  <si>
    <t>PYCON09F8512</t>
  </si>
  <si>
    <t>BRICAPAR S.A.E. (BONOS CORPORATIVOS)</t>
  </si>
  <si>
    <t>PYBRI02F2889</t>
  </si>
  <si>
    <t>ALEMAN PARAGUAYO CANDIENSE S.A. (BONOS CORPORATIVOS)</t>
  </si>
  <si>
    <t>PYAPC03F3299</t>
  </si>
  <si>
    <t>PYAPC02F3282</t>
  </si>
  <si>
    <t>CEMENTOS CONCEPCIÓN S.A.E. (BONOS CORPORATIVOS)</t>
  </si>
  <si>
    <t>PYCEC01F3409</t>
  </si>
  <si>
    <t>BANCO PARA LA COMERCIALIZACIÓN Y LA PRODUCCIÓN S.A. (CDA)</t>
  </si>
  <si>
    <t>AA 1859</t>
  </si>
  <si>
    <t>AA 1862</t>
  </si>
  <si>
    <t>AA 1863</t>
  </si>
  <si>
    <t>AA 2334</t>
  </si>
  <si>
    <t>AA 2335</t>
  </si>
  <si>
    <t>INTERFISA BANCO S.A.E.C.A. (CDA)</t>
  </si>
  <si>
    <t>AA 1849</t>
  </si>
  <si>
    <t>AB 0221</t>
  </si>
  <si>
    <t>AB 0222</t>
  </si>
  <si>
    <t>AB 0223</t>
  </si>
  <si>
    <t>AB 0224</t>
  </si>
  <si>
    <t>AB 0225</t>
  </si>
  <si>
    <t>AB 0229</t>
  </si>
  <si>
    <t>AB 0230</t>
  </si>
  <si>
    <t>AB 0231</t>
  </si>
  <si>
    <t>AB 0232</t>
  </si>
  <si>
    <t>AB 0233</t>
  </si>
  <si>
    <t>AB 0234</t>
  </si>
  <si>
    <t>AB 0235</t>
  </si>
  <si>
    <t>FINANCIERA FINEXPAR S.A.E.C.A. (CDA)</t>
  </si>
  <si>
    <t>AA 1591</t>
  </si>
  <si>
    <t>AA 1592</t>
  </si>
  <si>
    <t>FINANCIERA EL COMERCIO S.A.E.C.A. (CDA)</t>
  </si>
  <si>
    <t>MM 1213</t>
  </si>
  <si>
    <t>MM 0133</t>
  </si>
  <si>
    <t>MM 1317</t>
  </si>
  <si>
    <t>MM 1318</t>
  </si>
  <si>
    <t>MM 1319</t>
  </si>
  <si>
    <t>MM 1320</t>
  </si>
  <si>
    <t>MM 1321</t>
  </si>
  <si>
    <t>MM 1323</t>
  </si>
  <si>
    <t>MM 1324</t>
  </si>
  <si>
    <t>MM 1325</t>
  </si>
  <si>
    <t>MM 1337</t>
  </si>
  <si>
    <t>MM 1332</t>
  </si>
  <si>
    <t>MM 1333</t>
  </si>
  <si>
    <t>MM 1334</t>
  </si>
  <si>
    <t>MM 1335</t>
  </si>
  <si>
    <t>MM 1326</t>
  </si>
  <si>
    <t>MM 1327</t>
  </si>
  <si>
    <t>MM 1328</t>
  </si>
  <si>
    <t>MM 1329</t>
  </si>
  <si>
    <t>MM 1330</t>
  </si>
  <si>
    <t>MM 1252</t>
  </si>
  <si>
    <t>MM 1253</t>
  </si>
  <si>
    <t>MM 1258</t>
  </si>
  <si>
    <t>MM 1259</t>
  </si>
  <si>
    <t>MM 1260</t>
  </si>
  <si>
    <t>MM 1263</t>
  </si>
  <si>
    <t>MM 1264</t>
  </si>
  <si>
    <t>MM 1265</t>
  </si>
  <si>
    <t>MM 1266</t>
  </si>
  <si>
    <t>MM 1267</t>
  </si>
  <si>
    <t>BANCO NACIONAL DE FOMENTO (CDA)</t>
  </si>
  <si>
    <t>BB 0563</t>
  </si>
  <si>
    <t>BB 0564</t>
  </si>
  <si>
    <t>BB 0568</t>
  </si>
  <si>
    <t>BB 0569</t>
  </si>
  <si>
    <t>BB 0544</t>
  </si>
  <si>
    <t>BB 0545</t>
  </si>
  <si>
    <t>BB 0546</t>
  </si>
  <si>
    <t>BB 0586</t>
  </si>
  <si>
    <t>BANCO RIO S.A.E.C.A. (CDA)</t>
  </si>
  <si>
    <t>UH 0850</t>
  </si>
  <si>
    <t>UH 0851</t>
  </si>
  <si>
    <t>UH 0882</t>
  </si>
  <si>
    <t>UH 0883</t>
  </si>
  <si>
    <t>UH 0884</t>
  </si>
  <si>
    <t>UH 0847</t>
  </si>
  <si>
    <t>UH 0848</t>
  </si>
  <si>
    <t>UH 0849</t>
  </si>
  <si>
    <t>UH 0538</t>
  </si>
  <si>
    <t>UH 0539</t>
  </si>
  <si>
    <t>BANCO ITAÚ S.A. (CDA)</t>
  </si>
  <si>
    <t>DB 3424</t>
  </si>
  <si>
    <t>DB 3425</t>
  </si>
  <si>
    <t>DB 3426</t>
  </si>
  <si>
    <t>DB 3427</t>
  </si>
  <si>
    <t>DB 3428</t>
  </si>
  <si>
    <t>BANCO REGIONAL S.A.E.C.A (CDA)</t>
  </si>
  <si>
    <t>BB 4635</t>
  </si>
  <si>
    <t>AZ 0456</t>
  </si>
  <si>
    <t>BB 5617</t>
  </si>
  <si>
    <t>ENCAJE LEGAL CDA A RECUPERAR - GS</t>
  </si>
  <si>
    <t>FINANCIERA FINEXPAR</t>
  </si>
  <si>
    <t>ALEMAN PARAGUAYO CANDIENSE S.A.</t>
  </si>
  <si>
    <t>BANCO PARA LA COMERCIALIZACIÓN Y LA PRODUCCIÓN S.A.</t>
  </si>
  <si>
    <t>FINANCIERA EL COMERCIO S.A.E.C.A.</t>
  </si>
  <si>
    <t>BANCO NACIONAL DE FOMENTO</t>
  </si>
  <si>
    <t>BANCO RIO S.A.E.C.A.</t>
  </si>
  <si>
    <t>BANCO ITAÚ S.A.</t>
  </si>
  <si>
    <t>OPERACIONES DE REPORTO - GS</t>
  </si>
  <si>
    <t>OPERACIONES DE REPORTO - GS VINCULADAS</t>
  </si>
  <si>
    <t>SOLAR AHORROS Y FINANZAS</t>
  </si>
  <si>
    <t>OPERACIONES DE REPORTO - USD</t>
  </si>
  <si>
    <t>BONOS CORPORATIVOS</t>
  </si>
  <si>
    <t>CEMENTOS CONCEPCIÓN SOCIEDAD ANÓNIMA EMISORA</t>
  </si>
  <si>
    <t>ALEMÁN PARAGUAYO CANADIENSE S.A. (ALPACASA)</t>
  </si>
  <si>
    <t>PYAPC02F3299</t>
  </si>
  <si>
    <t>BONOS SUBORDINADOS</t>
  </si>
  <si>
    <t>BANCO ITAU PARAGUAY S.A. (CDA)</t>
  </si>
  <si>
    <t>BANCOP S.A. (CDA)</t>
  </si>
  <si>
    <t>FINANCIERA FINEXPAR S.A. (CDA)</t>
  </si>
  <si>
    <t>FINANCIERA UENO S.A.E.C.A. (CDA)</t>
  </si>
  <si>
    <t>BANCO INTERFISA BANCO S.A.E.C.A. (CDA)</t>
  </si>
  <si>
    <t>CUENTA:        112032 - VALORES RECIBIDOS POR REPORTO</t>
  </si>
  <si>
    <t>Instrumento</t>
  </si>
  <si>
    <t>Inicio Reporto</t>
  </si>
  <si>
    <t>Vencimiento Reporto</t>
  </si>
  <si>
    <t>AA 7671</t>
  </si>
  <si>
    <t>PYTAP01F9257</t>
  </si>
  <si>
    <t>SUDAMERIS BANK S.A.E.C.A.</t>
  </si>
  <si>
    <t>PYSUD01F9190</t>
  </si>
  <si>
    <t>BANCO ITAU PARAGUAY S.A.</t>
  </si>
  <si>
    <t>BANCOP S.A.</t>
  </si>
  <si>
    <t>FINANCIERA FINEXPAR S.A.</t>
  </si>
  <si>
    <t>BANCO INTERFISA BANCO S.A.E.C.A.</t>
  </si>
  <si>
    <t>(+) Prima 
a Cobrar</t>
  </si>
  <si>
    <t>(-) Prima a
 Devengar</t>
  </si>
  <si>
    <t>Valor Contable GS</t>
  </si>
  <si>
    <t>La composición de la cartera de Inversiones temporarias y permanentes al 30 de junio de 2022 con valor de cotización fue la siguiente:</t>
  </si>
  <si>
    <t>Al 30 de junio de 2022, la composición de cartera de títulos en reporto con pacto de re-compra, fue la siguiente:</t>
  </si>
  <si>
    <t>Al 30 de junio de 2022 y 31 de diciembre de 2021, la Sociedad no cuenta con Saldos con Deudores Varios.</t>
  </si>
  <si>
    <t>Al 30 de junio de 2022 y 31 de diciembre de 2021, la Sociedad no cuenta con derechos sobre títulos por contratos de underwriting.</t>
  </si>
  <si>
    <t>Saldo al 30/06/2022</t>
  </si>
  <si>
    <t>Alquiler 1º Trimestre 2022</t>
  </si>
  <si>
    <t>Alquiler 2º Trimestre 2022</t>
  </si>
  <si>
    <t>No Aplicable. Al 30 de junio de 2022 y 31  de diciembre de 2021, la Sociedad no cuenta con obligaciones por contrato de underwriting</t>
  </si>
  <si>
    <t>No aplicable. Al 30 de junio de 2022 y 31 de diciembre de 2021, la Sociedad no cuenta con saldos en cartera.</t>
  </si>
  <si>
    <t>El resultado por operaciones con empresas y personas vinculadas al 30 de junio de 2022 es el siguiente:</t>
  </si>
  <si>
    <t>Al 30 de junio de 2022 y 31 de Diciembre de 2021, contamos con una poliza de caución renovada en fecha 11/11/2021, con vigencia desde el 15/11/2021 al 14/11/2022, por un monto de Gs.572.331.000 (guaraníes quinientos setenta y dos millones trescientos treinta y un mil), según póliza N° 1514000999. De acuerdo con lo previsto en la Resolución CNV CG N° 30/2021.</t>
  </si>
  <si>
    <t>Entre la fecha de cierre de los presentes estados financieros, no han ocurrido otros hechos significativos de carácter financiero o de otra índole que afecten la situación patrimonial o financiera o los resultados de la Sociedad al 30 de junio de 2022.</t>
  </si>
  <si>
    <t>En Asamblea Ordinaria de fecha Nº 6 de fecha 20 de abril de 2022, la asamblea resuelve en el cuarto punto del día "Capitalizar el importe de Gs. 2.372.000.000 (Guaraníes Dos mil trescientos setenta y dos millones) correspondientes a las utilidades del ejercicio 2021" previa deducción de las reservas legal y especiales. .</t>
  </si>
  <si>
    <r>
      <t xml:space="preserve">5.1) Auditor Externo Independiente designado:  </t>
    </r>
    <r>
      <rPr>
        <sz val="10"/>
        <color rgb="FF000000"/>
        <rFont val="Arial Narrow"/>
        <family val="2"/>
      </rPr>
      <t>Amaral &amp; Asociados</t>
    </r>
  </si>
  <si>
    <r>
      <t xml:space="preserve">5.2) Número de Inscripción en el Registro de la CNV: </t>
    </r>
    <r>
      <rPr>
        <sz val="10"/>
        <color rgb="FF000000"/>
        <rFont val="Arial Narrow"/>
        <family val="2"/>
      </rPr>
      <t>AE 023</t>
    </r>
  </si>
  <si>
    <r>
      <t>Los estados contables (Balance General, Estado de Resultados, Estado de Flujo de Efectivo y Estado de Variación del Patrimonio Neto) correspondientes al 30 de junio de 2022 fueron considerados y aprobados por el Directorio según Acta Nº 13 de fecha 26 de julio</t>
    </r>
    <r>
      <rPr>
        <b/>
        <sz val="13"/>
        <color theme="1"/>
        <rFont val="Arial Narrow"/>
        <family val="2"/>
      </rPr>
      <t xml:space="preserve"> </t>
    </r>
    <r>
      <rPr>
        <sz val="13"/>
        <color theme="1"/>
        <rFont val="Arial Narrow"/>
        <family val="2"/>
      </rPr>
      <t>de 2022</t>
    </r>
  </si>
  <si>
    <t>º</t>
  </si>
  <si>
    <r>
      <t>Participación</t>
    </r>
    <r>
      <rPr>
        <sz val="10"/>
        <color theme="1"/>
        <rFont val="Arial Narrow"/>
        <family val="2"/>
      </rPr>
      <t>: 99,98% de participación en el capital y en votos.</t>
    </r>
  </si>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</sst>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0_-;\-* #,##0_-;_-* &quot;-&quot;_-;_-@_-"/>
    <numFmt numFmtId="44" formatCode="_-* #,##0.00\ &quot;€&quot;_-;\-* #,##0.00\ &quot;€&quot;_-;_-* &quot;-&quot;??\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_);_(* \(#,##0\);_(* \-??_);_(@_)"/>
    <numFmt numFmtId="179" formatCode="dd/mm/yyyy;@"/>
    <numFmt numFmtId="180" formatCode="_-* #,##0_-;\-* #,##0_-;_-* &quot;-&quot;??_-;_-@_-"/>
    <numFmt numFmtId="181" formatCode="_-* #,##0\ _€_-;\-* #,##0\ _€_-;_-* &quot;-&quot;\ _€_-;_-@_-"/>
    <numFmt numFmtId="182" formatCode="_-* #,##0.00\ _p_t_a_-;\-* #,##0.00\ _p_t_a_-;_-* &quot;-&quot;??\ _p_t_a_-;_-@_-"/>
    <numFmt numFmtId="183" formatCode="_-* #,##0.0000\ _€_-;\-* #,##0.0000\ _€_-;_-* &quot;-&quot;??\ _€_-;_-@_-"/>
    <numFmt numFmtId="184" formatCode="0_ ;\-0\ "/>
    <numFmt numFmtId="185" formatCode="0.0000%"/>
    <numFmt numFmtId="186" formatCode="#,##0.00_ ;\-#,##0.00\ "/>
    <numFmt numFmtId="187" formatCode="0.000%"/>
    <numFmt numFmtId="188" formatCode="0.0"/>
    <numFmt numFmtId="189" formatCode="_(* #,##0.00_);_(* \(#,##0.00\);_(* \-??_);_(@_)"/>
    <numFmt numFmtId="190" formatCode="_(&quot;Gs&quot;\ * #,##0.00_);_(&quot;Gs&quot;\ * \(#,##0.00\);_(&quot;Gs&quot;\ * &quot;-&quot;??_);_(@_)"/>
    <numFmt numFmtId="191" formatCode="_-* #,##0.0\ _€_-;\-* #,##0.0\ _€_-;_-* &quot;-&quot;??\ _€_-;_-@_-"/>
    <numFmt numFmtId="192" formatCode="_-* #,##0.00\ &quot;Pts&quot;_-;\-* #,##0.00\ &quot;Pts&quot;_-;_-* &quot;-&quot;??\ &quot;Pts&quot;_-;_-@_-"/>
    <numFmt numFmtId="193" formatCode="_ [$€]\ * #,##0.00_ ;_ [$€]\ * \-#,##0.00_ ;_ [$€]\ * &quot;-&quot;??_ ;_ @_ "/>
    <numFmt numFmtId="194" formatCode="_-* #,##0\ _P_t_a_-;\-* #,##0\ _P_t_a_-;_-* &quot;-&quot;\ _P_t_a_-;_-@_-"/>
    <numFmt numFmtId="195" formatCode="_-* #,##0.00\ _P_t_s_-;\-* #,##0.00\ _P_t_s_-;_-* &quot;-&quot;??\ _P_t_s_-;_-@_-"/>
    <numFmt numFmtId="196" formatCode="[$$-540A]#,##0.00_);\([$$-540A]#,##0.00\)"/>
  </numFmts>
  <fonts count="18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b/>
      <sz val="12"/>
      <name val="Times New Roman"/>
      <family val="1"/>
    </font>
    <font>
      <sz val="10"/>
      <name val="Arial"/>
      <family val="2"/>
    </font>
    <font>
      <sz val="10"/>
      <name val="Nimbus Sans L"/>
    </font>
    <font>
      <sz val="11"/>
      <name val="Times New Roman"/>
      <family val="1"/>
    </font>
    <font>
      <b/>
      <sz val="10"/>
      <color indexed="8"/>
      <name val="Arial"/>
      <family val="2"/>
    </font>
    <font>
      <b/>
      <sz val="10"/>
      <name val="Arial"/>
      <family val="2"/>
    </font>
    <font>
      <sz val="8"/>
      <name val="Arial"/>
      <family val="2"/>
    </font>
    <font>
      <b/>
      <sz val="8"/>
      <name val="Arial"/>
      <family val="2"/>
    </font>
    <font>
      <sz val="9"/>
      <name val="Arial"/>
      <family val="2"/>
    </font>
    <font>
      <sz val="12"/>
      <name val="Times New Roman"/>
      <family val="1"/>
    </font>
    <font>
      <sz val="10"/>
      <color theme="1"/>
      <name val="Arial"/>
      <family val="2"/>
    </font>
    <font>
      <b/>
      <sz val="10"/>
      <color theme="1"/>
      <name val="Arial"/>
      <family val="2"/>
    </font>
    <font>
      <sz val="9"/>
      <color theme="1"/>
      <name val="Arial"/>
      <family val="2"/>
    </font>
    <font>
      <b/>
      <sz val="9"/>
      <color theme="1"/>
      <name val="Arial"/>
      <family val="2"/>
    </font>
    <font>
      <i/>
      <sz val="8"/>
      <color theme="1"/>
      <name val="Arial"/>
      <family val="2"/>
    </font>
    <font>
      <sz val="10"/>
      <name val="Arial"/>
      <family val="2"/>
    </font>
    <font>
      <b/>
      <sz val="8"/>
      <color rgb="FFFF0000"/>
      <name val="Arial"/>
      <family val="2"/>
    </font>
    <font>
      <b/>
      <sz val="8"/>
      <color theme="0"/>
      <name val="Arial"/>
      <family val="2"/>
    </font>
    <font>
      <sz val="10"/>
      <color indexed="8"/>
      <name val="Arial"/>
      <family val="2"/>
    </font>
    <font>
      <b/>
      <u/>
      <sz val="10"/>
      <color indexed="8"/>
      <name val="Arial"/>
      <family val="2"/>
    </font>
    <font>
      <sz val="18"/>
      <color theme="3"/>
      <name val="Calibri Light"/>
      <family val="2"/>
      <scheme val="major"/>
    </font>
    <font>
      <u/>
      <sz val="11"/>
      <color theme="10"/>
      <name val="Calibri"/>
      <family val="2"/>
      <scheme val="minor"/>
    </font>
    <font>
      <u/>
      <sz val="10"/>
      <name val="Arial"/>
      <family val="2"/>
    </font>
    <font>
      <sz val="11"/>
      <color indexed="8"/>
      <name val="Calibri"/>
      <family val="2"/>
    </font>
    <font>
      <sz val="10"/>
      <name val="Times New Roman"/>
      <family val="1"/>
    </font>
    <font>
      <sz val="11"/>
      <color rgb="FF000000"/>
      <name val="Calibri"/>
      <family val="2"/>
    </font>
    <font>
      <sz val="8"/>
      <color indexed="8"/>
      <name val="Arial"/>
      <family val="2"/>
    </font>
    <font>
      <b/>
      <u/>
      <sz val="12"/>
      <name val="Times New Roman"/>
      <family val="1"/>
    </font>
    <font>
      <sz val="10"/>
      <name val="Arial"/>
      <family val="2"/>
    </font>
    <font>
      <b/>
      <i/>
      <sz val="10"/>
      <color indexed="8"/>
      <name val="Arial"/>
      <family val="2"/>
    </font>
    <font>
      <b/>
      <sz val="12"/>
      <color indexed="8"/>
      <name val="Arial"/>
      <family val="2"/>
    </font>
    <font>
      <b/>
      <u/>
      <sz val="12"/>
      <color indexed="8"/>
      <name val="Arial"/>
      <family val="2"/>
    </font>
    <font>
      <b/>
      <sz val="9"/>
      <color theme="0"/>
      <name val="Arial"/>
      <family val="2"/>
    </font>
    <font>
      <sz val="11"/>
      <color theme="1"/>
      <name val="Arial"/>
      <family val="2"/>
    </font>
    <font>
      <b/>
      <sz val="11"/>
      <color theme="1"/>
      <name val="Arial"/>
      <family val="2"/>
    </font>
    <font>
      <sz val="11"/>
      <name val="Arial"/>
      <family val="2"/>
    </font>
    <font>
      <b/>
      <sz val="11"/>
      <name val="Arial"/>
      <family val="2"/>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Arial Narrow"/>
      <family val="2"/>
    </font>
    <font>
      <sz val="10"/>
      <name val="Arial Narrow"/>
      <family val="2"/>
    </font>
    <font>
      <sz val="10"/>
      <color theme="1"/>
      <name val="Arial Narrow"/>
      <family val="2"/>
    </font>
    <font>
      <b/>
      <sz val="10"/>
      <color theme="1"/>
      <name val="Arial Narrow"/>
      <family val="2"/>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11"/>
      <color theme="1"/>
      <name val="Arial Narrow"/>
      <family val="2"/>
    </font>
    <font>
      <b/>
      <sz val="14"/>
      <color theme="0"/>
      <name val="Arial Narrow"/>
      <family val="2"/>
    </font>
    <font>
      <b/>
      <sz val="14"/>
      <name val="Arial Narrow"/>
      <family val="2"/>
    </font>
    <font>
      <b/>
      <sz val="15"/>
      <name val="Arial Narrow"/>
      <family val="2"/>
    </font>
    <font>
      <b/>
      <sz val="12"/>
      <color theme="1"/>
      <name val="Arial Narrow"/>
      <family val="2"/>
    </font>
    <font>
      <sz val="12"/>
      <color theme="1"/>
      <name val="Arial Narrow"/>
      <family val="2"/>
    </font>
    <font>
      <b/>
      <sz val="12"/>
      <name val="Arial Narrow"/>
      <family val="2"/>
    </font>
    <font>
      <b/>
      <sz val="11"/>
      <name val="Arial Narrow"/>
      <family val="2"/>
    </font>
    <font>
      <i/>
      <sz val="12"/>
      <name val="Arial Narrow"/>
      <family val="2"/>
    </font>
    <font>
      <sz val="12"/>
      <name val="Arial Narrow"/>
      <family val="2"/>
    </font>
    <font>
      <sz val="11"/>
      <name val="Arial Narrow"/>
      <family val="2"/>
    </font>
    <font>
      <sz val="8"/>
      <name val="Arial Narrow"/>
      <family val="2"/>
    </font>
    <font>
      <sz val="15"/>
      <name val="Arial Narrow"/>
      <family val="2"/>
    </font>
    <font>
      <u/>
      <sz val="10"/>
      <color theme="10"/>
      <name val="Arial Narrow"/>
      <family val="2"/>
    </font>
    <font>
      <sz val="14"/>
      <color theme="0"/>
      <name val="Arial Narrow"/>
      <family val="2"/>
    </font>
    <font>
      <sz val="14"/>
      <color rgb="FFFF0000"/>
      <name val="Arial Narrow"/>
      <family val="2"/>
    </font>
    <font>
      <sz val="14"/>
      <name val="Arial Narrow"/>
      <family val="2"/>
    </font>
    <font>
      <b/>
      <sz val="14"/>
      <color rgb="FFFF0000"/>
      <name val="Arial Narrow"/>
      <family val="2"/>
    </font>
    <font>
      <b/>
      <sz val="13"/>
      <name val="Arial Narrow"/>
      <family val="2"/>
    </font>
    <font>
      <b/>
      <sz val="11"/>
      <color theme="1"/>
      <name val="Arial Narrow"/>
      <family val="2"/>
    </font>
    <font>
      <sz val="14"/>
      <color theme="1"/>
      <name val="Arial Narrow"/>
      <family val="2"/>
    </font>
    <font>
      <u/>
      <sz val="14"/>
      <color theme="10"/>
      <name val="Arial Narrow"/>
      <family val="2"/>
    </font>
    <font>
      <sz val="13"/>
      <color theme="1"/>
      <name val="Arial Narrow"/>
      <family val="2"/>
    </font>
    <font>
      <b/>
      <sz val="13"/>
      <color theme="1"/>
      <name val="Arial Narrow"/>
      <family val="2"/>
    </font>
    <font>
      <i/>
      <sz val="14"/>
      <name val="Arial Narrow"/>
      <family val="2"/>
    </font>
    <font>
      <u/>
      <sz val="14"/>
      <name val="Arial Narrow"/>
      <family val="2"/>
    </font>
    <font>
      <b/>
      <u/>
      <sz val="14"/>
      <color rgb="FFFF0000"/>
      <name val="Arial Narrow"/>
      <family val="2"/>
    </font>
    <font>
      <b/>
      <u/>
      <sz val="14"/>
      <name val="Arial Narrow"/>
      <family val="2"/>
    </font>
    <font>
      <sz val="13"/>
      <color rgb="FFFF0000"/>
      <name val="Arial Narrow"/>
      <family val="2"/>
    </font>
    <font>
      <u/>
      <sz val="13"/>
      <color theme="10"/>
      <name val="Arial Narrow"/>
      <family val="2"/>
    </font>
    <font>
      <sz val="13"/>
      <name val="Arial Narrow"/>
      <family val="2"/>
    </font>
    <font>
      <b/>
      <sz val="13"/>
      <color rgb="FFFF0000"/>
      <name val="Arial Narrow"/>
      <family val="2"/>
    </font>
    <font>
      <b/>
      <sz val="13"/>
      <color theme="0"/>
      <name val="Arial Narrow"/>
      <family val="2"/>
    </font>
    <font>
      <b/>
      <sz val="14"/>
      <color theme="1"/>
      <name val="Arial Narrow"/>
      <family val="2"/>
    </font>
    <font>
      <i/>
      <sz val="14"/>
      <color theme="1"/>
      <name val="Arial Narrow"/>
      <family val="2"/>
    </font>
    <font>
      <b/>
      <sz val="9"/>
      <color theme="0"/>
      <name val="Arial Narrow"/>
      <family val="2"/>
    </font>
    <font>
      <i/>
      <sz val="13"/>
      <color theme="1"/>
      <name val="Arial Narrow"/>
      <family val="2"/>
    </font>
    <font>
      <b/>
      <sz val="13"/>
      <color rgb="FF000000"/>
      <name val="Arial Narrow"/>
      <family val="2"/>
    </font>
    <font>
      <u/>
      <sz val="13"/>
      <color theme="1"/>
      <name val="Arial Narrow"/>
      <family val="2"/>
    </font>
    <font>
      <b/>
      <u/>
      <sz val="13"/>
      <color theme="1"/>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sz val="13"/>
      <color rgb="FF0000FF"/>
      <name val="Arial Narrow"/>
      <family val="2"/>
    </font>
    <font>
      <b/>
      <u/>
      <sz val="13"/>
      <name val="Arial Narrow"/>
      <family val="2"/>
    </font>
    <font>
      <sz val="13"/>
      <color rgb="FF00B050"/>
      <name val="Arial Narrow"/>
      <family val="2"/>
    </font>
    <font>
      <sz val="13"/>
      <color rgb="FF000000"/>
      <name val="Arial Narrow"/>
      <family val="2"/>
    </font>
    <font>
      <i/>
      <sz val="13"/>
      <color rgb="FF000000"/>
      <name val="Arial Narrow"/>
      <family val="2"/>
    </font>
    <font>
      <i/>
      <sz val="13"/>
      <name val="Arial Narrow"/>
      <family val="2"/>
    </font>
    <font>
      <b/>
      <sz val="13"/>
      <color rgb="FF0000FF"/>
      <name val="Arial Narrow"/>
      <family val="2"/>
    </font>
    <font>
      <b/>
      <u/>
      <sz val="11"/>
      <name val="Arial Narrow"/>
      <family val="2"/>
    </font>
    <font>
      <b/>
      <sz val="11"/>
      <color theme="0"/>
      <name val="Arial Narrow"/>
      <family val="2"/>
    </font>
    <font>
      <sz val="11"/>
      <color rgb="FF000000"/>
      <name val="Arial Narrow"/>
      <family val="2"/>
    </font>
    <font>
      <b/>
      <u/>
      <sz val="10"/>
      <color theme="1"/>
      <name val="Arial Narrow"/>
      <family val="2"/>
    </font>
    <font>
      <b/>
      <sz val="4"/>
      <color theme="1"/>
      <name val="Arial Narrow"/>
      <family val="2"/>
    </font>
    <font>
      <b/>
      <sz val="10"/>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0"/>
      <color theme="0"/>
      <name val="Arial Narrow"/>
      <family val="2"/>
    </font>
    <font>
      <sz val="9"/>
      <name val="Arial Narrow"/>
      <family val="2"/>
    </font>
    <font>
      <sz val="11"/>
      <color rgb="FF00B050"/>
      <name val="Arial Narrow"/>
      <family val="2"/>
    </font>
    <font>
      <sz val="10"/>
      <color rgb="FF00B050"/>
      <name val="Arial Narrow"/>
      <family val="2"/>
    </font>
    <font>
      <b/>
      <sz val="11"/>
      <name val="Times New Roman"/>
      <family val="1"/>
    </font>
    <font>
      <sz val="12"/>
      <color theme="1"/>
      <name val="Times New Roman"/>
      <family val="1"/>
    </font>
    <font>
      <b/>
      <sz val="9"/>
      <name val="Arial"/>
      <family val="2"/>
    </font>
    <font>
      <sz val="11"/>
      <color rgb="FF9C5700"/>
      <name val="Calibri"/>
      <family val="2"/>
      <scheme val="minor"/>
    </font>
    <font>
      <sz val="12"/>
      <color theme="1"/>
      <name val="Calibri"/>
      <family val="2"/>
      <scheme val="minor"/>
    </font>
    <font>
      <sz val="11"/>
      <color indexed="8"/>
      <name val="Calibri"/>
      <family val="2"/>
      <scheme val="minor"/>
    </font>
    <font>
      <sz val="10"/>
      <color rgb="FF000000"/>
      <name val="Times New Roman"/>
      <family val="1"/>
    </font>
    <font>
      <sz val="11"/>
      <color indexed="18"/>
      <name val="Calibri"/>
      <family val="2"/>
    </font>
    <font>
      <sz val="10"/>
      <name val="Arial"/>
      <family val="2"/>
      <charset val="1"/>
    </font>
    <font>
      <sz val="10"/>
      <name val="Calibri"/>
      <family val="1"/>
      <scheme val="minor"/>
    </font>
    <font>
      <sz val="11"/>
      <color theme="1"/>
      <name val="Agency FB"/>
      <family val="2"/>
    </font>
    <font>
      <sz val="11"/>
      <color rgb="FF3F3F76"/>
      <name val="Agency FB"/>
      <family val="2"/>
    </font>
    <font>
      <b/>
      <sz val="11"/>
      <color rgb="FFFA7D00"/>
      <name val="Agency FB"/>
      <family val="2"/>
    </font>
    <font>
      <sz val="11"/>
      <color indexed="8"/>
      <name val="Arial"/>
      <family val="2"/>
    </font>
    <font>
      <sz val="10"/>
      <name val="Courier"/>
      <family val="3"/>
    </font>
    <font>
      <sz val="10"/>
      <name val="Courier"/>
    </font>
    <font>
      <sz val="10"/>
      <name val="MS Sans Serif"/>
      <family val="2"/>
    </font>
    <font>
      <u/>
      <sz val="7.5"/>
      <color indexed="12"/>
      <name val="Courier"/>
      <family val="3"/>
    </font>
    <font>
      <sz val="11"/>
      <color theme="1"/>
      <name val="Calibri"/>
      <family val="2"/>
    </font>
    <font>
      <u/>
      <sz val="10"/>
      <color theme="10"/>
      <name val="MS Sans Serif"/>
      <family val="2"/>
    </font>
    <font>
      <sz val="11"/>
      <color indexed="8"/>
      <name val="Calibri"/>
      <family val="2"/>
      <charset val="1"/>
    </font>
    <font>
      <sz val="12"/>
      <name val="Arial"/>
      <family val="2"/>
    </font>
    <font>
      <sz val="10"/>
      <name val="Verdana"/>
      <family val="2"/>
    </font>
    <font>
      <sz val="8"/>
      <name val="Verdana"/>
      <family val="2"/>
    </font>
    <font>
      <sz val="11"/>
      <color theme="1"/>
      <name val="Calibri"/>
      <family val="2"/>
      <charset val="238"/>
      <scheme val="minor"/>
    </font>
    <font>
      <b/>
      <sz val="12"/>
      <name val="Arial"/>
      <family val="2"/>
    </font>
    <font>
      <b/>
      <sz val="11"/>
      <color theme="0"/>
      <name val="Arial"/>
      <family val="2"/>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rgb="FF000000"/>
      <name val="Arial"/>
      <family val="2"/>
    </font>
    <font>
      <u/>
      <sz val="11"/>
      <color theme="10"/>
      <name val="Calibri"/>
      <family val="2"/>
      <charset val="238"/>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2060"/>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79998168889431442"/>
        <bgColor indexed="64"/>
      </patternFill>
    </fill>
    <fill>
      <patternFill patternType="solid">
        <fgColor rgb="FF000066"/>
        <bgColor indexed="64"/>
      </patternFill>
    </fill>
    <fill>
      <patternFill patternType="solid">
        <fgColor rgb="FFFFFF00"/>
        <bgColor indexed="64"/>
      </patternFill>
    </fill>
    <fill>
      <gradientFill degree="90">
        <stop position="0">
          <color theme="0"/>
        </stop>
        <stop position="1">
          <color theme="4" tint="0.80001220740379042"/>
        </stop>
      </gradientFill>
    </fill>
    <fill>
      <patternFill patternType="solid">
        <fgColor theme="9" tint="-0.249977111117893"/>
        <bgColor indexed="64"/>
      </patternFill>
    </fill>
    <fill>
      <patternFill patternType="solid">
        <fgColor theme="0" tint="-0.249977111117893"/>
        <bgColor indexed="64"/>
      </patternFill>
    </fill>
    <fill>
      <patternFill patternType="solid">
        <fgColor auto="1"/>
        <bgColor indexed="64"/>
      </patternFill>
    </fill>
    <fill>
      <gradientFill degree="270">
        <stop position="0">
          <color theme="0"/>
        </stop>
        <stop position="1">
          <color theme="4" tint="0.80001220740379042"/>
        </stop>
      </gradientFill>
    </fill>
    <fill>
      <patternFill patternType="solid">
        <fgColor theme="6" tint="0.79998168889431442"/>
        <bgColor theme="6" tint="0.79998168889431442"/>
      </patternFill>
    </fill>
    <fill>
      <patternFill patternType="solid">
        <fgColor rgb="FF92D05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style="thin">
        <color theme="0"/>
      </right>
      <top style="thin">
        <color theme="0"/>
      </top>
      <bottom/>
      <diagonal/>
    </border>
  </borders>
  <cellStyleXfs count="5865">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1" fillId="0" borderId="0"/>
    <xf numFmtId="0" fontId="21" fillId="0" borderId="0"/>
    <xf numFmtId="0" fontId="22" fillId="0" borderId="0"/>
    <xf numFmtId="0" fontId="21"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35"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0" fontId="43"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169" fontId="1" fillId="0" borderId="0" applyFont="0" applyFill="0" applyBorder="0" applyAlignment="0" applyProtection="0"/>
    <xf numFmtId="9" fontId="21" fillId="0" borderId="0" applyFont="0" applyFill="0" applyBorder="0" applyAlignment="0" applyProtection="0"/>
    <xf numFmtId="0" fontId="1" fillId="0" borderId="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0" fontId="21" fillId="0" borderId="0"/>
    <xf numFmtId="0" fontId="1" fillId="0" borderId="0"/>
    <xf numFmtId="169" fontId="1" fillId="0" borderId="0" applyFont="0" applyFill="0" applyBorder="0" applyAlignment="0" applyProtection="0"/>
    <xf numFmtId="182" fontId="21" fillId="0" borderId="0" applyFont="0" applyFill="0" applyBorder="0" applyAlignment="0" applyProtection="0"/>
    <xf numFmtId="166" fontId="1" fillId="0" borderId="0" applyFont="0" applyFill="0" applyBorder="0" applyAlignment="0" applyProtection="0"/>
    <xf numFmtId="0" fontId="45" fillId="0" borderId="0"/>
    <xf numFmtId="0" fontId="21"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48"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1" fillId="0" borderId="0"/>
    <xf numFmtId="166"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41" fillId="4"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12" borderId="0" applyNumberFormat="0" applyBorder="0" applyAlignment="0" applyProtection="0"/>
    <xf numFmtId="166" fontId="1" fillId="0" borderId="0" applyFont="0" applyFill="0" applyBorder="0" applyAlignment="0" applyProtection="0"/>
    <xf numFmtId="0" fontId="1" fillId="16" borderId="0" applyNumberFormat="0" applyBorder="0" applyAlignment="0" applyProtection="0"/>
    <xf numFmtId="192" fontId="21" fillId="0" borderId="0" applyFont="0" applyFill="0" applyBorder="0" applyAlignment="0" applyProtection="0"/>
    <xf numFmtId="0" fontId="1" fillId="20" borderId="0" applyNumberFormat="0" applyBorder="0" applyAlignment="0" applyProtection="0"/>
    <xf numFmtId="166" fontId="1" fillId="0" borderId="0" applyFon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88"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8" fillId="0" borderId="0">
      <alignment vertical="top"/>
    </xf>
    <xf numFmtId="0" fontId="53" fillId="0" borderId="0"/>
    <xf numFmtId="165" fontId="1" fillId="0" borderId="0" applyFont="0" applyFill="0" applyBorder="0" applyAlignment="0" applyProtection="0"/>
    <xf numFmtId="165" fontId="38" fillId="0" borderId="0" applyFont="0" applyFill="0" applyBorder="0" applyAlignment="0" applyProtection="0"/>
    <xf numFmtId="0" fontId="53" fillId="0" borderId="0"/>
    <xf numFmtId="166" fontId="1" fillId="0" borderId="0" applyFont="0" applyFill="0" applyBorder="0" applyAlignment="0" applyProtection="0"/>
    <xf numFmtId="169" fontId="1" fillId="0" borderId="0" applyFont="0" applyFill="0" applyBorder="0" applyAlignment="0" applyProtection="0"/>
    <xf numFmtId="0" fontId="21" fillId="0" borderId="0"/>
    <xf numFmtId="0" fontId="142" fillId="0" borderId="0"/>
    <xf numFmtId="169" fontId="14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0" fontId="21" fillId="0" borderId="0"/>
    <xf numFmtId="9" fontId="1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42"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43" fillId="0" borderId="0"/>
    <xf numFmtId="0" fontId="21" fillId="0" borderId="0"/>
    <xf numFmtId="0" fontId="21" fillId="0" borderId="0"/>
    <xf numFmtId="0" fontId="144"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0" fontId="145" fillId="0" borderId="0">
      <alignment vertical="top"/>
    </xf>
    <xf numFmtId="165" fontId="1" fillId="0" borderId="0" applyFont="0" applyFill="0" applyBorder="0" applyAlignment="0" applyProtection="0"/>
    <xf numFmtId="9" fontId="145" fillId="0" borderId="0" applyFont="0" applyFill="0" applyBorder="0" applyAlignment="0" applyProtection="0"/>
    <xf numFmtId="0" fontId="146" fillId="0" borderId="0"/>
    <xf numFmtId="0" fontId="21" fillId="0" borderId="0"/>
    <xf numFmtId="166" fontId="21" fillId="0" borderId="0" applyFill="0" applyBorder="0" applyAlignment="0" applyProtection="0"/>
    <xf numFmtId="165" fontId="145"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0" fontId="43" fillId="0" borderId="0"/>
    <xf numFmtId="19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191" fontId="2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47" fillId="0" borderId="0"/>
    <xf numFmtId="44" fontId="21" fillId="0" borderId="0" applyFont="0" applyFill="0" applyBorder="0" applyAlignment="0" applyProtection="0"/>
    <xf numFmtId="0" fontId="148" fillId="52" borderId="0" applyNumberFormat="0" applyBorder="0" applyAlignment="0" applyProtection="0"/>
    <xf numFmtId="0" fontId="149" fillId="5" borderId="4" applyNumberFormat="0" applyAlignment="0" applyProtection="0"/>
    <xf numFmtId="0" fontId="150" fillId="6" borderId="4" applyNumberFormat="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7" fontId="152" fillId="0" borderId="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3" fillId="0" borderId="0"/>
    <xf numFmtId="43" fontId="1" fillId="0" borderId="0" applyFont="0" applyFill="0" applyBorder="0" applyAlignment="0" applyProtection="0"/>
    <xf numFmtId="165" fontId="18"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80"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37" fontId="153" fillId="0" borderId="0"/>
    <xf numFmtId="0" fontId="155" fillId="0" borderId="0" applyNumberFormat="0" applyFill="0" applyBorder="0" applyAlignment="0" applyProtection="0">
      <alignment vertical="top"/>
      <protection locked="0"/>
    </xf>
    <xf numFmtId="40" fontId="154" fillId="0" borderId="0" applyFont="0" applyFill="0" applyBorder="0" applyAlignment="0" applyProtection="0"/>
    <xf numFmtId="38" fontId="154"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40" fontId="154" fillId="0" borderId="0" applyFont="0" applyFill="0" applyBorder="0" applyAlignment="0" applyProtection="0"/>
    <xf numFmtId="166"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166" fontId="21" fillId="0" borderId="0" applyFont="0" applyFill="0" applyBorder="0" applyAlignment="0" applyProtection="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1" fillId="0" borderId="0"/>
    <xf numFmtId="0" fontId="21"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21" fillId="0" borderId="0"/>
    <xf numFmtId="0" fontId="21" fillId="0" borderId="0"/>
    <xf numFmtId="0" fontId="21" fillId="0" borderId="0"/>
    <xf numFmtId="0" fontId="21" fillId="0" borderId="0"/>
    <xf numFmtId="0" fontId="21" fillId="0" borderId="0"/>
    <xf numFmtId="0" fontId="21"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156" fillId="0" borderId="0"/>
    <xf numFmtId="0" fontId="156" fillId="0" borderId="0"/>
    <xf numFmtId="0" fontId="156"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1"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1"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21" fillId="0" borderId="0"/>
    <xf numFmtId="0" fontId="21" fillId="0" borderId="0"/>
    <xf numFmtId="0" fontId="21" fillId="0" borderId="0"/>
    <xf numFmtId="0" fontId="21" fillId="0" borderId="0"/>
    <xf numFmtId="0" fontId="21" fillId="0" borderId="0"/>
    <xf numFmtId="0" fontId="21" fillId="0" borderId="0"/>
    <xf numFmtId="37" fontId="152" fillId="0" borderId="0"/>
    <xf numFmtId="0" fontId="43" fillId="8" borderId="8" applyNumberFormat="0" applyFont="0" applyAlignment="0" applyProtection="0"/>
    <xf numFmtId="0" fontId="1" fillId="8" borderId="8" applyNumberFormat="0" applyFont="0" applyAlignment="0" applyProtection="0"/>
    <xf numFmtId="0" fontId="43" fillId="8" borderId="8" applyNumberFormat="0" applyFont="0" applyAlignment="0" applyProtection="0"/>
    <xf numFmtId="9" fontId="154"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154" fillId="0" borderId="0" applyFont="0" applyFill="0" applyBorder="0" applyAlignment="0" applyProtection="0"/>
    <xf numFmtId="9" fontId="43" fillId="0" borderId="0" applyFont="0" applyFill="0" applyBorder="0" applyAlignment="0" applyProtection="0"/>
    <xf numFmtId="9" fontId="154" fillId="0" borderId="0" applyFont="0" applyFill="0" applyBorder="0" applyAlignment="0" applyProtection="0"/>
    <xf numFmtId="9" fontId="43" fillId="0" borderId="0" applyFont="0" applyFill="0" applyBorder="0" applyAlignment="0" applyProtection="0"/>
    <xf numFmtId="9" fontId="154" fillId="0" borderId="0" applyFont="0" applyFill="0" applyBorder="0" applyAlignment="0" applyProtection="0"/>
    <xf numFmtId="9" fontId="43"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15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38" fontId="154" fillId="0" borderId="0" applyFont="0" applyBorder="0" applyAlignment="0" applyProtection="0"/>
    <xf numFmtId="43" fontId="152" fillId="0" borderId="0" applyFont="0" applyFill="0" applyBorder="0" applyAlignment="0" applyProtection="0"/>
    <xf numFmtId="43" fontId="152" fillId="0" borderId="0" applyFont="0" applyFill="0" applyBorder="0" applyAlignment="0" applyProtection="0"/>
    <xf numFmtId="37" fontId="152" fillId="0" borderId="0"/>
    <xf numFmtId="37" fontId="152" fillId="0" borderId="0"/>
    <xf numFmtId="37" fontId="152" fillId="0" borderId="0"/>
    <xf numFmtId="0" fontId="1" fillId="0" borderId="0"/>
    <xf numFmtId="0" fontId="156"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37" fontId="152" fillId="0" borderId="0"/>
    <xf numFmtId="0" fontId="1" fillId="0" borderId="0"/>
    <xf numFmtId="37" fontId="152" fillId="0" borderId="0"/>
    <xf numFmtId="37" fontId="152" fillId="0" borderId="0"/>
    <xf numFmtId="37" fontId="152" fillId="0" borderId="0"/>
    <xf numFmtId="166" fontId="1" fillId="0" borderId="0" applyFont="0" applyFill="0" applyBorder="0" applyAlignment="0" applyProtection="0"/>
    <xf numFmtId="0" fontId="156" fillId="0" borderId="0"/>
    <xf numFmtId="0" fontId="1" fillId="0" borderId="0"/>
    <xf numFmtId="37" fontId="152" fillId="0" borderId="0"/>
    <xf numFmtId="37" fontId="152" fillId="0" borderId="0"/>
    <xf numFmtId="0" fontId="156" fillId="0" borderId="0"/>
    <xf numFmtId="0" fontId="156" fillId="0" borderId="0"/>
    <xf numFmtId="0" fontId="156" fillId="0" borderId="0"/>
    <xf numFmtId="0" fontId="156" fillId="0" borderId="0"/>
    <xf numFmtId="0" fontId="43" fillId="8" borderId="8" applyNumberFormat="0" applyFont="0" applyAlignment="0" applyProtection="0"/>
    <xf numFmtId="9" fontId="154" fillId="0" borderId="0" applyFont="0" applyFill="0" applyBorder="0" applyAlignment="0" applyProtection="0"/>
    <xf numFmtId="9"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0" fontId="21" fillId="0" borderId="0" applyNumberFormat="0" applyFill="0" applyBorder="0" applyAlignment="0" applyProtection="0"/>
    <xf numFmtId="0" fontId="21" fillId="0" borderId="0"/>
    <xf numFmtId="0" fontId="21" fillId="0" borderId="0"/>
    <xf numFmtId="0" fontId="1" fillId="0" borderId="0"/>
    <xf numFmtId="43" fontId="43" fillId="0" borderId="0" applyFont="0" applyFill="0" applyBorder="0" applyAlignment="0" applyProtection="0"/>
    <xf numFmtId="0" fontId="21" fillId="0" borderId="0"/>
    <xf numFmtId="166" fontId="2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1" fillId="0" borderId="0" applyFont="0" applyFill="0" applyBorder="0" applyAlignment="0" applyProtection="0"/>
    <xf numFmtId="0" fontId="21" fillId="0" borderId="0" applyNumberFormat="0" applyFill="0" applyBorder="0" applyAlignment="0" applyProtection="0"/>
    <xf numFmtId="0" fontId="1" fillId="0" borderId="0"/>
    <xf numFmtId="0" fontId="21" fillId="0" borderId="0"/>
    <xf numFmtId="43" fontId="21" fillId="0" borderId="0" applyFont="0" applyFill="0" applyBorder="0" applyAlignment="0" applyProtection="0"/>
    <xf numFmtId="43" fontId="1" fillId="0" borderId="0" applyFont="0" applyFill="0" applyBorder="0" applyAlignment="0" applyProtection="0"/>
    <xf numFmtId="0" fontId="18" fillId="0" borderId="0"/>
    <xf numFmtId="41" fontId="21" fillId="0" borderId="0" applyFont="0" applyFill="0" applyBorder="0" applyAlignment="0" applyProtection="0"/>
    <xf numFmtId="43" fontId="1" fillId="0" borderId="0" applyFont="0" applyFill="0" applyBorder="0" applyAlignment="0" applyProtection="0"/>
    <xf numFmtId="0" fontId="18" fillId="0" borderId="0"/>
    <xf numFmtId="0" fontId="21" fillId="0" borderId="0"/>
    <xf numFmtId="43" fontId="43"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154" fillId="0" borderId="0"/>
    <xf numFmtId="169" fontId="1" fillId="0" borderId="0" applyFont="0" applyFill="0" applyBorder="0" applyAlignment="0" applyProtection="0"/>
    <xf numFmtId="0" fontId="157" fillId="0" borderId="0" applyNumberFormat="0" applyFill="0" applyBorder="0" applyAlignment="0" applyProtection="0"/>
    <xf numFmtId="0" fontId="158" fillId="0" borderId="0"/>
    <xf numFmtId="0" fontId="143" fillId="0" borderId="0"/>
    <xf numFmtId="0" fontId="154" fillId="0" borderId="0"/>
    <xf numFmtId="169" fontId="154"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xf numFmtId="182" fontId="21" fillId="0" borderId="0" applyFont="0" applyFill="0" applyBorder="0" applyAlignment="0" applyProtection="0"/>
    <xf numFmtId="43" fontId="21" fillId="0" borderId="0" applyFont="0" applyFill="0" applyBorder="0" applyAlignment="0" applyProtection="0"/>
    <xf numFmtId="182"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7" fillId="0" borderId="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59" fillId="0" borderId="0"/>
    <xf numFmtId="0" fontId="1" fillId="0" borderId="0"/>
    <xf numFmtId="171" fontId="21" fillId="0" borderId="0"/>
    <xf numFmtId="166" fontId="21" fillId="0" borderId="0" applyFont="0" applyFill="0" applyBorder="0" applyAlignment="0" applyProtection="0"/>
    <xf numFmtId="165" fontId="160"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93" fontId="160" fillId="0" borderId="0"/>
    <xf numFmtId="9" fontId="161" fillId="0" borderId="0" applyFont="0" applyFill="0" applyBorder="0" applyAlignment="0" applyProtection="0"/>
    <xf numFmtId="0" fontId="21" fillId="0" borderId="0"/>
    <xf numFmtId="9" fontId="21" fillId="0" borderId="0" applyFill="0" applyBorder="0" applyAlignment="0" applyProtection="0"/>
    <xf numFmtId="195" fontId="21" fillId="0" borderId="0" applyFont="0" applyFill="0" applyBorder="0" applyAlignment="0" applyProtection="0"/>
    <xf numFmtId="0" fontId="21" fillId="0" borderId="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41" fontId="21" fillId="0" borderId="0" applyFont="0" applyFill="0" applyBorder="0" applyAlignment="0" applyProtection="0"/>
    <xf numFmtId="19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3" fillId="0" borderId="0"/>
    <xf numFmtId="0" fontId="21" fillId="0" borderId="0"/>
    <xf numFmtId="0" fontId="21" fillId="0" borderId="0"/>
    <xf numFmtId="0" fontId="21" fillId="0" borderId="0" applyNumberFormat="0" applyFont="0" applyFill="0" applyBorder="0" applyAlignment="0" applyProtection="0">
      <alignment vertical="top"/>
    </xf>
    <xf numFmtId="0" fontId="21" fillId="0" borderId="0" applyNumberFormat="0" applyFont="0" applyFill="0" applyBorder="0" applyAlignment="0" applyProtection="0">
      <alignment vertical="top"/>
    </xf>
    <xf numFmtId="9" fontId="21"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5" fontId="160"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xf numFmtId="166"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89" fontId="21"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51" fillId="0" borderId="0"/>
    <xf numFmtId="0" fontId="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xf numFmtId="166" fontId="43"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38" fillId="0" borderId="0">
      <alignment vertical="top"/>
    </xf>
    <xf numFmtId="0" fontId="38" fillId="0" borderId="0">
      <alignment vertical="top"/>
    </xf>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21" fillId="0" borderId="0" applyFont="0" applyFill="0" applyBorder="0" applyAlignment="0" applyProtection="0"/>
    <xf numFmtId="165" fontId="162" fillId="0" borderId="0" applyFont="0" applyFill="0" applyBorder="0" applyAlignment="0" applyProtection="0"/>
    <xf numFmtId="0" fontId="29" fillId="0" borderId="0">
      <alignment vertical="top"/>
    </xf>
    <xf numFmtId="0" fontId="1" fillId="0" borderId="0"/>
    <xf numFmtId="166" fontId="1"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0" fontId="43" fillId="0" borderId="0"/>
    <xf numFmtId="166" fontId="21" fillId="0" borderId="0" applyFont="0" applyFill="0" applyBorder="0" applyAlignment="0" applyProtection="0"/>
    <xf numFmtId="165" fontId="1" fillId="0" borderId="0" applyFont="0" applyFill="0" applyBorder="0" applyAlignment="0" applyProtection="0"/>
    <xf numFmtId="165" fontId="160"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5" fontId="160"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5" fontId="160"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4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21" fillId="0" borderId="0" applyFont="0" applyFill="0" applyBorder="0" applyAlignment="0" applyProtection="0"/>
    <xf numFmtId="165" fontId="1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5" fontId="160"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162" fillId="0" borderId="0"/>
    <xf numFmtId="0" fontId="165" fillId="0" borderId="0" applyNumberFormat="0" applyFill="0" applyBorder="0" applyAlignment="0" applyProtection="0"/>
    <xf numFmtId="0" fontId="166" fillId="0" borderId="1" applyNumberFormat="0" applyFill="0" applyAlignment="0" applyProtection="0"/>
    <xf numFmtId="0" fontId="167" fillId="0" borderId="2" applyNumberFormat="0" applyFill="0" applyAlignment="0" applyProtection="0"/>
    <xf numFmtId="0" fontId="168" fillId="0" borderId="3" applyNumberFormat="0" applyFill="0" applyAlignment="0" applyProtection="0"/>
    <xf numFmtId="0" fontId="168" fillId="0" borderId="0" applyNumberFormat="0" applyFill="0" applyBorder="0" applyAlignment="0" applyProtection="0"/>
    <xf numFmtId="0" fontId="169" fillId="2" borderId="0" applyNumberFormat="0" applyBorder="0" applyAlignment="0" applyProtection="0"/>
    <xf numFmtId="0" fontId="170" fillId="3" borderId="0" applyNumberFormat="0" applyBorder="0" applyAlignment="0" applyProtection="0"/>
    <xf numFmtId="0" fontId="171" fillId="4" borderId="0" applyNumberFormat="0" applyBorder="0" applyAlignment="0" applyProtection="0"/>
    <xf numFmtId="0" fontId="172" fillId="5" borderId="4" applyNumberFormat="0" applyAlignment="0" applyProtection="0"/>
    <xf numFmtId="0" fontId="173" fillId="6" borderId="5" applyNumberFormat="0" applyAlignment="0" applyProtection="0"/>
    <xf numFmtId="0" fontId="174" fillId="6" borderId="4" applyNumberFormat="0" applyAlignment="0" applyProtection="0"/>
    <xf numFmtId="0" fontId="175" fillId="0" borderId="6" applyNumberFormat="0" applyFill="0" applyAlignment="0" applyProtection="0"/>
    <xf numFmtId="0" fontId="176" fillId="7" borderId="7" applyNumberFormat="0" applyAlignment="0" applyProtection="0"/>
    <xf numFmtId="0" fontId="177" fillId="0" borderId="0" applyNumberFormat="0" applyFill="0" applyBorder="0" applyAlignment="0" applyProtection="0"/>
    <xf numFmtId="0" fontId="162" fillId="8" borderId="8" applyNumberFormat="0" applyFont="0" applyAlignment="0" applyProtection="0"/>
    <xf numFmtId="0" fontId="178" fillId="0" borderId="0" applyNumberFormat="0" applyFill="0" applyBorder="0" applyAlignment="0" applyProtection="0"/>
    <xf numFmtId="0" fontId="179" fillId="0" borderId="9" applyNumberFormat="0" applyFill="0" applyAlignment="0" applyProtection="0"/>
    <xf numFmtId="0" fontId="180" fillId="9" borderId="0" applyNumberFormat="0" applyBorder="0" applyAlignment="0" applyProtection="0"/>
    <xf numFmtId="0" fontId="162" fillId="10" borderId="0" applyNumberFormat="0" applyBorder="0" applyAlignment="0" applyProtection="0"/>
    <xf numFmtId="0" fontId="162" fillId="11" borderId="0" applyNumberFormat="0" applyBorder="0" applyAlignment="0" applyProtection="0"/>
    <xf numFmtId="0" fontId="180" fillId="12" borderId="0" applyNumberFormat="0" applyBorder="0" applyAlignment="0" applyProtection="0"/>
    <xf numFmtId="0" fontId="180" fillId="13" borderId="0" applyNumberFormat="0" applyBorder="0" applyAlignment="0" applyProtection="0"/>
    <xf numFmtId="0" fontId="162" fillId="14" borderId="0" applyNumberFormat="0" applyBorder="0" applyAlignment="0" applyProtection="0"/>
    <xf numFmtId="0" fontId="162" fillId="15" borderId="0" applyNumberFormat="0" applyBorder="0" applyAlignment="0" applyProtection="0"/>
    <xf numFmtId="0" fontId="180" fillId="16" borderId="0" applyNumberFormat="0" applyBorder="0" applyAlignment="0" applyProtection="0"/>
    <xf numFmtId="0" fontId="180" fillId="17" borderId="0" applyNumberFormat="0" applyBorder="0" applyAlignment="0" applyProtection="0"/>
    <xf numFmtId="0" fontId="162" fillId="18" borderId="0" applyNumberFormat="0" applyBorder="0" applyAlignment="0" applyProtection="0"/>
    <xf numFmtId="0" fontId="162" fillId="19" borderId="0" applyNumberFormat="0" applyBorder="0" applyAlignment="0" applyProtection="0"/>
    <xf numFmtId="0" fontId="180" fillId="20" borderId="0" applyNumberFormat="0" applyBorder="0" applyAlignment="0" applyProtection="0"/>
    <xf numFmtId="0" fontId="180" fillId="21" borderId="0" applyNumberFormat="0" applyBorder="0" applyAlignment="0" applyProtection="0"/>
    <xf numFmtId="0" fontId="162" fillId="22" borderId="0" applyNumberFormat="0" applyBorder="0" applyAlignment="0" applyProtection="0"/>
    <xf numFmtId="0" fontId="162" fillId="23" borderId="0" applyNumberFormat="0" applyBorder="0" applyAlignment="0" applyProtection="0"/>
    <xf numFmtId="0" fontId="180" fillId="24" borderId="0" applyNumberFormat="0" applyBorder="0" applyAlignment="0" applyProtection="0"/>
    <xf numFmtId="0" fontId="180" fillId="25" borderId="0" applyNumberFormat="0" applyBorder="0" applyAlignment="0" applyProtection="0"/>
    <xf numFmtId="0" fontId="162" fillId="26" borderId="0" applyNumberFormat="0" applyBorder="0" applyAlignment="0" applyProtection="0"/>
    <xf numFmtId="0" fontId="162" fillId="27" borderId="0" applyNumberFormat="0" applyBorder="0" applyAlignment="0" applyProtection="0"/>
    <xf numFmtId="0" fontId="180" fillId="28" borderId="0" applyNumberFormat="0" applyBorder="0" applyAlignment="0" applyProtection="0"/>
    <xf numFmtId="0" fontId="180" fillId="29" borderId="0" applyNumberFormat="0" applyBorder="0" applyAlignment="0" applyProtection="0"/>
    <xf numFmtId="0" fontId="162" fillId="30" borderId="0" applyNumberFormat="0" applyBorder="0" applyAlignment="0" applyProtection="0"/>
    <xf numFmtId="0" fontId="162" fillId="31" borderId="0" applyNumberFormat="0" applyBorder="0" applyAlignment="0" applyProtection="0"/>
    <xf numFmtId="0" fontId="180" fillId="32" borderId="0" applyNumberFormat="0" applyBorder="0" applyAlignment="0" applyProtection="0"/>
    <xf numFmtId="166" fontId="162" fillId="0" borderId="0" applyFont="0" applyFill="0" applyBorder="0" applyAlignment="0" applyProtection="0"/>
    <xf numFmtId="165" fontId="21" fillId="0" borderId="0" applyFill="0" applyBorder="0" applyAlignment="0" applyProtection="0"/>
    <xf numFmtId="165" fontId="21" fillId="0" borderId="0" applyFill="0" applyBorder="0" applyAlignment="0" applyProtection="0"/>
    <xf numFmtId="9" fontId="162" fillId="0" borderId="0" applyFont="0" applyFill="0" applyBorder="0" applyAlignment="0" applyProtection="0"/>
    <xf numFmtId="196" fontId="1" fillId="0" borderId="0"/>
    <xf numFmtId="165" fontId="1" fillId="0" borderId="0" applyFont="0" applyFill="0" applyBorder="0" applyAlignment="0" applyProtection="0"/>
    <xf numFmtId="0" fontId="1" fillId="0" borderId="0"/>
    <xf numFmtId="0" fontId="1" fillId="0" borderId="0"/>
    <xf numFmtId="166" fontId="44" fillId="0" borderId="0" applyFont="0" applyFill="0" applyBorder="0" applyAlignment="0" applyProtection="0"/>
    <xf numFmtId="165" fontId="162" fillId="0" borderId="0" applyFont="0" applyFill="0" applyBorder="0" applyAlignment="0" applyProtection="0"/>
    <xf numFmtId="166" fontId="1" fillId="0" borderId="0" applyFont="0" applyFill="0" applyBorder="0" applyAlignment="0" applyProtection="0"/>
    <xf numFmtId="166" fontId="162" fillId="0" borderId="0" applyFont="0" applyFill="0" applyBorder="0" applyAlignment="0" applyProtection="0"/>
    <xf numFmtId="165" fontId="21" fillId="0" borderId="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196"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2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21" fillId="0" borderId="0" applyFont="0" applyFill="0" applyBorder="0" applyAlignment="0" applyProtection="0"/>
    <xf numFmtId="0" fontId="1" fillId="0" borderId="0"/>
    <xf numFmtId="166" fontId="1" fillId="0" borderId="0" applyFont="0" applyFill="0" applyBorder="0" applyAlignment="0" applyProtection="0"/>
    <xf numFmtId="165" fontId="162" fillId="0" borderId="0" applyFont="0" applyFill="0" applyBorder="0" applyAlignment="0" applyProtection="0"/>
    <xf numFmtId="0" fontId="1" fillId="0" borderId="0"/>
    <xf numFmtId="0" fontId="1" fillId="0" borderId="0"/>
    <xf numFmtId="0" fontId="38" fillId="0" borderId="0">
      <alignment vertical="top"/>
    </xf>
    <xf numFmtId="0" fontId="41"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5" fontId="162" fillId="0" borderId="0" applyFont="0" applyFill="0" applyBorder="0" applyAlignment="0" applyProtection="0"/>
    <xf numFmtId="0" fontId="21" fillId="0" borderId="0" applyNumberForma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96" fontId="1" fillId="0" borderId="0"/>
    <xf numFmtId="0" fontId="1" fillId="0" borderId="0"/>
    <xf numFmtId="0" fontId="162" fillId="0" borderId="0"/>
    <xf numFmtId="0" fontId="1" fillId="0" borderId="0"/>
    <xf numFmtId="165" fontId="1" fillId="0" borderId="0" applyFont="0" applyFill="0" applyBorder="0" applyAlignment="0" applyProtection="0"/>
    <xf numFmtId="0" fontId="182"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166" fontId="43" fillId="0" borderId="0" applyFont="0" applyFill="0" applyBorder="0" applyAlignment="0" applyProtection="0"/>
    <xf numFmtId="165" fontId="1" fillId="0" borderId="0" applyFont="0" applyFill="0" applyBorder="0" applyAlignment="0" applyProtection="0"/>
    <xf numFmtId="0" fontId="162" fillId="0" borderId="0"/>
    <xf numFmtId="166" fontId="21" fillId="0" borderId="0" applyFont="0" applyFill="0" applyBorder="0" applyAlignment="0" applyProtection="0"/>
    <xf numFmtId="166" fontId="1" fillId="0" borderId="0" applyFont="0" applyFill="0" applyBorder="0" applyAlignment="0" applyProtection="0"/>
    <xf numFmtId="0" fontId="1" fillId="0" borderId="0"/>
    <xf numFmtId="0" fontId="162" fillId="0" borderId="0"/>
    <xf numFmtId="166" fontId="1" fillId="0" borderId="0" applyFont="0" applyFill="0" applyBorder="0" applyAlignment="0" applyProtection="0"/>
    <xf numFmtId="166" fontId="1" fillId="0" borderId="0" applyFont="0" applyFill="0" applyBorder="0" applyAlignment="0" applyProtection="0"/>
    <xf numFmtId="166" fontId="162" fillId="0" borderId="0" applyFont="0" applyFill="0" applyBorder="0" applyAlignment="0" applyProtection="0"/>
    <xf numFmtId="166" fontId="1" fillId="0" borderId="0" applyFont="0" applyFill="0" applyBorder="0" applyAlignment="0" applyProtection="0"/>
    <xf numFmtId="0" fontId="181" fillId="0" borderId="0" applyBorder="0">
      <alignment wrapText="1"/>
    </xf>
    <xf numFmtId="166"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1" fillId="0" borderId="0"/>
    <xf numFmtId="165" fontId="162" fillId="0" borderId="0" applyFont="0" applyFill="0" applyBorder="0" applyAlignment="0" applyProtection="0"/>
    <xf numFmtId="165" fontId="1" fillId="0" borderId="0" applyFont="0" applyFill="0" applyBorder="0" applyAlignment="0" applyProtection="0"/>
    <xf numFmtId="196"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43" fillId="0" borderId="0" applyFont="0" applyFill="0" applyBorder="0" applyAlignment="0" applyProtection="0"/>
    <xf numFmtId="165"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0" fontId="1" fillId="0" borderId="0"/>
    <xf numFmtId="166" fontId="1" fillId="0" borderId="0" applyFont="0" applyFill="0" applyBorder="0" applyAlignment="0" applyProtection="0"/>
    <xf numFmtId="166" fontId="162" fillId="0" borderId="0" applyFont="0" applyFill="0" applyBorder="0" applyAlignment="0" applyProtection="0"/>
    <xf numFmtId="9" fontId="16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62" fillId="0" borderId="0" applyFont="0" applyFill="0" applyBorder="0" applyAlignment="0" applyProtection="0"/>
    <xf numFmtId="165" fontId="21" fillId="0" borderId="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196"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44" fillId="0" borderId="0" applyFont="0" applyFill="0" applyBorder="0" applyAlignment="0" applyProtection="0"/>
    <xf numFmtId="0" fontId="1" fillId="0" borderId="0"/>
    <xf numFmtId="166" fontId="1" fillId="0" borderId="0" applyFont="0" applyFill="0" applyBorder="0" applyAlignment="0" applyProtection="0"/>
    <xf numFmtId="165" fontId="162"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62" fillId="0" borderId="0" applyFont="0" applyFill="0" applyBorder="0" applyAlignment="0" applyProtection="0"/>
    <xf numFmtId="165" fontId="21" fillId="0" borderId="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196"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2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4" fillId="0" borderId="0" applyFont="0" applyFill="0" applyBorder="0" applyAlignment="0" applyProtection="0"/>
    <xf numFmtId="166" fontId="21" fillId="0" borderId="0" applyFont="0" applyFill="0" applyBorder="0" applyAlignment="0" applyProtection="0"/>
    <xf numFmtId="0" fontId="1" fillId="0" borderId="0"/>
    <xf numFmtId="166" fontId="1" fillId="0" borderId="0" applyFont="0" applyFill="0" applyBorder="0" applyAlignment="0" applyProtection="0"/>
    <xf numFmtId="165" fontId="16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5" fontId="16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1" fillId="0" borderId="0"/>
    <xf numFmtId="165" fontId="1" fillId="0" borderId="0" applyFont="0" applyFill="0" applyBorder="0" applyAlignment="0" applyProtection="0"/>
    <xf numFmtId="196"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6" fontId="1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1" fillId="0" borderId="0" applyFont="0" applyFill="0" applyBorder="0" applyAlignment="0" applyProtection="0"/>
    <xf numFmtId="3" fontId="146" fillId="0" borderId="0"/>
    <xf numFmtId="0" fontId="144" fillId="0" borderId="0"/>
    <xf numFmtId="9" fontId="144" fillId="0" borderId="0" applyFont="0" applyFill="0" applyBorder="0" applyAlignment="0" applyProtection="0"/>
    <xf numFmtId="166" fontId="1" fillId="0" borderId="0" applyFont="0" applyFill="0" applyBorder="0" applyAlignment="0" applyProtection="0"/>
  </cellStyleXfs>
  <cellXfs count="1068">
    <xf numFmtId="0" fontId="0" fillId="0" borderId="0" xfId="0"/>
    <xf numFmtId="0" fontId="26" fillId="0" borderId="0" xfId="0" applyFont="1" applyBorder="1"/>
    <xf numFmtId="0" fontId="26" fillId="0" borderId="0" xfId="0" applyFont="1"/>
    <xf numFmtId="0" fontId="27" fillId="34" borderId="22" xfId="0" applyFont="1" applyFill="1" applyBorder="1"/>
    <xf numFmtId="0" fontId="26" fillId="0" borderId="0" xfId="0" applyFont="1" applyAlignment="1">
      <alignment horizontal="right"/>
    </xf>
    <xf numFmtId="178" fontId="28" fillId="0" borderId="0" xfId="1" applyNumberFormat="1" applyFont="1"/>
    <xf numFmtId="178" fontId="28" fillId="0" borderId="0" xfId="0" applyNumberFormat="1" applyFont="1"/>
    <xf numFmtId="3" fontId="26" fillId="0" borderId="21" xfId="0" applyNumberFormat="1" applyFont="1" applyFill="1" applyBorder="1"/>
    <xf numFmtId="0" fontId="26" fillId="0" borderId="10" xfId="0" applyFont="1" applyFill="1" applyBorder="1" applyAlignment="1">
      <alignment horizontal="left" vertical="center"/>
    </xf>
    <xf numFmtId="0" fontId="27" fillId="0" borderId="10" xfId="0" applyFont="1" applyFill="1" applyBorder="1" applyAlignment="1">
      <alignment horizontal="left" vertical="center"/>
    </xf>
    <xf numFmtId="0" fontId="36" fillId="35" borderId="10" xfId="0" applyFont="1" applyFill="1" applyBorder="1"/>
    <xf numFmtId="14" fontId="37" fillId="41" borderId="10" xfId="0" applyNumberFormat="1" applyFont="1" applyFill="1" applyBorder="1" applyAlignment="1">
      <alignment horizontal="center" vertical="center" wrapText="1"/>
    </xf>
    <xf numFmtId="3" fontId="36" fillId="35" borderId="0" xfId="0" applyNumberFormat="1" applyFont="1" applyFill="1" applyBorder="1"/>
    <xf numFmtId="0" fontId="36" fillId="35" borderId="0" xfId="0" applyFont="1" applyFill="1" applyBorder="1"/>
    <xf numFmtId="0" fontId="36" fillId="35" borderId="0" xfId="0" applyFont="1" applyFill="1"/>
    <xf numFmtId="170" fontId="26" fillId="0" borderId="13" xfId="1" applyNumberFormat="1" applyFont="1" applyFill="1" applyBorder="1"/>
    <xf numFmtId="170" fontId="26" fillId="0" borderId="0" xfId="1" applyNumberFormat="1" applyFont="1" applyFill="1" applyBorder="1"/>
    <xf numFmtId="0" fontId="37" fillId="41" borderId="11" xfId="0" applyFont="1" applyFill="1" applyBorder="1" applyAlignment="1">
      <alignment horizontal="center" vertical="center" wrapText="1"/>
    </xf>
    <xf numFmtId="0" fontId="27" fillId="42" borderId="28" xfId="0" applyFont="1" applyFill="1" applyBorder="1" applyAlignment="1">
      <alignment horizontal="center" wrapText="1"/>
    </xf>
    <xf numFmtId="0" fontId="27" fillId="42" borderId="29" xfId="0" applyFont="1" applyFill="1" applyBorder="1" applyAlignment="1">
      <alignment horizontal="center" vertical="center" wrapText="1"/>
    </xf>
    <xf numFmtId="0" fontId="27" fillId="42" borderId="30"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9" xfId="0" applyFont="1" applyFill="1" applyBorder="1" applyAlignment="1">
      <alignment horizontal="center" vertical="center" wrapText="1"/>
    </xf>
    <xf numFmtId="0" fontId="27" fillId="34" borderId="30" xfId="0" applyFont="1" applyFill="1" applyBorder="1" applyAlignment="1">
      <alignment horizontal="center" vertical="center" wrapText="1"/>
    </xf>
    <xf numFmtId="170" fontId="26" fillId="0" borderId="14" xfId="1" applyNumberFormat="1" applyFont="1" applyFill="1" applyBorder="1"/>
    <xf numFmtId="0" fontId="26" fillId="0" borderId="10" xfId="0" applyFont="1" applyFill="1" applyBorder="1" applyAlignment="1">
      <alignment horizontal="left" vertical="center" wrapText="1"/>
    </xf>
    <xf numFmtId="165" fontId="27" fillId="0" borderId="10" xfId="51" applyFont="1" applyFill="1" applyBorder="1" applyAlignment="1">
      <alignment horizontal="center" vertical="center"/>
    </xf>
    <xf numFmtId="165" fontId="36" fillId="35" borderId="10" xfId="51" applyFont="1" applyFill="1" applyBorder="1"/>
    <xf numFmtId="165" fontId="27" fillId="34" borderId="22" xfId="51" applyFont="1" applyFill="1" applyBorder="1"/>
    <xf numFmtId="165" fontId="27" fillId="0" borderId="13" xfId="51" applyFont="1" applyFill="1" applyBorder="1"/>
    <xf numFmtId="165" fontId="27" fillId="0" borderId="21" xfId="51" applyFont="1" applyFill="1" applyBorder="1"/>
    <xf numFmtId="0" fontId="25" fillId="0" borderId="0" xfId="0" applyFont="1" applyAlignment="1"/>
    <xf numFmtId="0" fontId="32" fillId="0" borderId="0" xfId="0" applyFont="1" applyAlignment="1">
      <alignment vertical="center"/>
    </xf>
    <xf numFmtId="0" fontId="34" fillId="39" borderId="13" xfId="0" applyFont="1" applyFill="1" applyBorder="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169" fontId="32" fillId="0" borderId="0" xfId="1" applyFont="1" applyAlignment="1">
      <alignment vertical="center"/>
    </xf>
    <xf numFmtId="0" fontId="34" fillId="39" borderId="15" xfId="0" applyFont="1" applyFill="1" applyBorder="1" applyAlignment="1">
      <alignment vertical="center"/>
    </xf>
    <xf numFmtId="0" fontId="33" fillId="34" borderId="10" xfId="0" applyFont="1" applyFill="1" applyBorder="1" applyAlignment="1">
      <alignment horizontal="center" vertical="center"/>
    </xf>
    <xf numFmtId="169" fontId="33" fillId="34" borderId="10" xfId="1" applyFont="1" applyFill="1" applyBorder="1" applyAlignment="1">
      <alignment horizontal="center" vertical="center"/>
    </xf>
    <xf numFmtId="169" fontId="28" fillId="0" borderId="10" xfId="1" applyFont="1" applyFill="1" applyBorder="1" applyAlignment="1">
      <alignment vertical="center" wrapText="1"/>
    </xf>
    <xf numFmtId="0" fontId="32" fillId="0" borderId="10" xfId="0" applyFont="1" applyBorder="1" applyAlignment="1">
      <alignment horizontal="center" vertical="center"/>
    </xf>
    <xf numFmtId="174" fontId="32" fillId="0" borderId="10" xfId="0" applyNumberFormat="1" applyFont="1" applyBorder="1" applyAlignment="1">
      <alignment vertical="center"/>
    </xf>
    <xf numFmtId="3" fontId="32" fillId="0" borderId="0" xfId="0" applyNumberFormat="1" applyFont="1" applyAlignment="1">
      <alignment vertical="center"/>
    </xf>
    <xf numFmtId="0" fontId="33" fillId="0" borderId="0" xfId="0" applyFont="1" applyAlignment="1">
      <alignment horizontal="center" vertical="center"/>
    </xf>
    <xf numFmtId="165" fontId="32" fillId="0" borderId="0" xfId="51" applyFont="1" applyAlignment="1">
      <alignment vertical="center"/>
    </xf>
    <xf numFmtId="165" fontId="33" fillId="34" borderId="10" xfId="51" applyFont="1" applyFill="1" applyBorder="1" applyAlignment="1">
      <alignment horizontal="center" vertical="center"/>
    </xf>
    <xf numFmtId="165" fontId="28" fillId="0" borderId="10" xfId="51" applyFont="1" applyFill="1" applyBorder="1" applyAlignment="1">
      <alignment vertical="center" wrapText="1"/>
    </xf>
    <xf numFmtId="165" fontId="32" fillId="0" borderId="10" xfId="51" applyFont="1" applyBorder="1" applyAlignment="1">
      <alignment vertical="center"/>
    </xf>
    <xf numFmtId="165" fontId="31" fillId="0" borderId="0" xfId="51" applyFont="1" applyFill="1" applyAlignment="1">
      <alignment horizontal="center" vertical="center"/>
    </xf>
    <xf numFmtId="165" fontId="30" fillId="0" borderId="0" xfId="51" applyFont="1" applyAlignment="1">
      <alignment vertical="center"/>
    </xf>
    <xf numFmtId="165" fontId="38" fillId="0" borderId="0" xfId="51" applyFont="1" applyAlignment="1">
      <alignment horizontal="right" vertical="center"/>
    </xf>
    <xf numFmtId="165" fontId="21" fillId="0" borderId="0" xfId="51" applyFont="1" applyAlignment="1">
      <alignment vertical="center"/>
    </xf>
    <xf numFmtId="165" fontId="24" fillId="38" borderId="0" xfId="51" applyFont="1" applyFill="1" applyAlignment="1">
      <alignment horizontal="center" vertical="center" wrapText="1"/>
    </xf>
    <xf numFmtId="165" fontId="31" fillId="38" borderId="0" xfId="51" applyFont="1" applyFill="1" applyAlignment="1">
      <alignment horizontal="center" vertical="center" wrapText="1"/>
    </xf>
    <xf numFmtId="165" fontId="21" fillId="0" borderId="0" xfId="51" applyFont="1" applyAlignment="1">
      <alignment vertical="center" wrapText="1"/>
    </xf>
    <xf numFmtId="49" fontId="38" fillId="0" borderId="0" xfId="0" applyNumberFormat="1" applyFont="1" applyAlignment="1">
      <alignment horizontal="left" vertical="top" wrapText="1"/>
    </xf>
    <xf numFmtId="3" fontId="26" fillId="0" borderId="0" xfId="0" applyNumberFormat="1" applyFont="1" applyFill="1" applyBorder="1"/>
    <xf numFmtId="165" fontId="24" fillId="0" borderId="0" xfId="51" applyFont="1" applyAlignment="1">
      <alignment horizontal="center" vertical="center" wrapText="1"/>
    </xf>
    <xf numFmtId="0" fontId="37" fillId="41" borderId="10" xfId="0" applyFont="1" applyFill="1" applyBorder="1" applyAlignment="1">
      <alignment horizontal="center" vertical="center" wrapText="1"/>
    </xf>
    <xf numFmtId="165" fontId="38" fillId="0" borderId="0" xfId="51" applyFont="1" applyAlignment="1">
      <alignment vertical="center"/>
    </xf>
    <xf numFmtId="0" fontId="29" fillId="44" borderId="0" xfId="0" applyFont="1" applyFill="1" applyBorder="1"/>
    <xf numFmtId="0" fontId="20" fillId="44" borderId="0" xfId="0" applyFont="1" applyFill="1" applyBorder="1"/>
    <xf numFmtId="177" fontId="28" fillId="0" borderId="10" xfId="51" applyNumberFormat="1" applyFont="1" applyFill="1" applyBorder="1" applyAlignment="1">
      <alignment vertical="center" wrapText="1"/>
    </xf>
    <xf numFmtId="177" fontId="32" fillId="0" borderId="0" xfId="51" applyNumberFormat="1" applyFont="1" applyAlignment="1">
      <alignment vertical="center"/>
    </xf>
    <xf numFmtId="177" fontId="32" fillId="0" borderId="10" xfId="51" applyNumberFormat="1" applyFont="1" applyBorder="1" applyAlignment="1">
      <alignment vertical="center"/>
    </xf>
    <xf numFmtId="165" fontId="38" fillId="0" borderId="0" xfId="51" applyFont="1" applyAlignment="1">
      <alignment horizontal="right" vertical="center" wrapText="1"/>
    </xf>
    <xf numFmtId="165" fontId="21" fillId="0" borderId="0" xfId="51" applyFont="1" applyAlignment="1">
      <alignment horizontal="left" vertical="center" indent="2"/>
    </xf>
    <xf numFmtId="0" fontId="53" fillId="0" borderId="0" xfId="0" applyFont="1"/>
    <xf numFmtId="0" fontId="53" fillId="0" borderId="0" xfId="0" applyFont="1" applyBorder="1"/>
    <xf numFmtId="170" fontId="53" fillId="0" borderId="0" xfId="1" applyNumberFormat="1" applyFont="1"/>
    <xf numFmtId="170" fontId="53" fillId="0" borderId="0" xfId="1" applyNumberFormat="1" applyFont="1" applyBorder="1"/>
    <xf numFmtId="0" fontId="53" fillId="0" borderId="21" xfId="0" applyFont="1" applyBorder="1"/>
    <xf numFmtId="3" fontId="53" fillId="0" borderId="21" xfId="0" applyNumberFormat="1" applyFont="1" applyBorder="1"/>
    <xf numFmtId="165" fontId="53" fillId="0" borderId="0" xfId="51" applyFont="1" applyBorder="1"/>
    <xf numFmtId="165" fontId="54" fillId="0" borderId="0" xfId="51" applyFont="1" applyBorder="1"/>
    <xf numFmtId="3" fontId="53" fillId="0" borderId="0" xfId="0" applyNumberFormat="1" applyFont="1"/>
    <xf numFmtId="0" fontId="53" fillId="0" borderId="0" xfId="0" applyFont="1" applyFill="1"/>
    <xf numFmtId="165" fontId="54" fillId="0" borderId="0" xfId="51" applyFont="1"/>
    <xf numFmtId="167" fontId="53" fillId="0" borderId="0" xfId="0" applyNumberFormat="1" applyFont="1"/>
    <xf numFmtId="165" fontId="26" fillId="0" borderId="10" xfId="51" applyFont="1" applyFill="1" applyBorder="1" applyAlignment="1">
      <alignment horizontal="center" vertical="center"/>
    </xf>
    <xf numFmtId="165" fontId="53" fillId="0" borderId="0" xfId="51" applyFont="1"/>
    <xf numFmtId="165" fontId="27" fillId="0" borderId="15" xfId="51"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Alignment="1">
      <alignment vertical="center"/>
    </xf>
    <xf numFmtId="0" fontId="53" fillId="0" borderId="0" xfId="0" applyFont="1" applyFill="1" applyBorder="1" applyAlignment="1">
      <alignment vertical="center"/>
    </xf>
    <xf numFmtId="0" fontId="53" fillId="0" borderId="0" xfId="0" applyFont="1" applyFill="1" applyAlignment="1">
      <alignment vertical="center"/>
    </xf>
    <xf numFmtId="0" fontId="55" fillId="0" borderId="0" xfId="0" applyFont="1" applyFill="1" applyBorder="1" applyAlignment="1">
      <alignment vertical="center"/>
    </xf>
    <xf numFmtId="0" fontId="55" fillId="0" borderId="0" xfId="0" applyFon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0" fontId="46" fillId="0" borderId="0" xfId="0" applyFont="1" applyAlignment="1">
      <alignment horizontal="left" vertical="center"/>
    </xf>
    <xf numFmtId="0" fontId="46" fillId="0" borderId="10" xfId="0" applyFont="1" applyBorder="1" applyAlignment="1">
      <alignment horizontal="left" vertical="center"/>
    </xf>
    <xf numFmtId="0" fontId="27" fillId="0" borderId="0" xfId="0" applyFont="1" applyFill="1" applyBorder="1" applyAlignment="1">
      <alignment vertical="center"/>
    </xf>
    <xf numFmtId="0" fontId="27" fillId="0" borderId="0" xfId="0" applyFont="1" applyFill="1" applyAlignment="1">
      <alignment vertical="center"/>
    </xf>
    <xf numFmtId="3"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Alignment="1">
      <alignment vertical="center"/>
    </xf>
    <xf numFmtId="3" fontId="27" fillId="0" borderId="0" xfId="0" applyNumberFormat="1" applyFont="1" applyFill="1" applyBorder="1" applyAlignment="1">
      <alignment vertical="center"/>
    </xf>
    <xf numFmtId="0" fontId="27" fillId="36" borderId="31" xfId="0" applyFont="1" applyFill="1" applyBorder="1" applyAlignment="1">
      <alignment horizontal="center" vertical="center" wrapText="1"/>
    </xf>
    <xf numFmtId="0" fontId="27" fillId="36" borderId="32" xfId="0" applyFont="1" applyFill="1" applyBorder="1" applyAlignment="1">
      <alignment horizontal="center" vertical="center" wrapText="1"/>
    </xf>
    <xf numFmtId="0" fontId="27" fillId="36" borderId="33" xfId="0" applyFont="1" applyFill="1" applyBorder="1" applyAlignment="1">
      <alignment horizontal="center" vertical="center" wrapText="1"/>
    </xf>
    <xf numFmtId="0" fontId="0" fillId="0" borderId="0" xfId="0" applyFill="1"/>
    <xf numFmtId="0" fontId="0" fillId="0" borderId="0" xfId="0" applyFill="1" applyBorder="1"/>
    <xf numFmtId="0" fontId="57" fillId="0" borderId="0" xfId="0" applyFont="1" applyFill="1" applyBorder="1" applyAlignment="1">
      <alignment vertical="center"/>
    </xf>
    <xf numFmtId="0" fontId="58" fillId="0" borderId="0" xfId="0" applyFont="1" applyFill="1" applyBorder="1"/>
    <xf numFmtId="0" fontId="59" fillId="0" borderId="0" xfId="0" applyFont="1" applyFill="1" applyBorder="1" applyAlignment="1">
      <alignment vertical="center"/>
    </xf>
    <xf numFmtId="0" fontId="60" fillId="0" borderId="0" xfId="0" applyFont="1" applyFill="1" applyBorder="1"/>
    <xf numFmtId="0" fontId="60" fillId="0" borderId="0" xfId="0" applyFont="1" applyFill="1"/>
    <xf numFmtId="0" fontId="61" fillId="0" borderId="0" xfId="0" applyFont="1" applyFill="1" applyBorder="1" applyAlignment="1"/>
    <xf numFmtId="0" fontId="72" fillId="43" borderId="0" xfId="0" applyFont="1" applyFill="1" applyBorder="1" applyAlignment="1">
      <alignment vertical="center"/>
    </xf>
    <xf numFmtId="0" fontId="23" fillId="44" borderId="0" xfId="0" applyFont="1" applyFill="1" applyBorder="1"/>
    <xf numFmtId="0" fontId="66" fillId="44" borderId="0" xfId="0" applyFont="1" applyFill="1" applyBorder="1" applyAlignment="1">
      <alignment horizontal="center"/>
    </xf>
    <xf numFmtId="0" fontId="67" fillId="44" borderId="0" xfId="0" applyFont="1" applyFill="1"/>
    <xf numFmtId="0" fontId="67" fillId="44" borderId="0" xfId="0" applyFont="1" applyFill="1" applyBorder="1"/>
    <xf numFmtId="0" fontId="71" fillId="44" borderId="0" xfId="0" applyFont="1" applyFill="1" applyBorder="1"/>
    <xf numFmtId="0" fontId="69" fillId="44" borderId="0" xfId="59" applyFont="1" applyFill="1" applyBorder="1" applyAlignment="1">
      <alignment horizontal="center"/>
    </xf>
    <xf numFmtId="0" fontId="23" fillId="44" borderId="0" xfId="0" applyFont="1" applyFill="1" applyBorder="1" applyAlignment="1">
      <alignment horizontal="center"/>
    </xf>
    <xf numFmtId="0" fontId="69" fillId="44" borderId="0" xfId="59" quotePrefix="1" applyFont="1" applyFill="1" applyBorder="1" applyAlignment="1">
      <alignment horizontal="center"/>
    </xf>
    <xf numFmtId="0" fontId="68" fillId="44" borderId="0" xfId="0" applyFont="1" applyFill="1" applyBorder="1"/>
    <xf numFmtId="0" fontId="44" fillId="44" borderId="0" xfId="0" applyFont="1" applyFill="1" applyBorder="1" applyAlignment="1">
      <alignment horizontal="center"/>
    </xf>
    <xf numFmtId="0" fontId="47" fillId="44" borderId="0" xfId="0" applyFont="1" applyFill="1" applyBorder="1" applyAlignment="1">
      <alignment horizontal="center"/>
    </xf>
    <xf numFmtId="0" fontId="23" fillId="0" borderId="0" xfId="0" applyFont="1" applyFill="1" applyBorder="1"/>
    <xf numFmtId="0" fontId="67" fillId="0" borderId="0" xfId="0" applyFont="1" applyFill="1"/>
    <xf numFmtId="0" fontId="67" fillId="0" borderId="0" xfId="0" applyFont="1" applyFill="1" applyBorder="1"/>
    <xf numFmtId="0" fontId="29" fillId="0" borderId="0" xfId="0" applyFont="1" applyFill="1" applyBorder="1"/>
    <xf numFmtId="0" fontId="20" fillId="0" borderId="0" xfId="0" applyFont="1" applyFill="1" applyBorder="1"/>
    <xf numFmtId="0" fontId="69" fillId="0" borderId="0" xfId="59" applyFont="1" applyFill="1" applyBorder="1" applyAlignment="1">
      <alignment horizontal="center"/>
    </xf>
    <xf numFmtId="0" fontId="23" fillId="0" borderId="0" xfId="0" applyFont="1" applyFill="1" applyBorder="1" applyAlignment="1">
      <alignment horizontal="center"/>
    </xf>
    <xf numFmtId="0" fontId="68" fillId="0" borderId="0" xfId="0" applyFont="1" applyFill="1" applyBorder="1"/>
    <xf numFmtId="0" fontId="70" fillId="0" borderId="0" xfId="0" applyFont="1" applyFill="1" applyBorder="1" applyAlignment="1">
      <alignment horizontal="center"/>
    </xf>
    <xf numFmtId="177" fontId="21" fillId="0" borderId="0" xfId="51" applyNumberFormat="1" applyFont="1" applyAlignment="1">
      <alignment vertical="center"/>
    </xf>
    <xf numFmtId="0" fontId="21" fillId="0" borderId="0" xfId="321" applyAlignment="1">
      <alignment vertical="center"/>
    </xf>
    <xf numFmtId="0" fontId="21" fillId="0" borderId="0" xfId="321" applyAlignment="1">
      <alignment horizontal="center" vertical="center"/>
    </xf>
    <xf numFmtId="0" fontId="24" fillId="38" borderId="0" xfId="321" applyFont="1" applyFill="1" applyAlignment="1">
      <alignment horizontal="center" vertical="center"/>
    </xf>
    <xf numFmtId="0" fontId="24" fillId="0" borderId="0" xfId="321" applyFont="1" applyAlignment="1">
      <alignment vertical="center"/>
    </xf>
    <xf numFmtId="0" fontId="24" fillId="0" borderId="0" xfId="321" applyFont="1" applyAlignment="1">
      <alignment horizontal="center" vertical="center"/>
    </xf>
    <xf numFmtId="0" fontId="49" fillId="0" borderId="0" xfId="321" applyFont="1" applyAlignment="1">
      <alignment vertical="center"/>
    </xf>
    <xf numFmtId="0" fontId="39" fillId="0" borderId="0" xfId="321" applyFont="1" applyAlignment="1">
      <alignment vertical="center"/>
    </xf>
    <xf numFmtId="0" fontId="51" fillId="0" borderId="0" xfId="321" applyFont="1" applyAlignment="1">
      <alignment horizontal="center" vertical="center"/>
    </xf>
    <xf numFmtId="0" fontId="50" fillId="0" borderId="0" xfId="321" applyFont="1" applyAlignment="1">
      <alignment vertical="center"/>
    </xf>
    <xf numFmtId="165" fontId="38" fillId="0" borderId="0" xfId="51" applyFont="1" applyFill="1" applyAlignment="1">
      <alignment vertical="center"/>
    </xf>
    <xf numFmtId="0" fontId="32" fillId="0" borderId="10" xfId="0" applyFont="1" applyBorder="1" applyAlignment="1">
      <alignment vertical="center"/>
    </xf>
    <xf numFmtId="165" fontId="53" fillId="0" borderId="0" xfId="0" applyNumberFormat="1" applyFont="1" applyBorder="1"/>
    <xf numFmtId="165" fontId="53" fillId="0" borderId="0" xfId="0" applyNumberFormat="1" applyFont="1"/>
    <xf numFmtId="0" fontId="25" fillId="0" borderId="0" xfId="321" applyFont="1" applyAlignment="1">
      <alignment vertical="center"/>
    </xf>
    <xf numFmtId="0" fontId="21" fillId="0" borderId="0" xfId="321" applyNumberFormat="1" applyAlignment="1">
      <alignment horizontal="left" vertical="center"/>
    </xf>
    <xf numFmtId="0" fontId="28" fillId="0" borderId="10" xfId="0" applyFont="1" applyFill="1" applyBorder="1" applyAlignment="1">
      <alignment vertical="center"/>
    </xf>
    <xf numFmtId="0" fontId="28" fillId="0" borderId="10"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0" xfId="0" applyFont="1" applyFill="1" applyAlignment="1">
      <alignment vertical="center"/>
    </xf>
    <xf numFmtId="0" fontId="28" fillId="0" borderId="10" xfId="0" quotePrefix="1" applyFont="1" applyFill="1" applyBorder="1" applyAlignment="1">
      <alignment vertical="center"/>
    </xf>
    <xf numFmtId="0" fontId="74" fillId="0" borderId="0" xfId="0" applyFont="1" applyFill="1"/>
    <xf numFmtId="0" fontId="76" fillId="0" borderId="0" xfId="0" applyFont="1" applyFill="1" applyBorder="1" applyAlignment="1">
      <alignment vertical="center"/>
    </xf>
    <xf numFmtId="0" fontId="79" fillId="0" borderId="0" xfId="0" applyFont="1" applyFill="1"/>
    <xf numFmtId="0" fontId="79" fillId="0" borderId="0" xfId="0" applyFont="1" applyAlignment="1">
      <alignment wrapText="1"/>
    </xf>
    <xf numFmtId="0" fontId="79" fillId="0" borderId="0" xfId="0" applyFont="1"/>
    <xf numFmtId="0" fontId="79" fillId="0" borderId="0" xfId="0" applyFont="1" applyAlignment="1">
      <alignment vertical="center"/>
    </xf>
    <xf numFmtId="0" fontId="75" fillId="47" borderId="0" xfId="0" applyFont="1" applyFill="1" applyBorder="1" applyAlignment="1">
      <alignment horizontal="centerContinuous" vertical="center"/>
    </xf>
    <xf numFmtId="0" fontId="83" fillId="0" borderId="0" xfId="0" applyFont="1" applyFill="1" applyBorder="1"/>
    <xf numFmtId="0" fontId="83" fillId="0" borderId="0" xfId="0" applyFont="1" applyFill="1"/>
    <xf numFmtId="0" fontId="85" fillId="0" borderId="0" xfId="0" applyFont="1" applyFill="1"/>
    <xf numFmtId="0" fontId="74" fillId="0" borderId="0" xfId="0" applyFont="1"/>
    <xf numFmtId="171" fontId="77" fillId="33" borderId="0" xfId="44" applyFont="1" applyFill="1" applyAlignment="1"/>
    <xf numFmtId="171" fontId="86" fillId="33" borderId="0" xfId="44" applyFont="1" applyFill="1" applyAlignment="1"/>
    <xf numFmtId="171" fontId="77" fillId="33" borderId="0" xfId="44" applyFont="1" applyFill="1" applyBorder="1" applyAlignment="1"/>
    <xf numFmtId="171" fontId="77" fillId="0" borderId="0" xfId="44" applyFont="1" applyFill="1" applyAlignment="1"/>
    <xf numFmtId="0" fontId="87" fillId="0" borderId="0" xfId="59" applyFont="1" applyAlignment="1">
      <alignment horizontal="center"/>
    </xf>
    <xf numFmtId="0" fontId="83" fillId="0" borderId="0" xfId="0" applyFont="1" applyAlignment="1">
      <alignment vertical="center"/>
    </xf>
    <xf numFmtId="0" fontId="85" fillId="0" borderId="0" xfId="0" applyFont="1" applyAlignment="1">
      <alignment vertical="center"/>
    </xf>
    <xf numFmtId="0" fontId="80" fillId="0" borderId="0" xfId="0" applyFont="1" applyFill="1" applyBorder="1" applyAlignment="1">
      <alignment vertical="center"/>
    </xf>
    <xf numFmtId="0" fontId="83" fillId="0" borderId="0" xfId="0" applyFont="1" applyFill="1" applyBorder="1" applyAlignment="1">
      <alignment vertical="center"/>
    </xf>
    <xf numFmtId="0" fontId="82" fillId="0" borderId="0" xfId="0" applyFont="1" applyAlignment="1">
      <alignment vertical="center"/>
    </xf>
    <xf numFmtId="0" fontId="82" fillId="0" borderId="0" xfId="0" applyFont="1" applyBorder="1" applyAlignment="1">
      <alignment vertical="center"/>
    </xf>
    <xf numFmtId="0" fontId="82" fillId="0" borderId="0" xfId="0" applyFont="1" applyFill="1" applyAlignment="1">
      <alignment vertical="center"/>
    </xf>
    <xf numFmtId="0" fontId="83" fillId="0" borderId="0" xfId="0" applyFont="1"/>
    <xf numFmtId="0" fontId="83" fillId="0" borderId="0" xfId="0" applyFont="1" applyBorder="1"/>
    <xf numFmtId="0" fontId="85" fillId="0" borderId="0" xfId="0" applyFont="1"/>
    <xf numFmtId="170" fontId="80" fillId="0" borderId="0" xfId="1" applyNumberFormat="1" applyFont="1" applyFill="1" applyBorder="1"/>
    <xf numFmtId="0" fontId="75" fillId="43" borderId="0" xfId="0" applyFont="1" applyFill="1" applyBorder="1" applyAlignment="1">
      <alignment horizontal="left" vertical="center" indent="1"/>
    </xf>
    <xf numFmtId="0" fontId="75" fillId="43" borderId="0" xfId="0" applyFont="1" applyFill="1" applyBorder="1" applyAlignment="1">
      <alignment horizontal="left" vertical="center"/>
    </xf>
    <xf numFmtId="170" fontId="83" fillId="0" borderId="0" xfId="0" applyNumberFormat="1" applyFont="1"/>
    <xf numFmtId="170" fontId="83" fillId="0" borderId="0" xfId="1" applyNumberFormat="1" applyFont="1"/>
    <xf numFmtId="165" fontId="83" fillId="0" borderId="0" xfId="51" applyFont="1"/>
    <xf numFmtId="174" fontId="83" fillId="0" borderId="0" xfId="0" applyNumberFormat="1" applyFont="1"/>
    <xf numFmtId="0" fontId="83" fillId="0" borderId="0" xfId="0" applyFont="1" applyAlignment="1">
      <alignment wrapText="1"/>
    </xf>
    <xf numFmtId="0" fontId="80" fillId="0" borderId="0" xfId="0" applyFont="1" applyAlignment="1">
      <alignment horizontal="center"/>
    </xf>
    <xf numFmtId="0" fontId="83" fillId="0" borderId="0" xfId="0" applyFont="1" applyAlignment="1">
      <alignment horizontal="center"/>
    </xf>
    <xf numFmtId="0" fontId="80" fillId="0" borderId="0" xfId="0" applyFont="1" applyBorder="1" applyAlignment="1">
      <alignment horizontal="right"/>
    </xf>
    <xf numFmtId="0" fontId="80" fillId="0" borderId="0" xfId="0" applyFont="1" applyFill="1" applyAlignment="1">
      <alignment horizontal="right"/>
    </xf>
    <xf numFmtId="0" fontId="88" fillId="43" borderId="0" xfId="0" applyFont="1" applyFill="1" applyBorder="1" applyAlignment="1">
      <alignment horizontal="center" vertical="center"/>
    </xf>
    <xf numFmtId="179" fontId="75" fillId="43" borderId="0" xfId="0" applyNumberFormat="1" applyFont="1" applyFill="1" applyBorder="1" applyAlignment="1">
      <alignment horizontal="center" vertical="center" wrapText="1"/>
    </xf>
    <xf numFmtId="170" fontId="76" fillId="0" borderId="0" xfId="1" applyNumberFormat="1" applyFont="1" applyFill="1" applyBorder="1"/>
    <xf numFmtId="0" fontId="76" fillId="44" borderId="0" xfId="0" applyFont="1" applyFill="1" applyBorder="1" applyAlignment="1">
      <alignment horizontal="left" indent="1"/>
    </xf>
    <xf numFmtId="0" fontId="89" fillId="44" borderId="0" xfId="0" applyFont="1" applyFill="1" applyBorder="1" applyAlignment="1">
      <alignment horizontal="left" indent="1"/>
    </xf>
    <xf numFmtId="0" fontId="90" fillId="44" borderId="0" xfId="0" applyFont="1" applyFill="1" applyBorder="1"/>
    <xf numFmtId="174" fontId="90" fillId="44" borderId="0" xfId="1" applyNumberFormat="1" applyFont="1" applyFill="1" applyBorder="1"/>
    <xf numFmtId="0" fontId="76" fillId="44" borderId="0" xfId="0" applyFont="1" applyFill="1" applyBorder="1" applyAlignment="1">
      <alignment horizontal="left" vertical="center" indent="1"/>
    </xf>
    <xf numFmtId="170" fontId="90" fillId="44" borderId="0" xfId="0" applyNumberFormat="1" applyFont="1" applyFill="1" applyBorder="1"/>
    <xf numFmtId="170" fontId="76" fillId="44" borderId="0" xfId="1" applyNumberFormat="1" applyFont="1" applyFill="1" applyBorder="1"/>
    <xf numFmtId="0" fontId="90" fillId="44" borderId="0" xfId="0" applyFont="1" applyFill="1" applyBorder="1" applyAlignment="1">
      <alignment horizontal="left" indent="1"/>
    </xf>
    <xf numFmtId="170" fontId="90" fillId="44" borderId="0" xfId="1" applyNumberFormat="1" applyFont="1" applyFill="1" applyBorder="1"/>
    <xf numFmtId="170" fontId="90" fillId="0" borderId="0" xfId="1" applyNumberFormat="1" applyFont="1" applyFill="1" applyBorder="1"/>
    <xf numFmtId="0" fontId="90" fillId="44" borderId="0" xfId="0" applyFont="1" applyFill="1" applyBorder="1" applyAlignment="1">
      <alignment horizontal="left" vertical="center" indent="1"/>
    </xf>
    <xf numFmtId="183" fontId="90" fillId="44" borderId="0" xfId="1" applyNumberFormat="1" applyFont="1" applyFill="1" applyBorder="1"/>
    <xf numFmtId="0" fontId="90" fillId="44" borderId="0" xfId="0" applyFont="1" applyFill="1"/>
    <xf numFmtId="0" fontId="90" fillId="44" borderId="0" xfId="0" applyFont="1" applyFill="1" applyBorder="1" applyAlignment="1">
      <alignment horizontal="left" wrapText="1" indent="1"/>
    </xf>
    <xf numFmtId="0" fontId="76" fillId="44" borderId="0" xfId="0" applyFont="1" applyFill="1" applyBorder="1" applyAlignment="1">
      <alignment horizontal="left" vertical="center" wrapText="1" indent="1"/>
    </xf>
    <xf numFmtId="0" fontId="76" fillId="44" borderId="0" xfId="0" applyFont="1" applyFill="1" applyBorder="1"/>
    <xf numFmtId="174" fontId="90" fillId="44" borderId="0" xfId="0" applyNumberFormat="1" applyFont="1" applyFill="1" applyBorder="1"/>
    <xf numFmtId="0" fontId="90" fillId="0" borderId="0" xfId="0" applyFont="1"/>
    <xf numFmtId="3" fontId="90" fillId="0" borderId="0" xfId="0" applyNumberFormat="1" applyFont="1"/>
    <xf numFmtId="3" fontId="90" fillId="0" borderId="0" xfId="0" applyNumberFormat="1" applyFont="1" applyBorder="1"/>
    <xf numFmtId="3" fontId="90" fillId="0" borderId="0" xfId="0" applyNumberFormat="1" applyFont="1" applyFill="1"/>
    <xf numFmtId="0" fontId="90" fillId="0" borderId="0" xfId="0" applyFont="1" applyBorder="1"/>
    <xf numFmtId="0" fontId="90" fillId="0" borderId="0" xfId="0" applyFont="1" applyFill="1" applyAlignment="1">
      <alignment horizontal="left"/>
    </xf>
    <xf numFmtId="0" fontId="90" fillId="0" borderId="0" xfId="0" applyFont="1" applyFill="1" applyAlignment="1">
      <alignment horizontal="center"/>
    </xf>
    <xf numFmtId="0" fontId="90" fillId="0" borderId="0" xfId="0" applyFont="1" applyFill="1" applyBorder="1" applyAlignment="1">
      <alignment horizontal="center"/>
    </xf>
    <xf numFmtId="0" fontId="90" fillId="0" borderId="0" xfId="0" applyFont="1" applyFill="1"/>
    <xf numFmtId="0" fontId="75" fillId="43" borderId="0" xfId="0" applyFont="1" applyFill="1" applyBorder="1" applyAlignment="1">
      <alignment horizontal="center" vertical="center"/>
    </xf>
    <xf numFmtId="179" fontId="75" fillId="0" borderId="0" xfId="0" applyNumberFormat="1" applyFont="1" applyFill="1" applyBorder="1" applyAlignment="1">
      <alignment horizontal="center" vertical="center" wrapText="1"/>
    </xf>
    <xf numFmtId="175" fontId="90" fillId="44" borderId="0" xfId="1" applyNumberFormat="1" applyFont="1" applyFill="1" applyBorder="1"/>
    <xf numFmtId="165" fontId="90" fillId="44" borderId="0" xfId="51" applyFont="1" applyFill="1" applyBorder="1"/>
    <xf numFmtId="0" fontId="90" fillId="0" borderId="0" xfId="0" applyFont="1" applyAlignment="1">
      <alignment wrapText="1"/>
    </xf>
    <xf numFmtId="166" fontId="90" fillId="0" borderId="0" xfId="0" applyNumberFormat="1" applyFont="1"/>
    <xf numFmtId="166" fontId="90" fillId="0" borderId="0" xfId="0" applyNumberFormat="1" applyFont="1" applyBorder="1"/>
    <xf numFmtId="0" fontId="76" fillId="0" borderId="0" xfId="49" quotePrefix="1" applyFont="1" applyFill="1" applyAlignment="1"/>
    <xf numFmtId="0" fontId="90" fillId="0" borderId="0" xfId="49" quotePrefix="1" applyFont="1" applyFill="1" applyAlignment="1"/>
    <xf numFmtId="0" fontId="76" fillId="0" borderId="0" xfId="49" quotePrefix="1" applyFont="1" applyFill="1" applyBorder="1" applyAlignment="1"/>
    <xf numFmtId="0" fontId="76" fillId="0" borderId="0" xfId="49" quotePrefix="1" applyFont="1" applyFill="1" applyAlignment="1">
      <alignment horizontal="center"/>
    </xf>
    <xf numFmtId="0" fontId="90" fillId="0" borderId="0" xfId="49" quotePrefix="1" applyFont="1" applyFill="1" applyAlignment="1">
      <alignment horizontal="center"/>
    </xf>
    <xf numFmtId="0" fontId="92" fillId="0" borderId="0" xfId="0" applyFont="1" applyFill="1" applyBorder="1" applyAlignment="1">
      <alignment vertical="center"/>
    </xf>
    <xf numFmtId="0" fontId="79" fillId="0" borderId="0" xfId="0" applyFont="1" applyFill="1" applyBorder="1" applyAlignment="1">
      <alignment vertical="center"/>
    </xf>
    <xf numFmtId="0" fontId="78" fillId="0" borderId="0" xfId="0" applyFont="1" applyFill="1" applyBorder="1" applyAlignment="1">
      <alignment vertical="center"/>
    </xf>
    <xf numFmtId="0" fontId="79" fillId="0" borderId="0" xfId="0" applyFont="1" applyAlignment="1"/>
    <xf numFmtId="3" fontId="79" fillId="0" borderId="0" xfId="0" applyNumberFormat="1" applyFont="1" applyAlignment="1"/>
    <xf numFmtId="175" fontId="79" fillId="0" borderId="0" xfId="0" applyNumberFormat="1" applyFont="1" applyAlignment="1"/>
    <xf numFmtId="0" fontId="79" fillId="0" borderId="0" xfId="0" applyFont="1" applyFill="1" applyAlignment="1"/>
    <xf numFmtId="165" fontId="79" fillId="0" borderId="0" xfId="51" applyFont="1" applyFill="1" applyAlignment="1"/>
    <xf numFmtId="169" fontId="79" fillId="0" borderId="0" xfId="1" applyFont="1" applyFill="1" applyAlignment="1"/>
    <xf numFmtId="175" fontId="79" fillId="0" borderId="0" xfId="0" applyNumberFormat="1" applyFont="1" applyFill="1" applyAlignment="1"/>
    <xf numFmtId="165" fontId="79" fillId="0" borderId="0" xfId="0" applyNumberFormat="1" applyFont="1"/>
    <xf numFmtId="169" fontId="79" fillId="0" borderId="0" xfId="0" applyNumberFormat="1" applyFont="1"/>
    <xf numFmtId="0" fontId="94" fillId="0" borderId="0" xfId="0" applyFont="1" applyFill="1"/>
    <xf numFmtId="0" fontId="95" fillId="0" borderId="0" xfId="59" applyFont="1" applyAlignment="1">
      <alignment horizontal="center"/>
    </xf>
    <xf numFmtId="0" fontId="96" fillId="0" borderId="0" xfId="0" applyFont="1" applyFill="1"/>
    <xf numFmtId="0" fontId="90" fillId="0" borderId="0" xfId="0" applyFont="1" applyFill="1" applyBorder="1"/>
    <xf numFmtId="0" fontId="94" fillId="0" borderId="0" xfId="0" applyFont="1"/>
    <xf numFmtId="0" fontId="76" fillId="0" borderId="0" xfId="0" applyFont="1" applyAlignment="1">
      <alignment vertical="center"/>
    </xf>
    <xf numFmtId="0" fontId="98" fillId="0" borderId="0" xfId="0" applyFont="1" applyAlignment="1">
      <alignment horizontal="left" vertical="center" wrapText="1"/>
    </xf>
    <xf numFmtId="0" fontId="76" fillId="0" borderId="0" xfId="0" applyFont="1" applyAlignment="1">
      <alignment horizontal="left" vertical="center" wrapText="1"/>
    </xf>
    <xf numFmtId="165" fontId="76" fillId="0" borderId="0" xfId="51" applyFont="1" applyAlignment="1">
      <alignment horizontal="left" vertical="center" wrapText="1"/>
    </xf>
    <xf numFmtId="179" fontId="76" fillId="0" borderId="0" xfId="51" applyNumberFormat="1" applyFont="1" applyFill="1" applyBorder="1" applyAlignment="1">
      <alignment horizontal="center" vertical="center" wrapText="1"/>
    </xf>
    <xf numFmtId="0" fontId="91" fillId="0" borderId="0" xfId="0" applyFont="1" applyAlignment="1">
      <alignment horizontal="left" vertical="center" wrapText="1"/>
    </xf>
    <xf numFmtId="179" fontId="75" fillId="43" borderId="0" xfId="51" applyNumberFormat="1" applyFont="1" applyFill="1" applyBorder="1" applyAlignment="1">
      <alignment horizontal="center" vertical="center" wrapText="1"/>
    </xf>
    <xf numFmtId="167" fontId="76" fillId="44" borderId="0" xfId="51" applyNumberFormat="1" applyFont="1" applyFill="1" applyBorder="1" applyAlignment="1">
      <alignment horizontal="center" vertical="center" wrapText="1"/>
    </xf>
    <xf numFmtId="0" fontId="90" fillId="0" borderId="0" xfId="0" applyFont="1" applyAlignment="1">
      <alignment vertical="center"/>
    </xf>
    <xf numFmtId="0" fontId="102" fillId="0" borderId="0" xfId="0" applyFont="1"/>
    <xf numFmtId="0" fontId="103" fillId="0" borderId="0" xfId="59" applyFont="1" applyAlignment="1">
      <alignment horizontal="center"/>
    </xf>
    <xf numFmtId="0" fontId="92" fillId="0" borderId="0" xfId="0" applyFont="1" applyAlignment="1">
      <alignment vertical="center"/>
    </xf>
    <xf numFmtId="0" fontId="96" fillId="0" borderId="0" xfId="0" applyFont="1" applyAlignment="1">
      <alignment vertical="center"/>
    </xf>
    <xf numFmtId="0" fontId="106" fillId="43" borderId="38" xfId="0" applyFont="1" applyFill="1" applyBorder="1" applyAlignment="1">
      <alignment horizontal="center" vertical="center" wrapText="1"/>
    </xf>
    <xf numFmtId="179" fontId="106" fillId="43" borderId="38" xfId="0" applyNumberFormat="1" applyFont="1" applyFill="1" applyBorder="1" applyAlignment="1">
      <alignment horizontal="center" vertical="center" wrapText="1"/>
    </xf>
    <xf numFmtId="0" fontId="96" fillId="44" borderId="38" xfId="0" applyFont="1" applyFill="1" applyBorder="1" applyAlignment="1">
      <alignment horizontal="left" wrapText="1" indent="1"/>
    </xf>
    <xf numFmtId="167" fontId="96" fillId="44" borderId="38" xfId="51" applyNumberFormat="1" applyFont="1" applyFill="1" applyBorder="1" applyAlignment="1"/>
    <xf numFmtId="167" fontId="97" fillId="44" borderId="38" xfId="51" applyNumberFormat="1" applyFont="1" applyFill="1" applyBorder="1" applyAlignment="1"/>
    <xf numFmtId="165" fontId="97" fillId="44" borderId="38" xfId="51" applyNumberFormat="1" applyFont="1" applyFill="1" applyBorder="1" applyAlignment="1"/>
    <xf numFmtId="165" fontId="97" fillId="44" borderId="38" xfId="51" applyFont="1" applyFill="1" applyBorder="1" applyAlignment="1"/>
    <xf numFmtId="165" fontId="96" fillId="0" borderId="0" xfId="0" applyNumberFormat="1" applyFont="1" applyAlignment="1"/>
    <xf numFmtId="0" fontId="97" fillId="44" borderId="38" xfId="0" applyFont="1" applyFill="1" applyBorder="1" applyAlignment="1">
      <alignment horizontal="left" wrapText="1" indent="1"/>
    </xf>
    <xf numFmtId="175" fontId="96" fillId="0" borderId="0" xfId="0" applyNumberFormat="1" applyFont="1" applyAlignment="1"/>
    <xf numFmtId="49" fontId="96" fillId="44" borderId="38" xfId="0" applyNumberFormat="1" applyFont="1" applyFill="1" applyBorder="1" applyAlignment="1">
      <alignment horizontal="left" wrapText="1" indent="1"/>
    </xf>
    <xf numFmtId="170" fontId="96" fillId="0" borderId="0" xfId="1" applyNumberFormat="1" applyFont="1" applyFill="1" applyAlignment="1"/>
    <xf numFmtId="3" fontId="96" fillId="0" borderId="0" xfId="0" applyNumberFormat="1" applyFont="1" applyFill="1" applyAlignment="1"/>
    <xf numFmtId="165" fontId="96" fillId="0" borderId="0" xfId="51" applyFont="1" applyFill="1" applyAlignment="1"/>
    <xf numFmtId="0" fontId="96" fillId="0" borderId="0" xfId="0" applyFont="1" applyAlignment="1">
      <alignment wrapText="1"/>
    </xf>
    <xf numFmtId="0" fontId="96" fillId="0" borderId="0" xfId="0" applyFont="1"/>
    <xf numFmtId="165" fontId="96" fillId="0" borderId="0" xfId="0" applyNumberFormat="1" applyFont="1"/>
    <xf numFmtId="167" fontId="96" fillId="0" borderId="0" xfId="0" applyNumberFormat="1" applyFont="1"/>
    <xf numFmtId="0" fontId="107" fillId="0" borderId="0" xfId="0" applyFont="1" applyFill="1" applyAlignment="1">
      <alignment horizontal="center" wrapText="1"/>
    </xf>
    <xf numFmtId="0" fontId="94" fillId="0" borderId="0" xfId="0" applyFont="1" applyFill="1" applyAlignment="1">
      <alignment horizontal="center" wrapText="1"/>
    </xf>
    <xf numFmtId="171" fontId="76" fillId="0" borderId="0" xfId="44" applyNumberFormat="1" applyFont="1" applyFill="1" applyBorder="1" applyAlignment="1" applyProtection="1">
      <alignment horizontal="left"/>
    </xf>
    <xf numFmtId="0" fontId="94" fillId="0" borderId="0" xfId="0" applyFont="1" applyBorder="1" applyAlignment="1">
      <alignment horizontal="left" vertical="center"/>
    </xf>
    <xf numFmtId="0" fontId="94" fillId="0" borderId="0" xfId="0" applyFont="1" applyBorder="1" applyAlignment="1">
      <alignment vertical="center"/>
    </xf>
    <xf numFmtId="0" fontId="94" fillId="0" borderId="0" xfId="0" applyFont="1" applyAlignment="1">
      <alignment wrapText="1"/>
    </xf>
    <xf numFmtId="0" fontId="90" fillId="43" borderId="0" xfId="0" applyFont="1" applyFill="1" applyBorder="1"/>
    <xf numFmtId="170" fontId="107" fillId="44" borderId="0" xfId="1" applyNumberFormat="1" applyFont="1" applyFill="1" applyBorder="1" applyAlignment="1">
      <alignment wrapText="1"/>
    </xf>
    <xf numFmtId="170" fontId="94" fillId="44" borderId="0" xfId="1" applyNumberFormat="1" applyFont="1" applyFill="1" applyBorder="1"/>
    <xf numFmtId="0" fontId="94" fillId="44" borderId="0" xfId="0" applyFont="1" applyFill="1" applyBorder="1" applyAlignment="1">
      <alignment vertical="center" wrapText="1"/>
    </xf>
    <xf numFmtId="167" fontId="94" fillId="44" borderId="0" xfId="1" applyNumberFormat="1" applyFont="1" applyFill="1" applyBorder="1" applyAlignment="1">
      <alignment vertical="center"/>
    </xf>
    <xf numFmtId="0" fontId="94" fillId="0" borderId="0" xfId="0" applyFont="1" applyAlignment="1">
      <alignment vertical="center"/>
    </xf>
    <xf numFmtId="0" fontId="94" fillId="0" borderId="0" xfId="0" applyFont="1" applyFill="1" applyAlignment="1">
      <alignment vertical="center"/>
    </xf>
    <xf numFmtId="167" fontId="107" fillId="44" borderId="0" xfId="1" applyNumberFormat="1" applyFont="1" applyFill="1" applyBorder="1" applyAlignment="1">
      <alignment vertical="center"/>
    </xf>
    <xf numFmtId="0" fontId="107" fillId="44" borderId="0" xfId="0" applyFont="1" applyFill="1" applyBorder="1" applyAlignment="1">
      <alignment vertical="center" wrapText="1"/>
    </xf>
    <xf numFmtId="167" fontId="107" fillId="44" borderId="0" xfId="1" applyNumberFormat="1" applyFont="1" applyFill="1" applyBorder="1" applyAlignment="1">
      <alignment vertical="center" wrapText="1"/>
    </xf>
    <xf numFmtId="0" fontId="94" fillId="44" borderId="0" xfId="0" applyFont="1" applyFill="1" applyBorder="1" applyAlignment="1">
      <alignment horizontal="left" vertical="center" wrapText="1"/>
    </xf>
    <xf numFmtId="0" fontId="107" fillId="44" borderId="0" xfId="0" applyFont="1" applyFill="1" applyBorder="1" applyAlignment="1">
      <alignment vertical="center"/>
    </xf>
    <xf numFmtId="0" fontId="88" fillId="0" borderId="0" xfId="0" applyFont="1" applyAlignment="1">
      <alignment vertical="center"/>
    </xf>
    <xf numFmtId="0" fontId="88" fillId="0" borderId="0" xfId="0" applyFont="1" applyFill="1" applyAlignment="1">
      <alignment vertical="center"/>
    </xf>
    <xf numFmtId="167" fontId="107" fillId="44" borderId="0" xfId="45" applyFont="1" applyFill="1" applyBorder="1" applyAlignment="1">
      <alignment vertical="center"/>
    </xf>
    <xf numFmtId="175" fontId="90" fillId="0" borderId="0" xfId="0" applyNumberFormat="1" applyFont="1" applyAlignment="1">
      <alignment vertical="center"/>
    </xf>
    <xf numFmtId="0" fontId="108" fillId="0" borderId="0" xfId="0" applyFont="1" applyAlignment="1">
      <alignment vertical="center"/>
    </xf>
    <xf numFmtId="167" fontId="88" fillId="0" borderId="0" xfId="0" applyNumberFormat="1" applyFont="1" applyAlignment="1">
      <alignment vertical="center"/>
    </xf>
    <xf numFmtId="0" fontId="94" fillId="0" borderId="0" xfId="0" applyFont="1" applyFill="1" applyAlignment="1">
      <alignment horizontal="left"/>
    </xf>
    <xf numFmtId="0" fontId="94" fillId="0" borderId="0" xfId="0" applyFont="1" applyBorder="1" applyAlignment="1">
      <alignment wrapText="1"/>
    </xf>
    <xf numFmtId="0" fontId="94" fillId="0" borderId="0" xfId="0" applyFont="1" applyBorder="1"/>
    <xf numFmtId="0" fontId="88" fillId="0" borderId="0" xfId="0" applyFont="1"/>
    <xf numFmtId="0" fontId="88" fillId="0" borderId="0" xfId="0" applyFont="1" applyFill="1"/>
    <xf numFmtId="175" fontId="94" fillId="0" borderId="0" xfId="0" applyNumberFormat="1" applyFont="1"/>
    <xf numFmtId="175" fontId="94" fillId="0" borderId="0" xfId="0" applyNumberFormat="1" applyFont="1" applyBorder="1"/>
    <xf numFmtId="170" fontId="94" fillId="0" borderId="0" xfId="1" applyNumberFormat="1" applyFont="1"/>
    <xf numFmtId="172" fontId="94" fillId="0" borderId="0" xfId="0" applyNumberFormat="1" applyFont="1" applyFill="1" applyAlignment="1">
      <alignment vertical="center"/>
    </xf>
    <xf numFmtId="3" fontId="94" fillId="0" borderId="0" xfId="0" applyNumberFormat="1" applyFont="1" applyFill="1" applyAlignment="1">
      <alignment vertical="center"/>
    </xf>
    <xf numFmtId="167" fontId="94" fillId="0" borderId="0" xfId="0" applyNumberFormat="1" applyFont="1" applyFill="1" applyAlignment="1">
      <alignment vertical="center"/>
    </xf>
    <xf numFmtId="167" fontId="88" fillId="0" borderId="0" xfId="0" applyNumberFormat="1" applyFont="1" applyFill="1" applyAlignment="1">
      <alignment vertical="center"/>
    </xf>
    <xf numFmtId="0" fontId="109" fillId="43" borderId="10" xfId="0" applyFont="1" applyFill="1" applyBorder="1" applyAlignment="1">
      <alignment horizontal="center" vertical="center" wrapText="1"/>
    </xf>
    <xf numFmtId="165" fontId="94" fillId="0" borderId="0" xfId="51" applyFont="1"/>
    <xf numFmtId="0" fontId="94" fillId="0" borderId="0" xfId="0" applyFont="1" applyBorder="1" applyAlignment="1">
      <alignment horizontal="left" wrapText="1"/>
    </xf>
    <xf numFmtId="0" fontId="94" fillId="0" borderId="0" xfId="0" applyFont="1" applyAlignment="1">
      <alignment horizontal="left" wrapText="1"/>
    </xf>
    <xf numFmtId="165" fontId="94" fillId="0" borderId="0" xfId="51" applyFont="1" applyAlignment="1">
      <alignment horizontal="left" wrapText="1"/>
    </xf>
    <xf numFmtId="0" fontId="97" fillId="0" borderId="0" xfId="0" applyFont="1" applyBorder="1"/>
    <xf numFmtId="0" fontId="96" fillId="0" borderId="0" xfId="0" applyFont="1" applyBorder="1"/>
    <xf numFmtId="0" fontId="96" fillId="0" borderId="0" xfId="0" applyFont="1" applyAlignment="1">
      <alignment horizontal="left" wrapText="1"/>
    </xf>
    <xf numFmtId="0" fontId="96" fillId="0" borderId="0" xfId="0" applyFont="1" applyFill="1" applyBorder="1" applyAlignment="1">
      <alignment horizontal="left" vertical="center" wrapText="1"/>
    </xf>
    <xf numFmtId="0" fontId="111" fillId="0" borderId="0" xfId="0" applyFont="1" applyFill="1" applyBorder="1" applyAlignment="1">
      <alignment horizontal="left" vertical="center"/>
    </xf>
    <xf numFmtId="0" fontId="96" fillId="0" borderId="0" xfId="0" applyFont="1" applyBorder="1" applyAlignment="1">
      <alignment horizontal="left" wrapText="1"/>
    </xf>
    <xf numFmtId="0" fontId="106" fillId="43" borderId="10" xfId="0" applyFont="1" applyFill="1" applyBorder="1" applyAlignment="1">
      <alignment horizontal="center" vertical="center" wrapText="1"/>
    </xf>
    <xf numFmtId="0" fontId="96" fillId="0" borderId="10" xfId="0" applyFont="1" applyBorder="1" applyAlignment="1">
      <alignment horizontal="center" vertical="center" wrapText="1"/>
    </xf>
    <xf numFmtId="0" fontId="96" fillId="0" borderId="0" xfId="0" applyFont="1" applyBorder="1" applyAlignment="1">
      <alignment horizontal="left" vertical="center" wrapText="1"/>
    </xf>
    <xf numFmtId="0" fontId="97" fillId="0" borderId="0" xfId="0" applyFont="1" applyBorder="1" applyAlignment="1">
      <alignment vertical="center"/>
    </xf>
    <xf numFmtId="0" fontId="112" fillId="0" borderId="0" xfId="0" applyFont="1" applyBorder="1" applyAlignment="1">
      <alignment horizontal="left" vertical="center" indent="1"/>
    </xf>
    <xf numFmtId="0" fontId="97" fillId="0" borderId="0" xfId="0" applyFont="1" applyBorder="1" applyAlignment="1">
      <alignment horizontal="left" vertical="center" wrapText="1"/>
    </xf>
    <xf numFmtId="0" fontId="96" fillId="0" borderId="0" xfId="0" applyFont="1" applyBorder="1" applyAlignment="1">
      <alignment horizontal="left" vertical="center" wrapText="1" indent="1"/>
    </xf>
    <xf numFmtId="0" fontId="112" fillId="0" borderId="0" xfId="0" applyFont="1" applyFill="1" applyBorder="1" applyAlignment="1">
      <alignment horizontal="left" vertical="center" indent="1"/>
    </xf>
    <xf numFmtId="0" fontId="96" fillId="0" borderId="0" xfId="0" applyFont="1" applyFill="1" applyBorder="1" applyAlignment="1">
      <alignment horizontal="left" vertical="center" wrapText="1" indent="1"/>
    </xf>
    <xf numFmtId="0" fontId="96" fillId="0" borderId="0" xfId="0" applyFont="1" applyFill="1" applyBorder="1" applyAlignment="1">
      <alignment horizontal="left" wrapText="1"/>
    </xf>
    <xf numFmtId="0" fontId="97" fillId="0" borderId="0" xfId="0" applyFont="1" applyBorder="1" applyAlignment="1">
      <alignment horizontal="left" vertical="center"/>
    </xf>
    <xf numFmtId="0" fontId="104" fillId="0" borderId="0" xfId="49" applyFont="1" applyBorder="1"/>
    <xf numFmtId="0" fontId="104" fillId="0" borderId="0" xfId="49" applyFont="1"/>
    <xf numFmtId="0" fontId="92" fillId="0" borderId="0" xfId="49" applyFont="1"/>
    <xf numFmtId="179" fontId="104" fillId="0" borderId="0" xfId="49" applyNumberFormat="1" applyFont="1"/>
    <xf numFmtId="0" fontId="104" fillId="0" borderId="0" xfId="49" applyFont="1" applyBorder="1" applyAlignment="1">
      <alignment wrapText="1"/>
    </xf>
    <xf numFmtId="176" fontId="106" fillId="43" borderId="10" xfId="49" applyNumberFormat="1" applyFont="1" applyFill="1" applyBorder="1" applyAlignment="1">
      <alignment horizontal="center" wrapText="1"/>
    </xf>
    <xf numFmtId="179" fontId="106" fillId="43" borderId="10" xfId="49" applyNumberFormat="1" applyFont="1" applyFill="1" applyBorder="1" applyAlignment="1">
      <alignment horizontal="center" vertical="center" wrapText="1"/>
    </xf>
    <xf numFmtId="0" fontId="104" fillId="0" borderId="0" xfId="49" applyFont="1" applyAlignment="1">
      <alignment wrapText="1"/>
    </xf>
    <xf numFmtId="179" fontId="104" fillId="0" borderId="0" xfId="49" applyNumberFormat="1" applyFont="1" applyAlignment="1">
      <alignment wrapText="1"/>
    </xf>
    <xf numFmtId="0" fontId="104" fillId="0" borderId="0" xfId="49" applyFont="1" applyAlignment="1">
      <alignment horizontal="left"/>
    </xf>
    <xf numFmtId="0" fontId="114" fillId="0" borderId="0" xfId="0" applyFont="1"/>
    <xf numFmtId="0" fontId="104" fillId="0" borderId="0" xfId="49" applyFont="1" applyBorder="1" applyAlignment="1">
      <alignment horizontal="center" vertical="center" wrapText="1"/>
    </xf>
    <xf numFmtId="179" fontId="104" fillId="0" borderId="0" xfId="49" applyNumberFormat="1" applyFont="1" applyAlignment="1">
      <alignment horizontal="center" vertical="center" wrapText="1"/>
    </xf>
    <xf numFmtId="0" fontId="104" fillId="0" borderId="0" xfId="49" applyFont="1" applyAlignment="1">
      <alignment horizontal="center" vertical="center" wrapText="1"/>
    </xf>
    <xf numFmtId="179" fontId="106" fillId="43" borderId="10" xfId="0" applyNumberFormat="1" applyFont="1" applyFill="1" applyBorder="1" applyAlignment="1">
      <alignment horizontal="center" vertical="center" wrapText="1"/>
    </xf>
    <xf numFmtId="0" fontId="104" fillId="0" borderId="0" xfId="49" applyFont="1" applyFill="1" applyBorder="1"/>
    <xf numFmtId="0" fontId="104" fillId="0" borderId="0" xfId="49" applyFont="1" applyFill="1"/>
    <xf numFmtId="0" fontId="97" fillId="0" borderId="10" xfId="0" applyFont="1" applyFill="1" applyBorder="1" applyAlignment="1">
      <alignment vertical="center"/>
    </xf>
    <xf numFmtId="179" fontId="104" fillId="0" borderId="10" xfId="49" applyNumberFormat="1" applyFont="1" applyFill="1" applyBorder="1"/>
    <xf numFmtId="0" fontId="96" fillId="0" borderId="10" xfId="0" applyFont="1" applyFill="1" applyBorder="1" applyAlignment="1">
      <alignment horizontal="left" vertical="center" indent="1"/>
    </xf>
    <xf numFmtId="0" fontId="96" fillId="0" borderId="10" xfId="0" applyFont="1" applyFill="1" applyBorder="1" applyAlignment="1">
      <alignment horizontal="center" vertical="center"/>
    </xf>
    <xf numFmtId="172" fontId="96" fillId="0" borderId="10" xfId="0" applyNumberFormat="1" applyFont="1" applyFill="1" applyBorder="1" applyAlignment="1">
      <alignment horizontal="right" vertical="center"/>
    </xf>
    <xf numFmtId="177" fontId="96" fillId="0" borderId="10" xfId="51" applyNumberFormat="1" applyFont="1" applyFill="1" applyBorder="1" applyAlignment="1">
      <alignment horizontal="right" vertical="center"/>
    </xf>
    <xf numFmtId="167" fontId="96" fillId="0" borderId="10" xfId="0" applyNumberFormat="1" applyFont="1" applyFill="1" applyBorder="1" applyAlignment="1">
      <alignment horizontal="right" vertical="center"/>
    </xf>
    <xf numFmtId="3" fontId="104" fillId="0" borderId="0" xfId="49" applyNumberFormat="1" applyFont="1" applyFill="1"/>
    <xf numFmtId="172" fontId="97" fillId="0" borderId="10" xfId="0" applyNumberFormat="1" applyFont="1" applyFill="1" applyBorder="1" applyAlignment="1">
      <alignment vertical="center"/>
    </xf>
    <xf numFmtId="177" fontId="97" fillId="0" borderId="10" xfId="51" applyNumberFormat="1" applyFont="1" applyFill="1" applyBorder="1" applyAlignment="1">
      <alignment vertical="center"/>
    </xf>
    <xf numFmtId="179" fontId="104" fillId="0" borderId="0" xfId="49" applyNumberFormat="1" applyFont="1" applyFill="1"/>
    <xf numFmtId="0" fontId="97" fillId="44" borderId="10" xfId="0" applyFont="1" applyFill="1" applyBorder="1" applyAlignment="1">
      <alignment horizontal="left" vertical="center" indent="1"/>
    </xf>
    <xf numFmtId="165" fontId="97" fillId="44" borderId="10" xfId="51" applyFont="1" applyFill="1" applyBorder="1" applyAlignment="1">
      <alignment horizontal="right" vertical="center"/>
    </xf>
    <xf numFmtId="0" fontId="97" fillId="0" borderId="10" xfId="0" applyFont="1" applyFill="1" applyBorder="1" applyAlignment="1">
      <alignment horizontal="center" vertical="center"/>
    </xf>
    <xf numFmtId="0" fontId="96" fillId="0" borderId="10" xfId="0" applyFont="1" applyFill="1" applyBorder="1" applyAlignment="1">
      <alignment horizontal="left" vertical="center" wrapText="1" indent="1"/>
    </xf>
    <xf numFmtId="167" fontId="97" fillId="0" borderId="10" xfId="0" applyNumberFormat="1" applyFont="1" applyFill="1" applyBorder="1" applyAlignment="1">
      <alignment horizontal="right" vertical="center"/>
    </xf>
    <xf numFmtId="0" fontId="97" fillId="0" borderId="10" xfId="0" applyFont="1" applyFill="1" applyBorder="1" applyAlignment="1">
      <alignment horizontal="right" vertical="center"/>
    </xf>
    <xf numFmtId="167" fontId="97" fillId="44" borderId="10" xfId="0" applyNumberFormat="1" applyFont="1" applyFill="1" applyBorder="1" applyAlignment="1">
      <alignment horizontal="right" vertical="center"/>
    </xf>
    <xf numFmtId="0" fontId="92" fillId="0" borderId="0" xfId="49" applyFont="1" applyBorder="1" applyAlignment="1">
      <alignment horizontal="center" vertical="center"/>
    </xf>
    <xf numFmtId="0" fontId="92" fillId="0" borderId="0" xfId="49" applyFont="1" applyAlignment="1">
      <alignment horizontal="center" vertical="center"/>
    </xf>
    <xf numFmtId="174" fontId="104" fillId="0" borderId="0" xfId="49" applyNumberFormat="1" applyFont="1"/>
    <xf numFmtId="0" fontId="96" fillId="0" borderId="10" xfId="0" applyFont="1" applyBorder="1" applyAlignment="1">
      <alignment vertical="center" wrapText="1"/>
    </xf>
    <xf numFmtId="3" fontId="96" fillId="0" borderId="10" xfId="0" applyNumberFormat="1" applyFont="1" applyFill="1" applyBorder="1" applyAlignment="1">
      <alignment horizontal="right" vertical="center"/>
    </xf>
    <xf numFmtId="3" fontId="96" fillId="0" borderId="10" xfId="0" applyNumberFormat="1" applyFont="1" applyBorder="1" applyAlignment="1">
      <alignment horizontal="right" vertical="center"/>
    </xf>
    <xf numFmtId="0" fontId="97" fillId="44" borderId="10" xfId="0" applyFont="1" applyFill="1" applyBorder="1" applyAlignment="1">
      <alignment vertical="center" wrapText="1"/>
    </xf>
    <xf numFmtId="3" fontId="97" fillId="44" borderId="10" xfId="0" applyNumberFormat="1" applyFont="1" applyFill="1" applyBorder="1" applyAlignment="1">
      <alignment horizontal="right" vertical="center"/>
    </xf>
    <xf numFmtId="3" fontId="104" fillId="0" borderId="0" xfId="49" applyNumberFormat="1" applyFont="1"/>
    <xf numFmtId="167" fontId="96" fillId="0" borderId="10" xfId="0" applyNumberFormat="1" applyFont="1" applyBorder="1" applyAlignment="1">
      <alignment horizontal="right" vertical="center"/>
    </xf>
    <xf numFmtId="167" fontId="104" fillId="0" borderId="0" xfId="49" applyNumberFormat="1" applyFont="1"/>
    <xf numFmtId="0" fontId="97" fillId="44" borderId="10" xfId="0" applyFont="1" applyFill="1" applyBorder="1" applyAlignment="1">
      <alignment vertical="center"/>
    </xf>
    <xf numFmtId="3" fontId="104" fillId="0" borderId="0" xfId="49" applyNumberFormat="1" applyFont="1" applyAlignment="1">
      <alignment horizontal="center" vertical="center"/>
    </xf>
    <xf numFmtId="0" fontId="115" fillId="0" borderId="0" xfId="49" applyFont="1" applyFill="1"/>
    <xf numFmtId="165" fontId="104" fillId="0" borderId="0" xfId="51" applyFont="1"/>
    <xf numFmtId="0" fontId="106" fillId="0" borderId="0" xfId="49" applyFont="1" applyFill="1"/>
    <xf numFmtId="0" fontId="116" fillId="0" borderId="0" xfId="49" applyFont="1" applyFill="1"/>
    <xf numFmtId="0" fontId="106" fillId="43" borderId="10" xfId="0" applyFont="1" applyFill="1" applyBorder="1" applyAlignment="1">
      <alignment horizontal="center" vertical="center"/>
    </xf>
    <xf numFmtId="0" fontId="117" fillId="0" borderId="0" xfId="0" applyFont="1" applyBorder="1"/>
    <xf numFmtId="0" fontId="104" fillId="0" borderId="10" xfId="49" applyFont="1" applyBorder="1"/>
    <xf numFmtId="165" fontId="104" fillId="0" borderId="10" xfId="51" applyFont="1" applyFill="1" applyBorder="1" applyAlignment="1">
      <alignment horizontal="left" indent="1"/>
    </xf>
    <xf numFmtId="0" fontId="97" fillId="44" borderId="10" xfId="0" applyFont="1" applyFill="1" applyBorder="1"/>
    <xf numFmtId="165" fontId="97" fillId="44" borderId="10" xfId="51" applyFont="1" applyFill="1" applyBorder="1" applyAlignment="1">
      <alignment horizontal="left" indent="1"/>
    </xf>
    <xf numFmtId="165" fontId="104" fillId="0" borderId="0" xfId="49" applyNumberFormat="1" applyFont="1"/>
    <xf numFmtId="175" fontId="102" fillId="0" borderId="0" xfId="49" applyNumberFormat="1" applyFont="1"/>
    <xf numFmtId="0" fontId="104" fillId="0" borderId="0" xfId="46" applyFont="1" applyBorder="1"/>
    <xf numFmtId="3" fontId="115" fillId="0" borderId="0" xfId="46" applyNumberFormat="1" applyFont="1"/>
    <xf numFmtId="0" fontId="104" fillId="0" borderId="0" xfId="46" applyFont="1"/>
    <xf numFmtId="179" fontId="104" fillId="0" borderId="0" xfId="46" applyNumberFormat="1" applyFont="1"/>
    <xf numFmtId="0" fontId="92" fillId="44" borderId="15" xfId="0" applyFont="1" applyFill="1" applyBorder="1" applyAlignment="1">
      <alignment vertical="center"/>
    </xf>
    <xf numFmtId="0" fontId="92" fillId="44" borderId="19" xfId="0" applyFont="1" applyFill="1" applyBorder="1" applyAlignment="1">
      <alignment vertical="center"/>
    </xf>
    <xf numFmtId="0" fontId="92" fillId="44" borderId="16" xfId="0" applyFont="1" applyFill="1" applyBorder="1" applyAlignment="1">
      <alignment vertical="center"/>
    </xf>
    <xf numFmtId="0" fontId="92" fillId="44" borderId="36" xfId="0" applyFont="1" applyFill="1" applyBorder="1" applyAlignment="1">
      <alignment vertical="center"/>
    </xf>
    <xf numFmtId="0" fontId="118" fillId="44" borderId="10" xfId="0" applyFont="1" applyFill="1" applyBorder="1" applyAlignment="1">
      <alignment vertical="center"/>
    </xf>
    <xf numFmtId="0" fontId="92" fillId="44" borderId="11" xfId="0" applyFont="1" applyFill="1" applyBorder="1" applyAlignment="1">
      <alignment vertical="center"/>
    </xf>
    <xf numFmtId="0" fontId="92" fillId="44" borderId="20" xfId="0" applyFont="1" applyFill="1" applyBorder="1" applyAlignment="1">
      <alignment vertical="center"/>
    </xf>
    <xf numFmtId="0" fontId="92" fillId="44" borderId="12" xfId="0" applyFont="1" applyFill="1" applyBorder="1" applyAlignment="1">
      <alignment vertical="center"/>
    </xf>
    <xf numFmtId="0" fontId="104" fillId="0" borderId="0" xfId="46" applyFont="1" applyFill="1" applyBorder="1"/>
    <xf numFmtId="0" fontId="104" fillId="0" borderId="14" xfId="0" applyFont="1" applyFill="1" applyBorder="1" applyAlignment="1">
      <alignment vertical="center"/>
    </xf>
    <xf numFmtId="0" fontId="96" fillId="0" borderId="14" xfId="0" applyFont="1" applyFill="1" applyBorder="1" applyAlignment="1">
      <alignment horizontal="center" vertical="center"/>
    </xf>
    <xf numFmtId="165" fontId="104" fillId="0" borderId="14" xfId="51" applyFont="1" applyFill="1" applyBorder="1" applyAlignment="1">
      <alignment horizontal="right" vertical="center" indent="1"/>
    </xf>
    <xf numFmtId="177" fontId="104" fillId="0" borderId="14" xfId="51" applyNumberFormat="1" applyFont="1" applyFill="1" applyBorder="1" applyAlignment="1">
      <alignment horizontal="right" vertical="center"/>
    </xf>
    <xf numFmtId="165" fontId="104" fillId="0" borderId="14" xfId="51" applyFont="1" applyFill="1" applyBorder="1"/>
    <xf numFmtId="0" fontId="104" fillId="0" borderId="0" xfId="46" applyFont="1" applyFill="1"/>
    <xf numFmtId="0" fontId="119" fillId="0" borderId="0" xfId="46" applyFont="1" applyFill="1"/>
    <xf numFmtId="0" fontId="120" fillId="0" borderId="14" xfId="0" applyFont="1" applyFill="1" applyBorder="1" applyAlignment="1">
      <alignment vertical="center"/>
    </xf>
    <xf numFmtId="165" fontId="96" fillId="0" borderId="14" xfId="51" applyFont="1" applyFill="1" applyBorder="1" applyAlignment="1">
      <alignment horizontal="right" vertical="center" indent="1"/>
    </xf>
    <xf numFmtId="3" fontId="104" fillId="0" borderId="0" xfId="46" applyNumberFormat="1" applyFont="1" applyFill="1"/>
    <xf numFmtId="165" fontId="120" fillId="0" borderId="14" xfId="51" applyFont="1" applyFill="1" applyBorder="1" applyAlignment="1">
      <alignment horizontal="right" vertical="center" indent="1"/>
    </xf>
    <xf numFmtId="0" fontId="118" fillId="44" borderId="14" xfId="0" applyFont="1" applyFill="1" applyBorder="1" applyAlignment="1">
      <alignment vertical="center"/>
    </xf>
    <xf numFmtId="0" fontId="92" fillId="44" borderId="14" xfId="0" applyFont="1" applyFill="1" applyBorder="1" applyAlignment="1">
      <alignment vertical="center"/>
    </xf>
    <xf numFmtId="165" fontId="92" fillId="44" borderId="14" xfId="51" applyFont="1" applyFill="1" applyBorder="1" applyAlignment="1">
      <alignment vertical="center"/>
    </xf>
    <xf numFmtId="165" fontId="104" fillId="0" borderId="0" xfId="51" applyFont="1" applyFill="1"/>
    <xf numFmtId="0" fontId="97" fillId="44" borderId="10" xfId="0" applyFont="1" applyFill="1" applyBorder="1" applyAlignment="1">
      <alignment horizontal="center" vertical="center"/>
    </xf>
    <xf numFmtId="0" fontId="97" fillId="44" borderId="10" xfId="0" applyFont="1" applyFill="1" applyBorder="1" applyAlignment="1">
      <alignment horizontal="right" vertical="center"/>
    </xf>
    <xf numFmtId="165" fontId="97" fillId="44" borderId="10" xfId="51" applyFont="1" applyFill="1" applyBorder="1" applyAlignment="1">
      <alignment horizontal="right" vertical="center" indent="1"/>
    </xf>
    <xf numFmtId="165" fontId="120" fillId="0" borderId="0" xfId="51" applyFont="1" applyFill="1" applyAlignment="1">
      <alignment horizontal="right" vertical="center"/>
    </xf>
    <xf numFmtId="165" fontId="104" fillId="0" borderId="0" xfId="46" applyNumberFormat="1" applyFont="1"/>
    <xf numFmtId="0" fontId="97" fillId="44" borderId="15" xfId="0" applyFont="1" applyFill="1" applyBorder="1" applyAlignment="1">
      <alignment horizontal="center" vertical="center"/>
    </xf>
    <xf numFmtId="0" fontId="97" fillId="44" borderId="15" xfId="0" applyFont="1" applyFill="1" applyBorder="1" applyAlignment="1">
      <alignment horizontal="right" vertical="center"/>
    </xf>
    <xf numFmtId="165" fontId="97" fillId="44" borderId="15" xfId="51" applyFont="1" applyFill="1" applyBorder="1" applyAlignment="1">
      <alignment horizontal="right" vertical="center" indent="1"/>
    </xf>
    <xf numFmtId="3" fontId="120" fillId="0" borderId="0" xfId="0" applyNumberFormat="1" applyFont="1" applyAlignment="1">
      <alignment horizontal="right" vertical="center"/>
    </xf>
    <xf numFmtId="179" fontId="120" fillId="0" borderId="0" xfId="0" applyNumberFormat="1" applyFont="1" applyAlignment="1">
      <alignment horizontal="right" vertical="center"/>
    </xf>
    <xf numFmtId="0" fontId="92" fillId="44" borderId="20" xfId="0" applyFont="1" applyFill="1" applyBorder="1" applyAlignment="1">
      <alignment horizontal="center" vertical="center"/>
    </xf>
    <xf numFmtId="0" fontId="92" fillId="44" borderId="20" xfId="0" applyFont="1" applyFill="1" applyBorder="1" applyAlignment="1">
      <alignment horizontal="center" vertical="center" wrapText="1"/>
    </xf>
    <xf numFmtId="0" fontId="104" fillId="44" borderId="12" xfId="46" applyFont="1" applyFill="1" applyBorder="1"/>
    <xf numFmtId="179" fontId="96" fillId="0" borderId="0" xfId="0" applyNumberFormat="1" applyFont="1" applyAlignment="1">
      <alignment vertical="center"/>
    </xf>
    <xf numFmtId="3" fontId="96" fillId="0" borderId="0" xfId="0" applyNumberFormat="1" applyFont="1" applyAlignment="1">
      <alignment vertical="center"/>
    </xf>
    <xf numFmtId="0" fontId="120" fillId="0" borderId="10" xfId="0" applyFont="1" applyBorder="1" applyAlignment="1">
      <alignment vertical="center"/>
    </xf>
    <xf numFmtId="0" fontId="96" fillId="0" borderId="10" xfId="0" applyFont="1" applyBorder="1" applyAlignment="1">
      <alignment horizontal="center" vertical="center"/>
    </xf>
    <xf numFmtId="0" fontId="96" fillId="0" borderId="10" xfId="0" applyFont="1" applyFill="1" applyBorder="1" applyAlignment="1">
      <alignment horizontal="right" vertical="center" indent="1"/>
    </xf>
    <xf numFmtId="165" fontId="96" fillId="0" borderId="11" xfId="51" applyFont="1" applyBorder="1" applyAlignment="1">
      <alignment horizontal="right" vertical="center"/>
    </xf>
    <xf numFmtId="165" fontId="120" fillId="0" borderId="10" xfId="51" applyFont="1" applyBorder="1" applyAlignment="1">
      <alignment horizontal="right" vertical="center"/>
    </xf>
    <xf numFmtId="165" fontId="104" fillId="0" borderId="10" xfId="51" applyFont="1" applyBorder="1"/>
    <xf numFmtId="3" fontId="104" fillId="0" borderId="0" xfId="46" applyNumberFormat="1" applyFont="1"/>
    <xf numFmtId="0" fontId="102" fillId="0" borderId="0" xfId="46" applyFont="1" applyFill="1"/>
    <xf numFmtId="3" fontId="96" fillId="0" borderId="10" xfId="0" applyNumberFormat="1" applyFont="1" applyFill="1" applyBorder="1" applyAlignment="1">
      <alignment horizontal="right" vertical="center" indent="1"/>
    </xf>
    <xf numFmtId="165" fontId="97" fillId="44" borderId="11" xfId="51" applyFont="1" applyFill="1" applyBorder="1" applyAlignment="1">
      <alignment horizontal="right" vertical="center"/>
    </xf>
    <xf numFmtId="0" fontId="96" fillId="0" borderId="0" xfId="0" applyFont="1" applyFill="1" applyAlignment="1">
      <alignment vertical="center"/>
    </xf>
    <xf numFmtId="0" fontId="104" fillId="0" borderId="10" xfId="0" applyFont="1" applyFill="1" applyBorder="1" applyAlignment="1">
      <alignment vertical="center"/>
    </xf>
    <xf numFmtId="165" fontId="104" fillId="0" borderId="10" xfId="51" applyFont="1" applyFill="1" applyBorder="1" applyAlignment="1">
      <alignment horizontal="right" vertical="center"/>
    </xf>
    <xf numFmtId="177" fontId="104" fillId="0" borderId="0" xfId="51" applyNumberFormat="1" applyFont="1"/>
    <xf numFmtId="166" fontId="104" fillId="0" borderId="0" xfId="46" applyNumberFormat="1" applyFont="1"/>
    <xf numFmtId="0" fontId="104" fillId="0" borderId="10" xfId="0" applyFont="1" applyFill="1" applyBorder="1" applyAlignment="1">
      <alignment horizontal="right" vertical="center"/>
    </xf>
    <xf numFmtId="165" fontId="92" fillId="0" borderId="10" xfId="51" applyFont="1" applyFill="1" applyBorder="1" applyAlignment="1">
      <alignment horizontal="right" vertical="center"/>
    </xf>
    <xf numFmtId="0" fontId="104" fillId="0" borderId="10" xfId="0" applyFont="1" applyFill="1" applyBorder="1" applyAlignment="1">
      <alignment horizontal="left" vertical="center"/>
    </xf>
    <xf numFmtId="165" fontId="104" fillId="0" borderId="10" xfId="51" applyFont="1" applyFill="1" applyBorder="1" applyAlignment="1">
      <alignment horizontal="center" vertical="center"/>
    </xf>
    <xf numFmtId="165" fontId="92" fillId="0" borderId="10" xfId="51" applyFont="1" applyFill="1" applyBorder="1" applyAlignment="1">
      <alignment vertical="center"/>
    </xf>
    <xf numFmtId="165" fontId="104" fillId="0" borderId="10" xfId="51" applyFont="1" applyFill="1" applyBorder="1" applyAlignment="1">
      <alignment vertical="center"/>
    </xf>
    <xf numFmtId="0" fontId="96" fillId="0" borderId="0" xfId="0" applyFont="1" applyFill="1" applyBorder="1" applyAlignment="1">
      <alignment horizontal="left" vertical="center"/>
    </xf>
    <xf numFmtId="179" fontId="106" fillId="43" borderId="10" xfId="0" applyNumberFormat="1" applyFont="1" applyFill="1" applyBorder="1" applyAlignment="1">
      <alignment horizontal="center" vertical="center"/>
    </xf>
    <xf numFmtId="14" fontId="106" fillId="43" borderId="10" xfId="0" applyNumberFormat="1" applyFont="1" applyFill="1" applyBorder="1" applyAlignment="1">
      <alignment horizontal="center" vertical="center"/>
    </xf>
    <xf numFmtId="0" fontId="111" fillId="0" borderId="10" xfId="0" applyFont="1" applyBorder="1" applyAlignment="1">
      <alignment vertical="center" wrapText="1"/>
    </xf>
    <xf numFmtId="0" fontId="111" fillId="0" borderId="10" xfId="0" applyFont="1" applyBorder="1" applyAlignment="1">
      <alignment horizontal="center" vertical="center"/>
    </xf>
    <xf numFmtId="0" fontId="120" fillId="0" borderId="10" xfId="0" applyFont="1" applyBorder="1" applyAlignment="1">
      <alignment vertical="center" wrapText="1"/>
    </xf>
    <xf numFmtId="0" fontId="111" fillId="40" borderId="10" xfId="0" applyFont="1" applyFill="1" applyBorder="1" applyAlignment="1">
      <alignment horizontal="left" vertical="center" wrapText="1"/>
    </xf>
    <xf numFmtId="165" fontId="111" fillId="0" borderId="10" xfId="51" applyFont="1" applyBorder="1" applyAlignment="1">
      <alignment horizontal="right" vertical="center"/>
    </xf>
    <xf numFmtId="0" fontId="105" fillId="0" borderId="0" xfId="46" applyFont="1"/>
    <xf numFmtId="167" fontId="104" fillId="0" borderId="0" xfId="46" applyNumberFormat="1" applyFont="1"/>
    <xf numFmtId="165" fontId="111" fillId="0" borderId="10" xfId="51" applyFont="1" applyFill="1" applyBorder="1" applyAlignment="1">
      <alignment horizontal="right" vertical="center"/>
    </xf>
    <xf numFmtId="3" fontId="102" fillId="0" borderId="0" xfId="46" applyNumberFormat="1" applyFont="1"/>
    <xf numFmtId="0" fontId="112" fillId="0" borderId="0" xfId="0" applyFont="1" applyAlignment="1">
      <alignment horizontal="justify" vertical="center"/>
    </xf>
    <xf numFmtId="165" fontId="96" fillId="0" borderId="10" xfId="0" applyNumberFormat="1" applyFont="1" applyBorder="1" applyAlignment="1">
      <alignment horizontal="right" vertical="center"/>
    </xf>
    <xf numFmtId="0" fontId="97" fillId="0" borderId="10" xfId="0" applyFont="1" applyBorder="1" applyAlignment="1">
      <alignment vertical="center"/>
    </xf>
    <xf numFmtId="165" fontId="97" fillId="0" borderId="10" xfId="0" applyNumberFormat="1" applyFont="1" applyBorder="1" applyAlignment="1">
      <alignment horizontal="right" vertical="center"/>
    </xf>
    <xf numFmtId="0" fontId="111" fillId="0" borderId="0" xfId="0" applyFont="1" applyAlignment="1">
      <alignment horizontal="left" vertical="center" wrapText="1"/>
    </xf>
    <xf numFmtId="167" fontId="111" fillId="0" borderId="0" xfId="45" applyFont="1" applyAlignment="1">
      <alignment vertical="center"/>
    </xf>
    <xf numFmtId="0" fontId="96" fillId="0" borderId="0" xfId="0" applyFont="1" applyAlignment="1">
      <alignment horizontal="justify" vertical="center"/>
    </xf>
    <xf numFmtId="0" fontId="96" fillId="0" borderId="0" xfId="0" applyFont="1" applyAlignment="1">
      <alignment horizontal="left" vertical="center"/>
    </xf>
    <xf numFmtId="0" fontId="112" fillId="0" borderId="0" xfId="0" applyFont="1"/>
    <xf numFmtId="0" fontId="120" fillId="0" borderId="0" xfId="0" applyFont="1" applyAlignment="1">
      <alignment horizontal="left" vertical="center"/>
    </xf>
    <xf numFmtId="165" fontId="96" fillId="0" borderId="10" xfId="51" applyFont="1" applyBorder="1" applyAlignment="1">
      <alignment horizontal="right" vertical="center"/>
    </xf>
    <xf numFmtId="165" fontId="97" fillId="0" borderId="10" xfId="51" applyFont="1" applyBorder="1" applyAlignment="1">
      <alignment horizontal="right" vertical="center"/>
    </xf>
    <xf numFmtId="0" fontId="111" fillId="0" borderId="0" xfId="0" applyFont="1" applyAlignment="1">
      <alignment vertical="center" wrapText="1"/>
    </xf>
    <xf numFmtId="0" fontId="111" fillId="0" borderId="0" xfId="0" applyFont="1" applyAlignment="1">
      <alignment horizontal="right" vertical="center"/>
    </xf>
    <xf numFmtId="0" fontId="92" fillId="0" borderId="0" xfId="49" applyFont="1" applyBorder="1" applyAlignment="1">
      <alignment horizontal="center" vertical="center" wrapText="1"/>
    </xf>
    <xf numFmtId="0" fontId="92" fillId="0" borderId="0" xfId="49" applyFont="1" applyAlignment="1">
      <alignment horizontal="center" vertical="center" wrapText="1"/>
    </xf>
    <xf numFmtId="175" fontId="104" fillId="0" borderId="0" xfId="51" applyNumberFormat="1" applyFont="1" applyBorder="1"/>
    <xf numFmtId="0" fontId="96" fillId="0" borderId="10" xfId="0" applyFont="1" applyBorder="1" applyAlignment="1">
      <alignment vertical="center"/>
    </xf>
    <xf numFmtId="167" fontId="96" fillId="0" borderId="10" xfId="51" applyNumberFormat="1" applyFont="1" applyBorder="1" applyAlignment="1">
      <alignment horizontal="right" vertical="center"/>
    </xf>
    <xf numFmtId="167" fontId="96" fillId="0" borderId="10" xfId="51" applyNumberFormat="1" applyFont="1" applyBorder="1" applyAlignment="1">
      <alignment horizontal="center" vertical="center"/>
    </xf>
    <xf numFmtId="175" fontId="104" fillId="0" borderId="0" xfId="51" applyNumberFormat="1" applyFont="1"/>
    <xf numFmtId="167" fontId="97" fillId="0" borderId="10" xfId="51" applyNumberFormat="1" applyFont="1" applyBorder="1" applyAlignment="1">
      <alignment horizontal="right" vertical="center"/>
    </xf>
    <xf numFmtId="175" fontId="92" fillId="0" borderId="0" xfId="51" applyNumberFormat="1" applyFont="1" applyBorder="1"/>
    <xf numFmtId="175" fontId="92" fillId="0" borderId="0" xfId="51" applyNumberFormat="1" applyFont="1"/>
    <xf numFmtId="167" fontId="92" fillId="0" borderId="10" xfId="51" applyNumberFormat="1" applyFont="1" applyBorder="1"/>
    <xf numFmtId="0" fontId="92" fillId="0" borderId="0" xfId="49" applyFont="1" applyFill="1"/>
    <xf numFmtId="0" fontId="115" fillId="0" borderId="0" xfId="46" applyFont="1"/>
    <xf numFmtId="165" fontId="96" fillId="0" borderId="10" xfId="51" applyFont="1" applyFill="1" applyBorder="1" applyAlignment="1">
      <alignment horizontal="left" vertical="center" indent="1"/>
    </xf>
    <xf numFmtId="167" fontId="96" fillId="0" borderId="10" xfId="51" applyNumberFormat="1" applyFont="1" applyFill="1" applyBorder="1" applyAlignment="1">
      <alignment horizontal="right" vertical="center"/>
    </xf>
    <xf numFmtId="165" fontId="97" fillId="0" borderId="0" xfId="0" applyNumberFormat="1" applyFont="1" applyBorder="1" applyAlignment="1">
      <alignment horizontal="right" vertical="center"/>
    </xf>
    <xf numFmtId="0" fontId="96" fillId="0" borderId="10" xfId="0" applyFont="1" applyBorder="1" applyAlignment="1">
      <alignment horizontal="left" vertical="center" indent="1"/>
    </xf>
    <xf numFmtId="167" fontId="97" fillId="0" borderId="10" xfId="0" applyNumberFormat="1" applyFont="1" applyBorder="1" applyAlignment="1">
      <alignment horizontal="right" vertical="center"/>
    </xf>
    <xf numFmtId="0" fontId="104" fillId="0" borderId="0" xfId="0" applyFont="1" applyAlignment="1">
      <alignment vertical="top"/>
    </xf>
    <xf numFmtId="173" fontId="92" fillId="0" borderId="0" xfId="50" applyNumberFormat="1" applyFont="1"/>
    <xf numFmtId="0" fontId="92" fillId="0" borderId="0" xfId="0" applyFont="1" applyAlignment="1">
      <alignment vertical="top"/>
    </xf>
    <xf numFmtId="173" fontId="96" fillId="0" borderId="0" xfId="0" applyNumberFormat="1" applyFont="1"/>
    <xf numFmtId="170" fontId="104" fillId="0" borderId="0" xfId="1" applyNumberFormat="1" applyFont="1"/>
    <xf numFmtId="0" fontId="97" fillId="0" borderId="0" xfId="0" applyFont="1" applyAlignment="1">
      <alignment horizontal="justify" vertical="center"/>
    </xf>
    <xf numFmtId="0" fontId="112" fillId="0" borderId="13" xfId="0" applyFont="1" applyBorder="1" applyAlignment="1">
      <alignment vertical="center"/>
    </xf>
    <xf numFmtId="165" fontId="96" fillId="0" borderId="13" xfId="51" applyFont="1" applyBorder="1"/>
    <xf numFmtId="165" fontId="96" fillId="0" borderId="13" xfId="51" applyFont="1" applyBorder="1" applyAlignment="1">
      <alignment horizontal="right" vertical="center"/>
    </xf>
    <xf numFmtId="0" fontId="96" fillId="0" borderId="15" xfId="0" applyFont="1" applyBorder="1" applyAlignment="1">
      <alignment horizontal="left" vertical="center" indent="4"/>
    </xf>
    <xf numFmtId="165" fontId="96" fillId="0" borderId="15" xfId="51" applyFont="1" applyBorder="1" applyAlignment="1">
      <alignment horizontal="right" vertical="center"/>
    </xf>
    <xf numFmtId="170" fontId="104" fillId="0" borderId="0" xfId="49" applyNumberFormat="1" applyFont="1"/>
    <xf numFmtId="0" fontId="96" fillId="0" borderId="0" xfId="0" applyFont="1" applyAlignment="1">
      <alignment horizontal="right" vertical="center"/>
    </xf>
    <xf numFmtId="14" fontId="104" fillId="0" borderId="0" xfId="49" applyNumberFormat="1" applyFont="1"/>
    <xf numFmtId="165" fontId="104" fillId="0" borderId="10" xfId="51" applyFont="1" applyBorder="1" applyAlignment="1">
      <alignment vertical="top"/>
    </xf>
    <xf numFmtId="165" fontId="92" fillId="0" borderId="10" xfId="51" applyFont="1" applyBorder="1"/>
    <xf numFmtId="165" fontId="92" fillId="0" borderId="10" xfId="51" applyFont="1" applyBorder="1" applyAlignment="1">
      <alignment vertical="top"/>
    </xf>
    <xf numFmtId="174" fontId="92" fillId="0" borderId="0" xfId="49" applyNumberFormat="1" applyFont="1"/>
    <xf numFmtId="165" fontId="96" fillId="0" borderId="10" xfId="51" applyFont="1" applyBorder="1" applyAlignment="1">
      <alignment horizontal="right" vertical="center" indent="1"/>
    </xf>
    <xf numFmtId="165" fontId="97" fillId="0" borderId="10" xfId="51" applyFont="1" applyBorder="1" applyAlignment="1">
      <alignment horizontal="right" vertical="center" indent="1"/>
    </xf>
    <xf numFmtId="165" fontId="96" fillId="0" borderId="10" xfId="51" applyFont="1" applyBorder="1" applyAlignment="1">
      <alignment horizontal="center" vertical="center"/>
    </xf>
    <xf numFmtId="179" fontId="105" fillId="0" borderId="0" xfId="49" applyNumberFormat="1" applyFont="1"/>
    <xf numFmtId="0" fontId="96" fillId="0" borderId="10" xfId="0" applyFont="1" applyBorder="1" applyAlignment="1">
      <alignment horizontal="right" vertical="center"/>
    </xf>
    <xf numFmtId="165" fontId="97" fillId="0" borderId="10" xfId="51" applyFont="1" applyBorder="1" applyAlignment="1">
      <alignment horizontal="center" vertical="center"/>
    </xf>
    <xf numFmtId="0" fontId="121" fillId="0" borderId="0" xfId="0" applyFont="1" applyAlignment="1">
      <alignment horizontal="left" vertical="center"/>
    </xf>
    <xf numFmtId="165" fontId="96" fillId="0" borderId="10" xfId="51" applyFont="1" applyBorder="1" applyAlignment="1">
      <alignment vertical="center"/>
    </xf>
    <xf numFmtId="165" fontId="97" fillId="0" borderId="10" xfId="51" applyFont="1" applyBorder="1" applyAlignment="1">
      <alignment vertical="center"/>
    </xf>
    <xf numFmtId="167" fontId="92" fillId="0" borderId="0" xfId="45" applyFont="1" applyAlignment="1">
      <alignment vertical="top"/>
    </xf>
    <xf numFmtId="0" fontId="115" fillId="0" borderId="0" xfId="49" applyFont="1"/>
    <xf numFmtId="167" fontId="96" fillId="0" borderId="10" xfId="1" applyNumberFormat="1" applyFont="1" applyBorder="1" applyAlignment="1">
      <alignment horizontal="right" vertical="center"/>
    </xf>
    <xf numFmtId="0" fontId="105" fillId="0" borderId="0" xfId="49" applyFont="1"/>
    <xf numFmtId="167" fontId="96" fillId="0" borderId="10" xfId="1" applyNumberFormat="1" applyFont="1" applyFill="1" applyBorder="1" applyAlignment="1">
      <alignment horizontal="right" vertical="center"/>
    </xf>
    <xf numFmtId="0" fontId="102" fillId="0" borderId="0" xfId="49" applyFont="1"/>
    <xf numFmtId="0" fontId="97" fillId="0" borderId="10" xfId="0" applyFont="1" applyBorder="1" applyAlignment="1">
      <alignment vertical="center" wrapText="1"/>
    </xf>
    <xf numFmtId="0" fontId="96" fillId="0" borderId="10" xfId="0" applyFont="1" applyBorder="1" applyAlignment="1">
      <alignment vertical="top" wrapText="1"/>
    </xf>
    <xf numFmtId="0" fontId="120" fillId="0" borderId="0" xfId="0" applyFont="1" applyAlignment="1">
      <alignment horizontal="center" vertical="center"/>
    </xf>
    <xf numFmtId="0" fontId="120" fillId="0" borderId="0" xfId="0" applyFont="1" applyAlignment="1">
      <alignment horizontal="center" vertical="center" wrapText="1"/>
    </xf>
    <xf numFmtId="0" fontId="120" fillId="0" borderId="0" xfId="0" applyFont="1" applyFill="1" applyAlignment="1">
      <alignment horizontal="left" vertical="center"/>
    </xf>
    <xf numFmtId="0" fontId="120" fillId="0" borderId="0" xfId="0" applyFont="1" applyFill="1" applyAlignment="1">
      <alignment horizontal="center" vertical="center" wrapText="1"/>
    </xf>
    <xf numFmtId="0" fontId="104" fillId="0" borderId="0" xfId="0" applyFont="1" applyFill="1" applyBorder="1" applyAlignment="1"/>
    <xf numFmtId="0" fontId="104" fillId="0" borderId="0" xfId="49" applyNumberFormat="1" applyFont="1" applyFill="1" applyBorder="1" applyAlignment="1"/>
    <xf numFmtId="179" fontId="104" fillId="0" borderId="0" xfId="49" applyNumberFormat="1" applyFont="1" applyFill="1" applyBorder="1" applyAlignment="1"/>
    <xf numFmtId="0" fontId="104" fillId="0" borderId="0" xfId="0" applyFont="1" applyBorder="1" applyAlignment="1"/>
    <xf numFmtId="0" fontId="104" fillId="0" borderId="0" xfId="0" applyNumberFormat="1" applyFont="1" applyBorder="1" applyAlignment="1"/>
    <xf numFmtId="179" fontId="104" fillId="0" borderId="0" xfId="0" applyNumberFormat="1" applyFont="1" applyBorder="1" applyAlignment="1"/>
    <xf numFmtId="0" fontId="111" fillId="44" borderId="11" xfId="0" applyFont="1" applyFill="1" applyBorder="1" applyAlignment="1">
      <alignment vertical="center" wrapText="1"/>
    </xf>
    <xf numFmtId="0" fontId="120" fillId="0" borderId="11" xfId="0" applyFont="1" applyBorder="1" applyAlignment="1">
      <alignment horizontal="left" vertical="center" wrapText="1" indent="1"/>
    </xf>
    <xf numFmtId="0" fontId="120" fillId="0" borderId="11" xfId="0" applyFont="1" applyBorder="1" applyAlignment="1">
      <alignment horizontal="left" vertical="center" indent="1"/>
    </xf>
    <xf numFmtId="165" fontId="104" fillId="0" borderId="0" xfId="51" applyFont="1" applyBorder="1" applyAlignment="1"/>
    <xf numFmtId="165" fontId="104" fillId="0" borderId="0" xfId="0" applyNumberFormat="1" applyFont="1" applyBorder="1" applyAlignment="1"/>
    <xf numFmtId="167" fontId="104" fillId="0" borderId="0" xfId="45" applyFont="1"/>
    <xf numFmtId="0" fontId="92" fillId="0" borderId="0" xfId="49" applyFont="1" applyBorder="1"/>
    <xf numFmtId="0" fontId="106" fillId="43" borderId="10" xfId="49" applyFont="1" applyFill="1" applyBorder="1" applyAlignment="1">
      <alignment horizontal="center" vertical="center" wrapText="1"/>
    </xf>
    <xf numFmtId="165" fontId="104" fillId="0" borderId="10" xfId="51" applyFont="1" applyFill="1" applyBorder="1"/>
    <xf numFmtId="0" fontId="92" fillId="0" borderId="10" xfId="49" applyFont="1" applyBorder="1"/>
    <xf numFmtId="165" fontId="92" fillId="0" borderId="10" xfId="51" applyFont="1" applyFill="1" applyBorder="1"/>
    <xf numFmtId="173" fontId="104" fillId="0" borderId="0" xfId="49" applyNumberFormat="1" applyFont="1"/>
    <xf numFmtId="0" fontId="122" fillId="0" borderId="0" xfId="49" applyFont="1" applyBorder="1"/>
    <xf numFmtId="165" fontId="92" fillId="0" borderId="0" xfId="51" applyFont="1" applyFill="1" applyBorder="1"/>
    <xf numFmtId="175" fontId="104" fillId="0" borderId="10" xfId="49" applyNumberFormat="1" applyFont="1" applyBorder="1"/>
    <xf numFmtId="170" fontId="104" fillId="0" borderId="0" xfId="49" applyNumberFormat="1" applyFont="1" applyFill="1"/>
    <xf numFmtId="0" fontId="97" fillId="0" borderId="17" xfId="0" applyFont="1" applyBorder="1"/>
    <xf numFmtId="170" fontId="104" fillId="0" borderId="14" xfId="1" applyNumberFormat="1" applyFont="1" applyFill="1" applyBorder="1"/>
    <xf numFmtId="170" fontId="104" fillId="0" borderId="14" xfId="1" applyNumberFormat="1" applyFont="1" applyBorder="1"/>
    <xf numFmtId="0" fontId="96" fillId="0" borderId="17" xfId="0" applyFont="1" applyBorder="1"/>
    <xf numFmtId="0" fontId="96" fillId="0" borderId="17" xfId="0" applyFont="1" applyFill="1" applyBorder="1"/>
    <xf numFmtId="0" fontId="97" fillId="0" borderId="11" xfId="0" applyFont="1" applyBorder="1"/>
    <xf numFmtId="165" fontId="104" fillId="0" borderId="0" xfId="49" applyNumberFormat="1" applyFont="1" applyFill="1"/>
    <xf numFmtId="0" fontId="97" fillId="0" borderId="23" xfId="0" applyFont="1" applyBorder="1"/>
    <xf numFmtId="165" fontId="104" fillId="0" borderId="13" xfId="51" applyFont="1" applyFill="1" applyBorder="1"/>
    <xf numFmtId="165" fontId="97" fillId="0" borderId="14" xfId="51" applyFont="1" applyFill="1" applyBorder="1"/>
    <xf numFmtId="165" fontId="96" fillId="0" borderId="14" xfId="51" applyFont="1" applyFill="1" applyBorder="1"/>
    <xf numFmtId="165" fontId="96" fillId="0" borderId="17" xfId="0" applyNumberFormat="1" applyFont="1" applyFill="1" applyBorder="1"/>
    <xf numFmtId="0" fontId="110" fillId="0" borderId="0" xfId="0" applyFont="1" applyBorder="1"/>
    <xf numFmtId="0" fontId="96" fillId="0" borderId="0" xfId="0" applyFont="1" applyFill="1" applyBorder="1"/>
    <xf numFmtId="0" fontId="111" fillId="0" borderId="10" xfId="0" applyFont="1" applyBorder="1" applyAlignment="1">
      <alignment vertical="center"/>
    </xf>
    <xf numFmtId="0" fontId="96" fillId="0" borderId="10" xfId="0" applyFont="1" applyFill="1" applyBorder="1" applyAlignment="1">
      <alignment vertical="center"/>
    </xf>
    <xf numFmtId="167" fontId="104" fillId="0" borderId="10" xfId="51" applyNumberFormat="1" applyFont="1" applyFill="1" applyBorder="1"/>
    <xf numFmtId="167" fontId="97" fillId="0" borderId="10" xfId="51" applyNumberFormat="1" applyFont="1" applyFill="1" applyBorder="1" applyAlignment="1">
      <alignment horizontal="right" vertical="center"/>
    </xf>
    <xf numFmtId="167" fontId="96" fillId="0" borderId="10" xfId="0" applyNumberFormat="1" applyFont="1" applyFill="1" applyBorder="1" applyAlignment="1">
      <alignment vertical="center"/>
    </xf>
    <xf numFmtId="167" fontId="96" fillId="0" borderId="10" xfId="0" applyNumberFormat="1" applyFont="1" applyBorder="1" applyAlignment="1">
      <alignment vertical="center"/>
    </xf>
    <xf numFmtId="175" fontId="92" fillId="0" borderId="0" xfId="45" applyNumberFormat="1" applyFont="1"/>
    <xf numFmtId="0" fontId="97" fillId="0" borderId="0" xfId="0" applyFont="1"/>
    <xf numFmtId="0" fontId="96" fillId="0" borderId="10" xfId="0" applyFont="1" applyBorder="1"/>
    <xf numFmtId="167" fontId="104" fillId="0" borderId="10" xfId="45" applyFont="1" applyFill="1" applyBorder="1"/>
    <xf numFmtId="175" fontId="104" fillId="0" borderId="10" xfId="54" applyNumberFormat="1" applyFont="1" applyFill="1" applyBorder="1"/>
    <xf numFmtId="0" fontId="97" fillId="0" borderId="10" xfId="0" applyFont="1" applyBorder="1"/>
    <xf numFmtId="167" fontId="92" fillId="0" borderId="10" xfId="45" applyFont="1" applyFill="1" applyBorder="1"/>
    <xf numFmtId="175" fontId="92" fillId="0" borderId="20" xfId="45" applyNumberFormat="1" applyFont="1" applyFill="1" applyBorder="1"/>
    <xf numFmtId="165" fontId="92" fillId="0" borderId="12" xfId="51" applyFont="1" applyBorder="1"/>
    <xf numFmtId="0" fontId="104" fillId="0" borderId="10" xfId="49" applyFont="1" applyFill="1" applyBorder="1"/>
    <xf numFmtId="0" fontId="92" fillId="0" borderId="10" xfId="49" applyFont="1" applyFill="1" applyBorder="1"/>
    <xf numFmtId="175" fontId="92" fillId="0" borderId="0" xfId="49" applyNumberFormat="1" applyFont="1"/>
    <xf numFmtId="169" fontId="92" fillId="0" borderId="0" xfId="49" applyNumberFormat="1" applyFont="1"/>
    <xf numFmtId="0" fontId="104" fillId="0" borderId="17" xfId="49" applyFont="1" applyFill="1" applyBorder="1"/>
    <xf numFmtId="0" fontId="92" fillId="0" borderId="0" xfId="49" applyFont="1" applyFill="1" applyBorder="1"/>
    <xf numFmtId="175" fontId="92" fillId="0" borderId="0" xfId="49" applyNumberFormat="1" applyFont="1" applyFill="1" applyBorder="1"/>
    <xf numFmtId="169" fontId="92" fillId="0" borderId="0" xfId="49" applyNumberFormat="1" applyFont="1" applyFill="1" applyBorder="1"/>
    <xf numFmtId="170" fontId="104" fillId="0" borderId="0" xfId="1" applyNumberFormat="1" applyFont="1" applyFill="1" applyBorder="1"/>
    <xf numFmtId="0" fontId="90" fillId="0" borderId="0" xfId="49" applyFont="1" applyBorder="1"/>
    <xf numFmtId="0" fontId="76" fillId="0" borderId="0" xfId="49" applyFont="1"/>
    <xf numFmtId="0" fontId="90" fillId="0" borderId="0" xfId="49" applyFont="1"/>
    <xf numFmtId="179" fontId="90" fillId="0" borderId="0" xfId="49" applyNumberFormat="1" applyFont="1"/>
    <xf numFmtId="0" fontId="90" fillId="0" borderId="0" xfId="49" applyFont="1" applyFill="1"/>
    <xf numFmtId="0" fontId="104" fillId="0" borderId="0" xfId="49" applyFont="1" applyFill="1" applyAlignment="1">
      <alignment wrapText="1"/>
    </xf>
    <xf numFmtId="0" fontId="104" fillId="0" borderId="0" xfId="49" applyFont="1" applyFill="1" applyAlignment="1">
      <alignment horizontal="center" vertical="center" wrapText="1"/>
    </xf>
    <xf numFmtId="0" fontId="92" fillId="0" borderId="0" xfId="49" applyFont="1" applyFill="1" applyAlignment="1">
      <alignment horizontal="center" vertical="center"/>
    </xf>
    <xf numFmtId="0" fontId="92" fillId="0" borderId="0" xfId="49" applyFont="1" applyFill="1" applyAlignment="1">
      <alignment horizontal="center" vertical="center" wrapText="1"/>
    </xf>
    <xf numFmtId="175" fontId="104" fillId="0" borderId="0" xfId="51" applyNumberFormat="1" applyFont="1" applyFill="1"/>
    <xf numFmtId="167" fontId="92" fillId="0" borderId="10" xfId="51" applyNumberFormat="1" applyFont="1" applyFill="1" applyBorder="1"/>
    <xf numFmtId="186" fontId="104" fillId="44" borderId="10" xfId="51" applyNumberFormat="1" applyFont="1" applyFill="1" applyBorder="1" applyAlignment="1">
      <alignment horizontal="center" vertical="center"/>
    </xf>
    <xf numFmtId="0" fontId="96" fillId="0" borderId="0" xfId="0" applyFont="1" applyBorder="1" applyAlignment="1">
      <alignment horizontal="left" vertical="center"/>
    </xf>
    <xf numFmtId="186" fontId="92" fillId="44" borderId="10" xfId="49" applyNumberFormat="1" applyFont="1" applyFill="1" applyBorder="1" applyAlignment="1">
      <alignment horizontal="center" vertical="center" wrapText="1"/>
    </xf>
    <xf numFmtId="179" fontId="104" fillId="44" borderId="10" xfId="49" applyNumberFormat="1" applyFont="1" applyFill="1" applyBorder="1"/>
    <xf numFmtId="172" fontId="97" fillId="44" borderId="10" xfId="0" applyNumberFormat="1" applyFont="1" applyFill="1" applyBorder="1" applyAlignment="1">
      <alignment horizontal="left" vertical="center" indent="1"/>
    </xf>
    <xf numFmtId="0" fontId="25" fillId="0" borderId="0" xfId="321" applyFont="1" applyAlignment="1">
      <alignment horizontal="center" vertical="center"/>
    </xf>
    <xf numFmtId="0" fontId="97" fillId="0" borderId="10" xfId="0" applyFont="1" applyFill="1" applyBorder="1" applyAlignment="1">
      <alignment horizontal="left" vertical="center" indent="1"/>
    </xf>
    <xf numFmtId="172" fontId="97" fillId="0" borderId="10" xfId="51" applyNumberFormat="1" applyFont="1" applyFill="1" applyBorder="1" applyAlignment="1">
      <alignment horizontal="right" vertical="center"/>
    </xf>
    <xf numFmtId="169" fontId="96" fillId="0" borderId="10" xfId="1" applyFont="1" applyFill="1" applyBorder="1" applyAlignment="1">
      <alignment horizontal="right" vertical="center"/>
    </xf>
    <xf numFmtId="165" fontId="97" fillId="0" borderId="10" xfId="51" applyFont="1" applyFill="1" applyBorder="1" applyAlignment="1">
      <alignment horizontal="right" vertical="center"/>
    </xf>
    <xf numFmtId="4" fontId="96" fillId="0" borderId="10" xfId="0" applyNumberFormat="1" applyFont="1" applyFill="1" applyBorder="1" applyAlignment="1">
      <alignment horizontal="right" vertical="center"/>
    </xf>
    <xf numFmtId="0" fontId="104" fillId="0" borderId="0" xfId="49" applyFont="1" applyBorder="1" applyAlignment="1">
      <alignment vertical="center"/>
    </xf>
    <xf numFmtId="0" fontId="104" fillId="0" borderId="0" xfId="49" applyFont="1" applyAlignment="1">
      <alignment vertical="center"/>
    </xf>
    <xf numFmtId="3" fontId="104" fillId="0" borderId="0" xfId="49" applyNumberFormat="1" applyFont="1" applyAlignment="1">
      <alignment vertical="center"/>
    </xf>
    <xf numFmtId="2" fontId="104" fillId="0" borderId="0" xfId="49" applyNumberFormat="1" applyFont="1" applyAlignment="1">
      <alignment vertical="center"/>
    </xf>
    <xf numFmtId="174" fontId="104" fillId="0" borderId="0" xfId="49" applyNumberFormat="1" applyFont="1" applyAlignment="1">
      <alignment vertical="center"/>
    </xf>
    <xf numFmtId="0" fontId="104" fillId="0" borderId="0" xfId="49" applyFont="1" applyFill="1" applyAlignment="1">
      <alignment vertical="center"/>
    </xf>
    <xf numFmtId="0" fontId="104" fillId="0" borderId="10" xfId="49" applyFont="1" applyBorder="1" applyAlignment="1">
      <alignment horizontal="left" indent="1"/>
    </xf>
    <xf numFmtId="0" fontId="123" fillId="0" borderId="0" xfId="0" applyFont="1" applyBorder="1"/>
    <xf numFmtId="165" fontId="92" fillId="0" borderId="10" xfId="51" applyFont="1" applyFill="1" applyBorder="1" applyAlignment="1">
      <alignment horizontal="left" indent="1"/>
    </xf>
    <xf numFmtId="179" fontId="92" fillId="0" borderId="0" xfId="49" applyNumberFormat="1" applyFont="1"/>
    <xf numFmtId="0" fontId="104" fillId="0" borderId="10" xfId="49" applyFont="1" applyBorder="1" applyAlignment="1">
      <alignment horizontal="center"/>
    </xf>
    <xf numFmtId="0" fontId="92" fillId="0" borderId="10" xfId="49" applyFont="1" applyBorder="1" applyAlignment="1">
      <alignment horizontal="center"/>
    </xf>
    <xf numFmtId="0" fontId="97" fillId="44" borderId="10" xfId="0" applyFont="1" applyFill="1" applyBorder="1" applyAlignment="1">
      <alignment horizontal="center"/>
    </xf>
    <xf numFmtId="0" fontId="81" fillId="0" borderId="0" xfId="0" applyFont="1" applyAlignment="1">
      <alignment horizontal="center" vertical="center"/>
    </xf>
    <xf numFmtId="0" fontId="84" fillId="0" borderId="0" xfId="0" applyFont="1" applyAlignment="1">
      <alignment vertical="center"/>
    </xf>
    <xf numFmtId="0" fontId="81" fillId="0" borderId="0" xfId="0" applyFont="1" applyAlignment="1">
      <alignment vertical="center"/>
    </xf>
    <xf numFmtId="14" fontId="84" fillId="0" borderId="0" xfId="0" applyNumberFormat="1" applyFont="1" applyAlignment="1">
      <alignment vertical="center"/>
    </xf>
    <xf numFmtId="0" fontId="125" fillId="41" borderId="38" xfId="0" applyFont="1" applyFill="1" applyBorder="1" applyAlignment="1">
      <alignment horizontal="center" vertical="center" wrapText="1"/>
    </xf>
    <xf numFmtId="0" fontId="125" fillId="48" borderId="38" xfId="0" applyFont="1" applyFill="1" applyBorder="1" applyAlignment="1">
      <alignment horizontal="center" vertical="center" wrapText="1"/>
    </xf>
    <xf numFmtId="165" fontId="84" fillId="0" borderId="0" xfId="51" applyFont="1" applyAlignment="1">
      <alignment vertical="center"/>
    </xf>
    <xf numFmtId="0" fontId="81" fillId="49" borderId="11" xfId="0" applyFont="1" applyFill="1" applyBorder="1" applyAlignment="1">
      <alignment vertical="center"/>
    </xf>
    <xf numFmtId="0" fontId="84" fillId="49" borderId="20" xfId="0" applyFont="1" applyFill="1" applyBorder="1" applyAlignment="1">
      <alignment vertical="center"/>
    </xf>
    <xf numFmtId="165" fontId="84" fillId="49" borderId="20" xfId="51" applyFont="1" applyFill="1" applyBorder="1" applyAlignment="1">
      <alignment vertical="center"/>
    </xf>
    <xf numFmtId="0" fontId="84" fillId="49" borderId="10" xfId="0" applyFont="1" applyFill="1" applyBorder="1" applyAlignment="1">
      <alignment vertical="center"/>
    </xf>
    <xf numFmtId="179" fontId="84" fillId="0" borderId="10" xfId="0" applyNumberFormat="1" applyFont="1" applyBorder="1" applyAlignment="1">
      <alignment horizontal="center" vertical="center"/>
    </xf>
    <xf numFmtId="185" fontId="84" fillId="0" borderId="15" xfId="51" applyNumberFormat="1" applyFont="1" applyFill="1" applyBorder="1" applyAlignment="1">
      <alignment horizontal="center" vertical="center"/>
    </xf>
    <xf numFmtId="165" fontId="84" fillId="0" borderId="15" xfId="51" applyFont="1" applyFill="1" applyBorder="1" applyAlignment="1">
      <alignment horizontal="center" vertical="center"/>
    </xf>
    <xf numFmtId="0" fontId="74" fillId="0" borderId="0" xfId="0" applyFont="1" applyAlignment="1">
      <alignment vertical="center"/>
    </xf>
    <xf numFmtId="165" fontId="81" fillId="0" borderId="37" xfId="51" applyFont="1" applyFill="1" applyBorder="1" applyAlignment="1">
      <alignment horizontal="center" vertical="center"/>
    </xf>
    <xf numFmtId="165" fontId="81" fillId="0" borderId="21" xfId="51" applyFont="1" applyFill="1" applyBorder="1" applyAlignment="1">
      <alignment horizontal="center" vertical="center"/>
    </xf>
    <xf numFmtId="0" fontId="84" fillId="0" borderId="0" xfId="0" applyFont="1" applyAlignment="1">
      <alignment horizontal="center" vertical="center"/>
    </xf>
    <xf numFmtId="165" fontId="84" fillId="0" borderId="0" xfId="51" applyFont="1" applyFill="1" applyAlignment="1">
      <alignment horizontal="center" vertical="center"/>
    </xf>
    <xf numFmtId="0" fontId="81" fillId="0" borderId="0" xfId="0" applyFont="1" applyAlignment="1">
      <alignment horizontal="right" vertical="center"/>
    </xf>
    <xf numFmtId="167" fontId="81" fillId="0" borderId="0" xfId="0" applyNumberFormat="1" applyFont="1" applyAlignment="1">
      <alignment horizontal="center" vertical="center"/>
    </xf>
    <xf numFmtId="177" fontId="84" fillId="49" borderId="12" xfId="51" applyNumberFormat="1" applyFont="1" applyFill="1" applyBorder="1" applyAlignment="1">
      <alignment vertical="center"/>
    </xf>
    <xf numFmtId="177" fontId="84" fillId="0" borderId="15" xfId="51" applyNumberFormat="1" applyFont="1" applyFill="1" applyBorder="1" applyAlignment="1">
      <alignment horizontal="center" vertical="center"/>
    </xf>
    <xf numFmtId="177" fontId="81" fillId="0" borderId="37" xfId="51" applyNumberFormat="1" applyFont="1" applyFill="1" applyBorder="1" applyAlignment="1">
      <alignment horizontal="center" vertical="center"/>
    </xf>
    <xf numFmtId="177" fontId="81" fillId="0" borderId="0" xfId="51" applyNumberFormat="1" applyFont="1" applyFill="1" applyAlignment="1">
      <alignment horizontal="center" vertical="center"/>
    </xf>
    <xf numFmtId="165" fontId="84" fillId="0" borderId="0" xfId="51" applyFont="1" applyFill="1" applyBorder="1" applyAlignment="1">
      <alignment horizontal="center" vertical="center"/>
    </xf>
    <xf numFmtId="179" fontId="84" fillId="0" borderId="0" xfId="0" applyNumberFormat="1" applyFont="1" applyAlignment="1">
      <alignment horizontal="center" vertical="center"/>
    </xf>
    <xf numFmtId="10" fontId="84" fillId="0" borderId="0" xfId="57" applyNumberFormat="1" applyFont="1" applyFill="1" applyBorder="1" applyAlignment="1">
      <alignment horizontal="center" vertical="center"/>
    </xf>
    <xf numFmtId="172" fontId="81" fillId="0" borderId="0" xfId="51" applyNumberFormat="1" applyFont="1" applyFill="1" applyBorder="1" applyAlignment="1">
      <alignment horizontal="center" vertical="center"/>
    </xf>
    <xf numFmtId="177" fontId="81" fillId="0" borderId="0" xfId="51" applyNumberFormat="1" applyFont="1" applyFill="1" applyBorder="1" applyAlignment="1">
      <alignment horizontal="center" vertical="center"/>
    </xf>
    <xf numFmtId="177" fontId="84" fillId="0" borderId="0" xfId="0" applyNumberFormat="1" applyFont="1" applyAlignment="1">
      <alignment vertical="center"/>
    </xf>
    <xf numFmtId="165" fontId="74" fillId="0" borderId="0" xfId="0" applyNumberFormat="1" applyFont="1" applyAlignment="1">
      <alignment horizontal="center" vertical="center"/>
    </xf>
    <xf numFmtId="10" fontId="74" fillId="0" borderId="0" xfId="0" applyNumberFormat="1" applyFont="1" applyAlignment="1">
      <alignment horizontal="center" vertical="center"/>
    </xf>
    <xf numFmtId="172" fontId="81" fillId="0" borderId="0" xfId="0" applyNumberFormat="1" applyFont="1" applyAlignment="1">
      <alignment horizontal="center" vertical="center"/>
    </xf>
    <xf numFmtId="180" fontId="84" fillId="0" borderId="15" xfId="61" applyNumberFormat="1" applyFont="1" applyFill="1" applyBorder="1" applyAlignment="1">
      <alignment horizontal="center" vertical="center"/>
    </xf>
    <xf numFmtId="3" fontId="84" fillId="0" borderId="0" xfId="0" applyNumberFormat="1" applyFont="1" applyAlignment="1">
      <alignment vertical="center"/>
    </xf>
    <xf numFmtId="165" fontId="81" fillId="0" borderId="0" xfId="51" applyFont="1" applyFill="1" applyBorder="1" applyAlignment="1">
      <alignment horizontal="center" vertical="center"/>
    </xf>
    <xf numFmtId="0" fontId="84" fillId="50" borderId="0" xfId="0" applyFont="1" applyFill="1" applyAlignment="1">
      <alignment vertical="center"/>
    </xf>
    <xf numFmtId="177" fontId="84" fillId="50" borderId="15" xfId="51" applyNumberFormat="1" applyFont="1" applyFill="1" applyBorder="1" applyAlignment="1">
      <alignment horizontal="center" vertical="center"/>
    </xf>
    <xf numFmtId="172" fontId="81" fillId="0" borderId="37" xfId="51" applyNumberFormat="1" applyFont="1" applyFill="1" applyBorder="1" applyAlignment="1">
      <alignment horizontal="center" vertical="center"/>
    </xf>
    <xf numFmtId="167" fontId="120" fillId="0" borderId="10" xfId="51" applyNumberFormat="1" applyFont="1" applyBorder="1" applyAlignment="1">
      <alignment horizontal="right" vertical="center"/>
    </xf>
    <xf numFmtId="167" fontId="111" fillId="0" borderId="10" xfId="51" applyNumberFormat="1" applyFont="1" applyFill="1" applyBorder="1" applyAlignment="1">
      <alignment horizontal="right" vertical="center"/>
    </xf>
    <xf numFmtId="179" fontId="105" fillId="0" borderId="0" xfId="49" applyNumberFormat="1" applyFont="1" applyAlignment="1">
      <alignment vertical="center"/>
    </xf>
    <xf numFmtId="179" fontId="104" fillId="0" borderId="0" xfId="49" applyNumberFormat="1" applyFont="1" applyAlignment="1">
      <alignment vertical="center"/>
    </xf>
    <xf numFmtId="0" fontId="105" fillId="0" borderId="0" xfId="49" applyFont="1" applyAlignment="1">
      <alignment vertical="center"/>
    </xf>
    <xf numFmtId="165" fontId="102" fillId="0" borderId="0" xfId="49" applyNumberFormat="1" applyFont="1" applyAlignment="1">
      <alignment vertical="center"/>
    </xf>
    <xf numFmtId="0" fontId="102" fillId="0" borderId="0" xfId="49" applyFont="1" applyAlignment="1">
      <alignment vertical="center"/>
    </xf>
    <xf numFmtId="0" fontId="111" fillId="0" borderId="11" xfId="0" applyFont="1" applyBorder="1" applyAlignment="1">
      <alignment horizontal="left" vertical="center" wrapText="1" indent="1"/>
    </xf>
    <xf numFmtId="170" fontId="120" fillId="0" borderId="10" xfId="1" applyNumberFormat="1" applyFont="1" applyFill="1" applyBorder="1" applyAlignment="1">
      <alignment horizontal="right" vertical="center" wrapText="1"/>
    </xf>
    <xf numFmtId="170" fontId="111" fillId="0" borderId="10" xfId="1" applyNumberFormat="1" applyFont="1" applyFill="1" applyBorder="1" applyAlignment="1">
      <alignment horizontal="right" vertical="center" wrapText="1"/>
    </xf>
    <xf numFmtId="173" fontId="120" fillId="0" borderId="10" xfId="1" applyNumberFormat="1" applyFont="1" applyFill="1" applyBorder="1" applyAlignment="1">
      <alignment horizontal="right" vertical="center" wrapText="1"/>
    </xf>
    <xf numFmtId="165" fontId="96" fillId="0" borderId="14" xfId="51" applyFont="1" applyBorder="1" applyAlignment="1">
      <alignment horizontal="right" vertical="center"/>
    </xf>
    <xf numFmtId="0" fontId="84" fillId="0" borderId="17" xfId="49" applyFont="1" applyFill="1" applyBorder="1"/>
    <xf numFmtId="0" fontId="84" fillId="0" borderId="0" xfId="49" applyFont="1" applyFill="1" applyBorder="1"/>
    <xf numFmtId="175" fontId="81" fillId="0" borderId="0" xfId="49" applyNumberFormat="1" applyFont="1" applyFill="1" applyBorder="1"/>
    <xf numFmtId="169" fontId="81" fillId="0" borderId="0" xfId="49" applyNumberFormat="1" applyFont="1" applyFill="1" applyBorder="1"/>
    <xf numFmtId="170" fontId="84" fillId="0" borderId="0" xfId="1" applyNumberFormat="1" applyFont="1" applyFill="1" applyBorder="1"/>
    <xf numFmtId="0" fontId="84" fillId="0" borderId="0" xfId="49" applyFont="1"/>
    <xf numFmtId="0" fontId="84" fillId="0" borderId="0" xfId="49" applyFont="1" applyBorder="1"/>
    <xf numFmtId="0" fontId="81" fillId="0" borderId="0" xfId="49" applyFont="1"/>
    <xf numFmtId="179" fontId="84" fillId="0" borderId="0" xfId="49" applyNumberFormat="1" applyFont="1"/>
    <xf numFmtId="0" fontId="93" fillId="0" borderId="0" xfId="0" applyFont="1" applyAlignment="1">
      <alignment horizontal="justify" vertical="center"/>
    </xf>
    <xf numFmtId="0" fontId="126" fillId="0" borderId="0" xfId="0" applyFont="1" applyBorder="1" applyAlignment="1">
      <alignment vertical="center" wrapText="1"/>
    </xf>
    <xf numFmtId="0" fontId="81" fillId="0" borderId="0" xfId="49" applyFont="1" applyFill="1"/>
    <xf numFmtId="0" fontId="74" fillId="0" borderId="0" xfId="0" applyFont="1" applyFill="1" applyAlignment="1">
      <alignment horizontal="left" vertical="center" wrapText="1"/>
    </xf>
    <xf numFmtId="0" fontId="84" fillId="0" borderId="0" xfId="49" applyFont="1" applyFill="1"/>
    <xf numFmtId="0" fontId="81" fillId="0" borderId="0" xfId="49" applyFont="1" applyAlignment="1">
      <alignment vertical="top"/>
    </xf>
    <xf numFmtId="0" fontId="81" fillId="0" borderId="0" xfId="49" quotePrefix="1" applyFont="1" applyAlignment="1">
      <alignment horizontal="center"/>
    </xf>
    <xf numFmtId="0" fontId="93" fillId="0" borderId="0" xfId="0" applyFont="1"/>
    <xf numFmtId="0" fontId="93" fillId="0" borderId="0" xfId="0" applyFont="1" applyAlignment="1">
      <alignment horizontal="center"/>
    </xf>
    <xf numFmtId="0" fontId="84" fillId="0" borderId="0" xfId="49" quotePrefix="1" applyFont="1" applyAlignment="1">
      <alignment horizontal="center"/>
    </xf>
    <xf numFmtId="0" fontId="84" fillId="0" borderId="0" xfId="49" quotePrefix="1" applyFont="1"/>
    <xf numFmtId="0" fontId="81" fillId="0" borderId="0" xfId="49" quotePrefix="1" applyFont="1" applyAlignment="1">
      <alignment horizontal="left"/>
    </xf>
    <xf numFmtId="179" fontId="81" fillId="0" borderId="0" xfId="49" quotePrefix="1" applyNumberFormat="1" applyFont="1" applyAlignment="1">
      <alignment horizontal="left"/>
    </xf>
    <xf numFmtId="0" fontId="84" fillId="0" borderId="0" xfId="49" quotePrefix="1" applyFont="1" applyAlignment="1"/>
    <xf numFmtId="0" fontId="84" fillId="0" borderId="0" xfId="49" quotePrefix="1" applyFont="1" applyAlignment="1">
      <alignment horizontal="left"/>
    </xf>
    <xf numFmtId="179" fontId="84" fillId="0" borderId="0" xfId="49" quotePrefix="1" applyNumberFormat="1" applyFont="1" applyAlignment="1">
      <alignment horizontal="left"/>
    </xf>
    <xf numFmtId="179" fontId="84" fillId="0" borderId="0" xfId="49" applyNumberFormat="1" applyFont="1" applyBorder="1"/>
    <xf numFmtId="0" fontId="92" fillId="0" borderId="0" xfId="49" quotePrefix="1" applyFont="1" applyAlignment="1">
      <alignment horizontal="center"/>
    </xf>
    <xf numFmtId="0" fontId="97" fillId="0" borderId="0" xfId="0" applyFont="1" applyAlignment="1">
      <alignment horizontal="center"/>
    </xf>
    <xf numFmtId="0" fontId="104" fillId="0" borderId="0" xfId="49" quotePrefix="1" applyFont="1" applyAlignment="1">
      <alignment horizontal="center"/>
    </xf>
    <xf numFmtId="0" fontId="104" fillId="0" borderId="0" xfId="49" quotePrefix="1" applyFont="1"/>
    <xf numFmtId="0" fontId="76" fillId="51" borderId="0" xfId="0" applyFont="1" applyFill="1" applyBorder="1" applyAlignment="1">
      <alignment vertical="center"/>
    </xf>
    <xf numFmtId="0" fontId="75" fillId="51" borderId="0" xfId="0" applyFont="1" applyFill="1" applyBorder="1" applyAlignment="1">
      <alignment horizontal="centerContinuous" vertical="center"/>
    </xf>
    <xf numFmtId="0" fontId="63" fillId="0" borderId="0" xfId="46" applyFont="1"/>
    <xf numFmtId="0" fontId="65" fillId="0" borderId="0" xfId="0" applyFont="1" applyAlignment="1">
      <alignment horizontal="justify" vertical="center"/>
    </xf>
    <xf numFmtId="0" fontId="65" fillId="0" borderId="0" xfId="0" applyFont="1" applyAlignment="1">
      <alignment horizontal="left" vertical="center"/>
    </xf>
    <xf numFmtId="0" fontId="65" fillId="0" borderId="0" xfId="0" applyFont="1" applyAlignment="1">
      <alignment vertical="center"/>
    </xf>
    <xf numFmtId="0" fontId="64" fillId="0" borderId="0" xfId="0" applyFont="1" applyAlignment="1">
      <alignment vertical="center"/>
    </xf>
    <xf numFmtId="0" fontId="64" fillId="0" borderId="0" xfId="0" applyFont="1" applyAlignment="1">
      <alignment horizontal="left" vertical="center"/>
    </xf>
    <xf numFmtId="0" fontId="87" fillId="0" borderId="0" xfId="59" applyFont="1" applyAlignment="1">
      <alignment vertical="center"/>
    </xf>
    <xf numFmtId="0" fontId="128" fillId="0" borderId="0" xfId="0" applyFont="1" applyAlignment="1">
      <alignment horizontal="justify" vertical="center"/>
    </xf>
    <xf numFmtId="0" fontId="62" fillId="0" borderId="0" xfId="46" applyFont="1" applyFill="1"/>
    <xf numFmtId="0" fontId="129" fillId="0" borderId="0" xfId="0" applyFont="1" applyAlignment="1">
      <alignment horizontal="left" vertical="center"/>
    </xf>
    <xf numFmtId="0" fontId="129" fillId="0" borderId="0" xfId="0" applyFont="1" applyAlignment="1">
      <alignment horizontal="justify" vertical="center"/>
    </xf>
    <xf numFmtId="0" fontId="64" fillId="0" borderId="0" xfId="0" applyFont="1" applyFill="1" applyAlignment="1">
      <alignment horizontal="left" vertical="center"/>
    </xf>
    <xf numFmtId="0" fontId="63" fillId="0" borderId="0" xfId="46" applyFont="1" applyFill="1"/>
    <xf numFmtId="0" fontId="133" fillId="0" borderId="0" xfId="0" applyFont="1" applyAlignment="1">
      <alignment vertical="center"/>
    </xf>
    <xf numFmtId="164" fontId="133" fillId="0" borderId="0" xfId="0" applyNumberFormat="1" applyFont="1" applyAlignment="1">
      <alignment vertical="center"/>
    </xf>
    <xf numFmtId="165" fontId="85" fillId="0" borderId="0" xfId="51" applyFont="1"/>
    <xf numFmtId="165" fontId="63" fillId="0" borderId="0" xfId="51" applyFont="1"/>
    <xf numFmtId="3" fontId="131" fillId="44" borderId="13" xfId="0" applyNumberFormat="1" applyFont="1" applyFill="1" applyBorder="1" applyAlignment="1">
      <alignment horizontal="center" vertical="center"/>
    </xf>
    <xf numFmtId="3" fontId="131" fillId="44" borderId="15" xfId="0" applyNumberFormat="1" applyFont="1" applyFill="1" applyBorder="1" applyAlignment="1">
      <alignment horizontal="center" vertical="center"/>
    </xf>
    <xf numFmtId="0" fontId="131" fillId="44" borderId="10" xfId="0" applyFont="1" applyFill="1" applyBorder="1" applyAlignment="1">
      <alignment horizontal="center" vertical="center"/>
    </xf>
    <xf numFmtId="3" fontId="131" fillId="44" borderId="10" xfId="0" applyNumberFormat="1" applyFont="1" applyFill="1" applyBorder="1" applyAlignment="1">
      <alignment horizontal="right" vertical="center"/>
    </xf>
    <xf numFmtId="0" fontId="129" fillId="0" borderId="0" xfId="0" applyFont="1" applyAlignment="1">
      <alignment vertical="center"/>
    </xf>
    <xf numFmtId="0" fontId="133" fillId="44" borderId="10" xfId="0" applyFont="1" applyFill="1" applyBorder="1" applyAlignment="1">
      <alignment horizontal="left" vertical="center" indent="1"/>
    </xf>
    <xf numFmtId="0" fontId="133" fillId="44" borderId="11" xfId="0" applyFont="1" applyFill="1" applyBorder="1" applyAlignment="1">
      <alignment horizontal="left" vertical="center" wrapText="1" indent="1"/>
    </xf>
    <xf numFmtId="0" fontId="133" fillId="44" borderId="12" xfId="0" applyFont="1" applyFill="1" applyBorder="1" applyAlignment="1">
      <alignment horizontal="left" vertical="center" wrapText="1" indent="1"/>
    </xf>
    <xf numFmtId="0" fontId="133" fillId="44" borderId="11" xfId="0" applyFont="1" applyFill="1" applyBorder="1" applyAlignment="1">
      <alignment horizontal="left" vertical="center" indent="1"/>
    </xf>
    <xf numFmtId="0" fontId="133" fillId="44" borderId="12" xfId="0" applyFont="1" applyFill="1" applyBorder="1" applyAlignment="1">
      <alignment horizontal="left" vertical="center" indent="1"/>
    </xf>
    <xf numFmtId="0" fontId="130" fillId="0" borderId="0" xfId="0" applyFont="1" applyAlignment="1">
      <alignment vertical="center"/>
    </xf>
    <xf numFmtId="0" fontId="91" fillId="44" borderId="0" xfId="0" applyFont="1" applyFill="1" applyBorder="1" applyAlignment="1">
      <alignment vertical="center"/>
    </xf>
    <xf numFmtId="0" fontId="89" fillId="44" borderId="0" xfId="0" applyFont="1" applyFill="1" applyBorder="1" applyAlignment="1"/>
    <xf numFmtId="0" fontId="91" fillId="44" borderId="0" xfId="0" applyFont="1" applyFill="1" applyBorder="1" applyAlignment="1"/>
    <xf numFmtId="0" fontId="91" fillId="44" borderId="0" xfId="0" applyFont="1" applyFill="1" applyBorder="1" applyAlignment="1">
      <alignment vertical="center" wrapText="1"/>
    </xf>
    <xf numFmtId="0" fontId="76" fillId="44" borderId="0" xfId="0" applyFont="1" applyFill="1" applyBorder="1" applyAlignment="1">
      <alignment vertical="center"/>
    </xf>
    <xf numFmtId="0" fontId="90" fillId="44" borderId="0" xfId="0" quotePrefix="1" applyFont="1" applyFill="1" applyBorder="1" applyAlignment="1"/>
    <xf numFmtId="0" fontId="90" fillId="44" borderId="0" xfId="0" applyFont="1" applyFill="1" applyBorder="1" applyAlignment="1"/>
    <xf numFmtId="0" fontId="90" fillId="44" borderId="0" xfId="0" applyFont="1" applyFill="1" applyAlignment="1"/>
    <xf numFmtId="0" fontId="90" fillId="44" borderId="0" xfId="0" applyFont="1" applyFill="1" applyBorder="1" applyAlignment="1">
      <alignment vertical="center"/>
    </xf>
    <xf numFmtId="0" fontId="76" fillId="44" borderId="0" xfId="0" applyFont="1" applyFill="1" applyBorder="1" applyAlignment="1"/>
    <xf numFmtId="0" fontId="90" fillId="44" borderId="0" xfId="0" applyFont="1" applyFill="1" applyBorder="1" applyAlignment="1">
      <alignment wrapText="1"/>
    </xf>
    <xf numFmtId="0" fontId="90" fillId="44" borderId="0" xfId="0" applyFont="1" applyFill="1" applyBorder="1" applyAlignment="1">
      <alignment vertical="center" wrapText="1"/>
    </xf>
    <xf numFmtId="0" fontId="90" fillId="44" borderId="0" xfId="0" quotePrefix="1" applyFont="1" applyFill="1" applyBorder="1" applyAlignment="1">
      <alignment horizontal="left"/>
    </xf>
    <xf numFmtId="0" fontId="90" fillId="44" borderId="0" xfId="0" applyFont="1" applyFill="1" applyAlignment="1">
      <alignment horizontal="left"/>
    </xf>
    <xf numFmtId="0" fontId="90" fillId="44" borderId="0" xfId="0" applyFont="1" applyFill="1" applyBorder="1" applyAlignment="1">
      <alignment horizontal="left"/>
    </xf>
    <xf numFmtId="3" fontId="131" fillId="44" borderId="10" xfId="0" applyNumberFormat="1" applyFont="1" applyFill="1" applyBorder="1" applyAlignment="1">
      <alignment horizontal="center" vertical="center"/>
    </xf>
    <xf numFmtId="0" fontId="135" fillId="0" borderId="0" xfId="46" applyFont="1"/>
    <xf numFmtId="0" fontId="96" fillId="0" borderId="10" xfId="0" applyFont="1" applyBorder="1" applyAlignment="1">
      <alignment horizontal="center" vertical="center" wrapText="1"/>
    </xf>
    <xf numFmtId="0" fontId="21" fillId="0" borderId="0" xfId="321" applyFont="1" applyAlignment="1">
      <alignment vertical="center"/>
    </xf>
    <xf numFmtId="0" fontId="21" fillId="0" borderId="0" xfId="321" applyFont="1" applyAlignment="1">
      <alignment horizontal="center" vertical="center"/>
    </xf>
    <xf numFmtId="3" fontId="25" fillId="0" borderId="0" xfId="321" applyNumberFormat="1" applyFont="1" applyAlignment="1">
      <alignment vertical="center"/>
    </xf>
    <xf numFmtId="4" fontId="25" fillId="0" borderId="0" xfId="321" applyNumberFormat="1" applyFont="1" applyAlignment="1">
      <alignment vertical="center"/>
    </xf>
    <xf numFmtId="0" fontId="21" fillId="0" borderId="0" xfId="321" applyNumberFormat="1" applyFont="1" applyAlignment="1">
      <alignment vertical="center"/>
    </xf>
    <xf numFmtId="0" fontId="84" fillId="0" borderId="0" xfId="46" applyFont="1"/>
    <xf numFmtId="0" fontId="136" fillId="0" borderId="0" xfId="46" applyFont="1"/>
    <xf numFmtId="165" fontId="84" fillId="0" borderId="0" xfId="46" applyNumberFormat="1" applyFont="1"/>
    <xf numFmtId="179" fontId="63" fillId="0" borderId="0" xfId="46" applyNumberFormat="1" applyFont="1"/>
    <xf numFmtId="0" fontId="137" fillId="0" borderId="0" xfId="46" applyFont="1"/>
    <xf numFmtId="0" fontId="104" fillId="0" borderId="10" xfId="0" applyFont="1" applyBorder="1" applyAlignment="1">
      <alignment vertical="center"/>
    </xf>
    <xf numFmtId="0" fontId="62" fillId="0" borderId="32" xfId="46" applyFont="1" applyBorder="1" applyAlignment="1">
      <alignment vertical="center"/>
    </xf>
    <xf numFmtId="10" fontId="63" fillId="0" borderId="32" xfId="46" applyNumberFormat="1" applyFont="1" applyBorder="1" applyAlignment="1">
      <alignment horizontal="center" vertical="center"/>
    </xf>
    <xf numFmtId="10" fontId="63" fillId="0" borderId="32" xfId="46" applyNumberFormat="1" applyFont="1" applyBorder="1" applyAlignment="1">
      <alignment horizontal="center" vertical="center" wrapText="1"/>
    </xf>
    <xf numFmtId="172" fontId="104" fillId="0" borderId="0" xfId="49" applyNumberFormat="1" applyFont="1"/>
    <xf numFmtId="187" fontId="131" fillId="44" borderId="10" xfId="0" applyNumberFormat="1" applyFont="1" applyFill="1" applyBorder="1" applyAlignment="1">
      <alignment horizontal="right" vertical="center"/>
    </xf>
    <xf numFmtId="0" fontId="133" fillId="0" borderId="0" xfId="0" applyFont="1" applyFill="1" applyAlignment="1">
      <alignment vertical="center"/>
    </xf>
    <xf numFmtId="164" fontId="133" fillId="0" borderId="0" xfId="0" applyNumberFormat="1" applyFont="1" applyFill="1" applyAlignment="1">
      <alignment vertical="center"/>
    </xf>
    <xf numFmtId="0" fontId="26" fillId="46" borderId="10" xfId="0" applyFont="1" applyFill="1" applyBorder="1" applyAlignment="1">
      <alignment horizontal="left" vertical="center"/>
    </xf>
    <xf numFmtId="165" fontId="26" fillId="46" borderId="10" xfId="51" applyFont="1" applyFill="1" applyBorder="1" applyAlignment="1">
      <alignment horizontal="center" vertical="center"/>
    </xf>
    <xf numFmtId="165" fontId="27" fillId="46" borderId="10" xfId="51" applyFont="1" applyFill="1" applyBorder="1" applyAlignment="1">
      <alignment horizontal="center" vertical="center"/>
    </xf>
    <xf numFmtId="0" fontId="96" fillId="0" borderId="0" xfId="0" applyFont="1" applyFill="1" applyBorder="1" applyAlignment="1">
      <alignment horizontal="left" vertical="center" wrapText="1"/>
    </xf>
    <xf numFmtId="0" fontId="96" fillId="0" borderId="0" xfId="0" applyFont="1" applyBorder="1" applyAlignment="1">
      <alignment horizontal="left" wrapText="1"/>
    </xf>
    <xf numFmtId="167" fontId="90" fillId="0" borderId="0" xfId="0" applyNumberFormat="1" applyFont="1" applyAlignment="1">
      <alignment vertical="center"/>
    </xf>
    <xf numFmtId="0" fontId="120" fillId="0" borderId="11" xfId="0" applyFont="1" applyFill="1" applyBorder="1" applyAlignment="1">
      <alignment horizontal="left" vertical="center" wrapText="1" indent="1"/>
    </xf>
    <xf numFmtId="0" fontId="83" fillId="0" borderId="0" xfId="49" applyFont="1"/>
    <xf numFmtId="0" fontId="138" fillId="0" borderId="0" xfId="49" quotePrefix="1" applyFont="1" applyAlignment="1">
      <alignment horizontal="center"/>
    </xf>
    <xf numFmtId="0" fontId="23" fillId="0" borderId="0" xfId="49" quotePrefix="1" applyFont="1" applyAlignment="1">
      <alignment horizontal="center"/>
    </xf>
    <xf numFmtId="0" fontId="139" fillId="0" borderId="0" xfId="0" applyFont="1" applyAlignment="1">
      <alignment horizontal="center"/>
    </xf>
    <xf numFmtId="0" fontId="96" fillId="0" borderId="10" xfId="0" applyFont="1" applyBorder="1" applyAlignment="1">
      <alignment horizontal="center" vertical="center" wrapText="1"/>
    </xf>
    <xf numFmtId="184" fontId="21" fillId="0" borderId="0" xfId="51" applyNumberFormat="1" applyFont="1" applyFill="1" applyAlignment="1">
      <alignment horizontal="center" vertical="center"/>
    </xf>
    <xf numFmtId="184" fontId="27" fillId="0" borderId="0" xfId="51" applyNumberFormat="1" applyFont="1" applyFill="1" applyAlignment="1">
      <alignment horizontal="center" vertical="center"/>
    </xf>
    <xf numFmtId="0" fontId="38" fillId="0" borderId="0" xfId="321" applyNumberFormat="1" applyFont="1" applyFill="1" applyAlignment="1">
      <alignment horizontal="left" vertical="center"/>
    </xf>
    <xf numFmtId="0" fontId="21" fillId="0" borderId="0" xfId="321" applyNumberFormat="1" applyFill="1" applyAlignment="1">
      <alignment horizontal="left" vertical="center"/>
    </xf>
    <xf numFmtId="0" fontId="21" fillId="0" borderId="0" xfId="321" applyNumberFormat="1" applyFont="1" applyFill="1" applyAlignment="1">
      <alignment vertical="center"/>
    </xf>
    <xf numFmtId="0" fontId="25" fillId="0" borderId="0" xfId="321" applyFont="1" applyFill="1" applyAlignment="1">
      <alignment vertical="center"/>
    </xf>
    <xf numFmtId="49" fontId="38" fillId="0" borderId="0" xfId="0" applyNumberFormat="1" applyFont="1" applyFill="1" applyAlignment="1">
      <alignment horizontal="left" vertical="top" wrapText="1"/>
    </xf>
    <xf numFmtId="177" fontId="21" fillId="0" borderId="0" xfId="51" applyNumberFormat="1" applyFont="1" applyFill="1" applyAlignment="1">
      <alignment vertical="center"/>
    </xf>
    <xf numFmtId="165" fontId="25" fillId="0" borderId="0" xfId="51" applyFont="1" applyFill="1" applyAlignment="1">
      <alignment vertical="center"/>
    </xf>
    <xf numFmtId="165" fontId="21" fillId="0" borderId="0" xfId="51" applyFont="1" applyFill="1" applyAlignment="1">
      <alignment vertical="center"/>
    </xf>
    <xf numFmtId="165" fontId="30" fillId="0" borderId="0" xfId="51" applyFont="1" applyFill="1" applyAlignment="1">
      <alignment vertical="center"/>
    </xf>
    <xf numFmtId="165" fontId="42" fillId="0" borderId="0" xfId="51" applyFont="1" applyFill="1" applyAlignment="1">
      <alignment vertical="center"/>
    </xf>
    <xf numFmtId="177" fontId="38" fillId="0" borderId="0" xfId="51" applyNumberFormat="1" applyFont="1" applyFill="1" applyAlignment="1">
      <alignment vertical="center"/>
    </xf>
    <xf numFmtId="0" fontId="21" fillId="0" borderId="0" xfId="321" applyFill="1" applyAlignment="1">
      <alignment vertical="center"/>
    </xf>
    <xf numFmtId="0" fontId="21" fillId="0" borderId="0" xfId="321" applyFill="1" applyAlignment="1">
      <alignment horizontal="center" vertical="center"/>
    </xf>
    <xf numFmtId="0" fontId="21" fillId="0" borderId="0" xfId="321" applyFont="1" applyFill="1" applyAlignment="1">
      <alignment vertical="center"/>
    </xf>
    <xf numFmtId="0" fontId="21" fillId="0" borderId="0" xfId="321" applyFont="1" applyFill="1" applyAlignment="1">
      <alignment horizontal="center" vertical="center"/>
    </xf>
    <xf numFmtId="165" fontId="21" fillId="0" borderId="0" xfId="321" applyNumberFormat="1" applyFont="1" applyFill="1" applyAlignment="1">
      <alignment horizontal="center" vertical="center"/>
    </xf>
    <xf numFmtId="165" fontId="21" fillId="0" borderId="0" xfId="51" applyFont="1" applyFill="1" applyAlignment="1">
      <alignment horizontal="center" vertical="center"/>
    </xf>
    <xf numFmtId="0" fontId="140" fillId="0" borderId="10" xfId="0" applyFont="1" applyFill="1" applyBorder="1" applyAlignment="1">
      <alignment vertical="center"/>
    </xf>
    <xf numFmtId="0" fontId="140" fillId="0" borderId="10" xfId="0" applyFont="1" applyFill="1" applyBorder="1" applyAlignment="1">
      <alignment horizontal="left" vertical="center" wrapText="1"/>
    </xf>
    <xf numFmtId="0" fontId="140" fillId="0" borderId="10" xfId="0" applyFont="1" applyFill="1" applyBorder="1" applyAlignment="1">
      <alignment horizontal="center" vertical="center" wrapText="1"/>
    </xf>
    <xf numFmtId="165" fontId="140" fillId="0" borderId="10" xfId="51" applyFont="1" applyFill="1" applyBorder="1" applyAlignment="1">
      <alignment vertical="center" wrapText="1"/>
    </xf>
    <xf numFmtId="177" fontId="140" fillId="0" borderId="10" xfId="51" applyNumberFormat="1" applyFont="1" applyFill="1" applyBorder="1" applyAlignment="1">
      <alignment vertical="center" wrapText="1"/>
    </xf>
    <xf numFmtId="169" fontId="140" fillId="0" borderId="10" xfId="1" applyFont="1" applyFill="1" applyBorder="1" applyAlignment="1">
      <alignment vertical="center" wrapText="1"/>
    </xf>
    <xf numFmtId="0" fontId="140" fillId="0" borderId="0" xfId="0" applyFont="1" applyFill="1" applyAlignment="1">
      <alignment vertical="center"/>
    </xf>
    <xf numFmtId="0" fontId="38" fillId="0" borderId="0" xfId="321" applyFont="1" applyAlignment="1">
      <alignment horizontal="left" vertical="center"/>
    </xf>
    <xf numFmtId="4" fontId="38" fillId="0" borderId="0" xfId="321" applyNumberFormat="1" applyFont="1" applyAlignment="1">
      <alignment vertical="center"/>
    </xf>
    <xf numFmtId="3" fontId="39" fillId="0" borderId="0" xfId="321" applyNumberFormat="1" applyFont="1" applyAlignment="1">
      <alignment vertical="center"/>
    </xf>
    <xf numFmtId="4" fontId="39" fillId="0" borderId="0" xfId="321" applyNumberFormat="1" applyFont="1" applyAlignment="1">
      <alignment vertical="center"/>
    </xf>
    <xf numFmtId="0" fontId="38" fillId="0" borderId="0" xfId="321" applyFont="1" applyAlignment="1">
      <alignment vertical="center"/>
    </xf>
    <xf numFmtId="0" fontId="90" fillId="0" borderId="0" xfId="0" applyFont="1" applyFill="1" applyBorder="1" applyAlignment="1">
      <alignment vertical="center"/>
    </xf>
    <xf numFmtId="0" fontId="90" fillId="0" borderId="0" xfId="0" applyFont="1" applyFill="1" applyAlignment="1">
      <alignment vertical="center"/>
    </xf>
    <xf numFmtId="171" fontId="92" fillId="33" borderId="0" xfId="44" applyFont="1" applyFill="1" applyAlignment="1">
      <alignment vertical="center"/>
    </xf>
    <xf numFmtId="165" fontId="92" fillId="33" borderId="0" xfId="51" applyFont="1" applyFill="1" applyAlignment="1">
      <alignment vertical="center"/>
    </xf>
    <xf numFmtId="0" fontId="102" fillId="0" borderId="0" xfId="0" applyFont="1" applyAlignment="1">
      <alignment vertical="center"/>
    </xf>
    <xf numFmtId="0" fontId="103" fillId="0" borderId="0" xfId="59" applyFont="1" applyAlignment="1">
      <alignment horizontal="center" vertical="center"/>
    </xf>
    <xf numFmtId="0" fontId="92" fillId="0" borderId="0" xfId="0" applyFont="1" applyAlignment="1">
      <alignment horizontal="center" vertical="center" wrapText="1"/>
    </xf>
    <xf numFmtId="0" fontId="104" fillId="0" borderId="0" xfId="0" applyFont="1" applyAlignment="1">
      <alignment vertical="center"/>
    </xf>
    <xf numFmtId="171" fontId="92" fillId="33" borderId="0" xfId="44" applyFont="1" applyFill="1" applyAlignment="1">
      <alignment horizontal="left" vertical="center"/>
    </xf>
    <xf numFmtId="165" fontId="92" fillId="33" borderId="0" xfId="51" applyFont="1" applyFill="1" applyAlignment="1">
      <alignment horizontal="left" vertical="center"/>
    </xf>
    <xf numFmtId="171" fontId="105" fillId="33" borderId="0" xfId="44" applyFont="1" applyFill="1" applyAlignment="1">
      <alignment horizontal="left" vertical="center"/>
    </xf>
    <xf numFmtId="0" fontId="88" fillId="43" borderId="0" xfId="0" applyFont="1" applyFill="1" applyBorder="1" applyAlignment="1">
      <alignment vertical="center"/>
    </xf>
    <xf numFmtId="0" fontId="89" fillId="0" borderId="0" xfId="0" applyFont="1" applyAlignment="1">
      <alignment vertical="center"/>
    </xf>
    <xf numFmtId="0" fontId="76" fillId="0" borderId="0" xfId="0" applyFont="1" applyAlignment="1">
      <alignment horizontal="center" vertical="center"/>
    </xf>
    <xf numFmtId="0" fontId="90" fillId="44" borderId="0" xfId="0" applyFont="1" applyFill="1" applyAlignment="1">
      <alignment vertical="center"/>
    </xf>
    <xf numFmtId="0" fontId="76" fillId="44" borderId="0" xfId="0" applyFont="1" applyFill="1" applyAlignment="1">
      <alignment vertical="center"/>
    </xf>
    <xf numFmtId="167" fontId="76" fillId="44" borderId="0" xfId="51" applyNumberFormat="1" applyFont="1" applyFill="1" applyBorder="1" applyAlignment="1">
      <alignment vertical="center"/>
    </xf>
    <xf numFmtId="3" fontId="89" fillId="0" borderId="0" xfId="0" applyNumberFormat="1" applyFont="1" applyAlignment="1">
      <alignment vertical="center"/>
    </xf>
    <xf numFmtId="3" fontId="90" fillId="0" borderId="0" xfId="0" applyNumberFormat="1" applyFont="1" applyAlignment="1">
      <alignment vertical="center"/>
    </xf>
    <xf numFmtId="0" fontId="99" fillId="44" borderId="0" xfId="0" applyFont="1" applyFill="1" applyAlignment="1">
      <alignment vertical="center"/>
    </xf>
    <xf numFmtId="49" fontId="90" fillId="44" borderId="0" xfId="0" applyNumberFormat="1" applyFont="1" applyFill="1" applyAlignment="1">
      <alignment vertical="center"/>
    </xf>
    <xf numFmtId="167" fontId="90" fillId="44" borderId="0" xfId="51" applyNumberFormat="1" applyFont="1" applyFill="1" applyBorder="1" applyAlignment="1">
      <alignment vertical="center"/>
    </xf>
    <xf numFmtId="0" fontId="91" fillId="44" borderId="0" xfId="0" applyFont="1" applyFill="1" applyAlignment="1">
      <alignment vertical="center"/>
    </xf>
    <xf numFmtId="0" fontId="100" fillId="44" borderId="0" xfId="0" applyFont="1" applyFill="1" applyAlignment="1">
      <alignment vertical="center"/>
    </xf>
    <xf numFmtId="0" fontId="101" fillId="44" borderId="0" xfId="0" applyFont="1" applyFill="1" applyAlignment="1">
      <alignment vertical="center"/>
    </xf>
    <xf numFmtId="49" fontId="90" fillId="44" borderId="0" xfId="0" quotePrefix="1" applyNumberFormat="1" applyFont="1" applyFill="1" applyAlignment="1">
      <alignment vertical="center"/>
    </xf>
    <xf numFmtId="0" fontId="89" fillId="44" borderId="0" xfId="0" quotePrefix="1" applyFont="1" applyFill="1" applyAlignment="1">
      <alignment vertical="center"/>
    </xf>
    <xf numFmtId="0" fontId="90" fillId="44" borderId="0" xfId="0" quotePrefix="1" applyFont="1" applyFill="1" applyAlignment="1">
      <alignment vertical="center"/>
    </xf>
    <xf numFmtId="170" fontId="90" fillId="0" borderId="0" xfId="1" applyNumberFormat="1" applyFont="1" applyBorder="1" applyAlignment="1">
      <alignment vertical="center"/>
    </xf>
    <xf numFmtId="175" fontId="89" fillId="0" borderId="0" xfId="0" applyNumberFormat="1" applyFont="1" applyAlignment="1">
      <alignment vertical="center"/>
    </xf>
    <xf numFmtId="167" fontId="89" fillId="0" borderId="0" xfId="0" applyNumberFormat="1" applyFont="1" applyAlignment="1">
      <alignment vertical="center"/>
    </xf>
    <xf numFmtId="0" fontId="89" fillId="44" borderId="0" xfId="0" applyFont="1" applyFill="1" applyAlignment="1">
      <alignment vertical="center"/>
    </xf>
    <xf numFmtId="167" fontId="76" fillId="44" borderId="37" xfId="51" applyNumberFormat="1" applyFont="1" applyFill="1" applyBorder="1" applyAlignment="1">
      <alignment vertical="center"/>
    </xf>
    <xf numFmtId="167" fontId="89" fillId="0" borderId="0" xfId="45" applyFont="1" applyAlignment="1">
      <alignment vertical="center"/>
    </xf>
    <xf numFmtId="167" fontId="76" fillId="0" borderId="0" xfId="0" applyNumberFormat="1" applyFont="1" applyAlignment="1">
      <alignment vertical="center"/>
    </xf>
    <xf numFmtId="0" fontId="98" fillId="0" borderId="0" xfId="0" applyFont="1" applyAlignment="1">
      <alignment vertical="center"/>
    </xf>
    <xf numFmtId="165" fontId="90" fillId="0" borderId="0" xfId="51" applyFont="1" applyBorder="1" applyAlignment="1">
      <alignment vertical="center"/>
    </xf>
    <xf numFmtId="165" fontId="90" fillId="0" borderId="0" xfId="51" applyFont="1" applyAlignment="1">
      <alignment vertical="center"/>
    </xf>
    <xf numFmtId="0" fontId="89" fillId="0" borderId="0" xfId="0" applyFont="1" applyAlignment="1">
      <alignment vertical="center" wrapText="1"/>
    </xf>
    <xf numFmtId="0" fontId="92" fillId="0" borderId="0" xfId="49" quotePrefix="1" applyFont="1" applyAlignment="1">
      <alignment horizontal="center" vertical="center"/>
    </xf>
    <xf numFmtId="0" fontId="97" fillId="0" borderId="0" xfId="0" applyFont="1" applyAlignment="1">
      <alignment vertical="center"/>
    </xf>
    <xf numFmtId="0" fontId="97" fillId="0" borderId="0" xfId="0" applyFont="1" applyAlignment="1">
      <alignment horizontal="center" vertical="center"/>
    </xf>
    <xf numFmtId="0" fontId="104" fillId="0" borderId="0" xfId="49" quotePrefix="1" applyFont="1" applyAlignment="1">
      <alignment horizontal="center" vertical="center"/>
    </xf>
    <xf numFmtId="0" fontId="104" fillId="0" borderId="0" xfId="49" quotePrefix="1" applyFont="1" applyAlignment="1">
      <alignment vertical="center"/>
    </xf>
    <xf numFmtId="0" fontId="79" fillId="0" borderId="0" xfId="0" applyFont="1" applyAlignment="1">
      <alignment vertical="center" wrapText="1"/>
    </xf>
    <xf numFmtId="0" fontId="138" fillId="0" borderId="0" xfId="49" quotePrefix="1" applyFont="1" applyAlignment="1">
      <alignment horizontal="center" vertical="center"/>
    </xf>
    <xf numFmtId="0" fontId="23" fillId="0" borderId="0" xfId="49" quotePrefix="1" applyFont="1" applyAlignment="1">
      <alignment horizontal="center" vertical="center"/>
    </xf>
    <xf numFmtId="0" fontId="139" fillId="0" borderId="0" xfId="0" applyFont="1" applyAlignment="1">
      <alignment horizontal="center" vertical="center"/>
    </xf>
    <xf numFmtId="165" fontId="36" fillId="46" borderId="10" xfId="51" applyFont="1" applyFill="1" applyBorder="1"/>
    <xf numFmtId="177" fontId="25" fillId="0" borderId="0" xfId="51" applyNumberFormat="1" applyFont="1" applyFill="1" applyAlignment="1">
      <alignment vertical="center"/>
    </xf>
    <xf numFmtId="170" fontId="105" fillId="0" borderId="0" xfId="1" applyNumberFormat="1" applyFont="1"/>
    <xf numFmtId="170" fontId="104" fillId="0" borderId="0" xfId="1" applyNumberFormat="1" applyFont="1" applyBorder="1" applyAlignment="1"/>
    <xf numFmtId="175" fontId="90" fillId="0" borderId="0" xfId="0" applyNumberFormat="1" applyFont="1" applyBorder="1"/>
    <xf numFmtId="0" fontId="96" fillId="0" borderId="10" xfId="0" applyFont="1" applyBorder="1" applyAlignment="1">
      <alignment horizontal="center" vertical="center" wrapText="1"/>
    </xf>
    <xf numFmtId="167" fontId="104" fillId="0" borderId="0" xfId="49" applyNumberFormat="1" applyFont="1" applyAlignment="1">
      <alignment vertical="center"/>
    </xf>
    <xf numFmtId="0" fontId="28" fillId="0" borderId="10" xfId="0" applyFont="1" applyFill="1" applyBorder="1" applyAlignment="1">
      <alignment vertical="center"/>
    </xf>
    <xf numFmtId="0" fontId="28" fillId="0" borderId="10" xfId="0" applyFont="1" applyFill="1" applyBorder="1" applyAlignment="1">
      <alignment horizontal="center" vertical="center" wrapText="1"/>
    </xf>
    <xf numFmtId="169" fontId="28" fillId="0" borderId="10" xfId="1" applyFont="1" applyFill="1" applyBorder="1" applyAlignment="1">
      <alignment vertical="center" wrapText="1"/>
    </xf>
    <xf numFmtId="0" fontId="28" fillId="0" borderId="0" xfId="0" applyFont="1" applyFill="1" applyAlignment="1">
      <alignment vertical="center"/>
    </xf>
    <xf numFmtId="0" fontId="28" fillId="0" borderId="10" xfId="0" applyFont="1" applyFill="1" applyBorder="1" applyAlignment="1">
      <alignment horizontal="left" vertical="center" wrapText="1"/>
    </xf>
    <xf numFmtId="172" fontId="97" fillId="0" borderId="10" xfId="0" applyNumberFormat="1" applyFont="1" applyFill="1" applyBorder="1" applyAlignment="1">
      <alignment horizontal="right" vertical="center"/>
    </xf>
    <xf numFmtId="0" fontId="55" fillId="0" borderId="10" xfId="0" applyFont="1" applyBorder="1" applyAlignment="1">
      <alignment vertical="center"/>
    </xf>
    <xf numFmtId="0" fontId="55" fillId="0" borderId="10" xfId="0" applyFont="1" applyBorder="1" applyAlignment="1">
      <alignment horizontal="center" vertical="center"/>
    </xf>
    <xf numFmtId="165" fontId="55" fillId="0" borderId="10" xfId="51" applyFont="1" applyFill="1" applyBorder="1" applyAlignment="1">
      <alignment horizontal="center" vertical="center"/>
    </xf>
    <xf numFmtId="179" fontId="55" fillId="0" borderId="10" xfId="0" applyNumberFormat="1" applyFont="1" applyBorder="1" applyAlignment="1">
      <alignment horizontal="center" vertical="center"/>
    </xf>
    <xf numFmtId="177" fontId="55" fillId="0" borderId="10" xfId="0" applyNumberFormat="1" applyFont="1" applyBorder="1" applyAlignment="1">
      <alignment horizontal="center" vertical="center"/>
    </xf>
    <xf numFmtId="165" fontId="55" fillId="0" borderId="10" xfId="0" applyNumberFormat="1" applyFont="1" applyBorder="1" applyAlignment="1">
      <alignment horizontal="center" vertical="center"/>
    </xf>
    <xf numFmtId="10" fontId="55" fillId="0" borderId="10" xfId="0" applyNumberFormat="1" applyFont="1" applyBorder="1" applyAlignment="1">
      <alignment horizontal="center" vertical="center"/>
    </xf>
    <xf numFmtId="177" fontId="55" fillId="0" borderId="10" xfId="51" applyNumberFormat="1" applyFont="1" applyFill="1" applyBorder="1" applyAlignment="1">
      <alignment horizontal="center" vertical="center"/>
    </xf>
    <xf numFmtId="0" fontId="56" fillId="49" borderId="11" xfId="0" applyFont="1" applyFill="1" applyBorder="1" applyAlignment="1">
      <alignment vertical="center"/>
    </xf>
    <xf numFmtId="0" fontId="55" fillId="49" borderId="20" xfId="0" applyFont="1" applyFill="1" applyBorder="1" applyAlignment="1">
      <alignment vertical="center"/>
    </xf>
    <xf numFmtId="165" fontId="55" fillId="49" borderId="20" xfId="51" applyFont="1" applyFill="1" applyBorder="1" applyAlignment="1">
      <alignment vertical="center"/>
    </xf>
    <xf numFmtId="0" fontId="55" fillId="0" borderId="0" xfId="0" applyFont="1" applyAlignment="1">
      <alignment vertical="center"/>
    </xf>
    <xf numFmtId="0" fontId="55" fillId="0" borderId="0" xfId="0" applyFont="1" applyAlignment="1">
      <alignment horizontal="center" vertical="center"/>
    </xf>
    <xf numFmtId="165" fontId="53" fillId="0" borderId="0" xfId="0" applyNumberFormat="1" applyFont="1" applyAlignment="1">
      <alignment horizontal="center" vertical="center"/>
    </xf>
    <xf numFmtId="179" fontId="55" fillId="0" borderId="0" xfId="0" applyNumberFormat="1" applyFont="1" applyAlignment="1">
      <alignment horizontal="center" vertical="center"/>
    </xf>
    <xf numFmtId="10" fontId="53" fillId="0" borderId="0" xfId="0" applyNumberFormat="1" applyFont="1" applyAlignment="1">
      <alignment horizontal="center" vertical="center"/>
    </xf>
    <xf numFmtId="165" fontId="56" fillId="0" borderId="37" xfId="0" applyNumberFormat="1" applyFont="1" applyBorder="1" applyAlignment="1">
      <alignment horizontal="center" vertical="center"/>
    </xf>
    <xf numFmtId="172" fontId="56" fillId="0" borderId="21" xfId="0" applyNumberFormat="1" applyFont="1" applyBorder="1" applyAlignment="1">
      <alignment horizontal="center" vertical="center"/>
    </xf>
    <xf numFmtId="177" fontId="56" fillId="0" borderId="37" xfId="0" applyNumberFormat="1" applyFont="1" applyBorder="1" applyAlignment="1">
      <alignment horizontal="center" vertical="center"/>
    </xf>
    <xf numFmtId="165" fontId="56" fillId="0" borderId="0" xfId="0" applyNumberFormat="1" applyFont="1" applyAlignment="1">
      <alignment horizontal="center" vertical="center"/>
    </xf>
    <xf numFmtId="0" fontId="84" fillId="50" borderId="20" xfId="0" applyFont="1" applyFill="1" applyBorder="1" applyAlignment="1">
      <alignment vertical="center"/>
    </xf>
    <xf numFmtId="0" fontId="55" fillId="35" borderId="10" xfId="0" applyFont="1" applyFill="1" applyBorder="1" applyAlignment="1">
      <alignment vertical="center"/>
    </xf>
    <xf numFmtId="0" fontId="55" fillId="35" borderId="10" xfId="0" applyFont="1" applyFill="1" applyBorder="1" applyAlignment="1">
      <alignment horizontal="center" vertical="center"/>
    </xf>
    <xf numFmtId="165" fontId="55" fillId="35" borderId="10" xfId="51" applyFont="1" applyFill="1" applyBorder="1" applyAlignment="1">
      <alignment horizontal="center" vertical="center"/>
    </xf>
    <xf numFmtId="179" fontId="55" fillId="35" borderId="10" xfId="0" applyNumberFormat="1" applyFont="1" applyFill="1" applyBorder="1" applyAlignment="1">
      <alignment horizontal="center" vertical="center"/>
    </xf>
    <xf numFmtId="10" fontId="55" fillId="35" borderId="10" xfId="57" applyNumberFormat="1" applyFont="1" applyFill="1" applyBorder="1" applyAlignment="1">
      <alignment horizontal="center" vertical="center"/>
    </xf>
    <xf numFmtId="0" fontId="84" fillId="35" borderId="10" xfId="0" applyFont="1" applyFill="1" applyBorder="1" applyAlignment="1">
      <alignment vertical="center"/>
    </xf>
    <xf numFmtId="0" fontId="84" fillId="35" borderId="10" xfId="0" applyFont="1" applyFill="1" applyBorder="1" applyAlignment="1">
      <alignment horizontal="center" vertical="center"/>
    </xf>
    <xf numFmtId="165" fontId="84" fillId="35" borderId="10" xfId="51" applyFont="1" applyFill="1" applyBorder="1" applyAlignment="1">
      <alignment horizontal="center" vertical="center"/>
    </xf>
    <xf numFmtId="179" fontId="84" fillId="35" borderId="10" xfId="0" applyNumberFormat="1" applyFont="1" applyFill="1" applyBorder="1" applyAlignment="1">
      <alignment horizontal="center" vertical="center"/>
    </xf>
    <xf numFmtId="10" fontId="84" fillId="35" borderId="10" xfId="57" applyNumberFormat="1" applyFont="1" applyFill="1" applyBorder="1" applyAlignment="1">
      <alignment horizontal="center" vertical="center"/>
    </xf>
    <xf numFmtId="0" fontId="74" fillId="35" borderId="10" xfId="51" applyNumberFormat="1" applyFont="1" applyFill="1" applyBorder="1" applyAlignment="1">
      <alignment horizontal="center" vertical="center"/>
    </xf>
    <xf numFmtId="165" fontId="84" fillId="35" borderId="10" xfId="0" applyNumberFormat="1" applyFont="1" applyFill="1" applyBorder="1" applyAlignment="1">
      <alignment horizontal="center" vertical="center"/>
    </xf>
    <xf numFmtId="10" fontId="84" fillId="35" borderId="10" xfId="0" applyNumberFormat="1" applyFont="1" applyFill="1" applyBorder="1" applyAlignment="1">
      <alignment horizontal="center" vertical="center"/>
    </xf>
    <xf numFmtId="165" fontId="55" fillId="35" borderId="15" xfId="51" applyFont="1" applyFill="1" applyBorder="1" applyAlignment="1">
      <alignment horizontal="center" vertical="center"/>
    </xf>
    <xf numFmtId="179" fontId="55" fillId="35" borderId="15" xfId="0" applyNumberFormat="1" applyFont="1" applyFill="1" applyBorder="1" applyAlignment="1">
      <alignment horizontal="center" vertical="center"/>
    </xf>
    <xf numFmtId="177" fontId="55" fillId="35" borderId="10" xfId="0" applyNumberFormat="1" applyFont="1" applyFill="1" applyBorder="1" applyAlignment="1">
      <alignment horizontal="center" vertical="center"/>
    </xf>
    <xf numFmtId="165" fontId="55" fillId="35" borderId="10" xfId="0" applyNumberFormat="1" applyFont="1" applyFill="1" applyBorder="1" applyAlignment="1">
      <alignment horizontal="center" vertical="center"/>
    </xf>
    <xf numFmtId="10" fontId="55" fillId="35" borderId="10" xfId="0" applyNumberFormat="1" applyFont="1" applyFill="1" applyBorder="1" applyAlignment="1">
      <alignment horizontal="center" vertical="center"/>
    </xf>
    <xf numFmtId="177" fontId="55" fillId="35" borderId="10" xfId="51" applyNumberFormat="1" applyFont="1" applyFill="1" applyBorder="1" applyAlignment="1">
      <alignment horizontal="center" vertical="center"/>
    </xf>
    <xf numFmtId="0" fontId="56" fillId="38" borderId="11" xfId="0" applyFont="1" applyFill="1" applyBorder="1" applyAlignment="1">
      <alignment vertical="center"/>
    </xf>
    <xf numFmtId="0" fontId="56" fillId="38" borderId="20" xfId="0" applyFont="1" applyFill="1" applyBorder="1" applyAlignment="1">
      <alignment vertical="center"/>
    </xf>
    <xf numFmtId="0" fontId="55" fillId="38" borderId="20" xfId="0" applyFont="1" applyFill="1" applyBorder="1" applyAlignment="1">
      <alignment vertical="center"/>
    </xf>
    <xf numFmtId="0" fontId="55" fillId="0" borderId="10" xfId="0" applyFont="1" applyBorder="1" applyAlignment="1">
      <alignment horizontal="left" vertical="center"/>
    </xf>
    <xf numFmtId="0" fontId="56" fillId="0" borderId="0" xfId="0" applyFont="1" applyAlignment="1">
      <alignment vertical="center"/>
    </xf>
    <xf numFmtId="0" fontId="163" fillId="0" borderId="0" xfId="0" applyFont="1" applyAlignment="1">
      <alignment vertical="center"/>
    </xf>
    <xf numFmtId="0" fontId="164" fillId="41" borderId="38" xfId="0" applyFont="1" applyFill="1" applyBorder="1" applyAlignment="1">
      <alignment horizontal="center" vertical="center" wrapText="1"/>
    </xf>
    <xf numFmtId="0" fontId="55" fillId="0" borderId="10" xfId="0" applyFont="1" applyFill="1" applyBorder="1" applyAlignment="1">
      <alignment horizontal="left" vertical="center"/>
    </xf>
    <xf numFmtId="0" fontId="55" fillId="0" borderId="10" xfId="0" applyFont="1" applyFill="1" applyBorder="1" applyAlignment="1">
      <alignment horizontal="center" vertical="center"/>
    </xf>
    <xf numFmtId="179" fontId="55" fillId="0" borderId="10" xfId="0" applyNumberFormat="1" applyFont="1" applyFill="1" applyBorder="1" applyAlignment="1">
      <alignment horizontal="center" vertical="center"/>
    </xf>
    <xf numFmtId="0" fontId="55" fillId="0" borderId="10" xfId="0" applyFont="1" applyFill="1" applyBorder="1" applyAlignment="1">
      <alignment vertical="center"/>
    </xf>
    <xf numFmtId="0" fontId="55" fillId="35" borderId="10" xfId="0" applyFont="1" applyFill="1" applyBorder="1" applyAlignment="1">
      <alignment horizontal="left" vertical="center"/>
    </xf>
    <xf numFmtId="0" fontId="55" fillId="35" borderId="15" xfId="0" applyFont="1" applyFill="1" applyBorder="1" applyAlignment="1">
      <alignment horizontal="left" vertical="center"/>
    </xf>
    <xf numFmtId="0" fontId="55" fillId="35" borderId="15" xfId="0" applyFont="1" applyFill="1" applyBorder="1" applyAlignment="1">
      <alignment horizontal="center" vertical="center"/>
    </xf>
    <xf numFmtId="165" fontId="55" fillId="0" borderId="10" xfId="0" applyNumberFormat="1" applyFont="1" applyFill="1" applyBorder="1" applyAlignment="1">
      <alignment horizontal="center" vertical="center"/>
    </xf>
    <xf numFmtId="10" fontId="55" fillId="0" borderId="10" xfId="0" applyNumberFormat="1" applyFont="1" applyFill="1" applyBorder="1" applyAlignment="1">
      <alignment horizontal="center" vertical="center"/>
    </xf>
    <xf numFmtId="177" fontId="55" fillId="0" borderId="10" xfId="0" applyNumberFormat="1" applyFont="1" applyFill="1" applyBorder="1" applyAlignment="1">
      <alignment horizontal="center" vertical="center"/>
    </xf>
    <xf numFmtId="0" fontId="84" fillId="0" borderId="0" xfId="0" applyFont="1" applyFill="1" applyAlignment="1">
      <alignment vertical="center"/>
    </xf>
    <xf numFmtId="179" fontId="84" fillId="0" borderId="10" xfId="0" applyNumberFormat="1" applyFont="1" applyFill="1" applyBorder="1" applyAlignment="1">
      <alignment horizontal="center" vertical="center"/>
    </xf>
    <xf numFmtId="3" fontId="83" fillId="0" borderId="0" xfId="0" applyNumberFormat="1" applyFont="1"/>
    <xf numFmtId="0" fontId="164" fillId="41" borderId="43" xfId="0" applyFont="1" applyFill="1" applyBorder="1" applyAlignment="1">
      <alignment horizontal="center" vertical="center" wrapText="1"/>
    </xf>
    <xf numFmtId="165" fontId="55" fillId="0" borderId="10" xfId="0" applyNumberFormat="1" applyFont="1" applyBorder="1" applyAlignment="1">
      <alignment vertical="center"/>
    </xf>
    <xf numFmtId="0" fontId="118" fillId="38" borderId="10" xfId="0" applyFont="1" applyFill="1" applyBorder="1" applyAlignment="1">
      <alignment vertical="center"/>
    </xf>
    <xf numFmtId="165" fontId="104" fillId="38" borderId="10" xfId="51" applyFont="1" applyFill="1" applyBorder="1" applyAlignment="1">
      <alignment horizontal="right" vertical="center"/>
    </xf>
    <xf numFmtId="0" fontId="96" fillId="0" borderId="10" xfId="0" applyFont="1" applyFill="1" applyBorder="1" applyAlignment="1">
      <alignment horizontal="center" vertical="center" wrapText="1"/>
    </xf>
    <xf numFmtId="165" fontId="96" fillId="0" borderId="10" xfId="51" applyFont="1" applyFill="1" applyBorder="1" applyAlignment="1">
      <alignment horizontal="center" vertical="center"/>
    </xf>
    <xf numFmtId="165" fontId="28" fillId="46" borderId="10" xfId="51" applyFont="1" applyFill="1" applyBorder="1" applyAlignment="1">
      <alignment vertical="center" wrapText="1"/>
    </xf>
    <xf numFmtId="167" fontId="104" fillId="0" borderId="10" xfId="1" applyNumberFormat="1" applyFont="1" applyFill="1" applyBorder="1" applyAlignment="1">
      <alignment vertical="center"/>
    </xf>
    <xf numFmtId="1" fontId="105" fillId="0" borderId="0" xfId="49" applyNumberFormat="1" applyFont="1"/>
    <xf numFmtId="3" fontId="96" fillId="0" borderId="10" xfId="0" applyNumberFormat="1" applyFont="1" applyFill="1" applyBorder="1" applyAlignment="1">
      <alignment horizontal="center" vertical="center" wrapText="1"/>
    </xf>
    <xf numFmtId="0" fontId="63" fillId="0" borderId="0" xfId="0" applyFont="1" applyFill="1" applyAlignment="1">
      <alignment horizontal="left" vertical="center"/>
    </xf>
    <xf numFmtId="165" fontId="84" fillId="53" borderId="15" xfId="51" applyFont="1" applyFill="1" applyBorder="1" applyAlignment="1">
      <alignment horizontal="center" vertical="center"/>
    </xf>
    <xf numFmtId="165" fontId="21" fillId="0" borderId="0" xfId="321" applyNumberFormat="1" applyFont="1" applyFill="1" applyAlignment="1">
      <alignment vertical="center"/>
    </xf>
    <xf numFmtId="187" fontId="84" fillId="0" borderId="15" xfId="51" applyNumberFormat="1" applyFont="1" applyFill="1" applyBorder="1" applyAlignment="1">
      <alignment horizontal="center" vertical="center"/>
    </xf>
    <xf numFmtId="165" fontId="104" fillId="0" borderId="14" xfId="51" applyFont="1" applyFill="1" applyBorder="1" applyAlignment="1">
      <alignment horizontal="center"/>
    </xf>
    <xf numFmtId="0" fontId="84" fillId="0" borderId="15" xfId="51" applyNumberFormat="1" applyFont="1" applyFill="1" applyBorder="1" applyAlignment="1">
      <alignment horizontal="center" vertical="center"/>
    </xf>
    <xf numFmtId="165" fontId="104" fillId="0" borderId="17" xfId="51" applyFont="1" applyFill="1" applyBorder="1" applyAlignment="1">
      <alignment horizontal="center"/>
    </xf>
    <xf numFmtId="165" fontId="104" fillId="0" borderId="36" xfId="51" applyFont="1" applyFill="1" applyBorder="1"/>
    <xf numFmtId="10" fontId="96" fillId="0" borderId="10" xfId="0" applyNumberFormat="1" applyFont="1" applyFill="1" applyBorder="1" applyAlignment="1">
      <alignment horizontal="center" vertical="center" wrapText="1"/>
    </xf>
    <xf numFmtId="165" fontId="104" fillId="0" borderId="17" xfId="51" applyFont="1" applyFill="1" applyBorder="1"/>
    <xf numFmtId="165" fontId="104" fillId="0" borderId="18" xfId="51" applyFont="1" applyFill="1" applyBorder="1" applyAlignment="1">
      <alignment horizontal="center"/>
    </xf>
    <xf numFmtId="165" fontId="104" fillId="0" borderId="15" xfId="51" applyFont="1" applyFill="1" applyBorder="1"/>
    <xf numFmtId="165" fontId="104" fillId="0" borderId="19" xfId="51" applyFont="1" applyFill="1" applyBorder="1"/>
    <xf numFmtId="165" fontId="104" fillId="0" borderId="18" xfId="51" applyFont="1" applyFill="1" applyBorder="1"/>
    <xf numFmtId="0" fontId="131" fillId="44" borderId="12" xfId="0" applyFont="1" applyFill="1" applyBorder="1" applyAlignment="1">
      <alignment horizontal="left" vertical="center" indent="1"/>
    </xf>
    <xf numFmtId="0" fontId="73" fillId="0" borderId="0" xfId="0" applyFont="1" applyFill="1" applyBorder="1" applyAlignment="1">
      <alignment horizontal="center"/>
    </xf>
    <xf numFmtId="0" fontId="72" fillId="43" borderId="0" xfId="0" applyFont="1" applyFill="1" applyBorder="1" applyAlignment="1">
      <alignment horizontal="center" vertical="center"/>
    </xf>
    <xf numFmtId="0" fontId="63" fillId="0" borderId="31" xfId="46" applyFont="1" applyBorder="1" applyAlignment="1">
      <alignment horizontal="center" vertical="center" wrapText="1"/>
    </xf>
    <xf numFmtId="0" fontId="63" fillId="0" borderId="32" xfId="46" applyFont="1" applyBorder="1" applyAlignment="1">
      <alignment horizontal="center" vertical="center" wrapText="1"/>
    </xf>
    <xf numFmtId="0" fontId="63" fillId="0" borderId="32" xfId="46" applyFont="1" applyBorder="1" applyAlignment="1">
      <alignment horizontal="left" vertical="top" wrapText="1"/>
    </xf>
    <xf numFmtId="0" fontId="63" fillId="0" borderId="33" xfId="46" applyFont="1" applyBorder="1" applyAlignment="1">
      <alignment horizontal="left" vertical="top" wrapText="1"/>
    </xf>
    <xf numFmtId="0" fontId="76" fillId="0" borderId="0" xfId="0" applyFont="1" applyFill="1" applyBorder="1" applyAlignment="1">
      <alignment horizontal="center" vertical="center"/>
    </xf>
    <xf numFmtId="0" fontId="131" fillId="44" borderId="10" xfId="0" applyFont="1" applyFill="1" applyBorder="1" applyAlignment="1">
      <alignment horizontal="left" vertical="center" indent="1"/>
    </xf>
    <xf numFmtId="0" fontId="132" fillId="43" borderId="10" xfId="0" applyFont="1" applyFill="1" applyBorder="1" applyAlignment="1">
      <alignment horizontal="center" vertical="center"/>
    </xf>
    <xf numFmtId="0" fontId="131" fillId="44" borderId="11" xfId="0" applyFont="1" applyFill="1" applyBorder="1" applyAlignment="1">
      <alignment horizontal="left" vertical="center" indent="1"/>
    </xf>
    <xf numFmtId="0" fontId="134" fillId="43" borderId="10" xfId="0" applyFont="1" applyFill="1" applyBorder="1" applyAlignment="1">
      <alignment horizontal="center" vertical="center"/>
    </xf>
    <xf numFmtId="0" fontId="134" fillId="43" borderId="10" xfId="0" applyFont="1" applyFill="1" applyBorder="1" applyAlignment="1">
      <alignment horizontal="center" vertical="center" wrapText="1"/>
    </xf>
    <xf numFmtId="0" fontId="78" fillId="0" borderId="0" xfId="0" applyFont="1" applyAlignment="1">
      <alignment horizontal="center" vertical="center"/>
    </xf>
    <xf numFmtId="0" fontId="133" fillId="44" borderId="11" xfId="0" applyFont="1" applyFill="1" applyBorder="1" applyAlignment="1">
      <alignment horizontal="left" vertical="center" wrapText="1" indent="1"/>
    </xf>
    <xf numFmtId="0" fontId="133" fillId="44" borderId="12" xfId="0" applyFont="1" applyFill="1" applyBorder="1" applyAlignment="1">
      <alignment horizontal="left" vertical="center" wrapText="1" indent="1"/>
    </xf>
    <xf numFmtId="0" fontId="127" fillId="0" borderId="0" xfId="0" applyFont="1" applyAlignment="1">
      <alignment horizontal="center" vertical="center"/>
    </xf>
    <xf numFmtId="0" fontId="74" fillId="0" borderId="0" xfId="0" applyFont="1" applyAlignment="1">
      <alignment horizontal="center" vertical="center"/>
    </xf>
    <xf numFmtId="0" fontId="109" fillId="43" borderId="10" xfId="0" applyFont="1" applyFill="1" applyBorder="1" applyAlignment="1">
      <alignment horizontal="center" vertical="center"/>
    </xf>
    <xf numFmtId="0" fontId="130" fillId="44" borderId="10" xfId="0" applyFont="1" applyFill="1" applyBorder="1" applyAlignment="1">
      <alignment horizontal="center" vertical="center"/>
    </xf>
    <xf numFmtId="0" fontId="130" fillId="44" borderId="10" xfId="0" applyFont="1" applyFill="1" applyBorder="1" applyAlignment="1">
      <alignment horizontal="left" vertical="center" indent="1"/>
    </xf>
    <xf numFmtId="0" fontId="65" fillId="0" borderId="0" xfId="0" applyFont="1" applyAlignment="1">
      <alignment horizontal="left" vertical="center"/>
    </xf>
    <xf numFmtId="3" fontId="131" fillId="44" borderId="13" xfId="0" applyNumberFormat="1" applyFont="1" applyFill="1" applyBorder="1" applyAlignment="1">
      <alignment horizontal="center" vertical="center"/>
    </xf>
    <xf numFmtId="3" fontId="131" fillId="44" borderId="15" xfId="0" applyNumberFormat="1" applyFont="1" applyFill="1" applyBorder="1" applyAlignment="1">
      <alignment horizontal="center" vertical="center"/>
    </xf>
    <xf numFmtId="0" fontId="133" fillId="44" borderId="10" xfId="0" applyFont="1" applyFill="1" applyBorder="1" applyAlignment="1">
      <alignment horizontal="left" vertical="center" indent="1"/>
    </xf>
    <xf numFmtId="3" fontId="131" fillId="44" borderId="13" xfId="0" applyNumberFormat="1" applyFont="1" applyFill="1" applyBorder="1" applyAlignment="1">
      <alignment horizontal="right" vertical="center"/>
    </xf>
    <xf numFmtId="3" fontId="131" fillId="44" borderId="15" xfId="0" applyNumberFormat="1" applyFont="1" applyFill="1" applyBorder="1" applyAlignment="1">
      <alignment horizontal="right" vertical="center"/>
    </xf>
    <xf numFmtId="187" fontId="131" fillId="44" borderId="13" xfId="0" applyNumberFormat="1" applyFont="1" applyFill="1" applyBorder="1" applyAlignment="1">
      <alignment horizontal="right" vertical="center"/>
    </xf>
    <xf numFmtId="187" fontId="131" fillId="44" borderId="15" xfId="0" applyNumberFormat="1" applyFont="1" applyFill="1" applyBorder="1" applyAlignment="1">
      <alignment horizontal="right" vertical="center"/>
    </xf>
    <xf numFmtId="0" fontId="131" fillId="44" borderId="13" xfId="0" applyFont="1" applyFill="1" applyBorder="1" applyAlignment="1">
      <alignment horizontal="center" vertical="center"/>
    </xf>
    <xf numFmtId="0" fontId="131" fillId="44" borderId="15" xfId="0" applyFont="1" applyFill="1" applyBorder="1" applyAlignment="1">
      <alignment horizontal="center" vertical="center"/>
    </xf>
    <xf numFmtId="0" fontId="62" fillId="0" borderId="39" xfId="46" applyFont="1" applyBorder="1" applyAlignment="1">
      <alignment horizontal="center" vertical="center"/>
    </xf>
    <xf numFmtId="0" fontId="62" fillId="0" borderId="40" xfId="46" applyFont="1" applyBorder="1" applyAlignment="1">
      <alignment horizontal="center" vertical="center"/>
    </xf>
    <xf numFmtId="0" fontId="62" fillId="0" borderId="41" xfId="46" applyFont="1" applyBorder="1" applyAlignment="1">
      <alignment horizontal="center" vertical="center"/>
    </xf>
    <xf numFmtId="0" fontId="62" fillId="0" borderId="31" xfId="46" applyFont="1" applyBorder="1" applyAlignment="1">
      <alignment horizontal="center" vertical="center"/>
    </xf>
    <xf numFmtId="0" fontId="62" fillId="0" borderId="32" xfId="46" applyFont="1" applyBorder="1" applyAlignment="1">
      <alignment horizontal="center" vertical="center"/>
    </xf>
    <xf numFmtId="0" fontId="62" fillId="0" borderId="33" xfId="46" applyFont="1" applyBorder="1" applyAlignment="1">
      <alignment horizontal="center" vertical="center"/>
    </xf>
    <xf numFmtId="0" fontId="63" fillId="0" borderId="31" xfId="46" applyFont="1" applyBorder="1" applyAlignment="1">
      <alignment horizontal="center" vertical="center"/>
    </xf>
    <xf numFmtId="0" fontId="63" fillId="0" borderId="32" xfId="46" applyFont="1" applyBorder="1" applyAlignment="1">
      <alignment horizontal="center" vertical="center"/>
    </xf>
    <xf numFmtId="0" fontId="63" fillId="0" borderId="42" xfId="46" applyFont="1" applyBorder="1" applyAlignment="1">
      <alignment horizontal="left" vertical="center"/>
    </xf>
    <xf numFmtId="0" fontId="63" fillId="0" borderId="40" xfId="46" applyFont="1" applyBorder="1" applyAlignment="1">
      <alignment horizontal="left" vertical="center"/>
    </xf>
    <xf numFmtId="0" fontId="63" fillId="0" borderId="41" xfId="46" applyFont="1" applyBorder="1" applyAlignment="1">
      <alignment horizontal="left" vertical="center"/>
    </xf>
    <xf numFmtId="0" fontId="90" fillId="0" borderId="0" xfId="0" applyFont="1" applyAlignment="1">
      <alignment horizontal="left" vertical="center"/>
    </xf>
    <xf numFmtId="171" fontId="76" fillId="0" borderId="0" xfId="44" applyNumberFormat="1" applyFont="1" applyFill="1" applyBorder="1" applyAlignment="1" applyProtection="1">
      <alignment horizontal="left"/>
    </xf>
    <xf numFmtId="171" fontId="98" fillId="0" borderId="0" xfId="44" applyNumberFormat="1" applyFont="1" applyFill="1" applyBorder="1" applyAlignment="1" applyProtection="1">
      <alignment horizontal="left"/>
    </xf>
    <xf numFmtId="0" fontId="107" fillId="44" borderId="0" xfId="0" applyFont="1" applyFill="1" applyBorder="1" applyAlignment="1">
      <alignment horizontal="left" vertical="center" wrapText="1"/>
    </xf>
    <xf numFmtId="0" fontId="107" fillId="44" borderId="0" xfId="0" applyFont="1" applyFill="1" applyBorder="1" applyAlignment="1">
      <alignment horizontal="center" vertical="center" wrapText="1"/>
    </xf>
    <xf numFmtId="0" fontId="94" fillId="0" borderId="0" xfId="0" applyFont="1" applyFill="1" applyAlignment="1">
      <alignment horizontal="left"/>
    </xf>
    <xf numFmtId="0" fontId="94" fillId="44" borderId="0" xfId="0" applyFont="1" applyFill="1" applyBorder="1" applyAlignment="1">
      <alignment horizontal="left" vertical="center" wrapText="1"/>
    </xf>
    <xf numFmtId="0" fontId="96" fillId="0" borderId="0" xfId="0" applyFont="1" applyFill="1" applyAlignment="1">
      <alignment horizontal="left" indent="1"/>
    </xf>
    <xf numFmtId="0" fontId="106" fillId="43" borderId="38" xfId="0" applyFont="1" applyFill="1" applyBorder="1" applyAlignment="1">
      <alignment horizontal="center" vertical="center" wrapText="1"/>
    </xf>
    <xf numFmtId="171" fontId="82" fillId="0" borderId="0" xfId="44" applyNumberFormat="1" applyFont="1" applyFill="1" applyBorder="1" applyAlignment="1" applyProtection="1">
      <alignment horizontal="left"/>
    </xf>
    <xf numFmtId="171" fontId="92" fillId="0" borderId="0" xfId="44" applyFont="1" applyAlignment="1">
      <alignment horizontal="left"/>
    </xf>
    <xf numFmtId="0" fontId="97" fillId="0" borderId="0" xfId="0" applyFont="1" applyAlignment="1">
      <alignment horizontal="left"/>
    </xf>
    <xf numFmtId="0" fontId="97" fillId="0" borderId="0" xfId="0" applyFont="1" applyAlignment="1">
      <alignment horizontal="left" vertical="center" wrapText="1"/>
    </xf>
    <xf numFmtId="0" fontId="97" fillId="0" borderId="0" xfId="0" applyFont="1" applyAlignment="1">
      <alignment horizontal="left" vertical="center"/>
    </xf>
    <xf numFmtId="0" fontId="106" fillId="43" borderId="38" xfId="0" applyFont="1" applyFill="1" applyBorder="1" applyAlignment="1">
      <alignment horizontal="center" vertical="center"/>
    </xf>
    <xf numFmtId="0" fontId="96" fillId="0" borderId="0"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06" fillId="43" borderId="10" xfId="0" applyFont="1" applyFill="1" applyBorder="1" applyAlignment="1">
      <alignment horizontal="center" vertical="center" wrapText="1"/>
    </xf>
    <xf numFmtId="0" fontId="96" fillId="0" borderId="10" xfId="0" applyFont="1" applyFill="1" applyBorder="1" applyAlignment="1">
      <alignment horizontal="center" vertical="center" wrapText="1"/>
    </xf>
    <xf numFmtId="0" fontId="96" fillId="0" borderId="0" xfId="0" applyFont="1" applyBorder="1" applyAlignment="1">
      <alignment horizontal="left" vertical="center" wrapText="1"/>
    </xf>
    <xf numFmtId="0" fontId="92" fillId="0" borderId="0" xfId="0" applyFont="1" applyFill="1" applyBorder="1" applyAlignment="1">
      <alignment horizontal="center" vertical="center"/>
    </xf>
    <xf numFmtId="0" fontId="96" fillId="0" borderId="0" xfId="0" applyFont="1" applyBorder="1" applyAlignment="1">
      <alignment horizontal="left" wrapText="1"/>
    </xf>
    <xf numFmtId="0" fontId="107" fillId="0" borderId="0" xfId="0" applyFont="1" applyFill="1" applyBorder="1" applyAlignment="1">
      <alignment horizontal="center"/>
    </xf>
    <xf numFmtId="0" fontId="110" fillId="0" borderId="0" xfId="0" applyFont="1" applyFill="1" applyBorder="1" applyAlignment="1">
      <alignment horizontal="center"/>
    </xf>
    <xf numFmtId="0" fontId="97" fillId="0" borderId="0" xfId="0" applyFont="1" applyBorder="1" applyAlignment="1">
      <alignment horizontal="left" vertical="center" wrapText="1"/>
    </xf>
    <xf numFmtId="0" fontId="106" fillId="43" borderId="13" xfId="0" applyFont="1" applyFill="1" applyBorder="1" applyAlignment="1">
      <alignment horizontal="center" vertical="center" wrapText="1"/>
    </xf>
    <xf numFmtId="0" fontId="106" fillId="43" borderId="15" xfId="0" applyFont="1" applyFill="1" applyBorder="1" applyAlignment="1">
      <alignment horizontal="center" vertical="center" wrapText="1"/>
    </xf>
    <xf numFmtId="0" fontId="111" fillId="0" borderId="10" xfId="0" applyFont="1" applyBorder="1" applyAlignment="1">
      <alignment vertical="center" wrapText="1"/>
    </xf>
    <xf numFmtId="0" fontId="92" fillId="0" borderId="10" xfId="0" applyFont="1" applyFill="1" applyBorder="1" applyAlignment="1">
      <alignment vertical="center" wrapText="1"/>
    </xf>
    <xf numFmtId="0" fontId="104" fillId="0" borderId="0" xfId="49" applyFont="1" applyAlignment="1">
      <alignment horizontal="left" wrapText="1"/>
    </xf>
    <xf numFmtId="0" fontId="96" fillId="0" borderId="0" xfId="0" applyFont="1" applyAlignment="1">
      <alignment horizontal="left" vertical="center"/>
    </xf>
    <xf numFmtId="0" fontId="112" fillId="0" borderId="0" xfId="0" applyFont="1" applyAlignment="1">
      <alignment horizontal="left" vertical="center"/>
    </xf>
    <xf numFmtId="0" fontId="106" fillId="43" borderId="19" xfId="0" applyFont="1" applyFill="1" applyBorder="1" applyAlignment="1">
      <alignment horizontal="center" vertical="center" wrapText="1"/>
    </xf>
    <xf numFmtId="0" fontId="106" fillId="43" borderId="16" xfId="0" applyFont="1" applyFill="1" applyBorder="1" applyAlignment="1">
      <alignment horizontal="center" vertical="center" wrapText="1"/>
    </xf>
    <xf numFmtId="0" fontId="96" fillId="0" borderId="0" xfId="0" applyFont="1" applyBorder="1" applyAlignment="1">
      <alignment horizontal="left" vertical="center"/>
    </xf>
    <xf numFmtId="0" fontId="106" fillId="43" borderId="10" xfId="0" applyFont="1" applyFill="1" applyBorder="1" applyAlignment="1">
      <alignment horizontal="center" vertical="center"/>
    </xf>
    <xf numFmtId="0" fontId="126" fillId="0" borderId="0" xfId="0" applyFont="1" applyBorder="1" applyAlignment="1">
      <alignment horizontal="left" vertical="center" wrapText="1"/>
    </xf>
    <xf numFmtId="0" fontId="74" fillId="0" borderId="0" xfId="0" applyFont="1" applyAlignment="1">
      <alignment horizontal="left" vertical="center" wrapText="1"/>
    </xf>
    <xf numFmtId="0" fontId="74" fillId="0" borderId="0" xfId="0" applyFont="1" applyFill="1" applyAlignment="1">
      <alignment horizontal="left" vertical="center" wrapText="1"/>
    </xf>
    <xf numFmtId="0" fontId="37" fillId="41" borderId="10" xfId="0" applyFont="1" applyFill="1" applyBorder="1" applyAlignment="1">
      <alignment horizontal="center" vertical="center" wrapText="1"/>
    </xf>
    <xf numFmtId="165" fontId="27" fillId="37" borderId="12" xfId="51" applyFont="1" applyFill="1" applyBorder="1" applyAlignment="1">
      <alignment horizontal="center" vertical="center" wrapText="1"/>
    </xf>
    <xf numFmtId="0" fontId="27" fillId="42" borderId="27" xfId="0" applyFont="1" applyFill="1" applyBorder="1" applyAlignment="1">
      <alignment horizontal="center" vertical="center" wrapText="1"/>
    </xf>
    <xf numFmtId="0" fontId="27" fillId="42" borderId="34" xfId="0" applyFont="1" applyFill="1" applyBorder="1" applyAlignment="1">
      <alignment horizontal="center" vertical="center" wrapText="1"/>
    </xf>
    <xf numFmtId="0" fontId="27" fillId="42" borderId="35"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27" fillId="34" borderId="34" xfId="0" applyFont="1" applyFill="1" applyBorder="1" applyAlignment="1">
      <alignment horizontal="center" vertical="center" wrapText="1"/>
    </xf>
    <xf numFmtId="0" fontId="27" fillId="34" borderId="35" xfId="0" applyFont="1" applyFill="1" applyBorder="1" applyAlignment="1">
      <alignment horizontal="center" vertical="center" wrapText="1"/>
    </xf>
    <xf numFmtId="0" fontId="27" fillId="36" borderId="26"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24" xfId="0" applyFont="1" applyFill="1" applyBorder="1" applyAlignment="1">
      <alignment horizontal="center" vertical="center" wrapText="1"/>
    </xf>
    <xf numFmtId="165" fontId="52" fillId="45" borderId="16" xfId="51" applyFont="1" applyFill="1" applyBorder="1" applyAlignment="1">
      <alignment horizontal="center" vertical="center"/>
    </xf>
  </cellXfs>
  <cellStyles count="5865">
    <cellStyle name="          _x000d__x000a_386grabber=VGA.3GR_x000d__x000a_" xfId="62" xr:uid="{00000000-0005-0000-0000-000000000000}"/>
    <cellStyle name="          _x000d__x000a_386grabber=VGA.3GR_x000d__x000a_ 2" xfId="317" xr:uid="{F54D2B50-C8C7-43C6-8A3E-62E6688FA47E}"/>
    <cellStyle name="          _x000d__x000a_386grabber=VGA.3GR_x000d__x000a_ 3" xfId="2177" xr:uid="{5374ECC2-6C66-4AB3-8FAE-F479B89DB2AD}"/>
    <cellStyle name="?Q\?1@ 2" xfId="5859" xr:uid="{1C387B1F-B15D-4C5A-BC48-2296636ADAD2}"/>
    <cellStyle name="20% - Énfasis1" xfId="19" builtinId="30" customBuiltin="1"/>
    <cellStyle name="20% - Énfasis1 2" xfId="5668" xr:uid="{1070B779-7B51-447E-A22B-63305F1CE7D0}"/>
    <cellStyle name="20% - Énfasis2" xfId="23" builtinId="34" customBuiltin="1"/>
    <cellStyle name="20% - Énfasis2 2" xfId="5672" xr:uid="{773AFCD5-3CB5-4B71-BCB1-CE0A318E265F}"/>
    <cellStyle name="20% - Énfasis3" xfId="27" builtinId="38" customBuiltin="1"/>
    <cellStyle name="20% - Énfasis3 2" xfId="446" xr:uid="{AF93C4C2-FB7A-4489-81B2-2E25BE1A1CEF}"/>
    <cellStyle name="20% - Énfasis3 3" xfId="5676" xr:uid="{2EDF982B-8175-4658-822D-B651F104BDF0}"/>
    <cellStyle name="20% - Énfasis4" xfId="31" builtinId="42" customBuiltin="1"/>
    <cellStyle name="20% - Énfasis4 2" xfId="5680" xr:uid="{2B0525E0-7CA8-459A-8868-798F76214F7F}"/>
    <cellStyle name="20% - Énfasis5" xfId="35" builtinId="46" customBuiltin="1"/>
    <cellStyle name="20% - Énfasis5 2" xfId="5684" xr:uid="{AD0CCA98-F628-4F18-9426-9CDC4B771575}"/>
    <cellStyle name="20% - Énfasis6" xfId="39" builtinId="50" customBuiltin="1"/>
    <cellStyle name="20% - Énfasis6 2" xfId="5688" xr:uid="{570C171D-46DC-481F-825F-751253631326}"/>
    <cellStyle name="40% - Énfasis1" xfId="20" builtinId="31" customBuiltin="1"/>
    <cellStyle name="40% - Énfasis1 2" xfId="5669" xr:uid="{9EC194E9-CF91-4FA1-9A8A-CBFED4EB3665}"/>
    <cellStyle name="40% - Énfasis2" xfId="24" builtinId="35" customBuiltin="1"/>
    <cellStyle name="40% - Énfasis2 2" xfId="5673" xr:uid="{97FEE870-900F-4B6F-B970-F9EDE0A6D462}"/>
    <cellStyle name="40% - Énfasis3" xfId="28" builtinId="39" customBuiltin="1"/>
    <cellStyle name="40% - Énfasis3 2" xfId="5677" xr:uid="{2F572BEF-58EA-4648-8FF6-6B91F332DE4D}"/>
    <cellStyle name="40% - Énfasis4" xfId="32" builtinId="43" customBuiltin="1"/>
    <cellStyle name="40% - Énfasis4 2" xfId="5681" xr:uid="{CCF12425-52B0-4CF0-8C8E-6D2F81E48010}"/>
    <cellStyle name="40% - Énfasis5" xfId="36" builtinId="47" customBuiltin="1"/>
    <cellStyle name="40% - Énfasis5 2" xfId="5685" xr:uid="{0FF58D12-9688-400D-AF60-421CEC9FC8E8}"/>
    <cellStyle name="40% - Énfasis6" xfId="40" builtinId="51" customBuiltin="1"/>
    <cellStyle name="40% - Énfasis6 2" xfId="5689" xr:uid="{DEB13652-C0FA-443C-BA69-F1466A909DB8}"/>
    <cellStyle name="60% - Énfasis1" xfId="21" builtinId="32" customBuiltin="1"/>
    <cellStyle name="60% - Énfasis1 2" xfId="331" xr:uid="{E51EF40C-8EE3-42D7-8AF3-C14CA8412FC7}"/>
    <cellStyle name="60% - Énfasis1 2 2" xfId="3613" xr:uid="{148BF079-9F83-427F-B1A3-6E72F78F24E1}"/>
    <cellStyle name="60% - Énfasis1 3" xfId="5670" xr:uid="{7D0526DE-9D90-44C4-94AC-FD987B1587DE}"/>
    <cellStyle name="60% - Énfasis2" xfId="25" builtinId="36" customBuiltin="1"/>
    <cellStyle name="60% - Énfasis2 2" xfId="333" xr:uid="{3599F391-A272-44E9-9A3B-655889F4F7EA}"/>
    <cellStyle name="60% - Énfasis2 2 2" xfId="3614" xr:uid="{1D074C13-8318-486B-A182-06D7EFDF5CE3}"/>
    <cellStyle name="60% - Énfasis2 3" xfId="5674" xr:uid="{BDA5541F-EB4B-48C8-9FA2-92C2E38F0A2A}"/>
    <cellStyle name="60% - Énfasis3" xfId="29" builtinId="40" customBuiltin="1"/>
    <cellStyle name="60% - Énfasis3 2" xfId="335" xr:uid="{616EABF4-71D9-49F4-B63A-C158F937A9C1}"/>
    <cellStyle name="60% - Énfasis3 2 2" xfId="3615" xr:uid="{34871E76-14F5-4C71-BE11-0642CD569381}"/>
    <cellStyle name="60% - Énfasis3 3" xfId="5678" xr:uid="{CE1D41B5-ED07-43E4-9ECB-1D96B5335865}"/>
    <cellStyle name="60% - Énfasis4" xfId="33" builtinId="44" customBuiltin="1"/>
    <cellStyle name="60% - Énfasis4 2" xfId="337" xr:uid="{D6D6D2CB-BBA7-4869-A0A5-BD869AFFFB7A}"/>
    <cellStyle name="60% - Énfasis4 2 2" xfId="3616" xr:uid="{44981271-0ECB-477B-B359-81D774006051}"/>
    <cellStyle name="60% - Énfasis4 3" xfId="5682" xr:uid="{225BC57D-D9D5-4D15-BB22-EA29B29B7FD6}"/>
    <cellStyle name="60% - Énfasis5" xfId="37" builtinId="48" customBuiltin="1"/>
    <cellStyle name="60% - Énfasis5 2" xfId="338" xr:uid="{650D5906-0F17-4DB4-B992-1AC98087CEC5}"/>
    <cellStyle name="60% - Énfasis5 2 2" xfId="3617" xr:uid="{A3BD7991-300B-4049-8399-D12B4B2DEB3B}"/>
    <cellStyle name="60% - Énfasis5 3" xfId="5686" xr:uid="{0CE158A2-1AF1-4BDD-B2EA-04258F6D4ED1}"/>
    <cellStyle name="60% - Énfasis6" xfId="41" builtinId="52" customBuiltin="1"/>
    <cellStyle name="60% - Énfasis6 2" xfId="339" xr:uid="{07B4377C-C83E-48EF-A680-0A7AA7F149B2}"/>
    <cellStyle name="60% - Énfasis6 2 2" xfId="3618" xr:uid="{A9B8CB41-4CD0-41F5-9BB1-3A39CFE560E7}"/>
    <cellStyle name="60% - Énfasis6 3" xfId="5690" xr:uid="{1A846048-B942-459F-B368-00E9F32B69A5}"/>
    <cellStyle name="Bueno" xfId="6" builtinId="26" customBuiltin="1"/>
    <cellStyle name="Bueno 2" xfId="5655" xr:uid="{40392BC2-F6AD-4DC8-8660-95C68BD223EA}"/>
    <cellStyle name="Cálculo" xfId="11" builtinId="22" customBuiltin="1"/>
    <cellStyle name="Cálculo 2" xfId="448" xr:uid="{525D3176-7C6D-4E6E-9909-5A219A619E8B}"/>
    <cellStyle name="Cálculo 3" xfId="5660" xr:uid="{D9F170FD-853A-4AAE-A44A-9EB87B9091DB}"/>
    <cellStyle name="Celda de comprobación" xfId="13" builtinId="23" customBuiltin="1"/>
    <cellStyle name="Celda de comprobación 2" xfId="5662" xr:uid="{A9D5560D-B642-494A-96AC-4983ECCF14B1}"/>
    <cellStyle name="Celda vinculada" xfId="12" builtinId="24" customBuiltin="1"/>
    <cellStyle name="Celda vinculada 2" xfId="5661" xr:uid="{0CE1BBE4-EEDF-43BA-B7F0-0EDB9A1A397A}"/>
    <cellStyle name="Comma [0] 2" xfId="71" xr:uid="{00000000-0005-0000-0000-00001E000000}"/>
    <cellStyle name="Comma [0] 2 10" xfId="2629" xr:uid="{BAA0A2FC-3EE3-4634-BD52-AB71A68D3534}"/>
    <cellStyle name="Comma [0] 2 10 2" xfId="4635" xr:uid="{87C57374-F615-4CAD-8B1E-9E0E93F9A4E9}"/>
    <cellStyle name="Comma [0] 2 11" xfId="3173" xr:uid="{A48E52C6-96C0-4A36-B559-5490237C0004}"/>
    <cellStyle name="Comma [0] 2 11 2" xfId="5179" xr:uid="{1D86D65C-C170-49C5-B7C6-164EB6B3CE54}"/>
    <cellStyle name="Comma [0] 2 12" xfId="348" xr:uid="{4A0801C2-FE71-42E9-BA1F-3E2BAF056CB4}"/>
    <cellStyle name="Comma [0] 2 13" xfId="3673" xr:uid="{E39A613A-7E52-4BEC-8FD0-0D5B71BFEF30}"/>
    <cellStyle name="Comma [0] 2 2" xfId="73" xr:uid="{00000000-0005-0000-0000-00001F000000}"/>
    <cellStyle name="Comma [0] 2 2 10" xfId="2630" xr:uid="{062EE20A-79B9-4C41-8C31-EFADE2E181AF}"/>
    <cellStyle name="Comma [0] 2 2 10 2" xfId="4636" xr:uid="{79874864-ACFE-482C-A289-4238B96AC8F4}"/>
    <cellStyle name="Comma [0] 2 2 11" xfId="3174" xr:uid="{8679CE1B-5446-4D11-84E5-9B5E3032FDFC}"/>
    <cellStyle name="Comma [0] 2 2 11 2" xfId="5180" xr:uid="{217A6C15-0122-4FBA-825D-239AED932CB1}"/>
    <cellStyle name="Comma [0] 2 2 12" xfId="346" xr:uid="{4EF5B1BC-1FF2-4910-AAAF-21661D597A31}"/>
    <cellStyle name="Comma [0] 2 2 13" xfId="3674" xr:uid="{CA1E71E4-9AA4-4113-A8D1-D2CD2325AE56}"/>
    <cellStyle name="Comma [0] 2 2 2" xfId="104" xr:uid="{00000000-0005-0000-0000-000020000000}"/>
    <cellStyle name="Comma [0] 2 2 2 10" xfId="466" xr:uid="{0D1FBCF0-51FA-460D-8095-D178A477EA34}"/>
    <cellStyle name="Comma [0] 2 2 2 11" xfId="3686" xr:uid="{576C904A-2B7D-4914-A45D-7E729E886D9D}"/>
    <cellStyle name="Comma [0] 2 2 2 2" xfId="199" xr:uid="{00000000-0005-0000-0000-000021000000}"/>
    <cellStyle name="Comma [0] 2 2 2 2 2" xfId="300" xr:uid="{D8F6C0B4-9C5B-4537-A1C8-06590BE6AA67}"/>
    <cellStyle name="Comma [0] 2 2 2 2 2 2" xfId="799" xr:uid="{41E2D332-7A33-44E5-9336-F0E8AE576FD3}"/>
    <cellStyle name="Comma [0] 2 2 2 2 2 2 2" xfId="2609" xr:uid="{E240B632-3385-4D32-AAFB-66515DC2A3A3}"/>
    <cellStyle name="Comma [0] 2 2 2 2 2 2 2 2" xfId="4615" xr:uid="{E8A45743-3209-45BC-BEA9-90C787502D08}"/>
    <cellStyle name="Comma [0] 2 2 2 2 2 2 3" xfId="3027" xr:uid="{3E881588-5C96-4DCB-B55D-A5E48B8696EB}"/>
    <cellStyle name="Comma [0] 2 2 2 2 2 2 3 2" xfId="5033" xr:uid="{8C3128B2-A7FB-417F-B2E8-7E8A6EC2CB16}"/>
    <cellStyle name="Comma [0] 2 2 2 2 2 2 4" xfId="3571" xr:uid="{B54969C7-EE0E-49BC-B21C-2F7A181311CF}"/>
    <cellStyle name="Comma [0] 2 2 2 2 2 2 4 2" xfId="5577" xr:uid="{A689BEC7-0E4E-45AB-8363-6BF73590D553}"/>
    <cellStyle name="Comma [0] 2 2 2 2 2 2 5" xfId="4071" xr:uid="{5786CAE7-7A9E-47B0-8168-956F3976FA65}"/>
    <cellStyle name="Comma [0] 2 2 2 2 2 3" xfId="2398" xr:uid="{8FAB020B-33C1-403B-A324-003FEB5C05C7}"/>
    <cellStyle name="Comma [0] 2 2 2 2 2 3 2" xfId="4403" xr:uid="{E189B971-F089-4BA9-B89C-1E00A2F96BE3}"/>
    <cellStyle name="Comma [0] 2 2 2 2 2 4" xfId="2815" xr:uid="{7BAA786F-91C8-46E5-8F15-2F3B1DE16A15}"/>
    <cellStyle name="Comma [0] 2 2 2 2 2 4 2" xfId="4821" xr:uid="{D4BA8D7A-3E82-4F26-BC14-D5BF50A6310A}"/>
    <cellStyle name="Comma [0] 2 2 2 2 2 5" xfId="3359" xr:uid="{7E6A9DC6-503C-452A-84BB-4934EC9B5E37}"/>
    <cellStyle name="Comma [0] 2 2 2 2 2 5 2" xfId="5365" xr:uid="{6C810736-4401-462B-BFF0-A1DB44BD82F7}"/>
    <cellStyle name="Comma [0] 2 2 2 2 2 6" xfId="614" xr:uid="{0721DA64-1A6E-4BFE-A536-8FDC52CDF743}"/>
    <cellStyle name="Comma [0] 2 2 2 2 2 7" xfId="3859" xr:uid="{D97A3701-C95F-4CCC-9E60-ADC44821EE88}"/>
    <cellStyle name="Comma [0] 2 2 2 2 3" xfId="703" xr:uid="{41FB6B55-526F-48DE-8B37-19DC2C741D36}"/>
    <cellStyle name="Comma [0] 2 2 2 2 3 2" xfId="2509" xr:uid="{142DDFE1-A9C1-481A-9466-4E856D01D087}"/>
    <cellStyle name="Comma [0] 2 2 2 2 3 2 2" xfId="4515" xr:uid="{B8990C84-1D39-4A2A-BD23-266B2D68989E}"/>
    <cellStyle name="Comma [0] 2 2 2 2 3 3" xfId="2927" xr:uid="{D09DBC8C-4227-41C7-9E52-68BF73E22DA2}"/>
    <cellStyle name="Comma [0] 2 2 2 2 3 3 2" xfId="4933" xr:uid="{5A9AA26E-278E-4E5A-9AFE-D4ED819F6239}"/>
    <cellStyle name="Comma [0] 2 2 2 2 3 4" xfId="3471" xr:uid="{859F484D-E5D1-4372-A829-A77B2B1B5319}"/>
    <cellStyle name="Comma [0] 2 2 2 2 3 4 2" xfId="5477" xr:uid="{4562ABB6-F196-4A31-AB6F-53ABF9DC0860}"/>
    <cellStyle name="Comma [0] 2 2 2 2 3 5" xfId="3971" xr:uid="{80843DD1-AA2F-4804-A03D-B928D9A8F348}"/>
    <cellStyle name="Comma [0] 2 2 2 2 4" xfId="900" xr:uid="{EB57766C-5A6F-4C02-9601-758F6BA20E10}"/>
    <cellStyle name="Comma [0] 2 2 2 2 4 2" xfId="3129" xr:uid="{B048D75E-7FCF-4D6E-B1E8-EF43F78BAA1E}"/>
    <cellStyle name="Comma [0] 2 2 2 2 4 2 2" xfId="5135" xr:uid="{2229A86C-FB20-4CCE-B65C-808F79534534}"/>
    <cellStyle name="Comma [0] 2 2 2 2 4 3" xfId="4173" xr:uid="{E35400D4-574E-45DC-9F2A-D28EA34F083F}"/>
    <cellStyle name="Comma [0] 2 2 2 2 5" xfId="2294" xr:uid="{F3A1527F-8896-47D8-88D2-C2C3FCDCA38B}"/>
    <cellStyle name="Comma [0] 2 2 2 2 5 2" xfId="4299" xr:uid="{55025CF7-A6C3-485E-8229-9606C17DB088}"/>
    <cellStyle name="Comma [0] 2 2 2 2 6" xfId="2711" xr:uid="{B9FD6EDD-E33A-4815-95E9-54EF60596B39}"/>
    <cellStyle name="Comma [0] 2 2 2 2 6 2" xfId="4717" xr:uid="{F8E19247-0EFA-4032-8472-8A4B56655E30}"/>
    <cellStyle name="Comma [0] 2 2 2 2 7" xfId="3255" xr:uid="{5BE540BF-8CC5-4065-BEBB-6DB8AF588B33}"/>
    <cellStyle name="Comma [0] 2 2 2 2 7 2" xfId="5261" xr:uid="{997B174F-5919-44E9-B651-BB3BCA2304F7}"/>
    <cellStyle name="Comma [0] 2 2 2 2 8" xfId="516" xr:uid="{4F58A169-BE11-43EA-BFB6-C78D36D6B99B}"/>
    <cellStyle name="Comma [0] 2 2 2 2 9" xfId="3755" xr:uid="{F2BC4015-E197-4186-BC29-681C7C930CE6}"/>
    <cellStyle name="Comma [0] 2 2 2 3" xfId="152" xr:uid="{00000000-0005-0000-0000-000022000000}"/>
    <cellStyle name="Comma [0] 2 2 2 3 2" xfId="258" xr:uid="{9B1BCA4F-96FD-4B8F-B317-562B521C2DDD}"/>
    <cellStyle name="Comma [0] 2 2 2 3 2 2" xfId="758" xr:uid="{6A9CA1E4-600B-43B4-AB24-C34ED61F04F2}"/>
    <cellStyle name="Comma [0] 2 2 2 3 2 2 2" xfId="2567" xr:uid="{2845B4AD-1E48-4EC2-A4C1-04998F6E5267}"/>
    <cellStyle name="Comma [0] 2 2 2 3 2 2 2 2" xfId="4573" xr:uid="{398F56CB-25BA-4E35-BEE3-F20346242541}"/>
    <cellStyle name="Comma [0] 2 2 2 3 2 2 3" xfId="2985" xr:uid="{68485FEF-C31B-446A-8A94-A1669FCDF4D5}"/>
    <cellStyle name="Comma [0] 2 2 2 3 2 2 3 2" xfId="4991" xr:uid="{78C2600C-D268-46C7-A402-EA74BC62A997}"/>
    <cellStyle name="Comma [0] 2 2 2 3 2 2 4" xfId="3529" xr:uid="{E4ED0AF2-008F-4D9D-9067-028B2D8FB017}"/>
    <cellStyle name="Comma [0] 2 2 2 3 2 2 4 2" xfId="5535" xr:uid="{B8907F8D-C8E8-4B96-AA58-4C6E9903F2C1}"/>
    <cellStyle name="Comma [0] 2 2 2 3 2 2 5" xfId="4029" xr:uid="{A1CD2CCB-4B9A-4CA3-9826-5199A742D274}"/>
    <cellStyle name="Comma [0] 2 2 2 3 2 3" xfId="2356" xr:uid="{6CC9DA42-47DE-435F-BCA2-90EF28CBC252}"/>
    <cellStyle name="Comma [0] 2 2 2 3 2 3 2" xfId="4361" xr:uid="{C9C7316B-954B-4293-9E6E-4E688691361D}"/>
    <cellStyle name="Comma [0] 2 2 2 3 2 4" xfId="2773" xr:uid="{78AFF6C2-E641-4677-8CA7-7B8B61EBF8DD}"/>
    <cellStyle name="Comma [0] 2 2 2 3 2 4 2" xfId="4779" xr:uid="{49CA6363-68FF-4D01-90D6-E13C1414FDE1}"/>
    <cellStyle name="Comma [0] 2 2 2 3 2 5" xfId="3317" xr:uid="{6660F32D-E26F-493C-98B6-ADD7B4F3B729}"/>
    <cellStyle name="Comma [0] 2 2 2 3 2 5 2" xfId="5323" xr:uid="{7C916584-1A00-4803-98F8-77D0EBF264A6}"/>
    <cellStyle name="Comma [0] 2 2 2 3 2 6" xfId="573" xr:uid="{1E76663D-5808-4867-91E4-32FBEFA7CB14}"/>
    <cellStyle name="Comma [0] 2 2 2 3 2 7" xfId="3817" xr:uid="{FBCBB9F7-168E-406B-B973-C82BB7915D8B}"/>
    <cellStyle name="Comma [0] 2 2 2 3 3" xfId="670" xr:uid="{8B98B9BF-6952-42AD-A4D2-CC508A193BA0}"/>
    <cellStyle name="Comma [0] 2 2 2 3 3 2" xfId="2467" xr:uid="{264484CE-6314-40A8-AD13-4B1A0E5265ED}"/>
    <cellStyle name="Comma [0] 2 2 2 3 3 2 2" xfId="4473" xr:uid="{B1E5277E-B040-4270-A282-1A6BCCF78348}"/>
    <cellStyle name="Comma [0] 2 2 2 3 3 3" xfId="2885" xr:uid="{E1759E43-5842-4CC8-ACF3-157BBCC24930}"/>
    <cellStyle name="Comma [0] 2 2 2 3 3 3 2" xfId="4891" xr:uid="{C6E34BA9-3816-4576-9702-CF9DF79175D6}"/>
    <cellStyle name="Comma [0] 2 2 2 3 3 4" xfId="3429" xr:uid="{BE5BC703-FCD8-4759-A055-E295AC2683ED}"/>
    <cellStyle name="Comma [0] 2 2 2 3 3 4 2" xfId="5435" xr:uid="{12668BF6-7805-4A2E-B102-739D45F873BB}"/>
    <cellStyle name="Comma [0] 2 2 2 3 3 5" xfId="3929" xr:uid="{1818E6BE-AD3F-4BBA-B853-A3A3A6578189}"/>
    <cellStyle name="Comma [0] 2 2 2 3 4" xfId="858" xr:uid="{AABE9426-9004-41FE-BC48-8EF86295FB02}"/>
    <cellStyle name="Comma [0] 2 2 2 3 4 2" xfId="3087" xr:uid="{AA6872DE-6B23-4402-B814-3174D4D8E65C}"/>
    <cellStyle name="Comma [0] 2 2 2 3 4 2 2" xfId="5093" xr:uid="{8E357309-FEF7-4547-B773-7DAED684679A}"/>
    <cellStyle name="Comma [0] 2 2 2 3 4 3" xfId="4131" xr:uid="{01EEAC54-23CF-4F28-AB04-DF21EB6ED3AD}"/>
    <cellStyle name="Comma [0] 2 2 2 3 5" xfId="2252" xr:uid="{63901899-2D10-4770-AA02-617AB288E19F}"/>
    <cellStyle name="Comma [0] 2 2 2 3 5 2" xfId="4257" xr:uid="{A070D08E-3A3B-4239-B2A5-E04B5CC2D4AE}"/>
    <cellStyle name="Comma [0] 2 2 2 3 6" xfId="2669" xr:uid="{7C64BB98-31AC-4B91-A25A-D1A5BBB96601}"/>
    <cellStyle name="Comma [0] 2 2 2 3 6 2" xfId="4675" xr:uid="{A192BAA6-77AA-4924-A44D-8FB835186DD9}"/>
    <cellStyle name="Comma [0] 2 2 2 3 7" xfId="3213" xr:uid="{A0BFC2A0-E514-4E8A-B4CE-AA430E05C2C1}"/>
    <cellStyle name="Comma [0] 2 2 2 3 7 2" xfId="5219" xr:uid="{1B85588B-07AD-41A7-9080-F5C86AC33165}"/>
    <cellStyle name="Comma [0] 2 2 2 3 8" xfId="483" xr:uid="{82F56741-4948-45EC-A0F7-466A4062E372}"/>
    <cellStyle name="Comma [0] 2 2 2 3 9" xfId="3713" xr:uid="{2CC6FF33-41D7-4D64-9757-9027835F6182}"/>
    <cellStyle name="Comma [0] 2 2 2 4" xfId="231" xr:uid="{F066D948-6A0F-429C-AB0D-8E1770CEA983}"/>
    <cellStyle name="Comma [0] 2 2 2 4 2" xfId="731" xr:uid="{34E49771-2246-4641-8441-3793DF8CE164}"/>
    <cellStyle name="Comma [0] 2 2 2 4 2 2" xfId="2540" xr:uid="{078AFA23-489A-4E1E-8D46-77D1C0434013}"/>
    <cellStyle name="Comma [0] 2 2 2 4 2 2 2" xfId="4546" xr:uid="{D5977E98-298D-4EAF-9268-29FDFB03983F}"/>
    <cellStyle name="Comma [0] 2 2 2 4 2 3" xfId="2958" xr:uid="{9B93A392-1EBE-4EB9-BD2A-1E94A465262C}"/>
    <cellStyle name="Comma [0] 2 2 2 4 2 3 2" xfId="4964" xr:uid="{C29AD32C-FF69-411D-A0BA-F162CE684AB3}"/>
    <cellStyle name="Comma [0] 2 2 2 4 2 4" xfId="3502" xr:uid="{62AB65E6-1726-45A7-8342-FE255C2D84DC}"/>
    <cellStyle name="Comma [0] 2 2 2 4 2 4 2" xfId="5508" xr:uid="{976B5880-C9C9-4460-85BE-DE8B08D20648}"/>
    <cellStyle name="Comma [0] 2 2 2 4 2 5" xfId="4002" xr:uid="{893EEEE7-CC2A-4BF7-A7F1-43DFF88B20EF}"/>
    <cellStyle name="Comma [0] 2 2 2 4 3" xfId="2329" xr:uid="{98BF7161-2822-40A6-B929-44B3836BEFE6}"/>
    <cellStyle name="Comma [0] 2 2 2 4 3 2" xfId="4334" xr:uid="{F4098CEC-9F01-4722-A041-AA57EC984BDF}"/>
    <cellStyle name="Comma [0] 2 2 2 4 4" xfId="2746" xr:uid="{A621810F-4747-4F3F-9461-F35FC5BE10F8}"/>
    <cellStyle name="Comma [0] 2 2 2 4 4 2" xfId="4752" xr:uid="{438CF719-04A4-4E94-87C1-ADF373D46DB1}"/>
    <cellStyle name="Comma [0] 2 2 2 4 5" xfId="3290" xr:uid="{DFA81206-5CC6-4E85-9441-EA965C1FA8E4}"/>
    <cellStyle name="Comma [0] 2 2 2 4 5 2" xfId="5296" xr:uid="{3A60B4C0-988D-47F1-B2C4-C9C4E38F7E30}"/>
    <cellStyle name="Comma [0] 2 2 2 4 6" xfId="546" xr:uid="{AF14056C-57CC-4336-9549-E32C907F4D08}"/>
    <cellStyle name="Comma [0] 2 2 2 4 7" xfId="3790" xr:uid="{DBBAD06B-6F4C-4B39-BBCE-3A7523FDBCE4}"/>
    <cellStyle name="Comma [0] 2 2 2 5" xfId="651" xr:uid="{9974B375-7543-4168-A2BA-08F7ED99255A}"/>
    <cellStyle name="Comma [0] 2 2 2 5 2" xfId="2440" xr:uid="{B0DDDA02-324F-4C5A-91C7-D9F96A93BB37}"/>
    <cellStyle name="Comma [0] 2 2 2 5 2 2" xfId="4446" xr:uid="{CF3C3159-87E8-4A6B-AAB0-932E5FE79977}"/>
    <cellStyle name="Comma [0] 2 2 2 5 3" xfId="2858" xr:uid="{41949C87-E1AE-4ED7-A03C-392BA0CCD80F}"/>
    <cellStyle name="Comma [0] 2 2 2 5 3 2" xfId="4864" xr:uid="{89EA69E3-4FDB-46C2-BB79-F4C0E79BA1FF}"/>
    <cellStyle name="Comma [0] 2 2 2 5 4" xfId="3402" xr:uid="{B7D3D1D0-C189-42E7-8D41-C92702770FA4}"/>
    <cellStyle name="Comma [0] 2 2 2 5 4 2" xfId="5408" xr:uid="{8D2189D5-64F4-40C4-8128-1A08BF133A3E}"/>
    <cellStyle name="Comma [0] 2 2 2 5 5" xfId="3902" xr:uid="{27E281FC-E70B-4411-AA10-F544DE9BDAE4}"/>
    <cellStyle name="Comma [0] 2 2 2 6" xfId="831" xr:uid="{7895F52C-432D-4B09-AC11-48E2AE96DD11}"/>
    <cellStyle name="Comma [0] 2 2 2 6 2" xfId="3060" xr:uid="{DF085EFC-AB0C-4850-87B0-1E3FC7166216}"/>
    <cellStyle name="Comma [0] 2 2 2 6 2 2" xfId="5066" xr:uid="{761E2A52-7746-4204-A196-56B8AE38ADED}"/>
    <cellStyle name="Comma [0] 2 2 2 6 3" xfId="4104" xr:uid="{88396BD7-C773-4421-8A55-0DB2487710F1}"/>
    <cellStyle name="Comma [0] 2 2 2 7" xfId="2225" xr:uid="{6329A0B2-EA77-49DB-941B-A4BC861D099F}"/>
    <cellStyle name="Comma [0] 2 2 2 7 2" xfId="4230" xr:uid="{156A63C2-5302-4906-A095-AF92CC2EB020}"/>
    <cellStyle name="Comma [0] 2 2 2 8" xfId="2642" xr:uid="{6922D612-F185-4E4B-8D83-8F3E983B6D70}"/>
    <cellStyle name="Comma [0] 2 2 2 8 2" xfId="4648" xr:uid="{FF8AE58F-7EB9-4C57-A0F6-102130416EFC}"/>
    <cellStyle name="Comma [0] 2 2 2 9" xfId="3186" xr:uid="{257914F4-EB71-4AAA-88F6-ED3E2BA0DBFE}"/>
    <cellStyle name="Comma [0] 2 2 2 9 2" xfId="5192" xr:uid="{5CFAD141-A5D3-46F4-87AC-1E7B34F39C37}"/>
    <cellStyle name="Comma [0] 2 2 3" xfId="186" xr:uid="{00000000-0005-0000-0000-000023000000}"/>
    <cellStyle name="Comma [0] 2 2 3 2" xfId="290" xr:uid="{3A501BA3-6825-4719-815A-395A2FD1CB1A}"/>
    <cellStyle name="Comma [0] 2 2 3 2 2" xfId="789" xr:uid="{8AAA1779-4CF1-4AEE-ACEA-8DF4A81F07AA}"/>
    <cellStyle name="Comma [0] 2 2 3 2 2 2" xfId="2599" xr:uid="{054CC267-B418-47C7-ADA7-8ACBDF7A7E69}"/>
    <cellStyle name="Comma [0] 2 2 3 2 2 2 2" xfId="4605" xr:uid="{1AF9F5E5-058A-423D-A8BA-A6F05C2DD3D3}"/>
    <cellStyle name="Comma [0] 2 2 3 2 2 3" xfId="3017" xr:uid="{BD6AD1C5-C225-4A8D-B8A1-48D3C9BBC1DA}"/>
    <cellStyle name="Comma [0] 2 2 3 2 2 3 2" xfId="5023" xr:uid="{38DF96E0-6CAF-4B16-94EA-389B71CC7CCE}"/>
    <cellStyle name="Comma [0] 2 2 3 2 2 4" xfId="3561" xr:uid="{EBF2F073-FCE1-48E7-A00B-9F360A43DEA6}"/>
    <cellStyle name="Comma [0] 2 2 3 2 2 4 2" xfId="5567" xr:uid="{A9F4A9C3-F431-47F5-8245-AEF5523BB17E}"/>
    <cellStyle name="Comma [0] 2 2 3 2 2 5" xfId="4061" xr:uid="{6E977053-EF3E-476E-A3F7-0BF97CFAA041}"/>
    <cellStyle name="Comma [0] 2 2 3 2 3" xfId="2388" xr:uid="{1E9B7092-8267-4F89-A0A3-3CA72E9A4F51}"/>
    <cellStyle name="Comma [0] 2 2 3 2 3 2" xfId="4393" xr:uid="{45A5E1EC-FF3C-4435-881F-63E6FC52B234}"/>
    <cellStyle name="Comma [0] 2 2 3 2 4" xfId="2805" xr:uid="{E409E62D-77BB-469C-BB1E-F318AD1B54EB}"/>
    <cellStyle name="Comma [0] 2 2 3 2 4 2" xfId="4811" xr:uid="{322DA5D2-4DCA-45EF-AD5D-0A6A9C9E6B56}"/>
    <cellStyle name="Comma [0] 2 2 3 2 5" xfId="3349" xr:uid="{2EC107D0-D378-40DD-B4E3-31FE4400FE92}"/>
    <cellStyle name="Comma [0] 2 2 3 2 5 2" xfId="5355" xr:uid="{BA96C3C2-3993-48A1-B3F4-6ACC4175CD80}"/>
    <cellStyle name="Comma [0] 2 2 3 2 6" xfId="604" xr:uid="{42EFF685-9E75-43D6-A0C4-496456D34C52}"/>
    <cellStyle name="Comma [0] 2 2 3 2 7" xfId="3849" xr:uid="{4037222C-0EB5-46A6-82CF-A0644F8732AC}"/>
    <cellStyle name="Comma [0] 2 2 3 3" xfId="696" xr:uid="{36B600B4-04AA-46CA-B58A-5399F794F739}"/>
    <cellStyle name="Comma [0] 2 2 3 3 2" xfId="2499" xr:uid="{1962BA09-D3BB-4605-ABA9-E48FB5270266}"/>
    <cellStyle name="Comma [0] 2 2 3 3 2 2" xfId="4505" xr:uid="{4669A057-E2F1-4E6B-9AD7-A62E7E464D6A}"/>
    <cellStyle name="Comma [0] 2 2 3 3 3" xfId="2917" xr:uid="{0016A738-CBC2-47CD-8E99-1C9A40C3BDA0}"/>
    <cellStyle name="Comma [0] 2 2 3 3 3 2" xfId="4923" xr:uid="{E926E106-6F9D-40D0-81FB-BF79ED5478C1}"/>
    <cellStyle name="Comma [0] 2 2 3 3 4" xfId="3461" xr:uid="{21547AA4-3B5F-456C-B990-B8C03C57C438}"/>
    <cellStyle name="Comma [0] 2 2 3 3 4 2" xfId="5467" xr:uid="{787788E9-A323-42A2-8298-6C3C587B963F}"/>
    <cellStyle name="Comma [0] 2 2 3 3 5" xfId="3961" xr:uid="{19F2D4A8-AFE6-4774-BFB9-98AD36932DA2}"/>
    <cellStyle name="Comma [0] 2 2 3 4" xfId="890" xr:uid="{692A18DD-2D16-4C60-B1A7-2236383B59B2}"/>
    <cellStyle name="Comma [0] 2 2 3 4 2" xfId="3119" xr:uid="{8F05BC82-CBE2-4895-ADB4-D8B7F88D9099}"/>
    <cellStyle name="Comma [0] 2 2 3 4 2 2" xfId="5125" xr:uid="{F240061C-910E-4BEA-BC8C-9273A2B0DFA3}"/>
    <cellStyle name="Comma [0] 2 2 3 4 3" xfId="4163" xr:uid="{63B1C67D-DF62-483C-A1D4-4DDEA6C6DA1F}"/>
    <cellStyle name="Comma [0] 2 2 3 5" xfId="2284" xr:uid="{C716C037-2EA0-47A9-9D59-76E7F29A7268}"/>
    <cellStyle name="Comma [0] 2 2 3 5 2" xfId="4289" xr:uid="{DB1DE461-0713-4302-A726-DBB10C20A431}"/>
    <cellStyle name="Comma [0] 2 2 3 6" xfId="2701" xr:uid="{0DB024D8-41A9-4169-9D8D-EB6407796CC5}"/>
    <cellStyle name="Comma [0] 2 2 3 6 2" xfId="4707" xr:uid="{D464AE3C-72F6-4F0C-BFF8-D739FCC6F337}"/>
    <cellStyle name="Comma [0] 2 2 3 7" xfId="3245" xr:uid="{304D4464-4CD1-492A-9090-17E68E1BA686}"/>
    <cellStyle name="Comma [0] 2 2 3 7 2" xfId="5251" xr:uid="{F3D5FB47-C425-410B-B0C3-07868CBEAFB9}"/>
    <cellStyle name="Comma [0] 2 2 3 8" xfId="509" xr:uid="{9C01DE47-412A-451F-9B04-C3283A5CC839}"/>
    <cellStyle name="Comma [0] 2 2 3 9" xfId="3745" xr:uid="{F3612C94-FDC5-42F0-9464-41DD62C65F66}"/>
    <cellStyle name="Comma [0] 2 2 4" xfId="174" xr:uid="{00000000-0005-0000-0000-000024000000}"/>
    <cellStyle name="Comma [0] 2 2 4 2" xfId="279" xr:uid="{09BFC246-2339-4B89-9EED-F38E0841659A}"/>
    <cellStyle name="Comma [0] 2 2 4 2 2" xfId="778" xr:uid="{B44C1296-0D2D-4678-A7AF-9CECBF5F2F2B}"/>
    <cellStyle name="Comma [0] 2 2 4 2 2 2" xfId="2588" xr:uid="{6DE1B6A9-1E33-424C-B319-98EDE5BDD37B}"/>
    <cellStyle name="Comma [0] 2 2 4 2 2 2 2" xfId="4594" xr:uid="{E92675D0-F79D-4E1A-A7D9-4CBFFF85FA4A}"/>
    <cellStyle name="Comma [0] 2 2 4 2 2 3" xfId="3006" xr:uid="{B8D26350-27B0-45FF-95E9-B5FD96F1E8DB}"/>
    <cellStyle name="Comma [0] 2 2 4 2 2 3 2" xfId="5012" xr:uid="{75DC0676-4AE8-4112-8F4F-C3D143A48D14}"/>
    <cellStyle name="Comma [0] 2 2 4 2 2 4" xfId="3550" xr:uid="{4C30A156-37B9-4404-BCAC-E7F454C863A0}"/>
    <cellStyle name="Comma [0] 2 2 4 2 2 4 2" xfId="5556" xr:uid="{49E35C89-8919-4A6C-8CA0-B992AF694070}"/>
    <cellStyle name="Comma [0] 2 2 4 2 2 5" xfId="4050" xr:uid="{558FD3C8-5698-4B63-A337-55FB6EDD80D8}"/>
    <cellStyle name="Comma [0] 2 2 4 2 3" xfId="2377" xr:uid="{45875129-B302-4C58-AA9F-02C028C2A7A5}"/>
    <cellStyle name="Comma [0] 2 2 4 2 3 2" xfId="4382" xr:uid="{F2A69588-FE04-46DE-B834-DBE8A8B8E805}"/>
    <cellStyle name="Comma [0] 2 2 4 2 4" xfId="2794" xr:uid="{0BE1790C-8D64-4B41-B9B8-FAC40B593877}"/>
    <cellStyle name="Comma [0] 2 2 4 2 4 2" xfId="4800" xr:uid="{5A9E91A5-A39B-4042-ABA4-4ADBE1F4677E}"/>
    <cellStyle name="Comma [0] 2 2 4 2 5" xfId="3338" xr:uid="{32281E2A-940B-4A0E-B4D0-2B7077FDDA39}"/>
    <cellStyle name="Comma [0] 2 2 4 2 5 2" xfId="5344" xr:uid="{7A697BAF-9C99-4589-B8D5-C4D08D90FC82}"/>
    <cellStyle name="Comma [0] 2 2 4 2 6" xfId="593" xr:uid="{4C2975D4-4295-4376-9937-1F6E47183327}"/>
    <cellStyle name="Comma [0] 2 2 4 2 7" xfId="3838" xr:uid="{7C5B9E95-094A-4D69-B77C-EB3824ABA681}"/>
    <cellStyle name="Comma [0] 2 2 4 3" xfId="688" xr:uid="{4781D881-4679-4A4B-8ED1-38A00F5492F8}"/>
    <cellStyle name="Comma [0] 2 2 4 3 2" xfId="2488" xr:uid="{073416B2-085A-4662-B240-091216D01214}"/>
    <cellStyle name="Comma [0] 2 2 4 3 2 2" xfId="4494" xr:uid="{C5E2AB86-FA68-4A47-92D2-7D2B80937EAE}"/>
    <cellStyle name="Comma [0] 2 2 4 3 3" xfId="2906" xr:uid="{1DC4C718-AF5F-45E8-A968-4150D1252ACB}"/>
    <cellStyle name="Comma [0] 2 2 4 3 3 2" xfId="4912" xr:uid="{F70AB69E-C6BB-4DF5-BCDC-2725E5284D8C}"/>
    <cellStyle name="Comma [0] 2 2 4 3 4" xfId="3450" xr:uid="{3BE80CFA-4FE6-4798-A1C8-32ABBB7A39BE}"/>
    <cellStyle name="Comma [0] 2 2 4 3 4 2" xfId="5456" xr:uid="{815EBA57-394D-4BAF-BE1F-0341B4FC74F1}"/>
    <cellStyle name="Comma [0] 2 2 4 3 5" xfId="3950" xr:uid="{A2B2E8AC-0370-4ADB-A677-5362324EE2CE}"/>
    <cellStyle name="Comma [0] 2 2 4 4" xfId="879" xr:uid="{A36EF9A5-B2B6-4E94-A6C3-3C0E3A09B871}"/>
    <cellStyle name="Comma [0] 2 2 4 4 2" xfId="3108" xr:uid="{271A9B35-EB12-45C2-A71F-D749D26D2212}"/>
    <cellStyle name="Comma [0] 2 2 4 4 2 2" xfId="5114" xr:uid="{5387F907-0177-4996-A9F8-4CAB6357FD0C}"/>
    <cellStyle name="Comma [0] 2 2 4 4 3" xfId="4152" xr:uid="{32FA71AF-8218-4E1E-A0DA-D3412D75FBBB}"/>
    <cellStyle name="Comma [0] 2 2 4 5" xfId="2273" xr:uid="{89F2CEEA-9E44-4376-9596-B45554AD3AF6}"/>
    <cellStyle name="Comma [0] 2 2 4 5 2" xfId="4278" xr:uid="{999E5100-4A2A-483D-B39F-43AC5C765C99}"/>
    <cellStyle name="Comma [0] 2 2 4 6" xfId="2690" xr:uid="{DBDEEB8F-569C-4772-8A86-CF41D956464E}"/>
    <cellStyle name="Comma [0] 2 2 4 6 2" xfId="4696" xr:uid="{A07F4224-70CA-4325-B618-EFFB0D06D9DD}"/>
    <cellStyle name="Comma [0] 2 2 4 7" xfId="3234" xr:uid="{70978F68-7E94-485E-B7A5-D3906EE3EF08}"/>
    <cellStyle name="Comma [0] 2 2 4 7 2" xfId="5240" xr:uid="{F2A2585C-E27A-4847-BBC5-7A637704BD18}"/>
    <cellStyle name="Comma [0] 2 2 4 8" xfId="501" xr:uid="{D12F4958-BD48-4CDD-B0B8-FBC099A6F2C2}"/>
    <cellStyle name="Comma [0] 2 2 4 9" xfId="3734" xr:uid="{839E1637-16DB-46DB-A333-EAE5B4BA6D80}"/>
    <cellStyle name="Comma [0] 2 2 5" xfId="142" xr:uid="{00000000-0005-0000-0000-000025000000}"/>
    <cellStyle name="Comma [0] 2 2 5 2" xfId="248" xr:uid="{0E500BFA-C849-483D-ABC3-8025FF0BB617}"/>
    <cellStyle name="Comma [0] 2 2 5 2 2" xfId="748" xr:uid="{54C15798-FAC0-49C5-B62C-043000CD9E24}"/>
    <cellStyle name="Comma [0] 2 2 5 2 2 2" xfId="2557" xr:uid="{62257B78-D763-4AB9-A393-E9933A5E7F0D}"/>
    <cellStyle name="Comma [0] 2 2 5 2 2 2 2" xfId="4563" xr:uid="{EE2023BB-08F0-45C7-B6CC-313CC9EF40F2}"/>
    <cellStyle name="Comma [0] 2 2 5 2 2 3" xfId="2975" xr:uid="{86481790-8B97-4F4E-89A4-328C6C18D636}"/>
    <cellStyle name="Comma [0] 2 2 5 2 2 3 2" xfId="4981" xr:uid="{A33A1128-F432-43BE-A7FA-94E12CE63A42}"/>
    <cellStyle name="Comma [0] 2 2 5 2 2 4" xfId="3519" xr:uid="{D7E89836-A316-4AB2-BEEA-6B7A43D97A8A}"/>
    <cellStyle name="Comma [0] 2 2 5 2 2 4 2" xfId="5525" xr:uid="{E30D0114-0237-41DB-9343-C81B3EBE4DD9}"/>
    <cellStyle name="Comma [0] 2 2 5 2 2 5" xfId="4019" xr:uid="{154F0FA3-EDE5-437F-826A-6042E41098B0}"/>
    <cellStyle name="Comma [0] 2 2 5 2 3" xfId="2346" xr:uid="{489E2BF6-C51D-433D-9009-18C29F06F10D}"/>
    <cellStyle name="Comma [0] 2 2 5 2 3 2" xfId="4351" xr:uid="{3255765C-23B5-42D2-89C2-70A54161EDAA}"/>
    <cellStyle name="Comma [0] 2 2 5 2 4" xfId="2763" xr:uid="{5F1547A2-9F43-42B7-8343-B19FEA147FF9}"/>
    <cellStyle name="Comma [0] 2 2 5 2 4 2" xfId="4769" xr:uid="{B71FC840-BF15-415C-BFB7-2BD5B1814013}"/>
    <cellStyle name="Comma [0] 2 2 5 2 5" xfId="3307" xr:uid="{66D1859B-1842-46E7-AFCF-71D27AE967C4}"/>
    <cellStyle name="Comma [0] 2 2 5 2 5 2" xfId="5313" xr:uid="{9330861A-1857-45F6-9364-9BE718927D65}"/>
    <cellStyle name="Comma [0] 2 2 5 2 6" xfId="563" xr:uid="{C07B5922-8754-46A8-B439-EFEB24922CE2}"/>
    <cellStyle name="Comma [0] 2 2 5 2 7" xfId="3807" xr:uid="{05CB76D9-8D14-497B-A7D8-79823B497B24}"/>
    <cellStyle name="Comma [0] 2 2 5 3" xfId="662" xr:uid="{DAB88033-9192-4ED1-8FB1-A7CAD923DA8F}"/>
    <cellStyle name="Comma [0] 2 2 5 3 2" xfId="2457" xr:uid="{6FE94120-2EBB-4BAF-B5E0-9A420EB1A2E9}"/>
    <cellStyle name="Comma [0] 2 2 5 3 2 2" xfId="4463" xr:uid="{721BDD36-1D9C-461C-8F91-CAEA7A56D284}"/>
    <cellStyle name="Comma [0] 2 2 5 3 3" xfId="2875" xr:uid="{4389EB1D-008E-48E4-BE38-BBBA4CFE078B}"/>
    <cellStyle name="Comma [0] 2 2 5 3 3 2" xfId="4881" xr:uid="{A7CAD472-C628-4F02-9840-FA110251BF73}"/>
    <cellStyle name="Comma [0] 2 2 5 3 4" xfId="3419" xr:uid="{AAF3F71D-FF0F-45D8-9843-F5267143EF50}"/>
    <cellStyle name="Comma [0] 2 2 5 3 4 2" xfId="5425" xr:uid="{1D29FE9B-592D-406B-A26C-F606F603C528}"/>
    <cellStyle name="Comma [0] 2 2 5 3 5" xfId="3919" xr:uid="{D0C59B9A-ED5A-4A72-A45D-AB68040646DF}"/>
    <cellStyle name="Comma [0] 2 2 5 4" xfId="848" xr:uid="{C91F7CFB-67A2-467D-8065-5FBAD48DA3DD}"/>
    <cellStyle name="Comma [0] 2 2 5 4 2" xfId="3077" xr:uid="{8CB2DD9E-BE55-4A47-AD18-D6D80839CB0C}"/>
    <cellStyle name="Comma [0] 2 2 5 4 2 2" xfId="5083" xr:uid="{8EF794DE-C81D-4DEC-9CFC-264C2B1D5226}"/>
    <cellStyle name="Comma [0] 2 2 5 4 3" xfId="4121" xr:uid="{C5C6CCA5-D75E-4336-87BB-5DB3FD351A63}"/>
    <cellStyle name="Comma [0] 2 2 5 5" xfId="2242" xr:uid="{AB7C3F89-7769-4AD2-BFA8-7AA36F18599F}"/>
    <cellStyle name="Comma [0] 2 2 5 5 2" xfId="4247" xr:uid="{3520208F-2521-4EA7-BA77-AE70BCC35728}"/>
    <cellStyle name="Comma [0] 2 2 5 6" xfId="2659" xr:uid="{2D969220-651F-430C-9426-11BB7FCC6A1E}"/>
    <cellStyle name="Comma [0] 2 2 5 6 2" xfId="4665" xr:uid="{A1019BA6-BB78-4FD9-A718-8E365078A520}"/>
    <cellStyle name="Comma [0] 2 2 5 7" xfId="3203" xr:uid="{8ED1C0F3-37AB-4D21-BF51-D179FA89D1F5}"/>
    <cellStyle name="Comma [0] 2 2 5 7 2" xfId="5209" xr:uid="{1B508FAE-6EF0-4090-864D-C452D11ADA16}"/>
    <cellStyle name="Comma [0] 2 2 5 8" xfId="475" xr:uid="{C3AE211E-6C36-4073-A553-B6DB450239B9}"/>
    <cellStyle name="Comma [0] 2 2 5 9" xfId="3703" xr:uid="{98A4CFD4-532A-496D-80B1-33F2FE11D435}"/>
    <cellStyle name="Comma [0] 2 2 6" xfId="219" xr:uid="{ECD128BB-7222-4380-8604-CEB8A0769ED2}"/>
    <cellStyle name="Comma [0] 2 2 6 2" xfId="720" xr:uid="{2322335D-497A-48E0-A249-9599417F2294}"/>
    <cellStyle name="Comma [0] 2 2 6 2 2" xfId="2528" xr:uid="{17AC1367-FC12-422B-BEEC-E4E0F1CEC30C}"/>
    <cellStyle name="Comma [0] 2 2 6 2 2 2" xfId="4534" xr:uid="{A304A3C1-D251-44A1-8C11-BC3D949AE863}"/>
    <cellStyle name="Comma [0] 2 2 6 2 3" xfId="2946" xr:uid="{F7A23D41-DCD0-4AB9-A684-06FDE56D9F6E}"/>
    <cellStyle name="Comma [0] 2 2 6 2 3 2" xfId="4952" xr:uid="{51470F53-CDF0-49CA-B41E-441CB072E878}"/>
    <cellStyle name="Comma [0] 2 2 6 2 4" xfId="3490" xr:uid="{A7255ABD-3087-467A-8157-6EDEFEBFDB91}"/>
    <cellStyle name="Comma [0] 2 2 6 2 4 2" xfId="5496" xr:uid="{DFCA8607-6CE9-46C4-B711-6CC95BB18BF7}"/>
    <cellStyle name="Comma [0] 2 2 6 2 5" xfId="3990" xr:uid="{20D32687-2DBB-4D1E-B1C2-51EA618B9DB5}"/>
    <cellStyle name="Comma [0] 2 2 6 3" xfId="2317" xr:uid="{8E87744D-87CE-44F8-86B7-4E177AFB16E3}"/>
    <cellStyle name="Comma [0] 2 2 6 3 2" xfId="4322" xr:uid="{319CD832-4D17-45CD-98C8-393474B99909}"/>
    <cellStyle name="Comma [0] 2 2 6 4" xfId="2734" xr:uid="{57BB9CD9-E8B3-412B-9735-85C7D88669BE}"/>
    <cellStyle name="Comma [0] 2 2 6 4 2" xfId="4740" xr:uid="{436649E6-660E-4EA8-8D75-3393C4794A0E}"/>
    <cellStyle name="Comma [0] 2 2 6 5" xfId="3278" xr:uid="{E53A35E8-F886-48B6-B791-AF20601CA6B4}"/>
    <cellStyle name="Comma [0] 2 2 6 5 2" xfId="5284" xr:uid="{BDC19222-48A3-4E09-8995-D7F2C75738D0}"/>
    <cellStyle name="Comma [0] 2 2 6 6" xfId="535" xr:uid="{E4AE8FAB-780C-417B-B70E-EA2BDF5197FB}"/>
    <cellStyle name="Comma [0] 2 2 6 7" xfId="3778" xr:uid="{57235567-5B01-44A0-9E7A-6F1B1515E54F}"/>
    <cellStyle name="Comma [0] 2 2 7" xfId="641" xr:uid="{8CC7828D-C5FD-48B0-A1A3-F837048B23F0}"/>
    <cellStyle name="Comma [0] 2 2 7 2" xfId="2428" xr:uid="{99D1E73C-B353-44A0-88BD-FCB1CAE660EC}"/>
    <cellStyle name="Comma [0] 2 2 7 2 2" xfId="4434" xr:uid="{FEF04D15-E62B-4705-A77C-79E7CAF23407}"/>
    <cellStyle name="Comma [0] 2 2 7 3" xfId="2846" xr:uid="{D9CBD2D1-E53B-4A12-B14D-79A5E8C689B2}"/>
    <cellStyle name="Comma [0] 2 2 7 3 2" xfId="4852" xr:uid="{8F76F164-9872-4AA9-A7C6-466DB9E08141}"/>
    <cellStyle name="Comma [0] 2 2 7 4" xfId="3390" xr:uid="{78F9E343-692C-497B-A6C9-92DFC9C79DE7}"/>
    <cellStyle name="Comma [0] 2 2 7 4 2" xfId="5396" xr:uid="{B96606D6-F14C-413A-A658-B83D28EE6E49}"/>
    <cellStyle name="Comma [0] 2 2 7 5" xfId="3890" xr:uid="{831D5F76-3930-47DB-B98F-810E51FCB8AA}"/>
    <cellStyle name="Comma [0] 2 2 8" xfId="819" xr:uid="{AB9F745D-50B5-4E0B-B5FE-338831A10B64}"/>
    <cellStyle name="Comma [0] 2 2 8 2" xfId="3048" xr:uid="{6222E37E-CA7A-4A81-BE42-F0ED7AE99C9E}"/>
    <cellStyle name="Comma [0] 2 2 8 2 2" xfId="5054" xr:uid="{25CF7F0B-D903-4C56-944F-CB75B13027DE}"/>
    <cellStyle name="Comma [0] 2 2 8 3" xfId="4092" xr:uid="{A3C51D7F-7135-47F1-B571-9042A609AA9F}"/>
    <cellStyle name="Comma [0] 2 2 9" xfId="2213" xr:uid="{7C9C027E-6F77-4BEB-B3B8-A77BE4CCDD09}"/>
    <cellStyle name="Comma [0] 2 2 9 2" xfId="4218" xr:uid="{785B40D9-2366-46D2-99E6-257CEE735FBF}"/>
    <cellStyle name="Comma [0] 2 3" xfId="103" xr:uid="{00000000-0005-0000-0000-000026000000}"/>
    <cellStyle name="Comma [0] 2 3 10" xfId="465" xr:uid="{BDC9D883-B028-49DC-B106-249176544290}"/>
    <cellStyle name="Comma [0] 2 3 11" xfId="3685" xr:uid="{4A4D76CD-3E59-4134-BE77-B711C1CB3280}"/>
    <cellStyle name="Comma [0] 2 3 2" xfId="198" xr:uid="{00000000-0005-0000-0000-000027000000}"/>
    <cellStyle name="Comma [0] 2 3 2 2" xfId="299" xr:uid="{ED87595D-ECDA-4D5F-81DC-E2CD59867816}"/>
    <cellStyle name="Comma [0] 2 3 2 2 2" xfId="798" xr:uid="{9190F340-2475-403D-BDE2-94842A1A5B61}"/>
    <cellStyle name="Comma [0] 2 3 2 2 2 2" xfId="2608" xr:uid="{E3A1DBED-8288-404F-9690-18685EFBECDE}"/>
    <cellStyle name="Comma [0] 2 3 2 2 2 2 2" xfId="4614" xr:uid="{F9CC4F08-1F1A-42E9-B7E1-822D4EC53556}"/>
    <cellStyle name="Comma [0] 2 3 2 2 2 3" xfId="3026" xr:uid="{FA32D618-9932-4E3C-8CA6-71FCFC82D127}"/>
    <cellStyle name="Comma [0] 2 3 2 2 2 3 2" xfId="5032" xr:uid="{7BE3F0E1-3989-4F33-A0EC-B23E10CCE52E}"/>
    <cellStyle name="Comma [0] 2 3 2 2 2 4" xfId="3570" xr:uid="{344B084F-9B2A-4BC4-98DC-CA1E564AAA35}"/>
    <cellStyle name="Comma [0] 2 3 2 2 2 4 2" xfId="5576" xr:uid="{CAF679BD-940A-4072-BBF1-013D3675E77A}"/>
    <cellStyle name="Comma [0] 2 3 2 2 2 5" xfId="4070" xr:uid="{67E4C010-3BC6-47CC-8D37-B1E40DFF2DC4}"/>
    <cellStyle name="Comma [0] 2 3 2 2 3" xfId="2397" xr:uid="{F8A6BBF4-0BD6-4B0F-93E3-B5F7D76212C8}"/>
    <cellStyle name="Comma [0] 2 3 2 2 3 2" xfId="4402" xr:uid="{25D90E31-042C-4E34-8029-D99ADC350838}"/>
    <cellStyle name="Comma [0] 2 3 2 2 4" xfId="2814" xr:uid="{1E0E431F-3521-460D-B6ED-2396BA32AC1B}"/>
    <cellStyle name="Comma [0] 2 3 2 2 4 2" xfId="4820" xr:uid="{14B910DA-FD7F-42C8-88C3-808ED54A16B7}"/>
    <cellStyle name="Comma [0] 2 3 2 2 5" xfId="3358" xr:uid="{4E1F5418-06F8-4FFB-9226-20AB63A12574}"/>
    <cellStyle name="Comma [0] 2 3 2 2 5 2" xfId="5364" xr:uid="{659CA5A3-6D39-4E62-BB10-90A991C499C9}"/>
    <cellStyle name="Comma [0] 2 3 2 2 6" xfId="613" xr:uid="{994EE3D6-17B0-48A1-8C57-919897C2D2B4}"/>
    <cellStyle name="Comma [0] 2 3 2 2 7" xfId="3858" xr:uid="{1F0C71C2-5500-4C5A-9F3A-3B241F7EC7D9}"/>
    <cellStyle name="Comma [0] 2 3 2 3" xfId="702" xr:uid="{EC97D6FE-1747-44A6-8259-A659F0CC7145}"/>
    <cellStyle name="Comma [0] 2 3 2 3 2" xfId="2508" xr:uid="{EBF4F63B-EF5E-4761-8099-F201784638F4}"/>
    <cellStyle name="Comma [0] 2 3 2 3 2 2" xfId="4514" xr:uid="{6615528E-13FD-4BB3-A4E9-58A37B547A2B}"/>
    <cellStyle name="Comma [0] 2 3 2 3 3" xfId="2926" xr:uid="{F46D059F-15AB-4F4C-BA64-810C00183A2F}"/>
    <cellStyle name="Comma [0] 2 3 2 3 3 2" xfId="4932" xr:uid="{33081D42-8A98-4B6A-847B-EF738C05353C}"/>
    <cellStyle name="Comma [0] 2 3 2 3 4" xfId="3470" xr:uid="{FFA04080-53C5-4981-9B2B-6BF4B0FBBD2D}"/>
    <cellStyle name="Comma [0] 2 3 2 3 4 2" xfId="5476" xr:uid="{A2FAA3ED-73FB-4476-A1BD-7230280231E8}"/>
    <cellStyle name="Comma [0] 2 3 2 3 5" xfId="3970" xr:uid="{CF2D2D59-6F3B-4AC8-B745-11405EF6491D}"/>
    <cellStyle name="Comma [0] 2 3 2 4" xfId="899" xr:uid="{7DE028E7-09C6-4B52-BBE1-8D7A617B81E0}"/>
    <cellStyle name="Comma [0] 2 3 2 4 2" xfId="3128" xr:uid="{D6FB221F-28D2-4004-A3F1-BBC02BFEEC53}"/>
    <cellStyle name="Comma [0] 2 3 2 4 2 2" xfId="5134" xr:uid="{77726E16-571A-4FEC-AC2B-D9E8AA772D4E}"/>
    <cellStyle name="Comma [0] 2 3 2 4 3" xfId="4172" xr:uid="{E72B7043-4168-4436-A3CD-3C147405BD4C}"/>
    <cellStyle name="Comma [0] 2 3 2 5" xfId="2293" xr:uid="{F4C73469-A858-4463-A765-D2CCE90F42FB}"/>
    <cellStyle name="Comma [0] 2 3 2 5 2" xfId="4298" xr:uid="{0842833D-654E-4739-9A9D-6A36A54C4EA0}"/>
    <cellStyle name="Comma [0] 2 3 2 6" xfId="2710" xr:uid="{9AD795A3-3D7B-4C29-93A7-78EB6EF9088F}"/>
    <cellStyle name="Comma [0] 2 3 2 6 2" xfId="4716" xr:uid="{25B23C41-8558-469C-AD84-D737923672A2}"/>
    <cellStyle name="Comma [0] 2 3 2 7" xfId="3254" xr:uid="{F84BE1FB-3644-4FEB-8ADF-B1789ED9DE42}"/>
    <cellStyle name="Comma [0] 2 3 2 7 2" xfId="5260" xr:uid="{3B3CAE81-180E-46B9-A42A-926477603A04}"/>
    <cellStyle name="Comma [0] 2 3 2 8" xfId="515" xr:uid="{1FBBF027-F58A-4476-B10B-3B20E73688C3}"/>
    <cellStyle name="Comma [0] 2 3 2 9" xfId="3754" xr:uid="{EF6AE2B8-4BF7-4FC0-88B7-797DD6ACF521}"/>
    <cellStyle name="Comma [0] 2 3 3" xfId="151" xr:uid="{00000000-0005-0000-0000-000028000000}"/>
    <cellStyle name="Comma [0] 2 3 3 2" xfId="257" xr:uid="{7925824C-D3E1-470F-BC8E-A6790C61565E}"/>
    <cellStyle name="Comma [0] 2 3 3 2 2" xfId="757" xr:uid="{C9B43837-9FD2-4D92-9246-0C536046F309}"/>
    <cellStyle name="Comma [0] 2 3 3 2 2 2" xfId="2566" xr:uid="{8ACAACCF-0715-42F1-A8F9-B151279F2B1A}"/>
    <cellStyle name="Comma [0] 2 3 3 2 2 2 2" xfId="4572" xr:uid="{D170E6A3-8B60-4297-8518-7CF3107A80CD}"/>
    <cellStyle name="Comma [0] 2 3 3 2 2 3" xfId="2984" xr:uid="{6701732C-FD8E-4182-84E4-2E6848FBE680}"/>
    <cellStyle name="Comma [0] 2 3 3 2 2 3 2" xfId="4990" xr:uid="{275ACA8A-8B9D-46D3-B717-E07C407D3D9F}"/>
    <cellStyle name="Comma [0] 2 3 3 2 2 4" xfId="3528" xr:uid="{CC545F63-246E-46E8-A759-A343985B74F9}"/>
    <cellStyle name="Comma [0] 2 3 3 2 2 4 2" xfId="5534" xr:uid="{5FD5B92D-AB4F-462C-AC02-93EF13787F7E}"/>
    <cellStyle name="Comma [0] 2 3 3 2 2 5" xfId="4028" xr:uid="{2CA64626-7AE8-4CDF-A575-0C246D940B58}"/>
    <cellStyle name="Comma [0] 2 3 3 2 3" xfId="2355" xr:uid="{9984CFF9-F469-4301-9834-FEB1BE412085}"/>
    <cellStyle name="Comma [0] 2 3 3 2 3 2" xfId="4360" xr:uid="{F4D63A2D-D875-4256-B981-26A2A3B558D4}"/>
    <cellStyle name="Comma [0] 2 3 3 2 4" xfId="2772" xr:uid="{B74B6F9B-8B38-4C2B-B86B-5B958CE28E2D}"/>
    <cellStyle name="Comma [0] 2 3 3 2 4 2" xfId="4778" xr:uid="{D9164C7C-6B28-415A-A163-9A833C4C0349}"/>
    <cellStyle name="Comma [0] 2 3 3 2 5" xfId="3316" xr:uid="{CFA24D97-8712-465B-826C-B5688C146C95}"/>
    <cellStyle name="Comma [0] 2 3 3 2 5 2" xfId="5322" xr:uid="{E548FC7E-85A1-439D-BCE2-6B47FF05603F}"/>
    <cellStyle name="Comma [0] 2 3 3 2 6" xfId="572" xr:uid="{A8C929B6-AED1-4B12-9F2E-EE0A6EFA9BB8}"/>
    <cellStyle name="Comma [0] 2 3 3 2 7" xfId="3816" xr:uid="{919AC837-AC6F-42D0-AA06-2E5AE50E59CC}"/>
    <cellStyle name="Comma [0] 2 3 3 3" xfId="669" xr:uid="{F6503571-3CA3-46B2-8E10-E2EBC09D4FCE}"/>
    <cellStyle name="Comma [0] 2 3 3 3 2" xfId="2466" xr:uid="{9F8D343B-639B-4C52-A401-AD9981467793}"/>
    <cellStyle name="Comma [0] 2 3 3 3 2 2" xfId="4472" xr:uid="{3A8F4773-7622-463E-82F7-4ECE5C3AE4DF}"/>
    <cellStyle name="Comma [0] 2 3 3 3 3" xfId="2884" xr:uid="{2ADF66B7-662F-4F28-BA3D-E2DC14E1E058}"/>
    <cellStyle name="Comma [0] 2 3 3 3 3 2" xfId="4890" xr:uid="{2A72E006-89CB-4B24-985A-84E6F1847DA7}"/>
    <cellStyle name="Comma [0] 2 3 3 3 4" xfId="3428" xr:uid="{4F31EF68-CF6D-45F0-BD0E-F4E2D003DC7E}"/>
    <cellStyle name="Comma [0] 2 3 3 3 4 2" xfId="5434" xr:uid="{CF254115-F3CE-47B6-8BE3-8A66DB6D12AB}"/>
    <cellStyle name="Comma [0] 2 3 3 3 5" xfId="3928" xr:uid="{69300B98-A40B-4A91-894F-D1821348D366}"/>
    <cellStyle name="Comma [0] 2 3 3 4" xfId="857" xr:uid="{1A6023A6-697E-4A73-87C6-63C1B6308EFC}"/>
    <cellStyle name="Comma [0] 2 3 3 4 2" xfId="3086" xr:uid="{547E7F60-0803-4677-B669-09F835CCAB45}"/>
    <cellStyle name="Comma [0] 2 3 3 4 2 2" xfId="5092" xr:uid="{D7774F2B-E512-4FF6-99D8-0E673756BD44}"/>
    <cellStyle name="Comma [0] 2 3 3 4 3" xfId="4130" xr:uid="{C737FA08-ED2C-4A49-9BE4-F39C4A5FDAD0}"/>
    <cellStyle name="Comma [0] 2 3 3 5" xfId="2251" xr:uid="{7E56E209-D107-4135-8028-169FEB49B261}"/>
    <cellStyle name="Comma [0] 2 3 3 5 2" xfId="4256" xr:uid="{0D578FC6-E45F-4C7D-AFA8-D3B79C492363}"/>
    <cellStyle name="Comma [0] 2 3 3 6" xfId="2668" xr:uid="{BEA301B5-A73E-40DB-8C76-781FB91B3E85}"/>
    <cellStyle name="Comma [0] 2 3 3 6 2" xfId="4674" xr:uid="{584A9BBE-B962-4661-B427-43B0F14E7C44}"/>
    <cellStyle name="Comma [0] 2 3 3 7" xfId="3212" xr:uid="{CA064794-7D3E-4567-80E0-AF5EE2C41040}"/>
    <cellStyle name="Comma [0] 2 3 3 7 2" xfId="5218" xr:uid="{67592909-DC21-44E7-9DAA-BE535BA2A04A}"/>
    <cellStyle name="Comma [0] 2 3 3 8" xfId="482" xr:uid="{53E74A84-69F9-4656-ADA3-EAFD8A530CAF}"/>
    <cellStyle name="Comma [0] 2 3 3 9" xfId="3712" xr:uid="{D9E9B55D-9B88-4A4E-8409-2481510D858C}"/>
    <cellStyle name="Comma [0] 2 3 4" xfId="230" xr:uid="{EFB7DE92-37A6-4636-B5C0-D2C013FBE23E}"/>
    <cellStyle name="Comma [0] 2 3 4 2" xfId="730" xr:uid="{73FDC84B-C8BF-41B7-B2BF-7C472D04C5BC}"/>
    <cellStyle name="Comma [0] 2 3 4 2 2" xfId="2539" xr:uid="{F746E01B-3413-4E5A-BC81-790DC24062BC}"/>
    <cellStyle name="Comma [0] 2 3 4 2 2 2" xfId="4545" xr:uid="{4CC2FF76-5959-48F7-9077-0CDA2BC840A6}"/>
    <cellStyle name="Comma [0] 2 3 4 2 3" xfId="2957" xr:uid="{68D4389C-CA4E-4912-984C-5857BFE1917C}"/>
    <cellStyle name="Comma [0] 2 3 4 2 3 2" xfId="4963" xr:uid="{3ABE00D9-E2B7-4BE8-AAD8-80BBEC7E02F3}"/>
    <cellStyle name="Comma [0] 2 3 4 2 4" xfId="3501" xr:uid="{DE10FA11-FC31-476A-9D08-5B5E6783B7E1}"/>
    <cellStyle name="Comma [0] 2 3 4 2 4 2" xfId="5507" xr:uid="{C51E7847-F4F1-4619-BA5B-FF66540BB1D0}"/>
    <cellStyle name="Comma [0] 2 3 4 2 5" xfId="4001" xr:uid="{A20E73C1-35D6-4EE2-9597-69021D322C71}"/>
    <cellStyle name="Comma [0] 2 3 4 3" xfId="2328" xr:uid="{D9A27A80-CE2C-43C6-A7B7-9D6394345C85}"/>
    <cellStyle name="Comma [0] 2 3 4 3 2" xfId="4333" xr:uid="{D91F3917-49F9-4899-A3A6-85554DFEC948}"/>
    <cellStyle name="Comma [0] 2 3 4 4" xfId="2745" xr:uid="{816CDFE2-E323-4707-8781-A3A408D55A58}"/>
    <cellStyle name="Comma [0] 2 3 4 4 2" xfId="4751" xr:uid="{BDBF6804-4161-4D68-8F23-779CC9A1965F}"/>
    <cellStyle name="Comma [0] 2 3 4 5" xfId="3289" xr:uid="{D2263376-E3D4-4A51-9637-4546DADC84F0}"/>
    <cellStyle name="Comma [0] 2 3 4 5 2" xfId="5295" xr:uid="{E270C7B3-3A18-4B34-9C98-A91A868B4B4A}"/>
    <cellStyle name="Comma [0] 2 3 4 6" xfId="545" xr:uid="{1926701D-4F51-4B7A-A663-AC7C4F1C05CA}"/>
    <cellStyle name="Comma [0] 2 3 4 7" xfId="3789" xr:uid="{DB233B1A-AE9A-42F0-809B-AD474E2D8BE2}"/>
    <cellStyle name="Comma [0] 2 3 5" xfId="650" xr:uid="{75140695-2A5C-4CCF-AC9F-A402129CAF3F}"/>
    <cellStyle name="Comma [0] 2 3 5 2" xfId="2439" xr:uid="{57131236-9715-484C-948F-225375BD4508}"/>
    <cellStyle name="Comma [0] 2 3 5 2 2" xfId="4445" xr:uid="{D4657DE9-C59C-488C-8EE5-EED8DAD55D06}"/>
    <cellStyle name="Comma [0] 2 3 5 3" xfId="2857" xr:uid="{28128A8A-6CE1-4512-B9BE-B5ACC83FAFD6}"/>
    <cellStyle name="Comma [0] 2 3 5 3 2" xfId="4863" xr:uid="{947C9183-768B-4FA3-B17E-28E27781723D}"/>
    <cellStyle name="Comma [0] 2 3 5 4" xfId="3401" xr:uid="{114813D5-5266-4CEB-9EE9-D3ABF6441B47}"/>
    <cellStyle name="Comma [0] 2 3 5 4 2" xfId="5407" xr:uid="{8F69E54A-32D4-467F-BA5C-E1824EFCC4A5}"/>
    <cellStyle name="Comma [0] 2 3 5 5" xfId="3901" xr:uid="{C6BE62BE-F4CE-45B2-B404-8A349D4F657B}"/>
    <cellStyle name="Comma [0] 2 3 6" xfId="830" xr:uid="{3CC53AED-837C-4340-BF84-41361D3F5A10}"/>
    <cellStyle name="Comma [0] 2 3 6 2" xfId="3059" xr:uid="{9D214F37-7DF7-42C3-B90E-7259106E677E}"/>
    <cellStyle name="Comma [0] 2 3 6 2 2" xfId="5065" xr:uid="{78BF03E5-D400-4D86-9EBC-5FEF833E170C}"/>
    <cellStyle name="Comma [0] 2 3 6 3" xfId="4103" xr:uid="{3E425C94-7A85-4C18-AF29-25A391C49E2D}"/>
    <cellStyle name="Comma [0] 2 3 7" xfId="2224" xr:uid="{41F100B0-2A1F-4180-8F63-AFFE30556231}"/>
    <cellStyle name="Comma [0] 2 3 7 2" xfId="4229" xr:uid="{33AC9408-28F6-4717-A978-EDEE65CEFEA8}"/>
    <cellStyle name="Comma [0] 2 3 8" xfId="2641" xr:uid="{3A9B2E96-658D-4D93-AA29-C6DF9DE88630}"/>
    <cellStyle name="Comma [0] 2 3 8 2" xfId="4647" xr:uid="{2882051A-AC0D-44FF-9E58-E164FD14A694}"/>
    <cellStyle name="Comma [0] 2 3 9" xfId="3185" xr:uid="{2AA8CBD7-B8CA-4ADD-8E07-7976C931F120}"/>
    <cellStyle name="Comma [0] 2 3 9 2" xfId="5191" xr:uid="{DABE54A8-73D5-401A-814D-E88275DBB231}"/>
    <cellStyle name="Comma [0] 2 4" xfId="139" xr:uid="{00000000-0005-0000-0000-000029000000}"/>
    <cellStyle name="Comma [0] 2 5" xfId="173" xr:uid="{00000000-0005-0000-0000-00002A000000}"/>
    <cellStyle name="Comma [0] 2 5 2" xfId="278" xr:uid="{4DB4F7EE-34BC-4FC4-BDBC-B245E4E4549D}"/>
    <cellStyle name="Comma [0] 2 5 2 2" xfId="777" xr:uid="{AC68EC3E-3AB1-4122-B387-85823C770986}"/>
    <cellStyle name="Comma [0] 2 5 2 2 2" xfId="2587" xr:uid="{7993042E-B9B7-476B-9208-507BCC9EDF3B}"/>
    <cellStyle name="Comma [0] 2 5 2 2 2 2" xfId="4593" xr:uid="{4D8C466C-9CF5-4CE2-94E0-B1177B3DBB0E}"/>
    <cellStyle name="Comma [0] 2 5 2 2 3" xfId="3005" xr:uid="{BD95D6E8-BF9C-4D2D-A120-285244471080}"/>
    <cellStyle name="Comma [0] 2 5 2 2 3 2" xfId="5011" xr:uid="{F3CC0C87-9E0B-493B-9A3E-C982A7DD11C3}"/>
    <cellStyle name="Comma [0] 2 5 2 2 4" xfId="3549" xr:uid="{583291B8-BEEE-4BEA-9209-37DF9A1550AC}"/>
    <cellStyle name="Comma [0] 2 5 2 2 4 2" xfId="5555" xr:uid="{8CD185F5-65D9-413A-B7DF-0FBE5326DC27}"/>
    <cellStyle name="Comma [0] 2 5 2 2 5" xfId="4049" xr:uid="{B7F49FA3-B01C-450C-8E8A-0C242F08E9C3}"/>
    <cellStyle name="Comma [0] 2 5 2 3" xfId="2376" xr:uid="{712C54FD-C533-4D56-9C3F-79DCC123E5A3}"/>
    <cellStyle name="Comma [0] 2 5 2 3 2" xfId="4381" xr:uid="{CC9287B8-FFC9-493C-ABB8-2D52557410D6}"/>
    <cellStyle name="Comma [0] 2 5 2 4" xfId="2793" xr:uid="{48E7ABCB-271B-4D2F-A231-58DA2F877FFF}"/>
    <cellStyle name="Comma [0] 2 5 2 4 2" xfId="4799" xr:uid="{DE128003-C7E5-49D9-BD6A-8B9975C519F0}"/>
    <cellStyle name="Comma [0] 2 5 2 5" xfId="3337" xr:uid="{B2097B5B-FBCE-4EA2-9437-1A2A95F28E24}"/>
    <cellStyle name="Comma [0] 2 5 2 5 2" xfId="5343" xr:uid="{76E4DFFF-7E45-4194-92D9-49EE15904456}"/>
    <cellStyle name="Comma [0] 2 5 2 6" xfId="592" xr:uid="{94C0D9AB-1B2A-4156-8D6C-5887EC845C92}"/>
    <cellStyle name="Comma [0] 2 5 2 7" xfId="3837" xr:uid="{479C25DD-3705-4104-A625-B4DA75B7E7AC}"/>
    <cellStyle name="Comma [0] 2 5 3" xfId="687" xr:uid="{A9FCB321-7A99-4DE6-B9AA-B487C7BA13FB}"/>
    <cellStyle name="Comma [0] 2 5 3 2" xfId="2487" xr:uid="{80F7C3BE-BE8B-4DD2-AF71-0FBF852B101B}"/>
    <cellStyle name="Comma [0] 2 5 3 2 2" xfId="4493" xr:uid="{F04BFACC-CCE5-4FD8-806B-17F5370DA029}"/>
    <cellStyle name="Comma [0] 2 5 3 3" xfId="2905" xr:uid="{6DF57DD0-754F-43B6-81B2-DD80B920282B}"/>
    <cellStyle name="Comma [0] 2 5 3 3 2" xfId="4911" xr:uid="{4CB98897-FB03-449A-B4C2-EF9661489112}"/>
    <cellStyle name="Comma [0] 2 5 3 4" xfId="3449" xr:uid="{A25F50D9-F95B-425F-B8D1-6075D65EB63A}"/>
    <cellStyle name="Comma [0] 2 5 3 4 2" xfId="5455" xr:uid="{B30744D0-AAA3-4D29-B010-538B7BBBA5F0}"/>
    <cellStyle name="Comma [0] 2 5 3 5" xfId="3949" xr:uid="{DBFC79CB-E0C4-4DF4-A1EA-CBAEB124D986}"/>
    <cellStyle name="Comma [0] 2 5 4" xfId="878" xr:uid="{014C0E34-A567-461E-AFA5-8EFF090A035C}"/>
    <cellStyle name="Comma [0] 2 5 4 2" xfId="3107" xr:uid="{72EE13CF-8EDB-456E-8AC7-632F1BC8300D}"/>
    <cellStyle name="Comma [0] 2 5 4 2 2" xfId="5113" xr:uid="{52116A54-176E-4FDD-ADF3-81560E7190E6}"/>
    <cellStyle name="Comma [0] 2 5 4 3" xfId="4151" xr:uid="{E31C8B72-E6D7-482D-A196-187A624EDB97}"/>
    <cellStyle name="Comma [0] 2 5 5" xfId="2272" xr:uid="{2F80F8A8-579F-483D-9BB6-27BDF69AE796}"/>
    <cellStyle name="Comma [0] 2 5 5 2" xfId="4277" xr:uid="{43FD454B-373C-4FEA-AB10-E958D2C36C12}"/>
    <cellStyle name="Comma [0] 2 5 6" xfId="2689" xr:uid="{FBF7A7CA-D1E3-44A4-93FA-12FF23985E5D}"/>
    <cellStyle name="Comma [0] 2 5 6 2" xfId="4695" xr:uid="{8D3321B8-C806-446A-B798-88B01E5DE1B4}"/>
    <cellStyle name="Comma [0] 2 5 7" xfId="3233" xr:uid="{3C471157-D6AF-48A9-8B68-88EBCA8E854F}"/>
    <cellStyle name="Comma [0] 2 5 7 2" xfId="5239" xr:uid="{7A3A1D85-F7A7-49C2-8B6F-2EC2971F8CD9}"/>
    <cellStyle name="Comma [0] 2 5 8" xfId="500" xr:uid="{2F0190D8-FB75-459B-92A0-F218A097BE2C}"/>
    <cellStyle name="Comma [0] 2 5 9" xfId="3733" xr:uid="{6EDEDC65-1148-4F11-823D-6B2B27E2AEAB}"/>
    <cellStyle name="Comma [0] 2 6" xfId="218" xr:uid="{917A1EE9-6939-4D6B-A745-C3AE2EEE79F7}"/>
    <cellStyle name="Comma [0] 2 6 2" xfId="719" xr:uid="{F27B2189-3C20-48D7-83FD-192064502A47}"/>
    <cellStyle name="Comma [0] 2 6 2 2" xfId="2527" xr:uid="{9AF8A317-4C1E-4ED8-90A4-00A5EE432FD8}"/>
    <cellStyle name="Comma [0] 2 6 2 2 2" xfId="4533" xr:uid="{D2129814-5A50-4C76-B11B-7F18B99C2A56}"/>
    <cellStyle name="Comma [0] 2 6 2 3" xfId="2945" xr:uid="{A65E34B9-5078-4D93-80F6-20A4682E0FBE}"/>
    <cellStyle name="Comma [0] 2 6 2 3 2" xfId="4951" xr:uid="{591F8DF5-F845-4073-800B-50F5D3F9972D}"/>
    <cellStyle name="Comma [0] 2 6 2 4" xfId="3489" xr:uid="{AF2059D2-D7DC-4554-837B-BAC37B89E002}"/>
    <cellStyle name="Comma [0] 2 6 2 4 2" xfId="5495" xr:uid="{BCA85331-CD54-479F-B984-F156E95A5F44}"/>
    <cellStyle name="Comma [0] 2 6 2 5" xfId="3989" xr:uid="{1067965C-9C04-4BD5-AE95-344805503AF4}"/>
    <cellStyle name="Comma [0] 2 6 3" xfId="2316" xr:uid="{B50B742E-DE8B-4B36-BB5C-3FF093C35559}"/>
    <cellStyle name="Comma [0] 2 6 3 2" xfId="4321" xr:uid="{6C1DC68D-B74B-470E-A4AF-F10242127E02}"/>
    <cellStyle name="Comma [0] 2 6 4" xfId="2733" xr:uid="{862945A3-9E7C-42BE-B56E-5540911A5921}"/>
    <cellStyle name="Comma [0] 2 6 4 2" xfId="4739" xr:uid="{179A3A5B-400E-4DA2-9416-89F103743AF9}"/>
    <cellStyle name="Comma [0] 2 6 5" xfId="3277" xr:uid="{952E1A7B-9164-470E-BCEB-7692B06F0662}"/>
    <cellStyle name="Comma [0] 2 6 5 2" xfId="5283" xr:uid="{5F8ACDC9-50EC-4C3E-A8F0-1D3A60659A8C}"/>
    <cellStyle name="Comma [0] 2 6 6" xfId="534" xr:uid="{50FD0278-EB2D-414B-8D07-341735EC9A46}"/>
    <cellStyle name="Comma [0] 2 6 7" xfId="3777" xr:uid="{0CF45BE8-6B66-46A8-A146-69B91342D83A}"/>
    <cellStyle name="Comma [0] 2 7" xfId="640" xr:uid="{3D7B9CB4-F9B0-4BBB-943A-F700343440FC}"/>
    <cellStyle name="Comma [0] 2 7 2" xfId="2427" xr:uid="{5FFA5F8E-0754-442F-9241-3C466A3881CE}"/>
    <cellStyle name="Comma [0] 2 7 2 2" xfId="4433" xr:uid="{EE365C18-8B44-43F8-A69F-87AD767A1C12}"/>
    <cellStyle name="Comma [0] 2 7 3" xfId="2845" xr:uid="{29005EEF-E639-46FB-B02E-FE15957CFFC1}"/>
    <cellStyle name="Comma [0] 2 7 3 2" xfId="4851" xr:uid="{5159E146-EEB2-4FD5-B022-581B120E0455}"/>
    <cellStyle name="Comma [0] 2 7 4" xfId="3389" xr:uid="{9D8249ED-0634-4973-8508-B52F3BCF39B7}"/>
    <cellStyle name="Comma [0] 2 7 4 2" xfId="5395" xr:uid="{C536E99A-06F7-4F50-951A-E183FBDFE616}"/>
    <cellStyle name="Comma [0] 2 7 5" xfId="3889" xr:uid="{802696B8-8F5D-4BC9-8BA2-52FF1E0E69F0}"/>
    <cellStyle name="Comma [0] 2 8" xfId="818" xr:uid="{F172491B-B286-49B6-BC20-FBA019F133F5}"/>
    <cellStyle name="Comma [0] 2 8 2" xfId="3047" xr:uid="{C456D6C7-A1BF-4805-8505-D419A97BB16E}"/>
    <cellStyle name="Comma [0] 2 8 2 2" xfId="5053" xr:uid="{7339904F-6354-4A7D-9C55-F445BACE21C8}"/>
    <cellStyle name="Comma [0] 2 8 3" xfId="4091" xr:uid="{B9BB5B52-2AA4-46F2-AE6A-139A421DE07C}"/>
    <cellStyle name="Comma [0] 2 9" xfId="2212" xr:uid="{68D433D8-8AB1-42F6-8589-DEEA6BE1092F}"/>
    <cellStyle name="Comma [0] 2 9 2" xfId="4217" xr:uid="{43DCA5B9-2294-49AC-B0C6-DDA6E08C6F75}"/>
    <cellStyle name="Comma 13" xfId="3642" xr:uid="{DE4E9F06-8BB5-45A7-AE48-FC97ACDAF69E}"/>
    <cellStyle name="Comma 13 2" xfId="5627" xr:uid="{D82B671D-A919-4CC9-A701-6869E5F0BA0B}"/>
    <cellStyle name="Comma 13 2 2" xfId="5822" xr:uid="{0E1161B1-E7F1-486A-A159-375E1969E9C6}"/>
    <cellStyle name="Comma 13 2 3" xfId="5713" xr:uid="{FD57E974-E420-4E56-B6DC-315746CF158B}"/>
    <cellStyle name="Comma 2" xfId="50" xr:uid="{00000000-0005-0000-0000-00002B000000}"/>
    <cellStyle name="Comma 2 2" xfId="55" xr:uid="{00000000-0005-0000-0000-00002C000000}"/>
    <cellStyle name="Comma 2 2 10" xfId="2216" xr:uid="{7B9A91E1-7859-4A3F-B278-B5E17F2DA4F6}"/>
    <cellStyle name="Comma 2 2 10 2" xfId="4221" xr:uid="{872DA014-2C38-42F1-909C-AE3387DDBA09}"/>
    <cellStyle name="Comma 2 2 11" xfId="2633" xr:uid="{C91E03D3-AD6C-4CC2-A719-6D9E1E981C48}"/>
    <cellStyle name="Comma 2 2 11 2" xfId="4639" xr:uid="{CD93D835-5771-4EBD-9C09-4816C998C112}"/>
    <cellStyle name="Comma 2 2 12" xfId="3177" xr:uid="{2F703E09-5B78-4C17-858C-F43867E82CAA}"/>
    <cellStyle name="Comma 2 2 12 2" xfId="5183" xr:uid="{203038A6-20ED-4918-A047-CA19C65360B7}"/>
    <cellStyle name="Comma 2 2 13" xfId="3624" xr:uid="{65CF45EB-2F53-469E-A2FD-6614C10C76E5}"/>
    <cellStyle name="Comma 2 2 13 2" xfId="5612" xr:uid="{55A4C6AE-406C-4BF6-9033-546850373A90}"/>
    <cellStyle name="Comma 2 2 14" xfId="459" xr:uid="{9D482F91-F8AF-48EB-A67F-C9C43B1B94BB}"/>
    <cellStyle name="Comma 2 2 15" xfId="3677" xr:uid="{A88D18EE-AD1F-4671-B9E0-E8E0B9C6A360}"/>
    <cellStyle name="Comma 2 2 2" xfId="91" xr:uid="{00000000-0005-0000-0000-00002D000000}"/>
    <cellStyle name="Comma 2 2 2 10" xfId="2636" xr:uid="{A5FCFF62-B3EC-493C-8FB6-8C022523CE30}"/>
    <cellStyle name="Comma 2 2 2 10 2" xfId="4642" xr:uid="{3357CAC4-110A-47E3-89C4-4A1B213031A9}"/>
    <cellStyle name="Comma 2 2 2 11" xfId="3180" xr:uid="{A64345CD-44B0-45D3-AAC9-031864DF1E46}"/>
    <cellStyle name="Comma 2 2 2 11 2" xfId="5186" xr:uid="{6912AB59-2AF1-4A94-9252-02B50DC46B99}"/>
    <cellStyle name="Comma 2 2 2 12" xfId="3636" xr:uid="{C58E3B5C-5DDE-4308-85BB-282E43FA425B}"/>
    <cellStyle name="Comma 2 2 2 12 2" xfId="5621" xr:uid="{EBBB8905-FF74-4CB2-B4D5-46B73F75FABF}"/>
    <cellStyle name="Comma 2 2 2 13" xfId="461" xr:uid="{CF95A15D-EB94-47A7-9C60-3AC9AAD2B73F}"/>
    <cellStyle name="Comma 2 2 2 14" xfId="3680" xr:uid="{919B8B28-CECF-4F7E-9AB6-A18CF86C7774}"/>
    <cellStyle name="Comma 2 2 2 15" xfId="5718" xr:uid="{08A6F361-A4FA-441E-9061-46D110A77D03}"/>
    <cellStyle name="Comma 2 2 2 2" xfId="109" xr:uid="{00000000-0005-0000-0000-00002E000000}"/>
    <cellStyle name="Comma 2 2 2 2 10" xfId="470" xr:uid="{064D761A-BB96-4A63-A4C9-22E541F28704}"/>
    <cellStyle name="Comma 2 2 2 2 11" xfId="3691" xr:uid="{C1B6E2A0-E0EF-4EB4-A1E9-A70DE6559C80}"/>
    <cellStyle name="Comma 2 2 2 2 12" xfId="5827" xr:uid="{52FC0FD7-5230-488E-8657-EC382F5D2FAA}"/>
    <cellStyle name="Comma 2 2 2 2 2" xfId="204" xr:uid="{00000000-0005-0000-0000-00002F000000}"/>
    <cellStyle name="Comma 2 2 2 2 2 2" xfId="305" xr:uid="{6E8A8A3D-F157-46C2-916D-24DBAAF01B84}"/>
    <cellStyle name="Comma 2 2 2 2 2 2 2" xfId="804" xr:uid="{13C19DD5-8E41-4791-B794-8F29916BDA99}"/>
    <cellStyle name="Comma 2 2 2 2 2 2 2 2" xfId="2614" xr:uid="{75CA10E6-39E1-44C6-B8C5-50B1CE67DB3D}"/>
    <cellStyle name="Comma 2 2 2 2 2 2 2 2 2" xfId="4620" xr:uid="{40B06FD5-86D7-46FA-9241-145E3E66F029}"/>
    <cellStyle name="Comma 2 2 2 2 2 2 2 3" xfId="3032" xr:uid="{1159B744-4059-4894-8C94-FA02B76762F8}"/>
    <cellStyle name="Comma 2 2 2 2 2 2 2 3 2" xfId="5038" xr:uid="{D8B04344-660D-46EF-9BF1-590438BB5F8F}"/>
    <cellStyle name="Comma 2 2 2 2 2 2 2 4" xfId="3576" xr:uid="{86152572-FE9B-46A2-94CA-CBFC55385512}"/>
    <cellStyle name="Comma 2 2 2 2 2 2 2 4 2" xfId="5582" xr:uid="{0C8D04A5-749F-45D3-BA4C-5E76A45A2670}"/>
    <cellStyle name="Comma 2 2 2 2 2 2 2 5" xfId="4076" xr:uid="{ECBE75F5-8C19-4645-9CE2-BE33481147EE}"/>
    <cellStyle name="Comma 2 2 2 2 2 2 3" xfId="2403" xr:uid="{E95B26A8-280A-47DA-88CB-D9D5F6B94048}"/>
    <cellStyle name="Comma 2 2 2 2 2 2 3 2" xfId="4408" xr:uid="{DBD837A4-44CD-4BAC-8717-DAB571DA4266}"/>
    <cellStyle name="Comma 2 2 2 2 2 2 4" xfId="2820" xr:uid="{4DF186A8-E392-4FA4-BDC7-6FA26CD3363B}"/>
    <cellStyle name="Comma 2 2 2 2 2 2 4 2" xfId="4826" xr:uid="{9D86FD3F-84A0-468A-8DE9-9F97C8D7AA15}"/>
    <cellStyle name="Comma 2 2 2 2 2 2 5" xfId="3364" xr:uid="{68D69A25-8A85-4057-98A0-10D5497D10EE}"/>
    <cellStyle name="Comma 2 2 2 2 2 2 5 2" xfId="5370" xr:uid="{CD596DF8-F075-4A47-A977-01819A84C46A}"/>
    <cellStyle name="Comma 2 2 2 2 2 2 6" xfId="619" xr:uid="{4A8BBECE-4325-4EBD-AF18-661D42FD0F9D}"/>
    <cellStyle name="Comma 2 2 2 2 2 2 7" xfId="3864" xr:uid="{D47424C4-91C6-4C85-A322-4168DCC2089F}"/>
    <cellStyle name="Comma 2 2 2 2 2 3" xfId="708" xr:uid="{DD1C2F76-0825-485B-8BCF-2FDE026110A8}"/>
    <cellStyle name="Comma 2 2 2 2 2 3 2" xfId="2514" xr:uid="{1770DE8C-F51E-4182-8644-CC4D889FC3F1}"/>
    <cellStyle name="Comma 2 2 2 2 2 3 2 2" xfId="4520" xr:uid="{A6AD633C-A5C2-4670-86F3-F221130ABD8B}"/>
    <cellStyle name="Comma 2 2 2 2 2 3 3" xfId="2932" xr:uid="{52F9BC34-6734-4EF6-BB6F-B31DF858AD26}"/>
    <cellStyle name="Comma 2 2 2 2 2 3 3 2" xfId="4938" xr:uid="{E8C97416-4018-479D-A1B3-C84276943E8D}"/>
    <cellStyle name="Comma 2 2 2 2 2 3 4" xfId="3476" xr:uid="{D8D6CD58-7F03-46D7-8803-0E002FCD5BCE}"/>
    <cellStyle name="Comma 2 2 2 2 2 3 4 2" xfId="5482" xr:uid="{F9977DF5-6A05-4D5C-9DD6-90ABA51FC1C7}"/>
    <cellStyle name="Comma 2 2 2 2 2 3 5" xfId="3976" xr:uid="{1B463777-C3FA-4CE8-8DB8-BD32D5431869}"/>
    <cellStyle name="Comma 2 2 2 2 2 4" xfId="905" xr:uid="{60CEB7F2-BBD5-4B9B-880D-27CFEC2CAEB1}"/>
    <cellStyle name="Comma 2 2 2 2 2 4 2" xfId="3134" xr:uid="{7B0D45DA-63F9-400E-804F-242E849BE1A2}"/>
    <cellStyle name="Comma 2 2 2 2 2 4 2 2" xfId="5140" xr:uid="{D00BF9C4-F728-4ED9-A279-D1DE29CF8E6D}"/>
    <cellStyle name="Comma 2 2 2 2 2 4 3" xfId="4178" xr:uid="{2034A246-E215-4A3E-B0E2-C51D797A67D5}"/>
    <cellStyle name="Comma 2 2 2 2 2 5" xfId="2299" xr:uid="{EEF3E7E1-11EA-4B65-8828-23A46616FAB3}"/>
    <cellStyle name="Comma 2 2 2 2 2 5 2" xfId="4304" xr:uid="{1121FA13-4BDE-45F2-A57E-D92950A8222F}"/>
    <cellStyle name="Comma 2 2 2 2 2 6" xfId="2716" xr:uid="{82FEFAA9-8913-48AC-B64D-24B3E0D33588}"/>
    <cellStyle name="Comma 2 2 2 2 2 6 2" xfId="4722" xr:uid="{E2D6C489-375A-4972-A7BE-B644649DB0BE}"/>
    <cellStyle name="Comma 2 2 2 2 2 7" xfId="3260" xr:uid="{E15DFDBC-C1A4-4ED3-BCEB-CF82ED6F8B1C}"/>
    <cellStyle name="Comma 2 2 2 2 2 7 2" xfId="5266" xr:uid="{7B8AE134-9D96-4DAC-9674-F55AAB84348C}"/>
    <cellStyle name="Comma 2 2 2 2 2 8" xfId="521" xr:uid="{F3C6FDD9-8FA1-44FF-B64E-55FC6DCE4DBD}"/>
    <cellStyle name="Comma 2 2 2 2 2 9" xfId="3760" xr:uid="{49C9E09B-12D0-44ED-89C1-E15672D2ED4D}"/>
    <cellStyle name="Comma 2 2 2 2 3" xfId="157" xr:uid="{00000000-0005-0000-0000-000030000000}"/>
    <cellStyle name="Comma 2 2 2 2 3 2" xfId="263" xr:uid="{A3C5FAF5-2D05-46D6-AFCE-FE8F827E5962}"/>
    <cellStyle name="Comma 2 2 2 2 3 2 2" xfId="763" xr:uid="{CF2208E6-196E-4856-B3C1-525C6575D12F}"/>
    <cellStyle name="Comma 2 2 2 2 3 2 2 2" xfId="2572" xr:uid="{2C61FF50-1C1A-4F46-907B-11AA1D9C5773}"/>
    <cellStyle name="Comma 2 2 2 2 3 2 2 2 2" xfId="4578" xr:uid="{17B8144A-6914-450A-AF68-84176A6FE474}"/>
    <cellStyle name="Comma 2 2 2 2 3 2 2 3" xfId="2990" xr:uid="{5CD868DF-9DFD-4A76-B635-E73421783F03}"/>
    <cellStyle name="Comma 2 2 2 2 3 2 2 3 2" xfId="4996" xr:uid="{23D28041-5ACE-4B40-8693-8A216196F35B}"/>
    <cellStyle name="Comma 2 2 2 2 3 2 2 4" xfId="3534" xr:uid="{22858A0C-1C82-45FC-8EEF-50BE8D7239C9}"/>
    <cellStyle name="Comma 2 2 2 2 3 2 2 4 2" xfId="5540" xr:uid="{9ACFD13D-89C1-4BA0-978E-9D840D105C76}"/>
    <cellStyle name="Comma 2 2 2 2 3 2 2 5" xfId="4034" xr:uid="{20C62B63-2408-4079-ABAF-5FE528A947B5}"/>
    <cellStyle name="Comma 2 2 2 2 3 2 3" xfId="2361" xr:uid="{7024CD2E-2E90-48B7-A29F-724CDAC94962}"/>
    <cellStyle name="Comma 2 2 2 2 3 2 3 2" xfId="4366" xr:uid="{CB698696-DFFF-4D82-BA6B-842F49145985}"/>
    <cellStyle name="Comma 2 2 2 2 3 2 4" xfId="2778" xr:uid="{F30F5ED9-5530-45F1-AC40-590E9B6867E2}"/>
    <cellStyle name="Comma 2 2 2 2 3 2 4 2" xfId="4784" xr:uid="{2D0BB1BE-B203-489E-B943-E3AE4C10B224}"/>
    <cellStyle name="Comma 2 2 2 2 3 2 5" xfId="3322" xr:uid="{B2F3F195-C44A-489D-AC78-4DC0DF704A37}"/>
    <cellStyle name="Comma 2 2 2 2 3 2 5 2" xfId="5328" xr:uid="{ACAF8183-766F-46C0-B3A5-F88E9924D9E3}"/>
    <cellStyle name="Comma 2 2 2 2 3 2 6" xfId="578" xr:uid="{213F2BFD-4763-406F-84CD-F0087ECFACEC}"/>
    <cellStyle name="Comma 2 2 2 2 3 2 7" xfId="3822" xr:uid="{5860C1ED-1EA8-440D-9AAB-F3D6F2B71DF1}"/>
    <cellStyle name="Comma 2 2 2 2 3 3" xfId="674" xr:uid="{171CD84B-7DAD-4A58-8EB0-9668F2E9B7B2}"/>
    <cellStyle name="Comma 2 2 2 2 3 3 2" xfId="2472" xr:uid="{9B51255A-37D2-429F-A333-832C1FFC35C3}"/>
    <cellStyle name="Comma 2 2 2 2 3 3 2 2" xfId="4478" xr:uid="{F8836B50-697D-4097-8690-31AB84829EEB}"/>
    <cellStyle name="Comma 2 2 2 2 3 3 3" xfId="2890" xr:uid="{CFA01497-5D88-471F-998A-40345EB0CE9E}"/>
    <cellStyle name="Comma 2 2 2 2 3 3 3 2" xfId="4896" xr:uid="{DAB71984-7BA5-4FAB-88C3-AE2AF0E252BD}"/>
    <cellStyle name="Comma 2 2 2 2 3 3 4" xfId="3434" xr:uid="{7AD4BCB5-E46D-4F3B-9984-0E2C0CB094FA}"/>
    <cellStyle name="Comma 2 2 2 2 3 3 4 2" xfId="5440" xr:uid="{CC5BBC97-B88D-4104-B134-5F30C5B76FB2}"/>
    <cellStyle name="Comma 2 2 2 2 3 3 5" xfId="3934" xr:uid="{EA28342B-492C-4B54-8643-B8430DEB546A}"/>
    <cellStyle name="Comma 2 2 2 2 3 4" xfId="863" xr:uid="{59FC60E0-34F7-46D1-9763-15CAFA9C7298}"/>
    <cellStyle name="Comma 2 2 2 2 3 4 2" xfId="3092" xr:uid="{2EB0FDA7-F1BA-4968-9DDF-12F9B34FA0F5}"/>
    <cellStyle name="Comma 2 2 2 2 3 4 2 2" xfId="5098" xr:uid="{F427D5EA-2F9A-4F82-9635-415E499ECDB1}"/>
    <cellStyle name="Comma 2 2 2 2 3 4 3" xfId="4136" xr:uid="{9E98B761-73A0-484E-ADA6-AD2F2A9F7CBF}"/>
    <cellStyle name="Comma 2 2 2 2 3 5" xfId="2257" xr:uid="{EE2C6186-B69D-41E9-83A4-2474F4B08513}"/>
    <cellStyle name="Comma 2 2 2 2 3 5 2" xfId="4262" xr:uid="{D89A14BD-32CC-471A-9E45-1A0120AEA518}"/>
    <cellStyle name="Comma 2 2 2 2 3 6" xfId="2674" xr:uid="{8B9A4EA3-1FC4-4F05-B787-5E070D138828}"/>
    <cellStyle name="Comma 2 2 2 2 3 6 2" xfId="4680" xr:uid="{729EFCE2-3B15-460F-B481-1D3F24FE9DC1}"/>
    <cellStyle name="Comma 2 2 2 2 3 7" xfId="3218" xr:uid="{CE836EF7-BC43-4C34-B565-9D613BB457B4}"/>
    <cellStyle name="Comma 2 2 2 2 3 7 2" xfId="5224" xr:uid="{67556E4D-F137-420D-A040-46EAB37C8EFE}"/>
    <cellStyle name="Comma 2 2 2 2 3 8" xfId="487" xr:uid="{528CB736-5977-4681-9246-DF375B809E9A}"/>
    <cellStyle name="Comma 2 2 2 2 3 9" xfId="3718" xr:uid="{E0A2D536-D932-405E-BD66-F856B7463B91}"/>
    <cellStyle name="Comma 2 2 2 2 4" xfId="236" xr:uid="{1F671366-614E-455C-8E17-1BFC3186D9B1}"/>
    <cellStyle name="Comma 2 2 2 2 4 2" xfId="736" xr:uid="{396CEFF7-D08C-439A-85D0-6C4C03C69F3E}"/>
    <cellStyle name="Comma 2 2 2 2 4 2 2" xfId="2545" xr:uid="{C23A1A67-CE3B-487E-98E9-4A2434D24D24}"/>
    <cellStyle name="Comma 2 2 2 2 4 2 2 2" xfId="4551" xr:uid="{9C478006-1CF0-408A-B1E2-4205F8426BD8}"/>
    <cellStyle name="Comma 2 2 2 2 4 2 3" xfId="2963" xr:uid="{4C9F743B-141F-40A3-B95B-F2F4C6D3294B}"/>
    <cellStyle name="Comma 2 2 2 2 4 2 3 2" xfId="4969" xr:uid="{2BA70863-9C7C-45A6-A221-B7E016AB258B}"/>
    <cellStyle name="Comma 2 2 2 2 4 2 4" xfId="3507" xr:uid="{EF607C6A-DF7A-46F0-B0B6-4AC4BEC02565}"/>
    <cellStyle name="Comma 2 2 2 2 4 2 4 2" xfId="5513" xr:uid="{97311451-37AF-48B5-B22B-4D6CA58EBF25}"/>
    <cellStyle name="Comma 2 2 2 2 4 2 5" xfId="4007" xr:uid="{AD1F5605-32CC-4DDD-8BE0-F50381219740}"/>
    <cellStyle name="Comma 2 2 2 2 4 3" xfId="2334" xr:uid="{E6254989-3634-4DBD-875C-075B345B88CC}"/>
    <cellStyle name="Comma 2 2 2 2 4 3 2" xfId="4339" xr:uid="{7F026C68-37B8-4C57-BA2E-DA10A021240A}"/>
    <cellStyle name="Comma 2 2 2 2 4 4" xfId="2751" xr:uid="{8B067E07-FEAA-495A-B3B3-FC0C7A2E3C8D}"/>
    <cellStyle name="Comma 2 2 2 2 4 4 2" xfId="4757" xr:uid="{B72059DB-6144-4F83-A921-2DECDEAC4060}"/>
    <cellStyle name="Comma 2 2 2 2 4 5" xfId="3295" xr:uid="{34936051-EDFA-47AF-9996-84CFA382C6BF}"/>
    <cellStyle name="Comma 2 2 2 2 4 5 2" xfId="5301" xr:uid="{46092D95-39A4-4817-9243-24AF23E47A61}"/>
    <cellStyle name="Comma 2 2 2 2 4 6" xfId="551" xr:uid="{5F562425-29B0-4E98-A55C-CCA8E733ED81}"/>
    <cellStyle name="Comma 2 2 2 2 4 7" xfId="3795" xr:uid="{BFFF1A85-3CC8-4912-9036-0DFD65275A6F}"/>
    <cellStyle name="Comma 2 2 2 2 5" xfId="656" xr:uid="{2FE866F1-F030-4B0D-A26A-026C3C8A520B}"/>
    <cellStyle name="Comma 2 2 2 2 5 2" xfId="2445" xr:uid="{CB678EE4-2FBA-4C0E-98C1-18B071DFDDF0}"/>
    <cellStyle name="Comma 2 2 2 2 5 2 2" xfId="4451" xr:uid="{2E66929B-2F4F-4BDC-8AC8-8653100FAC46}"/>
    <cellStyle name="Comma 2 2 2 2 5 3" xfId="2863" xr:uid="{1F1ECC95-DE10-48B5-8489-45F300D551D7}"/>
    <cellStyle name="Comma 2 2 2 2 5 3 2" xfId="4869" xr:uid="{BC2606B9-C576-45FA-9E04-76356C6BAF0D}"/>
    <cellStyle name="Comma 2 2 2 2 5 4" xfId="3407" xr:uid="{3862F59D-E674-4623-822F-714FE99615FA}"/>
    <cellStyle name="Comma 2 2 2 2 5 4 2" xfId="5413" xr:uid="{F4FA03A3-ED41-4F9C-9682-F7C891AB7933}"/>
    <cellStyle name="Comma 2 2 2 2 5 5" xfId="3907" xr:uid="{EE6D47A7-66E2-4EBB-A3DE-CFC787227B98}"/>
    <cellStyle name="Comma 2 2 2 2 6" xfId="836" xr:uid="{0319FD46-B79D-4446-ABF0-27CD005B5B85}"/>
    <cellStyle name="Comma 2 2 2 2 6 2" xfId="3065" xr:uid="{C63C1F84-D35F-466A-847B-82CBE93A547C}"/>
    <cellStyle name="Comma 2 2 2 2 6 2 2" xfId="5071" xr:uid="{B19B8163-1CD0-447A-9B55-CECBF31A1ADB}"/>
    <cellStyle name="Comma 2 2 2 2 6 3" xfId="4109" xr:uid="{EA1E34EF-FE06-4548-B3E5-2232C1A2AEC9}"/>
    <cellStyle name="Comma 2 2 2 2 7" xfId="2230" xr:uid="{01768302-D755-4B02-8488-DFFFDE8DB16F}"/>
    <cellStyle name="Comma 2 2 2 2 7 2" xfId="4235" xr:uid="{8437B3DF-1431-4BBF-9DB6-A23A03A34B0A}"/>
    <cellStyle name="Comma 2 2 2 2 8" xfId="2647" xr:uid="{F955AD40-9E93-4794-931E-4B8DEAD139FC}"/>
    <cellStyle name="Comma 2 2 2 2 8 2" xfId="4653" xr:uid="{F1AAA31C-6F39-48E4-99E8-440FA066257B}"/>
    <cellStyle name="Comma 2 2 2 2 9" xfId="3191" xr:uid="{3C6F19B6-DE9F-4C37-A042-5CDE7CFC0465}"/>
    <cellStyle name="Comma 2 2 2 2 9 2" xfId="5197" xr:uid="{39258AC0-4CC7-48D4-8261-7C7A0BA2A256}"/>
    <cellStyle name="Comma 2 2 2 3" xfId="190" xr:uid="{00000000-0005-0000-0000-000031000000}"/>
    <cellStyle name="Comma 2 2 2 3 2" xfId="294" xr:uid="{0835710B-1A99-45BB-B9A3-68DE662F48C7}"/>
    <cellStyle name="Comma 2 2 2 3 2 2" xfId="793" xr:uid="{0DBEFC2B-2FE5-4110-8CB8-ACD9A9ACB5BB}"/>
    <cellStyle name="Comma 2 2 2 3 2 2 2" xfId="2603" xr:uid="{E258F6BA-8F2D-452B-A5B6-78B2B7DE70C8}"/>
    <cellStyle name="Comma 2 2 2 3 2 2 2 2" xfId="4609" xr:uid="{49CD3983-B709-44BF-A7D5-50B76D8C0959}"/>
    <cellStyle name="Comma 2 2 2 3 2 2 3" xfId="3021" xr:uid="{84D5A799-0FBC-4AFD-9CF9-97CDB81528B1}"/>
    <cellStyle name="Comma 2 2 2 3 2 2 3 2" xfId="5027" xr:uid="{F422CE76-4178-4D94-8759-012A5664A14A}"/>
    <cellStyle name="Comma 2 2 2 3 2 2 4" xfId="3565" xr:uid="{B0797964-1A9D-4FB9-B9F3-ECCE2BB962BC}"/>
    <cellStyle name="Comma 2 2 2 3 2 2 4 2" xfId="5571" xr:uid="{14A02F53-FF21-49D6-B3A7-2A9AA34831B5}"/>
    <cellStyle name="Comma 2 2 2 3 2 2 5" xfId="4065" xr:uid="{3CE2FF37-8D4E-4DF0-B731-EB5E6071787F}"/>
    <cellStyle name="Comma 2 2 2 3 2 3" xfId="2392" xr:uid="{B9F19CD0-52F8-4D17-B317-088EBA0ACB35}"/>
    <cellStyle name="Comma 2 2 2 3 2 3 2" xfId="4397" xr:uid="{6DB3A42F-D40F-4A0E-BC42-2E9FA2ABA297}"/>
    <cellStyle name="Comma 2 2 2 3 2 4" xfId="2809" xr:uid="{80FB7492-40C5-4372-8B4A-A2E6ACB3F03A}"/>
    <cellStyle name="Comma 2 2 2 3 2 4 2" xfId="4815" xr:uid="{E5538504-7A5F-43A0-BE46-A71C1E883361}"/>
    <cellStyle name="Comma 2 2 2 3 2 5" xfId="3353" xr:uid="{EDC0D1FF-B257-4835-B6C3-5DEB91367D86}"/>
    <cellStyle name="Comma 2 2 2 3 2 5 2" xfId="5359" xr:uid="{0A831F9F-ECBA-4990-84BD-F1E52EF56590}"/>
    <cellStyle name="Comma 2 2 2 3 2 6" xfId="608" xr:uid="{E42D25A0-9C89-4D90-A6D6-FDE7A3B02B38}"/>
    <cellStyle name="Comma 2 2 2 3 2 7" xfId="3853" xr:uid="{C0936AA7-FC24-4500-B602-4D0C4BD2E186}"/>
    <cellStyle name="Comma 2 2 2 3 3" xfId="699" xr:uid="{205D9B61-B0B2-411D-BFE3-3A5FCAF492F2}"/>
    <cellStyle name="Comma 2 2 2 3 3 2" xfId="2503" xr:uid="{05A1A744-16D2-4BA3-9178-595C8CD9E8B6}"/>
    <cellStyle name="Comma 2 2 2 3 3 2 2" xfId="4509" xr:uid="{75DCD0B3-C59A-4138-8EC1-4DD7945AC274}"/>
    <cellStyle name="Comma 2 2 2 3 3 3" xfId="2921" xr:uid="{9FAAF377-A78F-44FC-BE94-86F71822E628}"/>
    <cellStyle name="Comma 2 2 2 3 3 3 2" xfId="4927" xr:uid="{60B397A3-D1A4-476F-BEB1-B09778F7D7ED}"/>
    <cellStyle name="Comma 2 2 2 3 3 4" xfId="3465" xr:uid="{A793B4F7-8B26-475A-92C4-4DEB8804991D}"/>
    <cellStyle name="Comma 2 2 2 3 3 4 2" xfId="5471" xr:uid="{296BB4AB-733E-463B-AFF8-661DEFD5A311}"/>
    <cellStyle name="Comma 2 2 2 3 3 5" xfId="3965" xr:uid="{6E3C4E49-436A-4806-B14E-6C0625EB060D}"/>
    <cellStyle name="Comma 2 2 2 3 4" xfId="894" xr:uid="{C98EFC41-895D-4C21-AEFB-00B7CE0CAFEE}"/>
    <cellStyle name="Comma 2 2 2 3 4 2" xfId="3123" xr:uid="{CDA87A80-B4D2-406D-AC09-06F52EAAE84A}"/>
    <cellStyle name="Comma 2 2 2 3 4 2 2" xfId="5129" xr:uid="{461735C8-50F9-4ED7-857D-2563D0B96837}"/>
    <cellStyle name="Comma 2 2 2 3 4 3" xfId="4167" xr:uid="{5BF12999-C803-49CF-BE07-DC3040F53366}"/>
    <cellStyle name="Comma 2 2 2 3 5" xfId="2288" xr:uid="{AF7F681E-AE2A-4EA2-834E-D3B343DCA569}"/>
    <cellStyle name="Comma 2 2 2 3 5 2" xfId="4293" xr:uid="{71D37ADA-FE44-4B23-88F4-599207A072C9}"/>
    <cellStyle name="Comma 2 2 2 3 6" xfId="2705" xr:uid="{127B8E2A-6D10-4E17-9CFE-67BCD70B61D0}"/>
    <cellStyle name="Comma 2 2 2 3 6 2" xfId="4711" xr:uid="{87A81AE5-3C60-46F5-95EC-AF1BC9244760}"/>
    <cellStyle name="Comma 2 2 2 3 7" xfId="3249" xr:uid="{702EF5E2-2A57-4F25-8E88-62651AF7F654}"/>
    <cellStyle name="Comma 2 2 2 3 7 2" xfId="5255" xr:uid="{21DC77FE-0223-4740-A2EF-8C0B734AB24C}"/>
    <cellStyle name="Comma 2 2 2 3 8" xfId="512" xr:uid="{234BDD65-2E49-4FDD-957C-7F987124816C}"/>
    <cellStyle name="Comma 2 2 2 3 9" xfId="3749" xr:uid="{B79B3F48-026A-4BC7-BD04-E62F70F69AF7}"/>
    <cellStyle name="Comma 2 2 2 4" xfId="179" xr:uid="{00000000-0005-0000-0000-000032000000}"/>
    <cellStyle name="Comma 2 2 2 4 2" xfId="284" xr:uid="{381B7AEF-CEA2-4C2F-B700-17402A0F9697}"/>
    <cellStyle name="Comma 2 2 2 4 2 2" xfId="783" xr:uid="{3F4F7AE3-B17E-4BD1-94E9-7CAC956AABBC}"/>
    <cellStyle name="Comma 2 2 2 4 2 2 2" xfId="2593" xr:uid="{FC8C5AB2-08C2-4894-A978-B86F49EC24CE}"/>
    <cellStyle name="Comma 2 2 2 4 2 2 2 2" xfId="4599" xr:uid="{5F7E1425-0580-412F-B0E5-C958F52E4D0D}"/>
    <cellStyle name="Comma 2 2 2 4 2 2 3" xfId="3011" xr:uid="{9B22502B-76B1-4C22-A5A0-1BFB45CC67BD}"/>
    <cellStyle name="Comma 2 2 2 4 2 2 3 2" xfId="5017" xr:uid="{9B90BCD8-8E29-4D4A-9E8D-D860BBA64308}"/>
    <cellStyle name="Comma 2 2 2 4 2 2 4" xfId="3555" xr:uid="{B6DDACBF-6B49-4DA4-9DB4-52C1C21A22AB}"/>
    <cellStyle name="Comma 2 2 2 4 2 2 4 2" xfId="5561" xr:uid="{E705CD62-EDD8-4496-96A2-DE228777ACBA}"/>
    <cellStyle name="Comma 2 2 2 4 2 2 5" xfId="4055" xr:uid="{209FB05D-6219-460A-9EB0-0CCD119606E9}"/>
    <cellStyle name="Comma 2 2 2 4 2 3" xfId="2382" xr:uid="{22B1544C-BEB3-47CE-BD74-CEF615754B46}"/>
    <cellStyle name="Comma 2 2 2 4 2 3 2" xfId="4387" xr:uid="{C5B2DEAE-8056-403E-8B5A-6266F1A59A1D}"/>
    <cellStyle name="Comma 2 2 2 4 2 4" xfId="2799" xr:uid="{67B57503-366E-4C82-B278-F2B1F94FF227}"/>
    <cellStyle name="Comma 2 2 2 4 2 4 2" xfId="4805" xr:uid="{5F40DE96-01BB-4E6E-8153-2CCF07886037}"/>
    <cellStyle name="Comma 2 2 2 4 2 5" xfId="3343" xr:uid="{A1747451-5293-4FDD-A68A-06A2460BB9C3}"/>
    <cellStyle name="Comma 2 2 2 4 2 5 2" xfId="5349" xr:uid="{2D3B30A1-A9C2-44C8-94C9-68A37A2246D2}"/>
    <cellStyle name="Comma 2 2 2 4 2 6" xfId="598" xr:uid="{111AB366-EC97-4618-8022-CBF0D6889535}"/>
    <cellStyle name="Comma 2 2 2 4 2 7" xfId="3843" xr:uid="{EC366376-176A-49AA-AF2D-38D210CA4DE6}"/>
    <cellStyle name="Comma 2 2 2 4 3" xfId="692" xr:uid="{74282F50-A1A4-43FA-A013-038425A54F98}"/>
    <cellStyle name="Comma 2 2 2 4 3 2" xfId="2493" xr:uid="{51EDB895-0553-4D2F-AD6C-D2D3BDC0A81D}"/>
    <cellStyle name="Comma 2 2 2 4 3 2 2" xfId="4499" xr:uid="{219DDB0F-8D4D-45E1-AC54-EE7CDEB71342}"/>
    <cellStyle name="Comma 2 2 2 4 3 3" xfId="2911" xr:uid="{C5E4E9E7-2830-41F1-80A0-6F817B067BB7}"/>
    <cellStyle name="Comma 2 2 2 4 3 3 2" xfId="4917" xr:uid="{4BB4265E-2EE1-4651-93A0-99F33BA42CEB}"/>
    <cellStyle name="Comma 2 2 2 4 3 4" xfId="3455" xr:uid="{5B86D647-D19E-4F98-9416-89149D4D533B}"/>
    <cellStyle name="Comma 2 2 2 4 3 4 2" xfId="5461" xr:uid="{ACC9E182-199A-413B-992A-076744F704D8}"/>
    <cellStyle name="Comma 2 2 2 4 3 5" xfId="3955" xr:uid="{8A4626A3-0DA7-4E66-9C58-6A69EBCD41B7}"/>
    <cellStyle name="Comma 2 2 2 4 4" xfId="884" xr:uid="{43DC7AFD-92D8-469E-BF18-D414BC3AAE1C}"/>
    <cellStyle name="Comma 2 2 2 4 4 2" xfId="3113" xr:uid="{35C33FCF-C984-42CA-A1FB-24F031D14C65}"/>
    <cellStyle name="Comma 2 2 2 4 4 2 2" xfId="5119" xr:uid="{03A5DC24-17B0-4433-8355-8F5B068F4790}"/>
    <cellStyle name="Comma 2 2 2 4 4 3" xfId="4157" xr:uid="{BBCEC0A8-CC4A-4177-96D9-E70F77679E0B}"/>
    <cellStyle name="Comma 2 2 2 4 5" xfId="2278" xr:uid="{6E74215A-1893-43ED-8A60-70A52FECE753}"/>
    <cellStyle name="Comma 2 2 2 4 5 2" xfId="4283" xr:uid="{D2C4F7A0-4782-4EBF-B71B-BF6B21B0B945}"/>
    <cellStyle name="Comma 2 2 2 4 6" xfId="2695" xr:uid="{8F2C66DA-6C93-4AFC-9EA6-A7342A978217}"/>
    <cellStyle name="Comma 2 2 2 4 6 2" xfId="4701" xr:uid="{3865EF75-C0EF-4977-89D0-B609016AF0BD}"/>
    <cellStyle name="Comma 2 2 2 4 7" xfId="3239" xr:uid="{FF7D2726-8F36-45F2-89C4-12D3ED00EE2C}"/>
    <cellStyle name="Comma 2 2 2 4 7 2" xfId="5245" xr:uid="{0A9867A2-82AE-4A17-AF72-55D684A5A6FF}"/>
    <cellStyle name="Comma 2 2 2 4 8" xfId="505" xr:uid="{FC75ADCD-B642-43FD-8770-2D7811BB526C}"/>
    <cellStyle name="Comma 2 2 2 4 9" xfId="3739" xr:uid="{87445CD0-BCA4-44CE-81CA-451A60E8F649}"/>
    <cellStyle name="Comma 2 2 2 5" xfId="146" xr:uid="{00000000-0005-0000-0000-000033000000}"/>
    <cellStyle name="Comma 2 2 2 5 2" xfId="252" xr:uid="{C732E66D-9B1E-44B4-8F8C-E2619BDD4099}"/>
    <cellStyle name="Comma 2 2 2 5 2 2" xfId="752" xr:uid="{CA678DA0-0940-4630-9625-8FFF56B0AD49}"/>
    <cellStyle name="Comma 2 2 2 5 2 2 2" xfId="2561" xr:uid="{F12B94C0-EAF2-471B-80AF-C79144F637A7}"/>
    <cellStyle name="Comma 2 2 2 5 2 2 2 2" xfId="4567" xr:uid="{B7FBD091-5E3A-4BBA-8060-650F5E4E766A}"/>
    <cellStyle name="Comma 2 2 2 5 2 2 3" xfId="2979" xr:uid="{37B0E095-3D06-4DB5-84AC-5791B52DB1D1}"/>
    <cellStyle name="Comma 2 2 2 5 2 2 3 2" xfId="4985" xr:uid="{4C364B41-184B-4692-BD11-1D84314343C8}"/>
    <cellStyle name="Comma 2 2 2 5 2 2 4" xfId="3523" xr:uid="{88D1DCBD-2898-4E90-8285-DD45460D69C1}"/>
    <cellStyle name="Comma 2 2 2 5 2 2 4 2" xfId="5529" xr:uid="{22855608-B025-4103-8E00-0ECF21421E7A}"/>
    <cellStyle name="Comma 2 2 2 5 2 2 5" xfId="4023" xr:uid="{61D6AFCE-2D2C-4095-8FA3-0D7394473B57}"/>
    <cellStyle name="Comma 2 2 2 5 2 3" xfId="2350" xr:uid="{24E1EBFD-35C5-4DE6-8EE7-2DBD3B3E2DDB}"/>
    <cellStyle name="Comma 2 2 2 5 2 3 2" xfId="4355" xr:uid="{4C0821E4-9157-44A6-AD8C-B0F632DB73FD}"/>
    <cellStyle name="Comma 2 2 2 5 2 4" xfId="2767" xr:uid="{459677EC-DBC1-4B0D-9A1D-2146FCD771FE}"/>
    <cellStyle name="Comma 2 2 2 5 2 4 2" xfId="4773" xr:uid="{854E85CC-A96B-478D-906D-564607BF29AB}"/>
    <cellStyle name="Comma 2 2 2 5 2 5" xfId="3311" xr:uid="{E43C549A-EBB1-4081-B9C3-D390AF6AAE2D}"/>
    <cellStyle name="Comma 2 2 2 5 2 5 2" xfId="5317" xr:uid="{08DE1F1A-0D0C-4BC7-83A6-D16538520CF7}"/>
    <cellStyle name="Comma 2 2 2 5 2 6" xfId="567" xr:uid="{7C4FD4B4-8D21-4F2F-9F60-98D0293C3087}"/>
    <cellStyle name="Comma 2 2 2 5 2 7" xfId="3811" xr:uid="{49B9F44A-7D75-459F-8E9E-0792B63251CD}"/>
    <cellStyle name="Comma 2 2 2 5 3" xfId="665" xr:uid="{DD02D0E2-0D30-44B0-BB2F-75F35CEEE156}"/>
    <cellStyle name="Comma 2 2 2 5 3 2" xfId="2461" xr:uid="{BB3BFD40-F00A-423F-96C6-7FE5C00A3649}"/>
    <cellStyle name="Comma 2 2 2 5 3 2 2" xfId="4467" xr:uid="{5FFF40AC-2D60-45C7-9A3A-7C44E87C61F2}"/>
    <cellStyle name="Comma 2 2 2 5 3 3" xfId="2879" xr:uid="{81974BFC-635D-4A80-BC54-5731B603F152}"/>
    <cellStyle name="Comma 2 2 2 5 3 3 2" xfId="4885" xr:uid="{EEB2143C-656C-494E-905C-DA99376DE936}"/>
    <cellStyle name="Comma 2 2 2 5 3 4" xfId="3423" xr:uid="{47FEDEAE-EBB0-4F58-8ECF-D3CFBCB57045}"/>
    <cellStyle name="Comma 2 2 2 5 3 4 2" xfId="5429" xr:uid="{B1006973-647E-4185-B9F1-0E64EBC38EF7}"/>
    <cellStyle name="Comma 2 2 2 5 3 5" xfId="3923" xr:uid="{21668DF3-1F28-41FF-81D7-EAA468B31C7A}"/>
    <cellStyle name="Comma 2 2 2 5 4" xfId="852" xr:uid="{564FAB6D-E415-4F36-88BF-27A9BE7D25AC}"/>
    <cellStyle name="Comma 2 2 2 5 4 2" xfId="3081" xr:uid="{72238527-CFA6-4A59-96FF-0E74DA5F7CAA}"/>
    <cellStyle name="Comma 2 2 2 5 4 2 2" xfId="5087" xr:uid="{0958CF53-C1EA-439A-821C-FED257379824}"/>
    <cellStyle name="Comma 2 2 2 5 4 3" xfId="4125" xr:uid="{3BCA6D02-338B-4E19-BFE7-A2F178D29AE0}"/>
    <cellStyle name="Comma 2 2 2 5 5" xfId="2246" xr:uid="{7FE853CC-A682-40AE-99F0-D568FBFE2091}"/>
    <cellStyle name="Comma 2 2 2 5 5 2" xfId="4251" xr:uid="{1FC2D438-DDAE-473A-9397-C796B6B823AB}"/>
    <cellStyle name="Comma 2 2 2 5 6" xfId="2663" xr:uid="{F83B0589-6C46-46BA-B5B3-2A2ABD4DD8D5}"/>
    <cellStyle name="Comma 2 2 2 5 6 2" xfId="4669" xr:uid="{5C98FA79-0208-4EB4-8461-FA1709444456}"/>
    <cellStyle name="Comma 2 2 2 5 7" xfId="3207" xr:uid="{C088FEDE-F0F9-4390-83F9-06599BCEFBD3}"/>
    <cellStyle name="Comma 2 2 2 5 7 2" xfId="5213" xr:uid="{62B659D8-9CE5-425F-A34B-F7EE9F58C77C}"/>
    <cellStyle name="Comma 2 2 2 5 8" xfId="478" xr:uid="{99192A62-C57C-43CF-B3AC-42E449C9A5D3}"/>
    <cellStyle name="Comma 2 2 2 5 9" xfId="3707" xr:uid="{8558EADE-B0EC-48FD-81DB-6470834F1DD9}"/>
    <cellStyle name="Comma 2 2 2 6" xfId="225" xr:uid="{790C724F-81EC-4743-AB1C-21C60608CC12}"/>
    <cellStyle name="Comma 2 2 2 6 2" xfId="726" xr:uid="{CB281839-CD88-48CB-ACCE-9EBEC956AC3B}"/>
    <cellStyle name="Comma 2 2 2 6 2 2" xfId="2534" xr:uid="{C76C3CDF-4B0B-49DD-90E3-1C9EA93277F2}"/>
    <cellStyle name="Comma 2 2 2 6 2 2 2" xfId="4540" xr:uid="{4B754D02-1896-4CED-92AA-AF46928B3F9A}"/>
    <cellStyle name="Comma 2 2 2 6 2 3" xfId="2952" xr:uid="{70639D63-FD05-4F0B-938F-AA15244D4675}"/>
    <cellStyle name="Comma 2 2 2 6 2 3 2" xfId="4958" xr:uid="{3B1618EE-7625-4871-9424-039FEE3B095D}"/>
    <cellStyle name="Comma 2 2 2 6 2 4" xfId="3496" xr:uid="{2ECAD5F8-F72F-4407-8A02-130B54119787}"/>
    <cellStyle name="Comma 2 2 2 6 2 4 2" xfId="5502" xr:uid="{467A1C00-1F68-420F-AB76-5A361985E00B}"/>
    <cellStyle name="Comma 2 2 2 6 2 5" xfId="3996" xr:uid="{8095A2C6-9673-4564-8586-31AE690E00F4}"/>
    <cellStyle name="Comma 2 2 2 6 3" xfId="2323" xr:uid="{635EABA3-5077-442F-B446-44690449518D}"/>
    <cellStyle name="Comma 2 2 2 6 3 2" xfId="4328" xr:uid="{B0E730C5-7E2A-45D0-AB6D-F0082876CAC3}"/>
    <cellStyle name="Comma 2 2 2 6 4" xfId="2740" xr:uid="{296607A7-A6FB-4CA3-B30A-C2F515DBCBF4}"/>
    <cellStyle name="Comma 2 2 2 6 4 2" xfId="4746" xr:uid="{3FDD8A6D-9595-4778-A014-26204E527EF2}"/>
    <cellStyle name="Comma 2 2 2 6 5" xfId="3284" xr:uid="{B45C6D6A-61A0-40C7-98D5-0A217D08DC42}"/>
    <cellStyle name="Comma 2 2 2 6 5 2" xfId="5290" xr:uid="{85A7569B-D612-4D4E-B741-E7E7BA53E2F6}"/>
    <cellStyle name="Comma 2 2 2 6 6" xfId="541" xr:uid="{4E8B9978-2AF1-405A-BF9A-D8FA5BA771A4}"/>
    <cellStyle name="Comma 2 2 2 6 7" xfId="3784" xr:uid="{551D3C43-F84D-49BC-BCCB-489B669037C7}"/>
    <cellStyle name="Comma 2 2 2 7" xfId="646" xr:uid="{FDA7F251-1C82-4E67-93F3-705DF6E7B9E4}"/>
    <cellStyle name="Comma 2 2 2 7 2" xfId="2434" xr:uid="{9E5CD7D1-C4D0-4190-AF6C-C7DCD758B060}"/>
    <cellStyle name="Comma 2 2 2 7 2 2" xfId="4440" xr:uid="{AC15C92A-5F37-4A3F-9F85-A2D7022C723E}"/>
    <cellStyle name="Comma 2 2 2 7 3" xfId="2852" xr:uid="{2B3AEA82-6F29-4EAE-858D-4EF21E8AD8EA}"/>
    <cellStyle name="Comma 2 2 2 7 3 2" xfId="4858" xr:uid="{3B8A0612-C65B-44EF-BAA3-597E0663524C}"/>
    <cellStyle name="Comma 2 2 2 7 4" xfId="3396" xr:uid="{A18B3442-5AD4-408B-B459-608E54C646C4}"/>
    <cellStyle name="Comma 2 2 2 7 4 2" xfId="5402" xr:uid="{ABF7A271-6DA0-47C7-A903-D577A7BDDB76}"/>
    <cellStyle name="Comma 2 2 2 7 5" xfId="3896" xr:uid="{D3A139E8-A14D-401F-8E0A-D78792C0BCE2}"/>
    <cellStyle name="Comma 2 2 2 8" xfId="825" xr:uid="{9C648FBE-7868-48A8-9A18-2E3A9405B88E}"/>
    <cellStyle name="Comma 2 2 2 8 2" xfId="3054" xr:uid="{2ECCA07A-7CEE-4ECC-AFCE-2573603DED60}"/>
    <cellStyle name="Comma 2 2 2 8 2 2" xfId="5060" xr:uid="{8DFFE906-FAF6-4082-980C-2483A0EF1E08}"/>
    <cellStyle name="Comma 2 2 2 8 3" xfId="4098" xr:uid="{E83D61B4-3F5C-4717-8C43-67F1556ABAF4}"/>
    <cellStyle name="Comma 2 2 2 9" xfId="2219" xr:uid="{E00E7339-31A5-402E-90BD-D959762BEEC9}"/>
    <cellStyle name="Comma 2 2 2 9 2" xfId="4224" xr:uid="{6E4E24F2-B869-48B1-9DC2-0F836291197E}"/>
    <cellStyle name="Comma 2 2 3" xfId="107" xr:uid="{00000000-0005-0000-0000-000034000000}"/>
    <cellStyle name="Comma 2 2 3 10" xfId="469" xr:uid="{2673DA64-6CFE-499D-8A55-CD454714573B}"/>
    <cellStyle name="Comma 2 2 3 11" xfId="3689" xr:uid="{A1AF2075-F4E2-446C-A542-D6F526C3BA84}"/>
    <cellStyle name="Comma 2 2 3 12" xfId="5805" xr:uid="{5A313E52-7A66-4E8A-B557-7CC470E50105}"/>
    <cellStyle name="Comma 2 2 3 2" xfId="202" xr:uid="{00000000-0005-0000-0000-000035000000}"/>
    <cellStyle name="Comma 2 2 3 2 2" xfId="303" xr:uid="{F8A2D356-2276-4CA2-93A7-627C08AE7B53}"/>
    <cellStyle name="Comma 2 2 3 2 2 2" xfId="802" xr:uid="{AC45D628-11C2-4D83-8DE5-CA9AE509EE4C}"/>
    <cellStyle name="Comma 2 2 3 2 2 2 2" xfId="2612" xr:uid="{A32001BD-65A3-4D34-99B9-612545FE39C9}"/>
    <cellStyle name="Comma 2 2 3 2 2 2 2 2" xfId="4618" xr:uid="{0EFCECF3-0B3B-4F8E-90D2-41CCE1A536E9}"/>
    <cellStyle name="Comma 2 2 3 2 2 2 3" xfId="3030" xr:uid="{F0F3B1CF-0D37-4EDD-BB64-5D80F22E102B}"/>
    <cellStyle name="Comma 2 2 3 2 2 2 3 2" xfId="5036" xr:uid="{665C32E5-1C33-49B1-BA15-6C9287352923}"/>
    <cellStyle name="Comma 2 2 3 2 2 2 4" xfId="3574" xr:uid="{D8D56E6C-0277-4BD8-8831-0D13DC1A5DE7}"/>
    <cellStyle name="Comma 2 2 3 2 2 2 4 2" xfId="5580" xr:uid="{CCFC156A-ADFB-4548-9317-7A704F77A53E}"/>
    <cellStyle name="Comma 2 2 3 2 2 2 5" xfId="4074" xr:uid="{B1AC37C9-2B24-45F2-82BB-A04BEB401AD6}"/>
    <cellStyle name="Comma 2 2 3 2 2 3" xfId="2401" xr:uid="{25AE8979-0297-4F9F-8D1F-CAFBFDCFE900}"/>
    <cellStyle name="Comma 2 2 3 2 2 3 2" xfId="4406" xr:uid="{529A5559-AEA5-43B3-BFD9-0866B713A3A5}"/>
    <cellStyle name="Comma 2 2 3 2 2 4" xfId="2818" xr:uid="{3BC8672A-87CB-4BC8-B19C-F72061F31D61}"/>
    <cellStyle name="Comma 2 2 3 2 2 4 2" xfId="4824" xr:uid="{0421A576-EE93-4065-A6C1-9B3F38C8C006}"/>
    <cellStyle name="Comma 2 2 3 2 2 5" xfId="3362" xr:uid="{957AD915-F4C5-4713-8D38-B497598F42AC}"/>
    <cellStyle name="Comma 2 2 3 2 2 5 2" xfId="5368" xr:uid="{929A9FDA-B710-44F2-A94E-E01BAC06BA62}"/>
    <cellStyle name="Comma 2 2 3 2 2 6" xfId="617" xr:uid="{325F486C-07EE-409B-BE4D-62EA535F72C8}"/>
    <cellStyle name="Comma 2 2 3 2 2 7" xfId="3862" xr:uid="{8CE59DE2-D148-4000-9659-063E32B3E3E2}"/>
    <cellStyle name="Comma 2 2 3 2 3" xfId="706" xr:uid="{909B50D1-462E-411B-8A56-9661BB506B71}"/>
    <cellStyle name="Comma 2 2 3 2 3 2" xfId="2512" xr:uid="{6C75E632-37C2-4996-8B07-033AC2685043}"/>
    <cellStyle name="Comma 2 2 3 2 3 2 2" xfId="4518" xr:uid="{3068D480-28B5-466D-B1C4-32BC81FDC3FF}"/>
    <cellStyle name="Comma 2 2 3 2 3 3" xfId="2930" xr:uid="{FD96132A-29E3-4BF2-B7F0-B9D5C75E6B65}"/>
    <cellStyle name="Comma 2 2 3 2 3 3 2" xfId="4936" xr:uid="{C8F38AD6-90BE-4F0A-9E1A-56CC5326FBE8}"/>
    <cellStyle name="Comma 2 2 3 2 3 4" xfId="3474" xr:uid="{EAFC98C4-F1F0-4777-BADD-FD8C567F1E11}"/>
    <cellStyle name="Comma 2 2 3 2 3 4 2" xfId="5480" xr:uid="{76F04EBD-2246-457F-B094-7C8402D9E2FF}"/>
    <cellStyle name="Comma 2 2 3 2 3 5" xfId="3974" xr:uid="{9B8883E5-2F50-4687-8DA1-7EACB99FBC33}"/>
    <cellStyle name="Comma 2 2 3 2 4" xfId="903" xr:uid="{BF6154E2-C478-4E25-BEB6-960CBB41E892}"/>
    <cellStyle name="Comma 2 2 3 2 4 2" xfId="3132" xr:uid="{5542D496-7107-4BC0-B6B6-30154EA82661}"/>
    <cellStyle name="Comma 2 2 3 2 4 2 2" xfId="5138" xr:uid="{93D1C943-143D-4D93-B71C-31778C55513F}"/>
    <cellStyle name="Comma 2 2 3 2 4 3" xfId="4176" xr:uid="{9704E7F5-93A5-4D7D-9275-02B88B4AAC9B}"/>
    <cellStyle name="Comma 2 2 3 2 5" xfId="2297" xr:uid="{AAA20063-F8A5-4859-8AC8-58D6404A479E}"/>
    <cellStyle name="Comma 2 2 3 2 5 2" xfId="4302" xr:uid="{82585840-FB8F-430D-8666-076E333B38AF}"/>
    <cellStyle name="Comma 2 2 3 2 6" xfId="2714" xr:uid="{E3FEB02E-3FF9-4835-A963-F5764893D6B4}"/>
    <cellStyle name="Comma 2 2 3 2 6 2" xfId="4720" xr:uid="{576EC099-87C8-4C6C-8DBE-238CCFDF1E5D}"/>
    <cellStyle name="Comma 2 2 3 2 7" xfId="3258" xr:uid="{31B5A67D-4B20-4A71-AACA-3B309577B30C}"/>
    <cellStyle name="Comma 2 2 3 2 7 2" xfId="5264" xr:uid="{E9AB7271-829C-44CE-B352-DCAEB49CCFE2}"/>
    <cellStyle name="Comma 2 2 3 2 8" xfId="519" xr:uid="{E31E6191-16F3-48B1-AD6F-19096452DDA9}"/>
    <cellStyle name="Comma 2 2 3 2 9" xfId="3758" xr:uid="{8F5F51FB-4EC5-4030-B8D6-15216A515C18}"/>
    <cellStyle name="Comma 2 2 3 3" xfId="155" xr:uid="{00000000-0005-0000-0000-000036000000}"/>
    <cellStyle name="Comma 2 2 3 3 2" xfId="261" xr:uid="{EEF25294-3626-4291-919A-A90AC4FE8A3E}"/>
    <cellStyle name="Comma 2 2 3 3 2 2" xfId="761" xr:uid="{D9182E56-AF45-4A53-B8D3-96461FBBCAAB}"/>
    <cellStyle name="Comma 2 2 3 3 2 2 2" xfId="2570" xr:uid="{098316C2-DC70-47F3-8DAF-5775F5C08575}"/>
    <cellStyle name="Comma 2 2 3 3 2 2 2 2" xfId="4576" xr:uid="{7D42D9CE-ECA3-4D7F-92F2-1421B501F89B}"/>
    <cellStyle name="Comma 2 2 3 3 2 2 3" xfId="2988" xr:uid="{3170BD24-5A9B-4AC1-A209-8F6C4EAD00E8}"/>
    <cellStyle name="Comma 2 2 3 3 2 2 3 2" xfId="4994" xr:uid="{CF55EA43-7B55-46CA-84C4-89B007DA9CC4}"/>
    <cellStyle name="Comma 2 2 3 3 2 2 4" xfId="3532" xr:uid="{704D7A0E-A3FA-4027-826A-D86BA98C31E3}"/>
    <cellStyle name="Comma 2 2 3 3 2 2 4 2" xfId="5538" xr:uid="{A461292B-2032-4C3B-A5EB-4EE2ED61D558}"/>
    <cellStyle name="Comma 2 2 3 3 2 2 5" xfId="4032" xr:uid="{A3CBEA4E-E784-408E-BF34-F68ACD90D28D}"/>
    <cellStyle name="Comma 2 2 3 3 2 3" xfId="2359" xr:uid="{BB20710B-A13E-482F-AEA9-24211A6E31C7}"/>
    <cellStyle name="Comma 2 2 3 3 2 3 2" xfId="4364" xr:uid="{BC0087B1-8AE6-45E0-8B14-22B91861A13F}"/>
    <cellStyle name="Comma 2 2 3 3 2 4" xfId="2776" xr:uid="{EC53670A-DBD1-473B-B735-FD347108F01A}"/>
    <cellStyle name="Comma 2 2 3 3 2 4 2" xfId="4782" xr:uid="{C6034F07-5A01-4966-ADA3-A371E6147FD0}"/>
    <cellStyle name="Comma 2 2 3 3 2 5" xfId="3320" xr:uid="{31572D73-5357-46AF-96BF-26B7F0F44B75}"/>
    <cellStyle name="Comma 2 2 3 3 2 5 2" xfId="5326" xr:uid="{55697483-BA1F-4EA3-B7EE-5F1C76BC7A2C}"/>
    <cellStyle name="Comma 2 2 3 3 2 6" xfId="576" xr:uid="{69C57178-F99C-44D9-9DA5-59C7623ECEB1}"/>
    <cellStyle name="Comma 2 2 3 3 2 7" xfId="3820" xr:uid="{C42C8E68-141C-47E2-90C0-C3EBC98E198C}"/>
    <cellStyle name="Comma 2 2 3 3 3" xfId="673" xr:uid="{CB6C212B-4839-41DA-B61D-646A064367BD}"/>
    <cellStyle name="Comma 2 2 3 3 3 2" xfId="2470" xr:uid="{2C23DFBF-C0E8-4695-A79F-28925D7F9731}"/>
    <cellStyle name="Comma 2 2 3 3 3 2 2" xfId="4476" xr:uid="{3A586477-58E0-40C4-8D4D-F37BFE199F15}"/>
    <cellStyle name="Comma 2 2 3 3 3 3" xfId="2888" xr:uid="{3975DC21-0CFC-4640-9DF7-48DC66E59529}"/>
    <cellStyle name="Comma 2 2 3 3 3 3 2" xfId="4894" xr:uid="{3DE5A9EE-A47E-4729-9104-8627B5F28DFE}"/>
    <cellStyle name="Comma 2 2 3 3 3 4" xfId="3432" xr:uid="{B4C6A5FB-6B2A-49C2-9E4B-0C20A5535E93}"/>
    <cellStyle name="Comma 2 2 3 3 3 4 2" xfId="5438" xr:uid="{1D7DC28B-1918-40FD-9934-17BB7E7B1CBC}"/>
    <cellStyle name="Comma 2 2 3 3 3 5" xfId="3932" xr:uid="{7ADE5D9C-446E-4C2B-ACBF-B4F705BE39F8}"/>
    <cellStyle name="Comma 2 2 3 3 4" xfId="861" xr:uid="{A49108DB-17D5-478A-9F1B-754FE8991A63}"/>
    <cellStyle name="Comma 2 2 3 3 4 2" xfId="3090" xr:uid="{E5CFB2D5-C98D-413A-94C3-D156BAE1EF7D}"/>
    <cellStyle name="Comma 2 2 3 3 4 2 2" xfId="5096" xr:uid="{8D4C4AAC-6B8C-492A-ABA5-3F4BC5B764BA}"/>
    <cellStyle name="Comma 2 2 3 3 4 3" xfId="4134" xr:uid="{4CBB08FF-F64A-480E-9D4C-EDAB302FB9A3}"/>
    <cellStyle name="Comma 2 2 3 3 5" xfId="2255" xr:uid="{7DCBF3D2-A5FD-4F50-86A9-68D04364E56F}"/>
    <cellStyle name="Comma 2 2 3 3 5 2" xfId="4260" xr:uid="{61365DC4-81B3-4318-BE61-C85C1D44DD5D}"/>
    <cellStyle name="Comma 2 2 3 3 6" xfId="2672" xr:uid="{883B821A-0180-4A7B-A144-8D76FEBAD36D}"/>
    <cellStyle name="Comma 2 2 3 3 6 2" xfId="4678" xr:uid="{1EC664A7-5F85-4FBB-A3EF-2A8FF2FA65E2}"/>
    <cellStyle name="Comma 2 2 3 3 7" xfId="3216" xr:uid="{B8919163-7D24-4BC2-A4BC-5220100D1B95}"/>
    <cellStyle name="Comma 2 2 3 3 7 2" xfId="5222" xr:uid="{8CCA2326-4ED9-4075-95AE-72AC2182C424}"/>
    <cellStyle name="Comma 2 2 3 3 8" xfId="486" xr:uid="{356902C3-D520-47D1-B574-4EE5FF83D8D7}"/>
    <cellStyle name="Comma 2 2 3 3 9" xfId="3716" xr:uid="{71AB9965-F79E-4395-9D7A-7A9184A4481E}"/>
    <cellStyle name="Comma 2 2 3 4" xfId="234" xr:uid="{94928F37-0B7B-46F1-9F75-A620CE028794}"/>
    <cellStyle name="Comma 2 2 3 4 2" xfId="734" xr:uid="{F3F2833D-6531-4621-BE7C-7919A1876F50}"/>
    <cellStyle name="Comma 2 2 3 4 2 2" xfId="2543" xr:uid="{D25CEA5C-8E04-468A-A8C1-1F81BF5FCC47}"/>
    <cellStyle name="Comma 2 2 3 4 2 2 2" xfId="4549" xr:uid="{10B51213-81BC-4E11-940F-78501C7C4D49}"/>
    <cellStyle name="Comma 2 2 3 4 2 3" xfId="2961" xr:uid="{5EAA6DC3-B82D-4BBF-ABD5-D7F5034FACDF}"/>
    <cellStyle name="Comma 2 2 3 4 2 3 2" xfId="4967" xr:uid="{4C45FCC0-8AE3-45F8-AD05-2C3BE75C6CB5}"/>
    <cellStyle name="Comma 2 2 3 4 2 4" xfId="3505" xr:uid="{F7C36316-2DA1-4578-9B2A-FBE143E8E030}"/>
    <cellStyle name="Comma 2 2 3 4 2 4 2" xfId="5511" xr:uid="{18FF420C-52D1-410E-906A-2A77B02174D9}"/>
    <cellStyle name="Comma 2 2 3 4 2 5" xfId="4005" xr:uid="{BDAB8738-7377-4720-9646-E4D2F44B8FEE}"/>
    <cellStyle name="Comma 2 2 3 4 3" xfId="2332" xr:uid="{5664DB71-685F-402C-BABA-0AC154DAC520}"/>
    <cellStyle name="Comma 2 2 3 4 3 2" xfId="4337" xr:uid="{009E27C3-7742-42BC-8838-87475A4A8BEC}"/>
    <cellStyle name="Comma 2 2 3 4 4" xfId="2749" xr:uid="{6B9FE79D-37ED-4DF5-8959-220792FC0B92}"/>
    <cellStyle name="Comma 2 2 3 4 4 2" xfId="4755" xr:uid="{11636B72-9355-42B0-9F00-B653EBE75F79}"/>
    <cellStyle name="Comma 2 2 3 4 5" xfId="3293" xr:uid="{4A53D6E8-A8C0-44DF-934D-4B099842885A}"/>
    <cellStyle name="Comma 2 2 3 4 5 2" xfId="5299" xr:uid="{D0798AAB-084A-4B28-9E87-7E821854C915}"/>
    <cellStyle name="Comma 2 2 3 4 6" xfId="549" xr:uid="{D02866FB-2D11-4A20-B0BE-91CAA66E575C}"/>
    <cellStyle name="Comma 2 2 3 4 7" xfId="3793" xr:uid="{28D6EAD9-44F4-4A50-B52D-F549F7832BE3}"/>
    <cellStyle name="Comma 2 2 3 5" xfId="654" xr:uid="{316F78EB-1F87-4C68-87A2-BE57170DE28B}"/>
    <cellStyle name="Comma 2 2 3 5 2" xfId="2443" xr:uid="{9581579E-4FE2-4212-B3C2-3053011FA974}"/>
    <cellStyle name="Comma 2 2 3 5 2 2" xfId="4449" xr:uid="{FC7FD51A-5DDC-4CAB-A1D8-EC543050AB62}"/>
    <cellStyle name="Comma 2 2 3 5 3" xfId="2861" xr:uid="{F340F99F-3707-4D61-9925-A97F8176E5ED}"/>
    <cellStyle name="Comma 2 2 3 5 3 2" xfId="4867" xr:uid="{353DBFCE-21BB-496E-BDFF-99D236A1ECA0}"/>
    <cellStyle name="Comma 2 2 3 5 4" xfId="3405" xr:uid="{05696C87-4EAD-4EFA-8534-F3CFD7AE98C4}"/>
    <cellStyle name="Comma 2 2 3 5 4 2" xfId="5411" xr:uid="{84FC0122-331A-4B29-9210-517F002775E1}"/>
    <cellStyle name="Comma 2 2 3 5 5" xfId="3905" xr:uid="{E51E8CE7-B25F-4B0F-B967-3BD51956BCE9}"/>
    <cellStyle name="Comma 2 2 3 6" xfId="834" xr:uid="{59ED66D9-AE7C-44E8-9702-ECBBA2E92867}"/>
    <cellStyle name="Comma 2 2 3 6 2" xfId="3063" xr:uid="{E9538852-F7D5-4A38-AB19-88D760E99861}"/>
    <cellStyle name="Comma 2 2 3 6 2 2" xfId="5069" xr:uid="{4CEF7642-AD37-42E4-A9E0-D67147A569AD}"/>
    <cellStyle name="Comma 2 2 3 6 3" xfId="4107" xr:uid="{DCC96294-BEA3-47F2-8747-E72091344F98}"/>
    <cellStyle name="Comma 2 2 3 7" xfId="2228" xr:uid="{C1BE9549-C658-4084-8E6B-B18C193012ED}"/>
    <cellStyle name="Comma 2 2 3 7 2" xfId="4233" xr:uid="{C2AE7810-E027-477C-AF92-8E2533A26173}"/>
    <cellStyle name="Comma 2 2 3 8" xfId="2645" xr:uid="{AC6F6DAF-A784-46E4-BE02-6DB07D790EB8}"/>
    <cellStyle name="Comma 2 2 3 8 2" xfId="4651" xr:uid="{00488DEF-A6AF-4E6A-88C7-D36A3A775CCA}"/>
    <cellStyle name="Comma 2 2 3 9" xfId="3189" xr:uid="{00BC6B39-5EE0-4923-8A50-C2C02BF5C8B3}"/>
    <cellStyle name="Comma 2 2 3 9 2" xfId="5195" xr:uid="{A3E1C43D-4AA5-4C48-B5CD-C16C58AA5792}"/>
    <cellStyle name="Comma 2 2 4" xfId="135" xr:uid="{00000000-0005-0000-0000-000037000000}"/>
    <cellStyle name="Comma 2 2 5" xfId="177" xr:uid="{00000000-0005-0000-0000-000038000000}"/>
    <cellStyle name="Comma 2 2 5 2" xfId="282" xr:uid="{16E31B89-5A0C-4FF2-9A54-BAA345A95CE3}"/>
    <cellStyle name="Comma 2 2 5 2 2" xfId="781" xr:uid="{86A738C5-AF89-42AD-AACC-61096B04D43D}"/>
    <cellStyle name="Comma 2 2 5 2 2 2" xfId="2591" xr:uid="{6B5BC63B-80F4-4858-ACF0-61B05C783537}"/>
    <cellStyle name="Comma 2 2 5 2 2 2 2" xfId="4597" xr:uid="{71D2D24B-AC96-42DB-8CA2-530831D3FACF}"/>
    <cellStyle name="Comma 2 2 5 2 2 3" xfId="3009" xr:uid="{C9B246E2-1BDC-41C6-B68C-4141095F6F62}"/>
    <cellStyle name="Comma 2 2 5 2 2 3 2" xfId="5015" xr:uid="{150F2444-AD7E-4A26-BFD1-2D55F8478119}"/>
    <cellStyle name="Comma 2 2 5 2 2 4" xfId="3553" xr:uid="{AC3DC18B-4CAC-4BCD-AA03-9B81A6795C9B}"/>
    <cellStyle name="Comma 2 2 5 2 2 4 2" xfId="5559" xr:uid="{ED72B5FD-53E0-43E1-9517-3702C416E0F1}"/>
    <cellStyle name="Comma 2 2 5 2 2 5" xfId="4053" xr:uid="{86502D11-981C-42A8-910C-A1EFFE7F90ED}"/>
    <cellStyle name="Comma 2 2 5 2 3" xfId="2380" xr:uid="{5FCC357F-BEF6-4412-8644-AF705185B9D3}"/>
    <cellStyle name="Comma 2 2 5 2 3 2" xfId="4385" xr:uid="{7B570B18-1853-48F0-A9E9-24460CF78B68}"/>
    <cellStyle name="Comma 2 2 5 2 4" xfId="2797" xr:uid="{FBD80D87-D6E1-42B3-B7DE-D0CE7F43A196}"/>
    <cellStyle name="Comma 2 2 5 2 4 2" xfId="4803" xr:uid="{96178955-0E79-4FB6-B495-652B80DDF1C4}"/>
    <cellStyle name="Comma 2 2 5 2 5" xfId="3341" xr:uid="{28D11C35-AA99-4BD2-8551-DD880FA1E115}"/>
    <cellStyle name="Comma 2 2 5 2 5 2" xfId="5347" xr:uid="{C00999E0-5BEA-40C7-BF7E-3C785A52BFE6}"/>
    <cellStyle name="Comma 2 2 5 2 6" xfId="596" xr:uid="{141FFCBD-1BA6-4EA0-9070-2D272582B9A8}"/>
    <cellStyle name="Comma 2 2 5 2 7" xfId="3841" xr:uid="{9660B121-9499-41F6-B3AA-3C340DAFA8CD}"/>
    <cellStyle name="Comma 2 2 5 3" xfId="691" xr:uid="{468575C8-C2B4-45AF-BCAC-7AD5D0BB645B}"/>
    <cellStyle name="Comma 2 2 5 3 2" xfId="2491" xr:uid="{8F022CC4-BDA5-4AF6-A52C-A7819A6B2EC3}"/>
    <cellStyle name="Comma 2 2 5 3 2 2" xfId="4497" xr:uid="{D2A56B91-46EF-4DFB-B10F-83F9815D4F00}"/>
    <cellStyle name="Comma 2 2 5 3 3" xfId="2909" xr:uid="{07227C2F-CC0E-432F-B8E2-3423D99C9395}"/>
    <cellStyle name="Comma 2 2 5 3 3 2" xfId="4915" xr:uid="{D9860C50-A7A3-4494-8091-BEBCEB0BB516}"/>
    <cellStyle name="Comma 2 2 5 3 4" xfId="3453" xr:uid="{D9B0FC2B-EEAD-4B03-BBD7-10AF2094EEA7}"/>
    <cellStyle name="Comma 2 2 5 3 4 2" xfId="5459" xr:uid="{4A2D42B5-60F0-42B9-8312-A08B92EC71C4}"/>
    <cellStyle name="Comma 2 2 5 3 5" xfId="3953" xr:uid="{F188B27A-A423-43C3-B923-EF5792167F6D}"/>
    <cellStyle name="Comma 2 2 5 4" xfId="882" xr:uid="{497A320B-772C-4A5A-A44C-A47DDAE15B9A}"/>
    <cellStyle name="Comma 2 2 5 4 2" xfId="3111" xr:uid="{3E04332D-60E7-4166-8728-0FF46BDEFA1A}"/>
    <cellStyle name="Comma 2 2 5 4 2 2" xfId="5117" xr:uid="{AB2E44AD-24E3-4D4A-97D8-0DB945D4585C}"/>
    <cellStyle name="Comma 2 2 5 4 3" xfId="4155" xr:uid="{D96ECB83-D48B-4320-B0AC-F40FD173838B}"/>
    <cellStyle name="Comma 2 2 5 5" xfId="2276" xr:uid="{E94E3DB6-FCD8-4E05-A973-BE44F5B11F0A}"/>
    <cellStyle name="Comma 2 2 5 5 2" xfId="4281" xr:uid="{57752D13-EB34-4948-917D-F7421DFE7FA0}"/>
    <cellStyle name="Comma 2 2 5 6" xfId="2693" xr:uid="{A9F87461-D8C6-4A4F-846E-9187E8BD85CE}"/>
    <cellStyle name="Comma 2 2 5 6 2" xfId="4699" xr:uid="{01F1EEAD-E07D-4C88-8BA2-7D5523567276}"/>
    <cellStyle name="Comma 2 2 5 7" xfId="3237" xr:uid="{9CD9DA0D-6E42-4C5B-937A-EEC11715DA54}"/>
    <cellStyle name="Comma 2 2 5 7 2" xfId="5243" xr:uid="{858E3324-AA36-4806-A26B-E931BE830FAD}"/>
    <cellStyle name="Comma 2 2 5 8" xfId="504" xr:uid="{2500A3AE-E211-4736-8447-FC1E399EDD1B}"/>
    <cellStyle name="Comma 2 2 5 9" xfId="3737" xr:uid="{88E6A19C-0EEA-41EE-89AD-2A39562E20D8}"/>
    <cellStyle name="Comma 2 2 6" xfId="88" xr:uid="{00000000-0005-0000-0000-000039000000}"/>
    <cellStyle name="Comma 2 2 6 2" xfId="644" xr:uid="{075E5CBC-1A88-4C73-87E8-A83DF4CCA46A}"/>
    <cellStyle name="Comma 2 2 6 2 2" xfId="2431" xr:uid="{AD9CF265-7E2D-4E94-980F-1937E02337CB}"/>
    <cellStyle name="Comma 2 2 6 2 2 2" xfId="4437" xr:uid="{E2507BE5-8984-4B03-A235-BD806AC16657}"/>
    <cellStyle name="Comma 2 2 6 2 3" xfId="2849" xr:uid="{9CC4BAD3-386D-4341-801C-3FB4B52260C7}"/>
    <cellStyle name="Comma 2 2 6 2 3 2" xfId="4855" xr:uid="{38BB56CE-DF8D-46BC-8EB0-E32BD7F23F4F}"/>
    <cellStyle name="Comma 2 2 6 2 4" xfId="3393" xr:uid="{4DFECFEE-F127-46D6-BB34-74FDB7A13B0C}"/>
    <cellStyle name="Comma 2 2 6 2 4 2" xfId="5399" xr:uid="{0A441ED4-9D37-4E6E-B80A-095FACA3C2EB}"/>
    <cellStyle name="Comma 2 2 6 2 5" xfId="3893" xr:uid="{ABDEBC29-6087-43A2-87E9-33C5740470B3}"/>
    <cellStyle name="Comma 2 2 6 3" xfId="2320" xr:uid="{28B8B73E-D963-4E7E-981B-6776D8100434}"/>
    <cellStyle name="Comma 2 2 6 3 2" xfId="4325" xr:uid="{9F7D2972-1F28-4EFF-A7DF-85C3B952784D}"/>
    <cellStyle name="Comma 2 2 6 4" xfId="2737" xr:uid="{6E6542C9-7BB7-46AE-ABAB-20B9C678C2BF}"/>
    <cellStyle name="Comma 2 2 6 4 2" xfId="4743" xr:uid="{5D53E3FD-056A-4692-BFF4-0CE2011D31DB}"/>
    <cellStyle name="Comma 2 2 6 5" xfId="3281" xr:uid="{55972F22-AD41-412C-BD6A-0ADBE38B0A47}"/>
    <cellStyle name="Comma 2 2 6 5 2" xfId="5287" xr:uid="{EC5DC78E-3512-4724-81A1-BB0484B454D0}"/>
    <cellStyle name="Comma 2 2 6 6" xfId="538" xr:uid="{EF0F95CC-7392-45A9-803C-F7224E9AB095}"/>
    <cellStyle name="Comma 2 2 6 7" xfId="3781" xr:uid="{8853D17B-E5D6-49BA-8AC4-77B35FE8B929}"/>
    <cellStyle name="Comma 2 2 7" xfId="222" xr:uid="{3DAFF674-6BE6-4772-90CC-CD8C02E8A18E}"/>
    <cellStyle name="Comma 2 2 7 2" xfId="2531" xr:uid="{A736819B-68A8-4A3E-8084-02DC6DBED0B9}"/>
    <cellStyle name="Comma 2 2 7 2 2" xfId="4537" xr:uid="{B0703C59-AC46-454F-8360-66E404A8A85F}"/>
    <cellStyle name="Comma 2 2 7 3" xfId="2949" xr:uid="{8B902587-B215-4A19-A227-B1631E2F487C}"/>
    <cellStyle name="Comma 2 2 7 3 2" xfId="4955" xr:uid="{C1362403-F36B-497D-9D65-247373BC7CB4}"/>
    <cellStyle name="Comma 2 2 7 4" xfId="3493" xr:uid="{54D18EBF-3D4A-428F-93F1-9B0FBA09580F}"/>
    <cellStyle name="Comma 2 2 7 4 2" xfId="5499" xr:uid="{C480649A-73B0-42D8-8D96-207BC00D571A}"/>
    <cellStyle name="Comma 2 2 7 5" xfId="723" xr:uid="{149160AA-7A23-4D41-9786-BA647BC23A34}"/>
    <cellStyle name="Comma 2 2 7 6" xfId="3993" xr:uid="{A72EAF99-FF07-4285-8ACD-67607D184EB2}"/>
    <cellStyle name="Comma 2 2 8" xfId="638" xr:uid="{33ABAF9E-1439-4166-AF4B-50BE8AE3132D}"/>
    <cellStyle name="Comma 2 2 8 2" xfId="2423" xr:uid="{D41D6016-7CE6-4719-8F54-74051AB980F7}"/>
    <cellStyle name="Comma 2 2 8 2 2" xfId="4429" xr:uid="{040C236F-6418-4252-BF64-26EF23C7DBE2}"/>
    <cellStyle name="Comma 2 2 8 3" xfId="2841" xr:uid="{EAF09553-12C8-45E9-9B48-05B58DA5932E}"/>
    <cellStyle name="Comma 2 2 8 3 2" xfId="4847" xr:uid="{49447AAB-5A65-443B-BE8F-AFC1EB5FE73E}"/>
    <cellStyle name="Comma 2 2 8 4" xfId="3385" xr:uid="{51BCB204-2EB5-436B-812C-C204490B6B63}"/>
    <cellStyle name="Comma 2 2 8 4 2" xfId="5391" xr:uid="{02A908C2-23D5-49EB-9CB2-FAC401220EEA}"/>
    <cellStyle name="Comma 2 2 8 5" xfId="3885" xr:uid="{785D7ABF-1EA3-49D4-B5D9-7D4B6FF2EE2C}"/>
    <cellStyle name="Comma 2 2 9" xfId="822" xr:uid="{0EA064C1-61A0-4DE5-BC11-7673D053B505}"/>
    <cellStyle name="Comma 2 2 9 2" xfId="3051" xr:uid="{A63CEE7E-EAC5-44A5-A9D2-13229C9081D5}"/>
    <cellStyle name="Comma 2 2 9 2 2" xfId="5057" xr:uid="{DDBB0C8F-8A11-440F-8A5F-C5607D51CEAD}"/>
    <cellStyle name="Comma 2 2 9 3" xfId="4095" xr:uid="{9F9C2452-EFF3-4C4D-AFCA-6BFB104C038D}"/>
    <cellStyle name="Comma 2 3" xfId="105" xr:uid="{00000000-0005-0000-0000-00003A000000}"/>
    <cellStyle name="Comma 2 3 10" xfId="3645" xr:uid="{342CCDCA-236E-4B4B-A4AD-46A64796A0E9}"/>
    <cellStyle name="Comma 2 3 10 2" xfId="5629" xr:uid="{306074EC-D75F-4F77-87D1-C5B44F8FB112}"/>
    <cellStyle name="Comma 2 3 11" xfId="467" xr:uid="{1687FCE2-F20B-47F2-8C12-D4C869BBB7FA}"/>
    <cellStyle name="Comma 2 3 12" xfId="3687" xr:uid="{B0A389A0-0DE4-4E13-95BC-2AD04E6ADBA8}"/>
    <cellStyle name="Comma 2 3 13" xfId="5715" xr:uid="{D72E2CFA-015A-42A0-ACBF-27B5A09F87D6}"/>
    <cellStyle name="Comma 2 3 2" xfId="200" xr:uid="{00000000-0005-0000-0000-00003B000000}"/>
    <cellStyle name="Comma 2 3 2 10" xfId="5824" xr:uid="{22891186-1798-4924-8D40-1FC80F1FB63D}"/>
    <cellStyle name="Comma 2 3 2 2" xfId="301" xr:uid="{4AA95F65-297A-4935-8C2A-A805018B3938}"/>
    <cellStyle name="Comma 2 3 2 2 2" xfId="800" xr:uid="{5E00D41B-3FEC-4FBF-BDC8-9785708894F9}"/>
    <cellStyle name="Comma 2 3 2 2 2 2" xfId="2610" xr:uid="{77C49A18-E213-453B-BCF4-39C05EFF120A}"/>
    <cellStyle name="Comma 2 3 2 2 2 2 2" xfId="4616" xr:uid="{60A31E5B-1E88-4595-84B3-94B73F07561D}"/>
    <cellStyle name="Comma 2 3 2 2 2 3" xfId="3028" xr:uid="{3BF273F2-24CD-4E5B-BF4A-50F2208A70F5}"/>
    <cellStyle name="Comma 2 3 2 2 2 3 2" xfId="5034" xr:uid="{93F89F87-0B49-42B1-A135-3493ACBBFD1C}"/>
    <cellStyle name="Comma 2 3 2 2 2 4" xfId="3572" xr:uid="{E826D4FE-52D0-425F-918B-45ADBC2531F8}"/>
    <cellStyle name="Comma 2 3 2 2 2 4 2" xfId="5578" xr:uid="{3BE6DE1F-30C5-4024-B551-6AE6AD2B5D31}"/>
    <cellStyle name="Comma 2 3 2 2 2 5" xfId="4072" xr:uid="{9BDB4773-BCAE-4B96-B372-FF87B320A608}"/>
    <cellStyle name="Comma 2 3 2 2 3" xfId="2399" xr:uid="{3569B241-D8C2-4055-ADA5-632F6F5F42B5}"/>
    <cellStyle name="Comma 2 3 2 2 3 2" xfId="4404" xr:uid="{0DCB959C-B743-4EC9-AF98-44538730933F}"/>
    <cellStyle name="Comma 2 3 2 2 4" xfId="2816" xr:uid="{D19218C6-B9D1-438D-A377-320F2FCE63F7}"/>
    <cellStyle name="Comma 2 3 2 2 4 2" xfId="4822" xr:uid="{B7E49C56-52A4-4A3B-B9F7-11F54E45BE95}"/>
    <cellStyle name="Comma 2 3 2 2 5" xfId="3360" xr:uid="{07C3CC72-34AD-4E3A-BF75-1E474D1A08FD}"/>
    <cellStyle name="Comma 2 3 2 2 5 2" xfId="5366" xr:uid="{78AF472D-233B-4CC9-B765-B0182C573886}"/>
    <cellStyle name="Comma 2 3 2 2 6" xfId="615" xr:uid="{049868A5-58B5-40C4-A0AA-444F6F2CCB7B}"/>
    <cellStyle name="Comma 2 3 2 2 7" xfId="3860" xr:uid="{72520A07-51F6-422E-9CA0-7A766DEEA412}"/>
    <cellStyle name="Comma 2 3 2 3" xfId="704" xr:uid="{F6E4A6EF-E377-4AA2-BDF3-C52D11E1849E}"/>
    <cellStyle name="Comma 2 3 2 3 2" xfId="2510" xr:uid="{706C68E0-0BC6-4340-A654-F12C1040E373}"/>
    <cellStyle name="Comma 2 3 2 3 2 2" xfId="4516" xr:uid="{FD9785B1-BF73-4B35-BCD1-9281077D40C8}"/>
    <cellStyle name="Comma 2 3 2 3 3" xfId="2928" xr:uid="{7EAD2761-F8F4-48D6-8037-276940BA3712}"/>
    <cellStyle name="Comma 2 3 2 3 3 2" xfId="4934" xr:uid="{7F459EF9-A222-44C1-88E9-3C40F0AA279B}"/>
    <cellStyle name="Comma 2 3 2 3 4" xfId="3472" xr:uid="{BD95F3C5-EF60-43EC-B0C1-4B59D03C1720}"/>
    <cellStyle name="Comma 2 3 2 3 4 2" xfId="5478" xr:uid="{BF5B8C34-B4CF-4AF8-91BD-C0825F87C135}"/>
    <cellStyle name="Comma 2 3 2 3 5" xfId="3972" xr:uid="{A6282537-2FC4-40BC-A548-9E121C8C31EC}"/>
    <cellStyle name="Comma 2 3 2 4" xfId="901" xr:uid="{1AC534C9-2AFC-4016-BA54-AC3C02818316}"/>
    <cellStyle name="Comma 2 3 2 4 2" xfId="3130" xr:uid="{4D37F010-61AF-465D-9EEE-1E4E34E794FE}"/>
    <cellStyle name="Comma 2 3 2 4 2 2" xfId="5136" xr:uid="{C66F22C0-1574-4F28-BDD9-F220B30E3F98}"/>
    <cellStyle name="Comma 2 3 2 4 3" xfId="4174" xr:uid="{5F01B7EF-9EDF-4071-95DB-477090ECC37E}"/>
    <cellStyle name="Comma 2 3 2 5" xfId="2295" xr:uid="{A7712C06-0213-4925-AA4D-326086BC85BC}"/>
    <cellStyle name="Comma 2 3 2 5 2" xfId="4300" xr:uid="{7B54BFDF-AC82-4158-9C93-41AE2DE78B16}"/>
    <cellStyle name="Comma 2 3 2 6" xfId="2712" xr:uid="{BF0A22DE-A256-4739-A2F3-729D20F378DE}"/>
    <cellStyle name="Comma 2 3 2 6 2" xfId="4718" xr:uid="{3B817C0A-F4C6-4A6D-8B27-E6F7CF516412}"/>
    <cellStyle name="Comma 2 3 2 7" xfId="3256" xr:uid="{7A286D5E-887C-4FD8-9D3C-9F484D95FFD8}"/>
    <cellStyle name="Comma 2 3 2 7 2" xfId="5262" xr:uid="{F4B28F23-5408-4783-B40A-78947C9EC7D2}"/>
    <cellStyle name="Comma 2 3 2 8" xfId="517" xr:uid="{98C8E8C7-32AC-4833-8D2F-5E791681B8B7}"/>
    <cellStyle name="Comma 2 3 2 9" xfId="3756" xr:uid="{774CCC18-9631-42D9-B504-4CFF914C51BE}"/>
    <cellStyle name="Comma 2 3 3" xfId="153" xr:uid="{00000000-0005-0000-0000-00003C000000}"/>
    <cellStyle name="Comma 2 3 3 2" xfId="259" xr:uid="{AB7B6F1B-84A4-426F-B603-9A80383FEE29}"/>
    <cellStyle name="Comma 2 3 3 2 2" xfId="759" xr:uid="{FA7D0E58-330F-4107-9A42-096822112B85}"/>
    <cellStyle name="Comma 2 3 3 2 2 2" xfId="2568" xr:uid="{8D8A5AD7-0DEE-4D17-875F-8F15438101E0}"/>
    <cellStyle name="Comma 2 3 3 2 2 2 2" xfId="4574" xr:uid="{BAF67BF0-98C0-4B2C-830D-8F1F81A2A875}"/>
    <cellStyle name="Comma 2 3 3 2 2 3" xfId="2986" xr:uid="{3A9A6E4A-6ABB-4794-85FC-0C75958684C3}"/>
    <cellStyle name="Comma 2 3 3 2 2 3 2" xfId="4992" xr:uid="{347467CD-E9DB-48CA-B4C1-C485E53C9C91}"/>
    <cellStyle name="Comma 2 3 3 2 2 4" xfId="3530" xr:uid="{88423D91-CDC3-4F71-90BF-4E2446F69E8D}"/>
    <cellStyle name="Comma 2 3 3 2 2 4 2" xfId="5536" xr:uid="{2C177BCA-347E-460D-A550-262888AD0B5A}"/>
    <cellStyle name="Comma 2 3 3 2 2 5" xfId="4030" xr:uid="{101F5CEF-4C28-4FB3-9B8C-EE1AC3A307CA}"/>
    <cellStyle name="Comma 2 3 3 2 3" xfId="2357" xr:uid="{9B9A3E9C-98DD-4405-8402-281D54614336}"/>
    <cellStyle name="Comma 2 3 3 2 3 2" xfId="4362" xr:uid="{155D2D0D-C18C-41AF-9D87-7C1F8E4C9DBA}"/>
    <cellStyle name="Comma 2 3 3 2 4" xfId="2774" xr:uid="{D2ABE043-5334-44E6-BB7A-E37CB5D90A3F}"/>
    <cellStyle name="Comma 2 3 3 2 4 2" xfId="4780" xr:uid="{C8B29E47-AE11-4B25-A118-D2719BE3A43A}"/>
    <cellStyle name="Comma 2 3 3 2 5" xfId="3318" xr:uid="{2CD17D47-6D10-4A78-8276-9CB4DF5C39E0}"/>
    <cellStyle name="Comma 2 3 3 2 5 2" xfId="5324" xr:uid="{26AE848B-BB82-4D74-8A84-5FBF69A1E2DD}"/>
    <cellStyle name="Comma 2 3 3 2 6" xfId="574" xr:uid="{63604799-AD3D-4A93-87AE-D633B8E560BB}"/>
    <cellStyle name="Comma 2 3 3 2 7" xfId="3818" xr:uid="{5B094B90-DFD5-47D6-ADCB-C4000EC72F31}"/>
    <cellStyle name="Comma 2 3 3 3" xfId="671" xr:uid="{BC391D0A-4C7B-4F32-81D4-BAF4FBBB2199}"/>
    <cellStyle name="Comma 2 3 3 3 2" xfId="2468" xr:uid="{3CF90A1D-0EA1-4658-AD47-C9B441A74310}"/>
    <cellStyle name="Comma 2 3 3 3 2 2" xfId="4474" xr:uid="{49F5124E-795D-4C4D-90F2-3852AD2EB774}"/>
    <cellStyle name="Comma 2 3 3 3 3" xfId="2886" xr:uid="{D390CEE5-8AC3-4D74-A543-F24B25C346DD}"/>
    <cellStyle name="Comma 2 3 3 3 3 2" xfId="4892" xr:uid="{4827461A-6FDB-4458-AEB7-B11665ABDE0A}"/>
    <cellStyle name="Comma 2 3 3 3 4" xfId="3430" xr:uid="{E5FBA5DD-C62B-4CCC-8BF3-62D474EEF26D}"/>
    <cellStyle name="Comma 2 3 3 3 4 2" xfId="5436" xr:uid="{CE4A980A-238A-4A7D-855A-156FCEA9D3AA}"/>
    <cellStyle name="Comma 2 3 3 3 5" xfId="3930" xr:uid="{2D878210-CDE4-440F-A24F-81DF43A82325}"/>
    <cellStyle name="Comma 2 3 3 4" xfId="859" xr:uid="{D617D295-E611-4576-82FC-9B8D4F25D0D6}"/>
    <cellStyle name="Comma 2 3 3 4 2" xfId="3088" xr:uid="{5C918BEA-694D-45DE-91D5-9B1F22DBACA0}"/>
    <cellStyle name="Comma 2 3 3 4 2 2" xfId="5094" xr:uid="{760A953F-9A8B-485D-B89F-583B5EAD4B17}"/>
    <cellStyle name="Comma 2 3 3 4 3" xfId="4132" xr:uid="{7911979D-31A2-41BF-B60C-72DB404B3E31}"/>
    <cellStyle name="Comma 2 3 3 5" xfId="2253" xr:uid="{A77ABF62-CB73-455F-A349-68F42BB797FC}"/>
    <cellStyle name="Comma 2 3 3 5 2" xfId="4258" xr:uid="{51032AD7-125F-4CA6-B12A-65CFD7B12CA5}"/>
    <cellStyle name="Comma 2 3 3 6" xfId="2670" xr:uid="{8027E085-18ED-4566-B09B-CF54C406AC0C}"/>
    <cellStyle name="Comma 2 3 3 6 2" xfId="4676" xr:uid="{B5F46B5F-42E1-4C73-80D7-CE096DE8A4CA}"/>
    <cellStyle name="Comma 2 3 3 7" xfId="3214" xr:uid="{14F3B4CA-46E7-4AA5-BE04-76C866D7DD6F}"/>
    <cellStyle name="Comma 2 3 3 7 2" xfId="5220" xr:uid="{82D9D3C3-22BF-4822-A6BA-4250F495C9FA}"/>
    <cellStyle name="Comma 2 3 3 8" xfId="484" xr:uid="{97081F72-C84C-4EFB-8C08-65FEC3515803}"/>
    <cellStyle name="Comma 2 3 3 9" xfId="3714" xr:uid="{493AB455-C39F-43AE-AB5F-057C5AB206B7}"/>
    <cellStyle name="Comma 2 3 4" xfId="232" xr:uid="{AF2F59B7-431E-40E9-89D3-37D13C72D58D}"/>
    <cellStyle name="Comma 2 3 4 2" xfId="732" xr:uid="{B0B513BF-3B65-4D0D-BA1B-419A7EC7CCDE}"/>
    <cellStyle name="Comma 2 3 4 2 2" xfId="2541" xr:uid="{5D44691E-77F3-487B-B7C9-2B044A788C77}"/>
    <cellStyle name="Comma 2 3 4 2 2 2" xfId="4547" xr:uid="{27C61784-EADF-43B4-B78E-65E3BDA0A8FE}"/>
    <cellStyle name="Comma 2 3 4 2 3" xfId="2959" xr:uid="{1612DDB8-589A-4FD5-977C-A9BCEA250508}"/>
    <cellStyle name="Comma 2 3 4 2 3 2" xfId="4965" xr:uid="{EB9F15AE-BE89-4D6A-94D0-606828D80467}"/>
    <cellStyle name="Comma 2 3 4 2 4" xfId="3503" xr:uid="{3F627C1F-22AF-4B5A-B262-E71EFD8408D8}"/>
    <cellStyle name="Comma 2 3 4 2 4 2" xfId="5509" xr:uid="{A5CDFF0E-385D-4206-B519-320972DC67DC}"/>
    <cellStyle name="Comma 2 3 4 2 5" xfId="4003" xr:uid="{A960EEED-6B83-4109-94DE-58161294869D}"/>
    <cellStyle name="Comma 2 3 4 3" xfId="2330" xr:uid="{1F6FD5F9-58D5-41F3-ABBD-DCB1BAAAF30B}"/>
    <cellStyle name="Comma 2 3 4 3 2" xfId="4335" xr:uid="{BBF65EE1-4CC5-47BD-B9CD-76AA29890667}"/>
    <cellStyle name="Comma 2 3 4 4" xfId="2747" xr:uid="{E6DD739D-CE0A-4811-9503-C578514CB938}"/>
    <cellStyle name="Comma 2 3 4 4 2" xfId="4753" xr:uid="{A6C1A8A5-B82E-4B7D-B2D9-1FE24AAFF2E4}"/>
    <cellStyle name="Comma 2 3 4 5" xfId="3291" xr:uid="{0EF83F34-0677-4813-B755-E9D726CE1C3E}"/>
    <cellStyle name="Comma 2 3 4 5 2" xfId="5297" xr:uid="{59661E6E-4393-48AC-B284-D818012C66F2}"/>
    <cellStyle name="Comma 2 3 4 6" xfId="547" xr:uid="{37D0021C-E731-4268-9497-36A46695898A}"/>
    <cellStyle name="Comma 2 3 4 7" xfId="3791" xr:uid="{C22D8723-6DEB-4F16-AF6A-5827840301AB}"/>
    <cellStyle name="Comma 2 3 5" xfId="652" xr:uid="{E4C6C4A0-1615-417D-94AB-676410771402}"/>
    <cellStyle name="Comma 2 3 5 2" xfId="2441" xr:uid="{2BC61272-5EE3-4FBE-A5A6-78C6E2ADF9B5}"/>
    <cellStyle name="Comma 2 3 5 2 2" xfId="4447" xr:uid="{43CFAB3B-751D-486E-89CE-D3B2B5149688}"/>
    <cellStyle name="Comma 2 3 5 3" xfId="2859" xr:uid="{31E58D3A-9C3F-42BC-BFA2-87D530174632}"/>
    <cellStyle name="Comma 2 3 5 3 2" xfId="4865" xr:uid="{485DF824-B4F9-4E29-9675-D0253AE8D4F4}"/>
    <cellStyle name="Comma 2 3 5 4" xfId="3403" xr:uid="{A83B995B-55F5-4AEC-9197-CEE22F79AC05}"/>
    <cellStyle name="Comma 2 3 5 4 2" xfId="5409" xr:uid="{CB5F382C-AE6C-48BA-9881-8E39EDD02F2B}"/>
    <cellStyle name="Comma 2 3 5 5" xfId="3903" xr:uid="{CD20C3BF-8B23-48FD-B52C-F9A5FFCB014B}"/>
    <cellStyle name="Comma 2 3 6" xfId="832" xr:uid="{F748FCD4-1D62-4F88-8DB0-ABFCCC301950}"/>
    <cellStyle name="Comma 2 3 6 2" xfId="3061" xr:uid="{2AD82E43-6053-49E6-AD92-F468488E680D}"/>
    <cellStyle name="Comma 2 3 6 2 2" xfId="5067" xr:uid="{7C4CACF3-4482-4E7B-9EA2-864B5654A1DD}"/>
    <cellStyle name="Comma 2 3 6 3" xfId="4105" xr:uid="{69840026-A3D7-4148-9454-FE2595C11BE2}"/>
    <cellStyle name="Comma 2 3 7" xfId="2226" xr:uid="{7FCF6C5A-359D-48B6-A6B2-B33F2B07E4B1}"/>
    <cellStyle name="Comma 2 3 7 2" xfId="4231" xr:uid="{6A219CEC-4C9D-4B47-B48E-7757E3CA40C4}"/>
    <cellStyle name="Comma 2 3 8" xfId="2643" xr:uid="{6D4F43D9-9BDA-4749-A0C1-FCD7606B38D2}"/>
    <cellStyle name="Comma 2 3 8 2" xfId="4649" xr:uid="{E2DE7389-CDAA-4D4B-A043-95B62EC2483B}"/>
    <cellStyle name="Comma 2 3 9" xfId="3187" xr:uid="{8A345F3D-9C22-478D-9B8D-DFAF20E86B68}"/>
    <cellStyle name="Comma 2 3 9 2" xfId="5193" xr:uid="{A0B465E8-3C90-455E-9236-9A1AD6C852FC}"/>
    <cellStyle name="Comma 2 4" xfId="187" xr:uid="{00000000-0005-0000-0000-00003D000000}"/>
    <cellStyle name="Comma 2 4 10" xfId="3746" xr:uid="{9F699812-C5C9-47AD-BFC6-62E958C79F57}"/>
    <cellStyle name="Comma 2 4 2" xfId="291" xr:uid="{9331C7CA-F45C-467A-A3FA-6940B8C4EB27}"/>
    <cellStyle name="Comma 2 4 2 2" xfId="790" xr:uid="{B2E01810-FBC8-4C47-9DB5-4E2A0B8B3878}"/>
    <cellStyle name="Comma 2 4 2 2 2" xfId="2600" xr:uid="{5BC01B08-672F-48ED-933F-3384A583D5D0}"/>
    <cellStyle name="Comma 2 4 2 2 2 2" xfId="4606" xr:uid="{C64682C3-2E96-402E-991C-DEBCA200131F}"/>
    <cellStyle name="Comma 2 4 2 2 3" xfId="3018" xr:uid="{0DF03ADA-A307-4DFF-A119-363454680B95}"/>
    <cellStyle name="Comma 2 4 2 2 3 2" xfId="5024" xr:uid="{80B3FE17-2FBD-4E4B-903E-E8875C67494F}"/>
    <cellStyle name="Comma 2 4 2 2 4" xfId="3562" xr:uid="{5604E4C7-8100-4145-A34B-96C7E263CCE7}"/>
    <cellStyle name="Comma 2 4 2 2 4 2" xfId="5568" xr:uid="{D403F145-89F9-410A-A370-2268B67210F2}"/>
    <cellStyle name="Comma 2 4 2 2 5" xfId="4062" xr:uid="{5EEB3D09-4F29-48A1-8807-514DA558D686}"/>
    <cellStyle name="Comma 2 4 2 2 6" xfId="5825" xr:uid="{7FFF4DDD-880A-4823-8A14-4EF285CE3B58}"/>
    <cellStyle name="Comma 2 4 2 3" xfId="2389" xr:uid="{2ACEF6B7-D016-40C6-A266-BC47897A33C0}"/>
    <cellStyle name="Comma 2 4 2 3 2" xfId="4394" xr:uid="{04E2FE35-F279-466A-8C13-5086DA00EFDB}"/>
    <cellStyle name="Comma 2 4 2 4" xfId="2806" xr:uid="{6272E7DB-BA95-4D7F-9E27-87AABBF4903C}"/>
    <cellStyle name="Comma 2 4 2 4 2" xfId="4812" xr:uid="{B5251E19-4E03-4C6D-A2FF-BC433FFE121C}"/>
    <cellStyle name="Comma 2 4 2 5" xfId="3350" xr:uid="{387D34CD-B3BC-4C7B-81B8-D9EE56228128}"/>
    <cellStyle name="Comma 2 4 2 5 2" xfId="5356" xr:uid="{C1283D81-2AB4-4A0A-AF96-A6FA2CE57D31}"/>
    <cellStyle name="Comma 2 4 2 6" xfId="605" xr:uid="{CE651A7F-DC68-486D-A85F-C18EC49BFC02}"/>
    <cellStyle name="Comma 2 4 2 7" xfId="3850" xr:uid="{2490715C-29CF-47B7-9D3A-4D98EF6C43F3}"/>
    <cellStyle name="Comma 2 4 2 8" xfId="5716" xr:uid="{5333D1A6-EF87-43D3-9340-CF4D6B37759B}"/>
    <cellStyle name="Comma 2 4 3" xfId="697" xr:uid="{888EC0CB-7246-42B4-88E0-0D5E96617CE3}"/>
    <cellStyle name="Comma 2 4 3 2" xfId="2500" xr:uid="{6519DE28-8EED-4004-87FA-CB51C1BDEC34}"/>
    <cellStyle name="Comma 2 4 3 2 2" xfId="4506" xr:uid="{2BACC1D0-03A2-4019-8DB9-9B4F4A66CD65}"/>
    <cellStyle name="Comma 2 4 3 3" xfId="2918" xr:uid="{D33F90EC-4C54-4D3A-B25E-3354C0144E66}"/>
    <cellStyle name="Comma 2 4 3 3 2" xfId="4924" xr:uid="{475D7EEA-C096-4FAD-92F3-27FACCAED0E1}"/>
    <cellStyle name="Comma 2 4 3 4" xfId="3462" xr:uid="{FA696BEA-9D44-48C4-8E4A-9139E714BFB3}"/>
    <cellStyle name="Comma 2 4 3 4 2" xfId="5468" xr:uid="{B3AF075E-DDB8-4593-BC8C-E2DEF87B483C}"/>
    <cellStyle name="Comma 2 4 3 5" xfId="3962" xr:uid="{9034D069-A660-4473-9D01-025024A87678}"/>
    <cellStyle name="Comma 2 4 4" xfId="891" xr:uid="{055F91B7-149E-437C-8370-AB86A7C617DD}"/>
    <cellStyle name="Comma 2 4 4 2" xfId="3120" xr:uid="{6C4F6840-3BE1-4310-AF56-D23041336792}"/>
    <cellStyle name="Comma 2 4 4 2 2" xfId="5126" xr:uid="{92F38570-289D-41CE-8C7E-9E7916C73556}"/>
    <cellStyle name="Comma 2 4 4 3" xfId="4164" xr:uid="{D6467DC7-1658-4551-98AE-5F9B647F55F7}"/>
    <cellStyle name="Comma 2 4 5" xfId="2285" xr:uid="{84A47598-E63A-4A32-97B1-221C119B0318}"/>
    <cellStyle name="Comma 2 4 5 2" xfId="4290" xr:uid="{1CA70AA4-DBD0-489F-A5E2-9E89CFDC5B1E}"/>
    <cellStyle name="Comma 2 4 6" xfId="2702" xr:uid="{D66212F0-E921-4C2F-A88C-253E510E2236}"/>
    <cellStyle name="Comma 2 4 6 2" xfId="4708" xr:uid="{F8FC6801-F56C-4E12-862E-9C1B59F4A988}"/>
    <cellStyle name="Comma 2 4 7" xfId="3246" xr:uid="{73A74C62-C08C-4A3A-AC86-60248BFE5CCF}"/>
    <cellStyle name="Comma 2 4 7 2" xfId="5252" xr:uid="{9DD1ABFB-D177-4CC9-A721-46EDB279D543}"/>
    <cellStyle name="Comma 2 4 8" xfId="3646" xr:uid="{43514C50-CBB9-468F-A5C5-1BE12241907D}"/>
    <cellStyle name="Comma 2 4 8 2" xfId="5630" xr:uid="{2D663B41-5868-46A5-99C0-281AD3348985}"/>
    <cellStyle name="Comma 2 4 9" xfId="510" xr:uid="{EC659F22-F63A-4DE9-95C0-EDE691D6D6AF}"/>
    <cellStyle name="Comma 2 5" xfId="175" xr:uid="{00000000-0005-0000-0000-00003E000000}"/>
    <cellStyle name="Comma 2 5 10" xfId="5783" xr:uid="{7F2A1050-A626-4A7C-BFE2-8C090469630C}"/>
    <cellStyle name="Comma 2 5 2" xfId="280" xr:uid="{969A4956-9778-4630-ADB2-454BEE43BF5D}"/>
    <cellStyle name="Comma 2 5 2 2" xfId="779" xr:uid="{7CCDB734-9FA3-41C5-B79E-E7C0AF2AA261}"/>
    <cellStyle name="Comma 2 5 2 2 2" xfId="2589" xr:uid="{DCE60C7A-63AF-4306-9B9F-906F1A935A91}"/>
    <cellStyle name="Comma 2 5 2 2 2 2" xfId="4595" xr:uid="{DE1E132C-17C6-4FFD-8D07-36203E51A73D}"/>
    <cellStyle name="Comma 2 5 2 2 3" xfId="3007" xr:uid="{EB422134-3677-4FF4-9246-FB003B362F21}"/>
    <cellStyle name="Comma 2 5 2 2 3 2" xfId="5013" xr:uid="{4E87552C-0D65-423B-8EFE-1B822ADB96DE}"/>
    <cellStyle name="Comma 2 5 2 2 4" xfId="3551" xr:uid="{E0469DFF-26EE-480B-8C2A-5B74DF107C55}"/>
    <cellStyle name="Comma 2 5 2 2 4 2" xfId="5557" xr:uid="{A649CE23-DD59-47CE-BE5B-A7EF91C20EC9}"/>
    <cellStyle name="Comma 2 5 2 2 5" xfId="4051" xr:uid="{6B72969E-3439-4F1D-A344-39E0D52BC337}"/>
    <cellStyle name="Comma 2 5 2 3" xfId="2378" xr:uid="{796F50E4-F9C2-4D35-B12D-D6099C759FF7}"/>
    <cellStyle name="Comma 2 5 2 3 2" xfId="4383" xr:uid="{48ED0F75-998E-4E71-B9B2-7B379234DB4C}"/>
    <cellStyle name="Comma 2 5 2 4" xfId="2795" xr:uid="{ABF65152-9A71-44E2-B55A-BE338405722A}"/>
    <cellStyle name="Comma 2 5 2 4 2" xfId="4801" xr:uid="{A078E501-4D2B-4478-99C9-A2C451550555}"/>
    <cellStyle name="Comma 2 5 2 5" xfId="3339" xr:uid="{3E5B1AD1-EA73-4023-9BD6-969E43C927F9}"/>
    <cellStyle name="Comma 2 5 2 5 2" xfId="5345" xr:uid="{1DE3066E-F103-4C21-9FEC-C48A0BF4400D}"/>
    <cellStyle name="Comma 2 5 2 6" xfId="594" xr:uid="{CE8686A4-DF30-4D6C-A8E6-FAC2F232CAF1}"/>
    <cellStyle name="Comma 2 5 2 7" xfId="3839" xr:uid="{3377EE00-B3D7-4FE8-9B15-E380B070CD2C}"/>
    <cellStyle name="Comma 2 5 3" xfId="689" xr:uid="{98ED4D04-CF01-4462-8A0A-2F284C26B61A}"/>
    <cellStyle name="Comma 2 5 3 2" xfId="2489" xr:uid="{ECBAE6C1-79A2-4392-96EA-1387B7FFBFC4}"/>
    <cellStyle name="Comma 2 5 3 2 2" xfId="4495" xr:uid="{86051839-3331-46DF-B38B-C119A2C88820}"/>
    <cellStyle name="Comma 2 5 3 3" xfId="2907" xr:uid="{8EBC251E-76DA-4AD3-B7F1-A7EFCE23BDC0}"/>
    <cellStyle name="Comma 2 5 3 3 2" xfId="4913" xr:uid="{C3BED091-AE27-4F14-94C3-57E9FC314BC1}"/>
    <cellStyle name="Comma 2 5 3 4" xfId="3451" xr:uid="{457C159C-0BED-49A6-AA92-A8B84E3000F2}"/>
    <cellStyle name="Comma 2 5 3 4 2" xfId="5457" xr:uid="{665A3EDA-C197-4780-8752-51F94D73B6F7}"/>
    <cellStyle name="Comma 2 5 3 5" xfId="3951" xr:uid="{FD7EC481-DD7B-4FB7-A078-F403962ACCC8}"/>
    <cellStyle name="Comma 2 5 4" xfId="880" xr:uid="{4FB00ABC-52C6-431F-8644-11129ECA7F27}"/>
    <cellStyle name="Comma 2 5 4 2" xfId="3109" xr:uid="{C6203AED-D215-4095-84F0-625EFA325B27}"/>
    <cellStyle name="Comma 2 5 4 2 2" xfId="5115" xr:uid="{234BF194-EEDB-4789-9DEA-278F8C9F9FEB}"/>
    <cellStyle name="Comma 2 5 4 3" xfId="4153" xr:uid="{33F5D05F-12DE-4243-8FE5-8978C97CFFA0}"/>
    <cellStyle name="Comma 2 5 5" xfId="2274" xr:uid="{6DF1476A-7DFF-432B-9584-A6D55CA9C6BE}"/>
    <cellStyle name="Comma 2 5 5 2" xfId="4279" xr:uid="{A5AC8D60-EABC-4CBE-9A92-FD20924285B0}"/>
    <cellStyle name="Comma 2 5 6" xfId="2691" xr:uid="{3AE448FE-A19B-4FB0-9B85-9BA5B7AA5CB7}"/>
    <cellStyle name="Comma 2 5 6 2" xfId="4697" xr:uid="{C2B01D33-268D-4398-B0D1-C50C1D3760C3}"/>
    <cellStyle name="Comma 2 5 7" xfId="3235" xr:uid="{329453BC-7DE0-42B5-9189-EDA34D62EA6E}"/>
    <cellStyle name="Comma 2 5 7 2" xfId="5241" xr:uid="{E000BA4A-FE9B-494F-9C4F-CB1AD4D5578B}"/>
    <cellStyle name="Comma 2 5 8" xfId="502" xr:uid="{727A019F-48BE-48C6-9C93-BA0A5CAA19F3}"/>
    <cellStyle name="Comma 2 5 9" xfId="3735" xr:uid="{BE735F11-AB49-4E62-BF9A-73837CC959E3}"/>
    <cellStyle name="Comma 2 6" xfId="143" xr:uid="{00000000-0005-0000-0000-00003F000000}"/>
    <cellStyle name="Comma 2 6 10" xfId="5803" xr:uid="{B7C0DE87-F82D-4817-BD9E-27023509CBF0}"/>
    <cellStyle name="Comma 2 6 2" xfId="249" xr:uid="{862F28BD-7468-44D4-92B2-74A29FF719F5}"/>
    <cellStyle name="Comma 2 6 2 2" xfId="749" xr:uid="{71175B1E-5EB4-4171-8F69-050B431EBDC5}"/>
    <cellStyle name="Comma 2 6 2 2 2" xfId="2558" xr:uid="{70AF5CFB-FDCC-4D2A-B159-4C034AF6D9D3}"/>
    <cellStyle name="Comma 2 6 2 2 2 2" xfId="4564" xr:uid="{60B0628C-B0FA-4E35-B06A-C82CD250088C}"/>
    <cellStyle name="Comma 2 6 2 2 3" xfId="2976" xr:uid="{53E1F301-EFD3-4305-8C10-17BB79660B77}"/>
    <cellStyle name="Comma 2 6 2 2 3 2" xfId="4982" xr:uid="{D105B114-BE40-433B-BE11-C157301983E0}"/>
    <cellStyle name="Comma 2 6 2 2 4" xfId="3520" xr:uid="{3E25766C-04ED-4257-AD0F-F4A80EA2B1EE}"/>
    <cellStyle name="Comma 2 6 2 2 4 2" xfId="5526" xr:uid="{9A4D8042-B8C2-4BB3-9285-0B9E4602104C}"/>
    <cellStyle name="Comma 2 6 2 2 5" xfId="4020" xr:uid="{DF34D0D5-E7CE-44B7-BBAF-B86FF1EFD0B5}"/>
    <cellStyle name="Comma 2 6 2 3" xfId="2347" xr:uid="{DFF54492-0F51-4A78-B0D1-533D4C23B134}"/>
    <cellStyle name="Comma 2 6 2 3 2" xfId="4352" xr:uid="{CFA4BF7E-5749-4593-B623-515BCABACA93}"/>
    <cellStyle name="Comma 2 6 2 4" xfId="2764" xr:uid="{2F7127B4-5A1A-430B-924D-1350BB0702B5}"/>
    <cellStyle name="Comma 2 6 2 4 2" xfId="4770" xr:uid="{2AA520A6-CCDA-4C2D-BE9B-632ED03B0F84}"/>
    <cellStyle name="Comma 2 6 2 5" xfId="3308" xr:uid="{D2C78239-F96A-4838-A42D-1176A8D1DD84}"/>
    <cellStyle name="Comma 2 6 2 5 2" xfId="5314" xr:uid="{03A5B5D6-C644-46B2-95A2-664E6429B072}"/>
    <cellStyle name="Comma 2 6 2 6" xfId="564" xr:uid="{B6818A9E-5724-40B4-A99A-782403028D0E}"/>
    <cellStyle name="Comma 2 6 2 7" xfId="3808" xr:uid="{6B92B4DE-A628-4D19-B18C-04C4A061464C}"/>
    <cellStyle name="Comma 2 6 3" xfId="663" xr:uid="{026DF0EE-8DEE-4C91-91D5-DB1911CB0753}"/>
    <cellStyle name="Comma 2 6 3 2" xfId="2458" xr:uid="{6E72462B-9AFB-4CF9-99B0-A015AFD5695B}"/>
    <cellStyle name="Comma 2 6 3 2 2" xfId="4464" xr:uid="{5EF0A1DA-641C-4243-A2AF-901A64D0CF67}"/>
    <cellStyle name="Comma 2 6 3 3" xfId="2876" xr:uid="{71D1B903-B5AC-42E8-813F-D070BA5987EF}"/>
    <cellStyle name="Comma 2 6 3 3 2" xfId="4882" xr:uid="{DCD8070C-01F3-4A58-B332-449D94F6E791}"/>
    <cellStyle name="Comma 2 6 3 4" xfId="3420" xr:uid="{F7CEE9C6-7B44-4738-81C5-FEC047035F9B}"/>
    <cellStyle name="Comma 2 6 3 4 2" xfId="5426" xr:uid="{78188C26-9CDB-42B0-A23E-51FC559F1122}"/>
    <cellStyle name="Comma 2 6 3 5" xfId="3920" xr:uid="{1C22D089-28B0-4F71-9494-13173D7DB925}"/>
    <cellStyle name="Comma 2 6 4" xfId="849" xr:uid="{FE97DB56-C7EE-4152-B734-05FF5E6A4E7F}"/>
    <cellStyle name="Comma 2 6 4 2" xfId="3078" xr:uid="{73D72533-1F34-4E59-B3AE-D493B9AD906A}"/>
    <cellStyle name="Comma 2 6 4 2 2" xfId="5084" xr:uid="{1EB4F309-1952-4241-852D-0B6AF9D81E04}"/>
    <cellStyle name="Comma 2 6 4 3" xfId="4122" xr:uid="{BFAAD5E7-94AF-4E4F-868C-2F4352A2ED5B}"/>
    <cellStyle name="Comma 2 6 5" xfId="2243" xr:uid="{EBB97F2A-0780-4ED7-8A31-867CD600746C}"/>
    <cellStyle name="Comma 2 6 5 2" xfId="4248" xr:uid="{93717755-F8E6-48CE-9F66-D6C6B70075C6}"/>
    <cellStyle name="Comma 2 6 6" xfId="2660" xr:uid="{23FF4CA2-091B-4AA9-A3EC-B896D1DF8949}"/>
    <cellStyle name="Comma 2 6 6 2" xfId="4666" xr:uid="{9BC16E59-55ED-45A2-9BD3-0CF0B932E564}"/>
    <cellStyle name="Comma 2 6 7" xfId="3204" xr:uid="{8917F076-5CB4-4897-87B2-24F55A822E30}"/>
    <cellStyle name="Comma 2 6 7 2" xfId="5210" xr:uid="{DD22DF2E-B2F2-4C61-845E-FE45430273BB}"/>
    <cellStyle name="Comma 2 6 8" xfId="476" xr:uid="{00D002DF-1C5F-460C-B2FA-E075EBEE4D61}"/>
    <cellStyle name="Comma 2 6 9" xfId="3704" xr:uid="{7ADB2790-4782-449C-AD0C-6611497CE633}"/>
    <cellStyle name="Comma 2 7" xfId="74" xr:uid="{00000000-0005-0000-0000-000040000000}"/>
    <cellStyle name="Comma 2 7 2" xfId="220" xr:uid="{DBD63FDB-4388-4CD5-AD87-AD7F1277B2F8}"/>
    <cellStyle name="Comma 2 7 2 2" xfId="721" xr:uid="{9336DBCA-308F-4390-9306-8FE76515AC69}"/>
    <cellStyle name="Comma 2 7 2 2 2" xfId="2529" xr:uid="{AC092180-994A-493D-8974-C697EEBC7D1F}"/>
    <cellStyle name="Comma 2 7 2 2 2 2" xfId="4535" xr:uid="{DD153FC7-61D5-42F0-AC45-57FC511F4ECF}"/>
    <cellStyle name="Comma 2 7 2 2 3" xfId="2947" xr:uid="{C476DA13-2944-4BB1-8671-2084630FFFDB}"/>
    <cellStyle name="Comma 2 7 2 2 3 2" xfId="4953" xr:uid="{717DDCDA-FE09-48C4-B522-E6CD4137342C}"/>
    <cellStyle name="Comma 2 7 2 2 4" xfId="3491" xr:uid="{2A1E09C5-80B1-4F84-BADD-F91976E5881B}"/>
    <cellStyle name="Comma 2 7 2 2 4 2" xfId="5497" xr:uid="{D41D8F0A-127E-4681-9B6C-60E9FE245477}"/>
    <cellStyle name="Comma 2 7 2 2 5" xfId="3991" xr:uid="{B912EDDB-B12E-4BAA-8CCD-9792A9B513E6}"/>
    <cellStyle name="Comma 2 7 2 3" xfId="2318" xr:uid="{14E172F6-68EF-4B1B-9A84-92755A1CA2F9}"/>
    <cellStyle name="Comma 2 7 2 3 2" xfId="4323" xr:uid="{4EF69A3E-75C7-44D4-9FA9-CA34F4601B0F}"/>
    <cellStyle name="Comma 2 7 2 4" xfId="2735" xr:uid="{FA9782E4-FF4B-4C5F-B86F-4056B30F2389}"/>
    <cellStyle name="Comma 2 7 2 4 2" xfId="4741" xr:uid="{8BEDDD4B-EB8D-4D76-B7EE-33E9F1CBDFA1}"/>
    <cellStyle name="Comma 2 7 2 5" xfId="3279" xr:uid="{AE827FE4-866E-4B1E-9FB8-9E2A49EFD11A}"/>
    <cellStyle name="Comma 2 7 2 5 2" xfId="5285" xr:uid="{3438DFBF-5AAD-4E02-A658-7B1B6287E481}"/>
    <cellStyle name="Comma 2 7 2 6" xfId="536" xr:uid="{6FB8548B-3A1C-4AE1-8C77-D24D95AFB7AF}"/>
    <cellStyle name="Comma 2 7 2 7" xfId="3779" xr:uid="{2F1328A1-1485-4E54-BAC2-02C877F51A5D}"/>
    <cellStyle name="Comma 2 7 3" xfId="642" xr:uid="{EE7D17B7-FE36-4BEE-95C9-54064B673FF6}"/>
    <cellStyle name="Comma 2 7 3 2" xfId="2429" xr:uid="{25C6BEA2-A024-438B-BCEC-E6F20D93E9EE}"/>
    <cellStyle name="Comma 2 7 3 2 2" xfId="4435" xr:uid="{B412043F-C463-4065-BE8E-2BCE99748257}"/>
    <cellStyle name="Comma 2 7 3 3" xfId="2847" xr:uid="{57A4E57C-9420-48DF-8F1A-73DFF6087285}"/>
    <cellStyle name="Comma 2 7 3 3 2" xfId="4853" xr:uid="{6C7ADA08-040A-4FCF-8D9C-06C81DEF21BA}"/>
    <cellStyle name="Comma 2 7 3 4" xfId="3391" xr:uid="{570A24FC-A193-4B1B-8F39-071F4A7053AC}"/>
    <cellStyle name="Comma 2 7 3 4 2" xfId="5397" xr:uid="{9775424D-3AB1-47FF-BC81-8C4687060F20}"/>
    <cellStyle name="Comma 2 7 3 5" xfId="3891" xr:uid="{A3C754EB-DFA0-453B-99B4-C7F4CFB19A10}"/>
    <cellStyle name="Comma 2 7 4" xfId="820" xr:uid="{BF26CDC3-5358-48F4-ACC3-2C6A2F819A4D}"/>
    <cellStyle name="Comma 2 7 4 2" xfId="3049" xr:uid="{17D37405-11D6-471C-A102-1E0F16813CA4}"/>
    <cellStyle name="Comma 2 7 4 2 2" xfId="5055" xr:uid="{275ADF3D-CE5E-46B3-84B6-415F3CB4959A}"/>
    <cellStyle name="Comma 2 7 4 3" xfId="4093" xr:uid="{256A4722-1947-4FE9-A17F-03703C6825E3}"/>
    <cellStyle name="Comma 2 7 5" xfId="2214" xr:uid="{AA4697F7-F4A5-45DA-BE50-8791E9692B31}"/>
    <cellStyle name="Comma 2 7 5 2" xfId="4219" xr:uid="{F48A9936-17C5-4920-8EAD-CDF9A6A54632}"/>
    <cellStyle name="Comma 2 7 6" xfId="2631" xr:uid="{C58826D3-FE8F-417A-B455-C7C6C7560CFA}"/>
    <cellStyle name="Comma 2 7 6 2" xfId="4637" xr:uid="{6A2D4C52-FCCD-497C-A5D7-9F4AF8E2F7D0}"/>
    <cellStyle name="Comma 2 7 7" xfId="3175" xr:uid="{8745DF88-8860-4524-938C-90D22EB8695F}"/>
    <cellStyle name="Comma 2 7 7 2" xfId="5181" xr:uid="{416E1ECF-EDA8-46D8-BFD5-88D5CFB907C3}"/>
    <cellStyle name="Comma 2 7 8" xfId="349" xr:uid="{D3B95DE6-9BA1-4918-B99B-1EFC76062346}"/>
    <cellStyle name="Comma 2 7 9" xfId="3675" xr:uid="{85ED4B92-790A-4C00-ADA6-71BD047520EE}"/>
    <cellStyle name="Comma 2 8" xfId="3620" xr:uid="{56DA6C9B-9685-4971-B815-AC8874AED269}"/>
    <cellStyle name="Comma 2 8 2" xfId="5609" xr:uid="{9F347F7E-82A5-4991-A5F4-E50F2A63E293}"/>
    <cellStyle name="Comma 2 9" xfId="5699" xr:uid="{83615ED0-077F-424E-9E90-56A98CDBC0A1}"/>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4 2 2" xfId="2178" xr:uid="{9C0ECABA-5DA2-476B-AD27-560495B6C435}"/>
    <cellStyle name="Comma 4 2 2 2" xfId="3160" xr:uid="{B81F2543-9C85-456F-A46B-5ADA83124660}"/>
    <cellStyle name="Comma 4 2 2 2 2" xfId="5166" xr:uid="{8C50995A-3907-4D16-86FA-210AAFBA56D7}"/>
    <cellStyle name="Comma 4 2 2 3" xfId="3653" xr:uid="{1612B4F8-7B65-4175-8F9E-129D15CFF4D6}"/>
    <cellStyle name="Comma 4 2 2 3 2" xfId="5635" xr:uid="{A441A1EF-277C-47ED-A098-E2CBEF1DC38C}"/>
    <cellStyle name="Comma 4 2 2 4" xfId="4204" xr:uid="{D6F3F5DC-01C0-4032-AA45-643BF856CD1F}"/>
    <cellStyle name="Comma 4 2 2 5" xfId="5777" xr:uid="{849FF17C-3318-42F5-B2A1-2717C8187C5E}"/>
    <cellStyle name="Comma 4 2 3" xfId="2138" xr:uid="{7384BA4F-5EE5-401D-A3F8-322A5D30B91F}"/>
    <cellStyle name="Comma 4 2 3 2" xfId="5756" xr:uid="{AB999361-D209-428D-ADD9-DE4534C5F9B3}"/>
    <cellStyle name="Comma 4 2 4" xfId="5821" xr:uid="{E416DE85-D79A-4746-AE2F-E5A352C4E434}"/>
    <cellStyle name="Comma 4 2 5" xfId="5712" xr:uid="{85AFEA9C-821C-48DE-BFC6-83F246095220}"/>
    <cellStyle name="Comma 4 3" xfId="3641" xr:uid="{2E058936-9622-4243-86EF-51A13B503802}"/>
    <cellStyle name="Comma 4 3 2" xfId="5626" xr:uid="{9334ED17-B944-42E8-9C4A-6E12D6679833}"/>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Comma_Worksheet in (C) 2212.1 Armado de Estados MS 31.12 2" xfId="3643" xr:uid="{4EE54444-29D6-4737-A555-8965574A0A82}"/>
    <cellStyle name="Currency_HOJA DE TRABAJO" xfId="334" xr:uid="{9EE85E65-63B7-4610-9672-E3CD90F6A946}"/>
    <cellStyle name="Encabezado 1" xfId="2" builtinId="16" customBuiltin="1"/>
    <cellStyle name="Encabezado 1 2" xfId="5651" xr:uid="{F5A51962-BF5B-46BD-B8C7-CFDC77246FA2}"/>
    <cellStyle name="Encabezado 4" xfId="5" builtinId="19" customBuiltin="1"/>
    <cellStyle name="Encabezado 4 2" xfId="5654" xr:uid="{B3746FD0-1C0D-4FA3-A45A-87F9078406DE}"/>
    <cellStyle name="Énfasis1" xfId="18" builtinId="29" customBuiltin="1"/>
    <cellStyle name="Énfasis1 2" xfId="5667" xr:uid="{AA0633E3-B989-47F6-9B1F-7B025A164980}"/>
    <cellStyle name="Énfasis2" xfId="22" builtinId="33" customBuiltin="1"/>
    <cellStyle name="Énfasis2 2" xfId="5671" xr:uid="{C0C54959-747C-4437-9304-6A6679DC4EF4}"/>
    <cellStyle name="Énfasis3" xfId="26" builtinId="37" customBuiltin="1"/>
    <cellStyle name="Énfasis3 2" xfId="5675" xr:uid="{530DD951-B2B4-47B1-B9FD-5A4B6C002446}"/>
    <cellStyle name="Énfasis4" xfId="30" builtinId="41" customBuiltin="1"/>
    <cellStyle name="Énfasis4 2" xfId="5679" xr:uid="{3CB763C4-8AEA-423F-B1DA-5AFB0647D7D2}"/>
    <cellStyle name="Énfasis5" xfId="34" builtinId="45" customBuiltin="1"/>
    <cellStyle name="Énfasis5 2" xfId="5683" xr:uid="{0F400B3B-D853-4E37-BA69-32567876351A}"/>
    <cellStyle name="Énfasis6" xfId="38" builtinId="49" customBuiltin="1"/>
    <cellStyle name="Énfasis6 2" xfId="5687" xr:uid="{7BB6B8BD-9A11-4DD3-8949-6012EED9A68B}"/>
    <cellStyle name="Entrada" xfId="9" builtinId="20" customBuiltin="1"/>
    <cellStyle name="Entrada 2" xfId="447" xr:uid="{8D8E5B2B-E669-4CE1-BC08-7192D5F963C7}"/>
    <cellStyle name="Entrada 3" xfId="5658" xr:uid="{224CDF5B-B2C9-48C3-A48A-44D5DB9314AF}"/>
    <cellStyle name="Excel Built-in Normal" xfId="2157" xr:uid="{CDA92E99-9BAA-4B38-92ED-2E4DE624DF36}"/>
    <cellStyle name="Excel Built-in Normal 2" xfId="404" xr:uid="{1AC9513A-34E6-4D5B-AC3C-8D810380165F}"/>
    <cellStyle name="Excel Built-in Normal 2 2" xfId="420" xr:uid="{4C7F81B1-B418-4442-A41E-2B1D84A73409}"/>
    <cellStyle name="Excel Built-in Normal 2 3" xfId="3604" xr:uid="{9063764F-A3BA-4721-907B-ABD8A83D04E8}"/>
    <cellStyle name="Excel Built-in Normal 3" xfId="3660" xr:uid="{84FF6F5C-77A4-4195-A96B-42017529937D}"/>
    <cellStyle name="Hipervínculo" xfId="59" builtinId="8"/>
    <cellStyle name="Hipervínculo 2" xfId="926" xr:uid="{4991E6D8-07ED-4FFE-8B8D-8E87E7EF8728}"/>
    <cellStyle name="Hipervínculo 2 2" xfId="2156" xr:uid="{CBB69776-B6A3-4081-8CCC-738A1F1FE800}"/>
    <cellStyle name="Hipervínculo 2 3" xfId="5723" xr:uid="{65950DB7-1718-480A-BEC7-D0144544170E}"/>
    <cellStyle name="Hipervínculo 3" xfId="5738" xr:uid="{3AE9C5B4-ECBA-4338-8EB2-9D6D09F0FF66}"/>
    <cellStyle name="Incorrecto" xfId="7" builtinId="27" customBuiltin="1"/>
    <cellStyle name="Incorrecto 2" xfId="5656" xr:uid="{28FA4500-5324-452D-8C45-FF29F43B9160}"/>
    <cellStyle name="Millares" xfId="1" builtinId="3"/>
    <cellStyle name="Millares [0]" xfId="51" builtinId="6"/>
    <cellStyle name="Millares [0] 10" xfId="89" xr:uid="{00000000-0005-0000-0000-000056000000}"/>
    <cellStyle name="Millares [0] 10 2" xfId="223" xr:uid="{D26917C6-9E9F-487B-B43C-671930108E7D}"/>
    <cellStyle name="Millares [0] 10 2 2" xfId="724" xr:uid="{E80324C4-7805-477F-84E9-4904661308A8}"/>
    <cellStyle name="Millares [0] 10 2 2 2" xfId="2532" xr:uid="{4B0C0177-E561-4420-8DBC-236CCF71A4DD}"/>
    <cellStyle name="Millares [0] 10 2 2 2 2" xfId="4538" xr:uid="{5E83B6F1-7B93-40D4-849E-D81A6C9ABA02}"/>
    <cellStyle name="Millares [0] 10 2 2 3" xfId="2950" xr:uid="{F34B12A6-4BC8-4B6D-9527-00CFF674FE69}"/>
    <cellStyle name="Millares [0] 10 2 2 3 2" xfId="4956" xr:uid="{32B22B48-C495-4FE2-8819-B351E9E69FCC}"/>
    <cellStyle name="Millares [0] 10 2 2 4" xfId="3494" xr:uid="{6DAB8530-0DE2-43F3-BC80-68A8B1ED8DBB}"/>
    <cellStyle name="Millares [0] 10 2 2 4 2" xfId="5500" xr:uid="{DA9EC667-C732-4CF6-B5B4-7174FEBE8460}"/>
    <cellStyle name="Millares [0] 10 2 2 5" xfId="3994" xr:uid="{3D6877DF-D892-4BA4-83EF-888007AFB54A}"/>
    <cellStyle name="Millares [0] 10 2 3" xfId="2321" xr:uid="{C289F8A0-3EC1-4605-AD3A-5B15605BCA7A}"/>
    <cellStyle name="Millares [0] 10 2 3 2" xfId="4326" xr:uid="{1252B5F5-AC19-4E81-8B11-39C1AFF9FC69}"/>
    <cellStyle name="Millares [0] 10 2 4" xfId="2738" xr:uid="{C850BEA9-93D4-465D-A9D8-B5227FEBCB7E}"/>
    <cellStyle name="Millares [0] 10 2 4 2" xfId="4744" xr:uid="{ED1633D3-C55D-4A16-9805-4B777E11035F}"/>
    <cellStyle name="Millares [0] 10 2 5" xfId="3282" xr:uid="{4C712A09-352D-4053-883B-32AF01995218}"/>
    <cellStyle name="Millares [0] 10 2 5 2" xfId="5288" xr:uid="{2E591A06-48D4-4A0A-AECD-ED63957C1968}"/>
    <cellStyle name="Millares [0] 10 2 6" xfId="539" xr:uid="{C554EE94-FD7E-432C-A2A2-8A64E3BF4ECD}"/>
    <cellStyle name="Millares [0] 10 2 7" xfId="3782" xr:uid="{D7AD7F34-B701-4F92-84CB-C9A7E3DAEE1F}"/>
    <cellStyle name="Millares [0] 10 3" xfId="430" xr:uid="{3A7E8C7E-89D7-4801-884E-6282EF95D982}"/>
    <cellStyle name="Millares [0] 10 3 2" xfId="2432" xr:uid="{9AB0FF1F-96E7-4048-BD22-7F886FB75134}"/>
    <cellStyle name="Millares [0] 10 3 2 2" xfId="4438" xr:uid="{A7A38DBF-B037-4186-8500-58BBF05DB750}"/>
    <cellStyle name="Millares [0] 10 3 3" xfId="2850" xr:uid="{C8074D05-5079-4BF1-96AF-E2CE369F9EDE}"/>
    <cellStyle name="Millares [0] 10 3 3 2" xfId="4856" xr:uid="{80771A2C-343C-4263-BB99-413196222ED7}"/>
    <cellStyle name="Millares [0] 10 3 4" xfId="3394" xr:uid="{2AC25D62-6E00-4AD9-B28D-01A843203146}"/>
    <cellStyle name="Millares [0] 10 3 4 2" xfId="5400" xr:uid="{FB697C97-5208-459A-80E2-58DD4F7E536B}"/>
    <cellStyle name="Millares [0] 10 3 5" xfId="3894" xr:uid="{5709791E-0FF8-4C69-88FF-920F8C61C556}"/>
    <cellStyle name="Millares [0] 10 4" xfId="823" xr:uid="{80F602DD-4F89-4FA9-B213-A2FE45FFDAAA}"/>
    <cellStyle name="Millares [0] 10 4 2" xfId="3052" xr:uid="{CEC744E0-5369-492A-8F9C-58FDE086AC03}"/>
    <cellStyle name="Millares [0] 10 4 2 2" xfId="5058" xr:uid="{47F3C2C7-5D3E-4BE6-B3E7-E3C6363B8EB7}"/>
    <cellStyle name="Millares [0] 10 4 3" xfId="4096" xr:uid="{BD9834C8-A183-4BDB-BFEE-858ADBB774CD}"/>
    <cellStyle name="Millares [0] 10 5" xfId="2217" xr:uid="{EBEB2B87-E9FB-4E31-AFAF-2CA20F055198}"/>
    <cellStyle name="Millares [0] 10 5 2" xfId="4222" xr:uid="{B6FBE07F-BC90-46FE-98A0-EB425A8E54F8}"/>
    <cellStyle name="Millares [0] 10 6" xfId="2634" xr:uid="{8FE9D8F4-579D-4D43-85F0-57F5B3FE1CCC}"/>
    <cellStyle name="Millares [0] 10 6 2" xfId="4640" xr:uid="{78895085-CD4A-4C8D-A608-705C303A99E0}"/>
    <cellStyle name="Millares [0] 10 7" xfId="3178" xr:uid="{92A3E5F8-EFDC-45C2-8988-D7E5E26FD4E7}"/>
    <cellStyle name="Millares [0] 10 7 2" xfId="5184" xr:uid="{925E0660-7A2D-471F-BAB6-246FE6BD6D56}"/>
    <cellStyle name="Millares [0] 10 8" xfId="3678" xr:uid="{01D1FD1F-FC1D-4530-8C36-0CB2A2514B20}"/>
    <cellStyle name="Millares [0] 10 9" xfId="5849" xr:uid="{285C99D2-AE5E-42E8-8B7B-FA488A8F7E31}"/>
    <cellStyle name="Millares [0] 11" xfId="60" xr:uid="{00000000-0005-0000-0000-000057000000}"/>
    <cellStyle name="Millares [0] 11 2" xfId="410" xr:uid="{8742EAEE-26AA-4894-8826-C05FAD0C7522}"/>
    <cellStyle name="Millares [0] 11 2 2" xfId="2425" xr:uid="{56BB58D2-44BF-4166-879F-5FDE552D2021}"/>
    <cellStyle name="Millares [0] 11 2 2 2" xfId="4431" xr:uid="{93B4953E-91DB-4AC7-9225-FEF10E8D30D8}"/>
    <cellStyle name="Millares [0] 11 2 3" xfId="2843" xr:uid="{0BB856C6-2E60-4D36-9122-12F344154D22}"/>
    <cellStyle name="Millares [0] 11 2 3 2" xfId="4849" xr:uid="{E37A7E36-A483-41BC-8C89-AC9CB3922A45}"/>
    <cellStyle name="Millares [0] 11 2 4" xfId="3387" xr:uid="{D6B8ABB7-FE65-4DF5-B9D0-8FB3FBCC2766}"/>
    <cellStyle name="Millares [0] 11 2 4 2" xfId="5393" xr:uid="{2249EA8A-0213-4A75-A125-0AEF877ABB23}"/>
    <cellStyle name="Millares [0] 11 2 5" xfId="3887" xr:uid="{C2241C7C-F7E1-4A68-B7FF-3D1075472B9C}"/>
    <cellStyle name="Millares [0] 11 3" xfId="2314" xr:uid="{3E1D5B1A-B389-4942-BADA-19D3115822E5}"/>
    <cellStyle name="Millares [0] 11 3 2" xfId="4319" xr:uid="{70508EB6-58B1-4391-B305-788774EF4097}"/>
    <cellStyle name="Millares [0] 11 4" xfId="2731" xr:uid="{99672064-FDF0-43C5-BDBC-E58866325D35}"/>
    <cellStyle name="Millares [0] 11 4 2" xfId="4737" xr:uid="{2C497C57-5763-49C5-9666-23F651146C4E}"/>
    <cellStyle name="Millares [0] 11 5" xfId="3275" xr:uid="{29B7883F-B1B5-41CD-A7B1-9FAD48C33A5B}"/>
    <cellStyle name="Millares [0] 11 5 2" xfId="5281" xr:uid="{E814A827-9161-405C-898D-28EAC1532BCB}"/>
    <cellStyle name="Millares [0] 11 6" xfId="3775" xr:uid="{7CEBCD8B-220E-44B6-92E6-475D284FFB74}"/>
    <cellStyle name="Millares [0] 12" xfId="216" xr:uid="{99344394-E4E7-4DB0-9F6A-C6C0FE62949D}"/>
    <cellStyle name="Millares [0] 12 2" xfId="450" xr:uid="{8E521892-9D29-4F1F-904C-3995187B9CC7}"/>
    <cellStyle name="Millares [0] 12 2 2" xfId="2525" xr:uid="{DF0805A1-1E01-4531-8039-D21D15620D01}"/>
    <cellStyle name="Millares [0] 12 2 2 2" xfId="4531" xr:uid="{E59B438A-E068-4AA8-8379-D6A2CE6662AD}"/>
    <cellStyle name="Millares [0] 12 2 3" xfId="2943" xr:uid="{D3AAA9C9-C63C-4BBC-9B8D-C21F3161F378}"/>
    <cellStyle name="Millares [0] 12 2 3 2" xfId="4949" xr:uid="{20BB19AE-8E25-49D7-B0A5-878CDBA2BE9E}"/>
    <cellStyle name="Millares [0] 12 2 4" xfId="3487" xr:uid="{47D6E6E8-4F85-4930-9858-3584DEDC57CF}"/>
    <cellStyle name="Millares [0] 12 2 4 2" xfId="5493" xr:uid="{7F8C4FA9-8AE6-4430-AD1A-C21DDDE64CC0}"/>
    <cellStyle name="Millares [0] 12 2 5" xfId="3987" xr:uid="{12A5DE8F-31DF-41B9-A457-67D45EC9C668}"/>
    <cellStyle name="Millares [0] 12 3" xfId="2416" xr:uid="{9654DB28-E05C-4E70-804A-03F9CF398D9A}"/>
    <cellStyle name="Millares [0] 12 3 2" xfId="4421" xr:uid="{B5A8A71B-8621-498E-9EB7-F9495C1E8383}"/>
    <cellStyle name="Millares [0] 12 4" xfId="2833" xr:uid="{3BF721EA-8B70-4920-BB8B-08F2D534E44F}"/>
    <cellStyle name="Millares [0] 12 4 2" xfId="4839" xr:uid="{5AD4F1F8-4A0F-4831-BBD7-305C25593630}"/>
    <cellStyle name="Millares [0] 12 5" xfId="3377" xr:uid="{E061EBF9-67BA-43E4-AD73-507B60B5C8B7}"/>
    <cellStyle name="Millares [0] 12 5 2" xfId="5383" xr:uid="{B5BEB547-A505-40A6-AC99-E35CB5FD32F5}"/>
    <cellStyle name="Millares [0] 12 6" xfId="3877" xr:uid="{FE5AF894-0B82-427F-AA5B-36C14220E839}"/>
    <cellStyle name="Millares [0] 13" xfId="323" xr:uid="{8051F778-3E68-4459-8409-71E768886548}"/>
    <cellStyle name="Millares [0] 13 2" xfId="2421" xr:uid="{D706E88B-9198-469B-AB82-8C1AE4AAE38C}"/>
    <cellStyle name="Millares [0] 13 2 2" xfId="4427" xr:uid="{55F31CBA-1714-47D4-A787-F6943B8A941C}"/>
    <cellStyle name="Millares [0] 13 3" xfId="2839" xr:uid="{8D600355-163C-47E6-A12E-01CB65F136B9}"/>
    <cellStyle name="Millares [0] 13 3 2" xfId="4845" xr:uid="{4BCC2E42-C59E-4EBC-9DA4-F082C2EA7B5A}"/>
    <cellStyle name="Millares [0] 13 4" xfId="3383" xr:uid="{CA30F805-CCD5-483C-9D62-97AB6696C5F2}"/>
    <cellStyle name="Millares [0] 13 4 2" xfId="5389" xr:uid="{FB06F180-EDC6-40C4-B52B-5A7E23A7B33B}"/>
    <cellStyle name="Millares [0] 13 5" xfId="3883" xr:uid="{4266947D-3902-4CD7-9815-F3BC250675F7}"/>
    <cellStyle name="Millares [0] 14" xfId="353" xr:uid="{3F89A18D-E2BE-401D-9403-7AF351A0369A}"/>
    <cellStyle name="Millares [0] 14 2" xfId="3045" xr:uid="{B54A2EB4-13ED-4D57-914E-725323406BC7}"/>
    <cellStyle name="Millares [0] 14 2 2" xfId="5051" xr:uid="{C0EF807D-17C7-4F7B-8267-77770271676A}"/>
    <cellStyle name="Millares [0] 14 3" xfId="4089" xr:uid="{6CDEFA0E-DC33-4EDC-9378-410476A4B20B}"/>
    <cellStyle name="Millares [0] 15" xfId="916" xr:uid="{DB7E835B-C527-4AB3-A02E-76B68FE3E36C}"/>
    <cellStyle name="Millares [0] 15 2" xfId="3145" xr:uid="{67B663ED-4927-4E0F-8E1E-99098B0E36AC}"/>
    <cellStyle name="Millares [0] 15 2 2" xfId="5151" xr:uid="{1F4C1A62-71B0-43CE-840C-C8915A96446B}"/>
    <cellStyle name="Millares [0] 15 3" xfId="4189" xr:uid="{7A583CEA-BF07-4F76-8617-B10F3AC22896}"/>
    <cellStyle name="Millares [0] 16" xfId="928" xr:uid="{33F73CAD-8266-4478-B1F5-CCB30BE5B42A}"/>
    <cellStyle name="Millares [0] 17" xfId="2027" xr:uid="{2868D28F-EDA8-4FF0-9EFA-3F3BE71513C2}"/>
    <cellStyle name="Millares [0] 18" xfId="2210" xr:uid="{3C9C1213-E796-4261-982C-282A8DEE5F91}"/>
    <cellStyle name="Millares [0] 18 2" xfId="4215" xr:uid="{309B4563-CBFE-40C4-8CAA-CB8E3BBA21A0}"/>
    <cellStyle name="Millares [0] 19" xfId="2627" xr:uid="{35DA7995-CE8C-45F7-B3C8-7DEA7DCDCDC4}"/>
    <cellStyle name="Millares [0] 19 2" xfId="4633" xr:uid="{DAA90C51-58FD-44B7-9F7F-82C10EE3F67B}"/>
    <cellStyle name="Millares [0] 2" xfId="45" xr:uid="{00000000-0005-0000-0000-000058000000}"/>
    <cellStyle name="Millares [0] 2 10" xfId="354" xr:uid="{FED751E7-F952-47F5-B8AD-5AC4F8A79C25}"/>
    <cellStyle name="Millares [0] 2 11" xfId="5692" xr:uid="{94610138-DAB7-4067-9B5C-98F8A1A0C94A}"/>
    <cellStyle name="Millares [0] 2 13" xfId="402" xr:uid="{8D681429-A978-4321-A7E9-7B63766003AD}"/>
    <cellStyle name="Millares [0] 2 2" xfId="54" xr:uid="{00000000-0005-0000-0000-000059000000}"/>
    <cellStyle name="Millares [0] 2 2 10" xfId="2195" xr:uid="{75CEFC37-ED1C-45F1-8E6A-BCEC903CE17C}"/>
    <cellStyle name="Millares [0] 2 2 11" xfId="2222" xr:uid="{581A178D-6CE0-4746-B253-7A09E62DB64B}"/>
    <cellStyle name="Millares [0] 2 2 11 2" xfId="4227" xr:uid="{4ECF4A28-17C2-4A45-9AAC-CB4032F729AB}"/>
    <cellStyle name="Millares [0] 2 2 12" xfId="2639" xr:uid="{203F4D99-8C18-401C-9E18-2116FB543E6E}"/>
    <cellStyle name="Millares [0] 2 2 12 2" xfId="4645" xr:uid="{98A8A45A-A98E-45D4-AA83-C8752833B745}"/>
    <cellStyle name="Millares [0] 2 2 13" xfId="3183" xr:uid="{8D0438C4-09C8-4610-AB40-7FE7D0B4EA4C}"/>
    <cellStyle name="Millares [0] 2 2 13 2" xfId="5189" xr:uid="{52392544-4744-4B56-A0FB-3F891E2A0979}"/>
    <cellStyle name="Millares [0] 2 2 14" xfId="3623" xr:uid="{C5FB58F6-1034-4B06-A8E4-97EDE32355AA}"/>
    <cellStyle name="Millares [0] 2 2 14 2" xfId="5611" xr:uid="{5059E8FD-392A-41A8-9F0A-52A75B76EC9B}"/>
    <cellStyle name="Millares [0] 2 2 15" xfId="3683" xr:uid="{BAD5F456-18A6-494F-8A0D-69A6143C90E6}"/>
    <cellStyle name="Millares [0] 2 2 16" xfId="5693" xr:uid="{CF84508C-D24C-4545-9CBD-AF7ED35D0085}"/>
    <cellStyle name="Millares [0] 2 2 2" xfId="112" xr:uid="{00000000-0005-0000-0000-00005A000000}"/>
    <cellStyle name="Millares [0] 2 2 2 10" xfId="3635" xr:uid="{1517882A-5249-4914-963E-14E589BCE38A}"/>
    <cellStyle name="Millares [0] 2 2 2 10 2" xfId="5620" xr:uid="{8E503206-6BD9-43AF-B226-98C7BF8534BB}"/>
    <cellStyle name="Millares [0] 2 2 2 11" xfId="3694" xr:uid="{01B1D0AC-BBAC-4F39-8D1C-94D61E2065F4}"/>
    <cellStyle name="Millares [0] 2 2 2 12" xfId="5703" xr:uid="{1D094443-9E91-484E-A30E-67506B48F44B}"/>
    <cellStyle name="Millares [0] 2 2 2 2" xfId="207" xr:uid="{00000000-0005-0000-0000-00005B000000}"/>
    <cellStyle name="Millares [0] 2 2 2 2 2" xfId="308" xr:uid="{BAA4827E-8E00-4153-A088-A691BF2DE3C0}"/>
    <cellStyle name="Millares [0] 2 2 2 2 2 2" xfId="807" xr:uid="{A601CB81-A24A-4BF5-8432-D871F8A55D17}"/>
    <cellStyle name="Millares [0] 2 2 2 2 2 2 2" xfId="2617" xr:uid="{1C1DD6DF-5499-4BEE-B4D5-68F3D12068FA}"/>
    <cellStyle name="Millares [0] 2 2 2 2 2 2 2 2" xfId="4623" xr:uid="{77462D10-F48B-43F5-94D1-5D6A339A45A5}"/>
    <cellStyle name="Millares [0] 2 2 2 2 2 2 3" xfId="3035" xr:uid="{98391111-D774-49B7-B771-BB08BCC03C87}"/>
    <cellStyle name="Millares [0] 2 2 2 2 2 2 3 2" xfId="5041" xr:uid="{C92E23E2-87FF-4377-9B7E-6137D0FCCAD3}"/>
    <cellStyle name="Millares [0] 2 2 2 2 2 2 4" xfId="3579" xr:uid="{9D8554F7-21B7-4435-986A-017925CBE434}"/>
    <cellStyle name="Millares [0] 2 2 2 2 2 2 4 2" xfId="5585" xr:uid="{41A0D197-D4F3-4F07-82A6-B3C1CC30E00E}"/>
    <cellStyle name="Millares [0] 2 2 2 2 2 2 5" xfId="4079" xr:uid="{C43FBA1A-6495-4212-8923-9C281EAEA46C}"/>
    <cellStyle name="Millares [0] 2 2 2 2 2 3" xfId="2406" xr:uid="{DC00905E-712A-4594-88A6-2CFFA001EF98}"/>
    <cellStyle name="Millares [0] 2 2 2 2 2 3 2" xfId="4411" xr:uid="{F50BB233-93F1-43BF-B32B-F3D6AB46F798}"/>
    <cellStyle name="Millares [0] 2 2 2 2 2 4" xfId="2823" xr:uid="{F9DD0E35-600B-44EF-8CAD-B0799F94B21A}"/>
    <cellStyle name="Millares [0] 2 2 2 2 2 4 2" xfId="4829" xr:uid="{FED236E2-6A50-462B-BD14-12DDE2E1BAC6}"/>
    <cellStyle name="Millares [0] 2 2 2 2 2 5" xfId="3367" xr:uid="{C5D754B2-8D9D-4491-9268-1F36B00E9162}"/>
    <cellStyle name="Millares [0] 2 2 2 2 2 5 2" xfId="5373" xr:uid="{404A6BFC-A957-4363-BEAD-6C022A133C68}"/>
    <cellStyle name="Millares [0] 2 2 2 2 2 6" xfId="622" xr:uid="{5B747DE0-063E-4E37-BF78-61D4AE8EF3FB}"/>
    <cellStyle name="Millares [0] 2 2 2 2 2 7" xfId="3867" xr:uid="{2EF327E5-450F-4A6F-9B5D-3454709C4922}"/>
    <cellStyle name="Millares [0] 2 2 2 2 3" xfId="423" xr:uid="{0021448B-A560-4425-8C5D-8F471C6FB9A6}"/>
    <cellStyle name="Millares [0] 2 2 2 2 3 2" xfId="2517" xr:uid="{750C7C0D-1177-455F-8012-D4F9EB5ABD8B}"/>
    <cellStyle name="Millares [0] 2 2 2 2 3 2 2" xfId="4523" xr:uid="{2AB85C33-5C03-46DE-BA7E-6029527257B6}"/>
    <cellStyle name="Millares [0] 2 2 2 2 3 3" xfId="2935" xr:uid="{5C81D2ED-3450-43D5-9718-8D9C12370C2A}"/>
    <cellStyle name="Millares [0] 2 2 2 2 3 3 2" xfId="4941" xr:uid="{3396FDD0-ED45-404F-BABE-1740D72682DC}"/>
    <cellStyle name="Millares [0] 2 2 2 2 3 4" xfId="3479" xr:uid="{EDAF9A9B-1B66-4B49-AEB7-9AAFC627CCFE}"/>
    <cellStyle name="Millares [0] 2 2 2 2 3 4 2" xfId="5485" xr:uid="{ADDD05C2-18CF-464B-994E-32F4066750D6}"/>
    <cellStyle name="Millares [0] 2 2 2 2 3 5" xfId="3979" xr:uid="{92C0FE2C-14D9-4FEF-B94F-82E4A3A2C10E}"/>
    <cellStyle name="Millares [0] 2 2 2 2 4" xfId="908" xr:uid="{A9B79886-065D-4575-89A5-7930BF2EAEEB}"/>
    <cellStyle name="Millares [0] 2 2 2 2 4 2" xfId="3137" xr:uid="{C6670E3D-7F61-4FC9-BFBD-09157E55EE0B}"/>
    <cellStyle name="Millares [0] 2 2 2 2 4 2 2" xfId="5143" xr:uid="{407DD5AA-029E-486C-B91B-8BE119F70532}"/>
    <cellStyle name="Millares [0] 2 2 2 2 4 3" xfId="4181" xr:uid="{491648B4-F24C-4BC9-B586-2FE5A9BF26CC}"/>
    <cellStyle name="Millares [0] 2 2 2 2 5" xfId="2302" xr:uid="{412E4356-BA0E-4895-91A8-79F3A9ECFF20}"/>
    <cellStyle name="Millares [0] 2 2 2 2 5 2" xfId="4307" xr:uid="{22612243-9C4E-47A9-AE64-4D83D65F6B5D}"/>
    <cellStyle name="Millares [0] 2 2 2 2 6" xfId="2719" xr:uid="{D9B48686-1138-4B3C-A84F-F590FE74F950}"/>
    <cellStyle name="Millares [0] 2 2 2 2 6 2" xfId="4725" xr:uid="{E467538B-B74F-4758-9366-0E66056EC32F}"/>
    <cellStyle name="Millares [0] 2 2 2 2 7" xfId="3263" xr:uid="{20A6CA9C-24FD-4209-B8A3-E46E41F72AE0}"/>
    <cellStyle name="Millares [0] 2 2 2 2 7 2" xfId="5269" xr:uid="{19DD1927-CFF8-4F91-A3B1-FE91B3755256}"/>
    <cellStyle name="Millares [0] 2 2 2 2 8" xfId="3763" xr:uid="{B4B985F5-CC71-4577-839C-6CF68AE43CDA}"/>
    <cellStyle name="Millares [0] 2 2 2 2 9" xfId="5812" xr:uid="{D1EF40C4-BE63-44CB-81BB-BE337ECADF1A}"/>
    <cellStyle name="Millares [0] 2 2 2 3" xfId="160" xr:uid="{00000000-0005-0000-0000-00005C000000}"/>
    <cellStyle name="Millares [0] 2 2 2 3 2" xfId="266" xr:uid="{89CAC1EB-003D-4F65-ADB6-7F917F6C634C}"/>
    <cellStyle name="Millares [0] 2 2 2 3 2 2" xfId="766" xr:uid="{E2451B7E-499F-4AD8-B90C-20773EB33615}"/>
    <cellStyle name="Millares [0] 2 2 2 3 2 2 2" xfId="2575" xr:uid="{A20E7C87-3DCC-4AB5-A757-05AB4DBEA176}"/>
    <cellStyle name="Millares [0] 2 2 2 3 2 2 2 2" xfId="4581" xr:uid="{13C1CF9B-5F5D-440B-87E5-1612A7B69B90}"/>
    <cellStyle name="Millares [0] 2 2 2 3 2 2 3" xfId="2993" xr:uid="{78944852-AF43-42D4-B514-1ED14C22FF79}"/>
    <cellStyle name="Millares [0] 2 2 2 3 2 2 3 2" xfId="4999" xr:uid="{F210A362-C669-4260-8B2A-2B557BC7FB78}"/>
    <cellStyle name="Millares [0] 2 2 2 3 2 2 4" xfId="3537" xr:uid="{0105B663-DEFD-407B-97D7-BB3E046A5DD2}"/>
    <cellStyle name="Millares [0] 2 2 2 3 2 2 4 2" xfId="5543" xr:uid="{2E321263-B6EA-429E-A8E8-B1AFBDE67A08}"/>
    <cellStyle name="Millares [0] 2 2 2 3 2 2 5" xfId="4037" xr:uid="{821BA6C9-316B-45FC-BB18-BE9FA3A7FC64}"/>
    <cellStyle name="Millares [0] 2 2 2 3 2 3" xfId="2364" xr:uid="{44CC08DC-710E-4D8B-B4D8-89177CC8855E}"/>
    <cellStyle name="Millares [0] 2 2 2 3 2 3 2" xfId="4369" xr:uid="{10D53542-9D68-4FF7-86F0-AEABDDDF829D}"/>
    <cellStyle name="Millares [0] 2 2 2 3 2 4" xfId="2781" xr:uid="{AA8BA94D-7ED3-435A-B260-20E017434D93}"/>
    <cellStyle name="Millares [0] 2 2 2 3 2 4 2" xfId="4787" xr:uid="{028B3A8E-9D4C-493F-AE58-1CCA299FAEF4}"/>
    <cellStyle name="Millares [0] 2 2 2 3 2 5" xfId="3325" xr:uid="{8B06F9E8-EC6D-4236-AA4B-977DEE7B9D96}"/>
    <cellStyle name="Millares [0] 2 2 2 3 2 5 2" xfId="5331" xr:uid="{566B98C1-C365-41C3-9110-D92A72C42D04}"/>
    <cellStyle name="Millares [0] 2 2 2 3 2 6" xfId="581" xr:uid="{42E14CD4-40FE-4A4A-A58B-2A4B916ECC10}"/>
    <cellStyle name="Millares [0] 2 2 2 3 2 7" xfId="3825" xr:uid="{7CB6E7F7-F628-4629-9773-FB52BFFABA1C}"/>
    <cellStyle name="Millares [0] 2 2 2 3 3" xfId="677" xr:uid="{9685E2AE-BFE9-4117-946E-F4813E683628}"/>
    <cellStyle name="Millares [0] 2 2 2 3 3 2" xfId="2475" xr:uid="{6AB1488E-18E3-454B-8CA6-459DB467C150}"/>
    <cellStyle name="Millares [0] 2 2 2 3 3 2 2" xfId="4481" xr:uid="{656ADDBF-F3B2-4FD8-B0E7-4541A9DF194E}"/>
    <cellStyle name="Millares [0] 2 2 2 3 3 3" xfId="2893" xr:uid="{64C957B3-45B1-43D9-B7B9-90BBEF1C984D}"/>
    <cellStyle name="Millares [0] 2 2 2 3 3 3 2" xfId="4899" xr:uid="{5F8A21F0-DCBC-41E3-AA49-576B0F3BBD97}"/>
    <cellStyle name="Millares [0] 2 2 2 3 3 4" xfId="3437" xr:uid="{91046408-B2F6-45D4-AA5A-5B542B068BE3}"/>
    <cellStyle name="Millares [0] 2 2 2 3 3 4 2" xfId="5443" xr:uid="{E30A79C2-7DB3-4BA6-927E-E42830993A24}"/>
    <cellStyle name="Millares [0] 2 2 2 3 3 5" xfId="3937" xr:uid="{BC3AD394-DB74-462C-8640-379BD247B541}"/>
    <cellStyle name="Millares [0] 2 2 2 3 4" xfId="866" xr:uid="{8C1774BB-A441-48F6-8D37-C7BFF6D565D2}"/>
    <cellStyle name="Millares [0] 2 2 2 3 4 2" xfId="3095" xr:uid="{EFEE2851-5A7D-41AD-8B42-F7BDBF227F89}"/>
    <cellStyle name="Millares [0] 2 2 2 3 4 2 2" xfId="5101" xr:uid="{88D3A044-8C0F-4DCD-9D7D-339A13A65E96}"/>
    <cellStyle name="Millares [0] 2 2 2 3 4 3" xfId="4139" xr:uid="{25C53FFE-4BE8-4073-BC0C-633E42FB2FF3}"/>
    <cellStyle name="Millares [0] 2 2 2 3 5" xfId="2260" xr:uid="{5D4B89E3-88CB-4A70-9AD2-B4C717E61B2C}"/>
    <cellStyle name="Millares [0] 2 2 2 3 5 2" xfId="4265" xr:uid="{64B81592-F8E4-4E97-8DF9-2A82A07DA194}"/>
    <cellStyle name="Millares [0] 2 2 2 3 6" xfId="2677" xr:uid="{AED83688-A3D8-4004-B0DF-EC0FE7E267DD}"/>
    <cellStyle name="Millares [0] 2 2 2 3 6 2" xfId="4683" xr:uid="{52FF00DC-43C8-4255-9D9C-04F0E0A22B48}"/>
    <cellStyle name="Millares [0] 2 2 2 3 7" xfId="3221" xr:uid="{5588E8A7-391D-4653-879D-3279AEFBC2A7}"/>
    <cellStyle name="Millares [0] 2 2 2 3 7 2" xfId="5227" xr:uid="{86376D76-236D-44DE-B1A1-7E8BDA8347B2}"/>
    <cellStyle name="Millares [0] 2 2 2 3 8" xfId="490" xr:uid="{F06F6BB3-8BFC-480A-906D-137873E2F6B4}"/>
    <cellStyle name="Millares [0] 2 2 2 3 9" xfId="3721" xr:uid="{4161EA98-2A43-4273-8A4A-3EB24804AF3D}"/>
    <cellStyle name="Millares [0] 2 2 2 4" xfId="239" xr:uid="{1BE74BEE-5B2A-4399-8DFE-AA22C78F9040}"/>
    <cellStyle name="Millares [0] 2 2 2 4 2" xfId="739" xr:uid="{AB260DEF-2FA1-43A5-B3C3-8450B1EDB6E9}"/>
    <cellStyle name="Millares [0] 2 2 2 4 2 2" xfId="2548" xr:uid="{D500636F-0E55-4290-8C22-FE4B54E9998D}"/>
    <cellStyle name="Millares [0] 2 2 2 4 2 2 2" xfId="4554" xr:uid="{7610FEDB-CC50-429E-BAEB-1A621754A721}"/>
    <cellStyle name="Millares [0] 2 2 2 4 2 3" xfId="2966" xr:uid="{ADD4E638-6CB2-411F-9D32-1C2F7EA5CC20}"/>
    <cellStyle name="Millares [0] 2 2 2 4 2 3 2" xfId="4972" xr:uid="{BA170A4F-B2B9-4AB6-A433-80E271A2746F}"/>
    <cellStyle name="Millares [0] 2 2 2 4 2 4" xfId="3510" xr:uid="{341E19E0-5C3B-46DB-A574-EB4E869FD4E4}"/>
    <cellStyle name="Millares [0] 2 2 2 4 2 4 2" xfId="5516" xr:uid="{B2D57C62-3FB0-40BD-BA80-129410122C52}"/>
    <cellStyle name="Millares [0] 2 2 2 4 2 5" xfId="4010" xr:uid="{F9F2F3FE-09F2-494C-A310-F8EFC21D8425}"/>
    <cellStyle name="Millares [0] 2 2 2 4 3" xfId="2337" xr:uid="{37E1E08D-AB13-4DC1-AF16-34EAAAAEC15A}"/>
    <cellStyle name="Millares [0] 2 2 2 4 3 2" xfId="4342" xr:uid="{97717F91-910C-4757-9641-BBD9ECCAE64C}"/>
    <cellStyle name="Millares [0] 2 2 2 4 4" xfId="2754" xr:uid="{B5F4AACE-2965-4FAD-8223-69C75D2D2501}"/>
    <cellStyle name="Millares [0] 2 2 2 4 4 2" xfId="4760" xr:uid="{66B72C94-A13C-4D88-AF78-2E05F14BDBF3}"/>
    <cellStyle name="Millares [0] 2 2 2 4 5" xfId="3298" xr:uid="{6E065298-2EDC-4A38-8702-E84EFDF3D115}"/>
    <cellStyle name="Millares [0] 2 2 2 4 5 2" xfId="5304" xr:uid="{B0AB499E-6029-4F15-B620-C1B42C35DE8C}"/>
    <cellStyle name="Millares [0] 2 2 2 4 6" xfId="554" xr:uid="{ADACAD17-48AF-4D47-804F-94CC757D6D29}"/>
    <cellStyle name="Millares [0] 2 2 2 4 7" xfId="3798" xr:uid="{63BA42DF-C6BD-426F-8DFD-BA33EE3AA089}"/>
    <cellStyle name="Millares [0] 2 2 2 5" xfId="375" xr:uid="{D844A27B-1A86-44AD-82EE-957D54D476BF}"/>
    <cellStyle name="Millares [0] 2 2 2 5 2" xfId="2448" xr:uid="{B2A3C6BC-C204-414D-B2AD-B7BC388CB393}"/>
    <cellStyle name="Millares [0] 2 2 2 5 2 2" xfId="4454" xr:uid="{3DA8F231-219A-42D6-A961-2546AFCCE83B}"/>
    <cellStyle name="Millares [0] 2 2 2 5 3" xfId="2866" xr:uid="{AD6FD4A3-6ED5-49DE-BDF7-A3DD997FB18F}"/>
    <cellStyle name="Millares [0] 2 2 2 5 3 2" xfId="4872" xr:uid="{CC60E03F-3665-4212-A2BA-FC03BBC0A55C}"/>
    <cellStyle name="Millares [0] 2 2 2 5 4" xfId="3410" xr:uid="{B275652D-E999-4CFE-9FA6-0236B5056AB0}"/>
    <cellStyle name="Millares [0] 2 2 2 5 4 2" xfId="5416" xr:uid="{C574689D-FEDA-40A8-A686-D9414CF3EB0D}"/>
    <cellStyle name="Millares [0] 2 2 2 5 5" xfId="3910" xr:uid="{42EA9CAD-F026-4386-A47D-C15A5B9BB110}"/>
    <cellStyle name="Millares [0] 2 2 2 6" xfId="839" xr:uid="{727F7899-A935-481A-A550-DD392C72459F}"/>
    <cellStyle name="Millares [0] 2 2 2 6 2" xfId="3068" xr:uid="{A33159DD-021F-4285-B712-BF97DDD408F4}"/>
    <cellStyle name="Millares [0] 2 2 2 6 2 2" xfId="5074" xr:uid="{87312425-14E4-4988-B8B7-E43C63003B3C}"/>
    <cellStyle name="Millares [0] 2 2 2 6 3" xfId="4112" xr:uid="{32904288-AE54-4468-B1DA-C8F0ECAB1072}"/>
    <cellStyle name="Millares [0] 2 2 2 7" xfId="2233" xr:uid="{4A92887A-C47A-489B-A6DA-9287090F0644}"/>
    <cellStyle name="Millares [0] 2 2 2 7 2" xfId="4238" xr:uid="{EF281ACE-F901-43A0-AD34-B688A38D5CFD}"/>
    <cellStyle name="Millares [0] 2 2 2 8" xfId="2650" xr:uid="{9134B27D-3369-4792-BED0-466E34092243}"/>
    <cellStyle name="Millares [0] 2 2 2 8 2" xfId="4656" xr:uid="{E73C6450-F350-4444-87E0-CF7A2E9E27BC}"/>
    <cellStyle name="Millares [0] 2 2 2 9" xfId="3194" xr:uid="{F61060DA-BBB0-4B3A-B9DF-572FE5F476A7}"/>
    <cellStyle name="Millares [0] 2 2 2 9 2" xfId="5200" xr:uid="{D7A987BF-E3D4-4153-81A4-95946DD70311}"/>
    <cellStyle name="Millares [0] 2 2 3" xfId="195" xr:uid="{00000000-0005-0000-0000-00005D000000}"/>
    <cellStyle name="Millares [0] 2 2 3 2" xfId="297" xr:uid="{3243552F-421E-4891-B15E-F1371332458A}"/>
    <cellStyle name="Millares [0] 2 2 3 2 2" xfId="796" xr:uid="{B4E6E981-EBF6-4FE5-8966-81BD50529E92}"/>
    <cellStyle name="Millares [0] 2 2 3 2 2 2" xfId="2606" xr:uid="{C912925D-E526-4AA0-9753-187155FA3592}"/>
    <cellStyle name="Millares [0] 2 2 3 2 2 2 2" xfId="4612" xr:uid="{74E9ADD5-78E9-4C5B-B469-AF637986855A}"/>
    <cellStyle name="Millares [0] 2 2 3 2 2 3" xfId="3024" xr:uid="{58AF6043-A91C-43EE-A315-20F852DFDB0C}"/>
    <cellStyle name="Millares [0] 2 2 3 2 2 3 2" xfId="5030" xr:uid="{E9B0ADDA-C8D0-45AD-BE32-77B059F4CB53}"/>
    <cellStyle name="Millares [0] 2 2 3 2 2 4" xfId="3568" xr:uid="{9907B7C3-4FE1-4ED4-A375-824AFAE78D16}"/>
    <cellStyle name="Millares [0] 2 2 3 2 2 4 2" xfId="5574" xr:uid="{88392668-15AA-434D-A898-696DDC1E4C14}"/>
    <cellStyle name="Millares [0] 2 2 3 2 2 5" xfId="4068" xr:uid="{DCC8144C-8D57-4448-90B7-E4E1ED835C9F}"/>
    <cellStyle name="Millares [0] 2 2 3 2 3" xfId="2395" xr:uid="{E007ECC2-FA6F-4678-8513-1561CA80D6D7}"/>
    <cellStyle name="Millares [0] 2 2 3 2 3 2" xfId="4400" xr:uid="{8DA8677D-A9D4-4441-BDEA-00B43A2E066E}"/>
    <cellStyle name="Millares [0] 2 2 3 2 4" xfId="2812" xr:uid="{D364F254-68BF-4770-B148-B43F6F333B9F}"/>
    <cellStyle name="Millares [0] 2 2 3 2 4 2" xfId="4818" xr:uid="{ACDA3F82-8A86-4FD0-AD16-9560F8EABEF9}"/>
    <cellStyle name="Millares [0] 2 2 3 2 5" xfId="3356" xr:uid="{2134CE23-805B-4118-8CAB-B0A56ACDCDC4}"/>
    <cellStyle name="Millares [0] 2 2 3 2 5 2" xfId="5362" xr:uid="{B862A6C0-67A1-4F30-99EB-DA1B937B01C3}"/>
    <cellStyle name="Millares [0] 2 2 3 2 6" xfId="611" xr:uid="{666C0D2C-2562-474D-A84A-6CC027A24CF2}"/>
    <cellStyle name="Millares [0] 2 2 3 2 7" xfId="3856" xr:uid="{FB8C686E-D1A3-4148-93C8-C87759FD75D8}"/>
    <cellStyle name="Millares [0] 2 2 3 3" xfId="389" xr:uid="{FF9F1E01-25F3-4B37-BC84-5F99A28ECBC7}"/>
    <cellStyle name="Millares [0] 2 2 3 3 2" xfId="2506" xr:uid="{5529D08C-68B8-4083-AAAB-CF38FE00057F}"/>
    <cellStyle name="Millares [0] 2 2 3 3 2 2" xfId="4512" xr:uid="{54F9F8AF-8EB7-4FA9-BC8D-83BCB6322AA0}"/>
    <cellStyle name="Millares [0] 2 2 3 3 3" xfId="2924" xr:uid="{3AB525B8-317A-45AF-A8C5-B418D844B1E7}"/>
    <cellStyle name="Millares [0] 2 2 3 3 3 2" xfId="4930" xr:uid="{61995D23-249B-4F41-B5ED-DD9C0E514C14}"/>
    <cellStyle name="Millares [0] 2 2 3 3 4" xfId="3468" xr:uid="{9E0A1AEE-A966-4085-ABF8-38781447B585}"/>
    <cellStyle name="Millares [0] 2 2 3 3 4 2" xfId="5474" xr:uid="{E891934A-76C4-435B-B66E-97B0D0FE0758}"/>
    <cellStyle name="Millares [0] 2 2 3 3 5" xfId="3968" xr:uid="{4651388D-A332-4125-8B07-E971E29A1FE4}"/>
    <cellStyle name="Millares [0] 2 2 3 4" xfId="897" xr:uid="{6030FC07-D560-473C-B1F6-442D0551D986}"/>
    <cellStyle name="Millares [0] 2 2 3 4 2" xfId="3126" xr:uid="{9CE52FCD-EBC8-4AA4-8E75-43BEAE560870}"/>
    <cellStyle name="Millares [0] 2 2 3 4 2 2" xfId="5132" xr:uid="{19D9E373-0C5A-4FF8-9FD6-41BAC4BDB893}"/>
    <cellStyle name="Millares [0] 2 2 3 4 3" xfId="4170" xr:uid="{3391923C-4FAB-43B8-960F-C256F030E0FD}"/>
    <cellStyle name="Millares [0] 2 2 3 5" xfId="2291" xr:uid="{A972531D-0D9D-493D-A5AA-57F235D2644A}"/>
    <cellStyle name="Millares [0] 2 2 3 5 2" xfId="4296" xr:uid="{CA27B517-B9BE-4660-A88F-74F10B4863D7}"/>
    <cellStyle name="Millares [0] 2 2 3 6" xfId="2708" xr:uid="{F2499DF4-5AB9-4DB9-B8C3-89182AE36CAB}"/>
    <cellStyle name="Millares [0] 2 2 3 6 2" xfId="4714" xr:uid="{884C9447-7291-4E3B-85B4-B568A6B2E649}"/>
    <cellStyle name="Millares [0] 2 2 3 7" xfId="3252" xr:uid="{D2330B8A-75AF-4692-BD5C-350E05BFB6F6}"/>
    <cellStyle name="Millares [0] 2 2 3 7 2" xfId="5258" xr:uid="{3540834E-5740-45FC-861D-175510ED1A67}"/>
    <cellStyle name="Millares [0] 2 2 3 8" xfId="3752" xr:uid="{F8704590-4E15-41EA-8294-4046209BB5C5}"/>
    <cellStyle name="Millares [0] 2 2 3 9" xfId="5794" xr:uid="{C4CC4358-E88A-4DD8-BC5F-94EC2D55DB80}"/>
    <cellStyle name="Millares [0] 2 2 4" xfId="149" xr:uid="{00000000-0005-0000-0000-00005E000000}"/>
    <cellStyle name="Millares [0] 2 2 4 2" xfId="255" xr:uid="{72256022-002E-437C-879F-133CF81BA4B4}"/>
    <cellStyle name="Millares [0] 2 2 4 2 2" xfId="755" xr:uid="{73AFF5B6-B6DB-4976-929D-2E2863E82507}"/>
    <cellStyle name="Millares [0] 2 2 4 2 2 2" xfId="2564" xr:uid="{1995C095-00F8-4B1B-BC60-A07A8D130D51}"/>
    <cellStyle name="Millares [0] 2 2 4 2 2 2 2" xfId="4570" xr:uid="{E817EE57-2A47-4279-8379-6FAE9B170702}"/>
    <cellStyle name="Millares [0] 2 2 4 2 2 3" xfId="2982" xr:uid="{D52E0957-1F15-4843-A63D-AEA8745B96B6}"/>
    <cellStyle name="Millares [0] 2 2 4 2 2 3 2" xfId="4988" xr:uid="{12955140-BB2B-4F6E-BE3D-A8BF2F424620}"/>
    <cellStyle name="Millares [0] 2 2 4 2 2 4" xfId="3526" xr:uid="{BB2BDA92-09FA-482D-9DB2-C7BA77DEF331}"/>
    <cellStyle name="Millares [0] 2 2 4 2 2 4 2" xfId="5532" xr:uid="{D92A7C12-E4C5-436F-A086-2A96DF884B53}"/>
    <cellStyle name="Millares [0] 2 2 4 2 2 5" xfId="4026" xr:uid="{4A380436-4DE1-46CC-BE9E-2BB63E1DDAF1}"/>
    <cellStyle name="Millares [0] 2 2 4 2 3" xfId="2353" xr:uid="{B42DFFD3-7519-434C-A0B7-E8DAB460C757}"/>
    <cellStyle name="Millares [0] 2 2 4 2 3 2" xfId="4358" xr:uid="{CF0F72F6-8341-4DA2-A291-0242F345E128}"/>
    <cellStyle name="Millares [0] 2 2 4 2 4" xfId="2770" xr:uid="{5ECD199D-9362-4BEA-A9AE-AB84E8099EFE}"/>
    <cellStyle name="Millares [0] 2 2 4 2 4 2" xfId="4776" xr:uid="{0C6F6D30-4561-43EA-BA0D-C2AD426FF181}"/>
    <cellStyle name="Millares [0] 2 2 4 2 5" xfId="3314" xr:uid="{901C7B44-E9F9-40F7-A14D-A59ED9355B8E}"/>
    <cellStyle name="Millares [0] 2 2 4 2 5 2" xfId="5320" xr:uid="{E95C16E9-9101-46DA-9348-D5FEDF413F3F}"/>
    <cellStyle name="Millares [0] 2 2 4 2 6" xfId="570" xr:uid="{89B01BC5-9030-411B-8685-2239000C6D54}"/>
    <cellStyle name="Millares [0] 2 2 4 2 7" xfId="3814" xr:uid="{DE1589AC-0D50-42D1-9163-B379959A5A08}"/>
    <cellStyle name="Millares [0] 2 2 4 3" xfId="419" xr:uid="{E6864696-79A7-44B4-BE48-0A1BAB6BE835}"/>
    <cellStyle name="Millares [0] 2 2 4 3 2" xfId="2464" xr:uid="{B5D8AB36-DC5B-4CAA-8F19-D4F038A0D3F4}"/>
    <cellStyle name="Millares [0] 2 2 4 3 2 2" xfId="4470" xr:uid="{E6865792-1A27-472F-A57B-0A7F79509D9C}"/>
    <cellStyle name="Millares [0] 2 2 4 3 3" xfId="2882" xr:uid="{321DF1F6-7899-44ED-AAD0-56CCBD6EBBDE}"/>
    <cellStyle name="Millares [0] 2 2 4 3 3 2" xfId="4888" xr:uid="{531E7894-40D8-4B3E-8984-8FDFF70F2586}"/>
    <cellStyle name="Millares [0] 2 2 4 3 4" xfId="3426" xr:uid="{BC05DDF9-690D-4F90-83F4-FB775538F24D}"/>
    <cellStyle name="Millares [0] 2 2 4 3 4 2" xfId="5432" xr:uid="{251B6E1D-DD9A-4438-A881-6417AC7EFE37}"/>
    <cellStyle name="Millares [0] 2 2 4 3 5" xfId="3926" xr:uid="{C02004B0-D78C-4770-8F40-F8D577D2CCFA}"/>
    <cellStyle name="Millares [0] 2 2 4 4" xfId="855" xr:uid="{678F0E0B-F704-47E7-9856-2550F76D412D}"/>
    <cellStyle name="Millares [0] 2 2 4 4 2" xfId="3084" xr:uid="{DE8196EA-491B-4936-87C4-DB36650967B9}"/>
    <cellStyle name="Millares [0] 2 2 4 4 2 2" xfId="5090" xr:uid="{8D0BB6B1-E202-4EB0-BC01-01F03F42A475}"/>
    <cellStyle name="Millares [0] 2 2 4 4 3" xfId="4128" xr:uid="{4C341B97-0D47-41D6-AF33-9D561F517538}"/>
    <cellStyle name="Millares [0] 2 2 4 5" xfId="2249" xr:uid="{4398B78E-0338-4E25-ADDB-D2D87A095331}"/>
    <cellStyle name="Millares [0] 2 2 4 5 2" xfId="4254" xr:uid="{2A1940BB-90D6-4468-9100-FE2C0DE95A0A}"/>
    <cellStyle name="Millares [0] 2 2 4 6" xfId="2666" xr:uid="{9FF823A6-371B-45E0-92D2-A0E21BA04A47}"/>
    <cellStyle name="Millares [0] 2 2 4 6 2" xfId="4672" xr:uid="{5E06815E-62F3-4114-AC87-A49BF371B8E6}"/>
    <cellStyle name="Millares [0] 2 2 4 7" xfId="3210" xr:uid="{522BB5D2-F3F6-44A9-8B72-7D6BE3DB7E72}"/>
    <cellStyle name="Millares [0] 2 2 4 7 2" xfId="5216" xr:uid="{09B3859D-8808-4EFB-B67B-8C5EDFA7640B}"/>
    <cellStyle name="Millares [0] 2 2 4 8" xfId="3710" xr:uid="{8FF1F8D6-FBBB-4C95-8F81-0143DB44D322}"/>
    <cellStyle name="Millares [0] 2 2 5" xfId="101" xr:uid="{00000000-0005-0000-0000-00005F000000}"/>
    <cellStyle name="Millares [0] 2 2 5 2" xfId="443" xr:uid="{4B790FB6-C151-436B-BBAC-8B109D8ED332}"/>
    <cellStyle name="Millares [0] 2 2 5 2 2" xfId="2437" xr:uid="{6B245DE4-3883-4BB2-83E3-840F0F0E8AB8}"/>
    <cellStyle name="Millares [0] 2 2 5 2 2 2" xfId="4443" xr:uid="{A2EA4A7A-F22B-407C-9C6E-3021D5E431CC}"/>
    <cellStyle name="Millares [0] 2 2 5 2 3" xfId="2855" xr:uid="{1191A273-AA12-4BAB-B98F-03115829D3FB}"/>
    <cellStyle name="Millares [0] 2 2 5 2 3 2" xfId="4861" xr:uid="{6D70B137-A5EB-42B4-B0F3-F75A3215DD6C}"/>
    <cellStyle name="Millares [0] 2 2 5 2 4" xfId="3399" xr:uid="{7B170CBF-2878-4AD0-A2D5-AF487E0FA1D1}"/>
    <cellStyle name="Millares [0] 2 2 5 2 4 2" xfId="5405" xr:uid="{1836BF83-807E-4DDA-B042-CB9E47A0619E}"/>
    <cellStyle name="Millares [0] 2 2 5 2 5" xfId="3899" xr:uid="{8525CE95-175C-4520-A97B-F8983F628344}"/>
    <cellStyle name="Millares [0] 2 2 5 3" xfId="2326" xr:uid="{C6270D68-1CD4-428E-80B9-982FC65C3CF3}"/>
    <cellStyle name="Millares [0] 2 2 5 3 2" xfId="4331" xr:uid="{FCF1C104-C00F-4F07-893F-9B3BF92DFDA2}"/>
    <cellStyle name="Millares [0] 2 2 5 4" xfId="2743" xr:uid="{6487A602-4919-4350-B05B-0988E11C1F96}"/>
    <cellStyle name="Millares [0] 2 2 5 4 2" xfId="4749" xr:uid="{182A9986-4D7A-47E3-9285-AF4E23E577C0}"/>
    <cellStyle name="Millares [0] 2 2 5 5" xfId="3287" xr:uid="{DEE93517-E159-4CA4-92BF-80404A90FB88}"/>
    <cellStyle name="Millares [0] 2 2 5 5 2" xfId="5293" xr:uid="{AFC37FE8-BF4D-459F-A816-D87FCE88E1A2}"/>
    <cellStyle name="Millares [0] 2 2 5 6" xfId="3787" xr:uid="{889EA742-AF06-4B0A-ABF6-943D52CFBA00}"/>
    <cellStyle name="Millares [0] 2 2 6" xfId="228" xr:uid="{5A2EF6ED-0B1B-462E-88ED-47D0683229CB}"/>
    <cellStyle name="Millares [0] 2 2 6 2" xfId="454" xr:uid="{395F214A-AA45-4C75-821D-2585BDD40EB5}"/>
    <cellStyle name="Millares [0] 2 2 6 2 2" xfId="2537" xr:uid="{64270B0B-8324-4314-ACCB-769B13C3F69A}"/>
    <cellStyle name="Millares [0] 2 2 6 2 2 2" xfId="4543" xr:uid="{99FEAEBA-C45E-474D-986E-4218E62AB319}"/>
    <cellStyle name="Millares [0] 2 2 6 2 3" xfId="2955" xr:uid="{C89456E9-BD85-4785-99D3-C5F790B1BD28}"/>
    <cellStyle name="Millares [0] 2 2 6 2 3 2" xfId="4961" xr:uid="{BB38A4A8-700A-4AF7-B218-98A2BA167AB6}"/>
    <cellStyle name="Millares [0] 2 2 6 2 4" xfId="3499" xr:uid="{D6941A42-2EE9-4EF6-8CCF-41A47876E8E6}"/>
    <cellStyle name="Millares [0] 2 2 6 2 4 2" xfId="5505" xr:uid="{1A8480C3-47B6-4A71-B45E-199DF9E325D8}"/>
    <cellStyle name="Millares [0] 2 2 6 2 5" xfId="3999" xr:uid="{65FB5F02-84EB-41A5-8291-D41A91AFF948}"/>
    <cellStyle name="Millares [0] 2 2 6 3" xfId="2419" xr:uid="{054E6BD2-6D14-4953-B1B2-6B3FBE0B373E}"/>
    <cellStyle name="Millares [0] 2 2 6 3 2" xfId="4425" xr:uid="{55909D95-4A88-41EB-865C-2E6F170F415E}"/>
    <cellStyle name="Millares [0] 2 2 6 4" xfId="2837" xr:uid="{3D6246F4-6F6F-40C2-AE79-E910E3CC6E47}"/>
    <cellStyle name="Millares [0] 2 2 6 4 2" xfId="4843" xr:uid="{6BC7CB6C-E893-4F04-B393-18936569AFB0}"/>
    <cellStyle name="Millares [0] 2 2 6 5" xfId="3381" xr:uid="{83C9D26D-ADFE-48F7-8FA4-225E7CA6F43A}"/>
    <cellStyle name="Millares [0] 2 2 6 5 2" xfId="5387" xr:uid="{65A9D31F-BEE3-45C0-9CDD-02C66F98CBEF}"/>
    <cellStyle name="Millares [0] 2 2 6 6" xfId="635" xr:uid="{4D5E359C-98C5-4B22-AD01-1CD6751C187D}"/>
    <cellStyle name="Millares [0] 2 2 6 7" xfId="3881" xr:uid="{1E1CF6E0-009A-4D96-BF29-37067F66E301}"/>
    <cellStyle name="Millares [0] 2 2 7" xfId="341" xr:uid="{54E653BD-B016-45AF-B2C6-431C4E53647A}"/>
    <cellStyle name="Millares [0] 2 2 7 2" xfId="2422" xr:uid="{7E518281-093B-489E-9408-9C00EB23C43B}"/>
    <cellStyle name="Millares [0] 2 2 7 2 2" xfId="4428" xr:uid="{9B08D67B-15E7-456C-B75D-0BFF4591B01E}"/>
    <cellStyle name="Millares [0] 2 2 7 3" xfId="2840" xr:uid="{32219375-D715-4540-9A83-961B2B7466CD}"/>
    <cellStyle name="Millares [0] 2 2 7 3 2" xfId="4846" xr:uid="{C46740E1-10E7-4099-8A54-940000E558CE}"/>
    <cellStyle name="Millares [0] 2 2 7 4" xfId="3384" xr:uid="{248F0C4A-AF15-4316-B62B-9773A48BCCFC}"/>
    <cellStyle name="Millares [0] 2 2 7 4 2" xfId="5390" xr:uid="{C3A73E20-2ABB-4817-B855-FAE48690E824}"/>
    <cellStyle name="Millares [0] 2 2 7 5" xfId="3884" xr:uid="{D83D9818-4CDA-41EE-9B68-16EB9C8EB32C}"/>
    <cellStyle name="Millares [0] 2 2 8" xfId="828" xr:uid="{59857BB6-7006-4E21-97DC-C876BE769CE6}"/>
    <cellStyle name="Millares [0] 2 2 8 2" xfId="3057" xr:uid="{016ACB4D-469B-4714-BFDA-4097D73E1CCE}"/>
    <cellStyle name="Millares [0] 2 2 8 2 2" xfId="5063" xr:uid="{EB4D0EFE-ED86-4F78-93F5-C41C4577300C}"/>
    <cellStyle name="Millares [0] 2 2 8 3" xfId="4101" xr:uid="{FE1B5CBB-A997-48D4-9C1E-0624B916CA04}"/>
    <cellStyle name="Millares [0] 2 2 9" xfId="923" xr:uid="{FF94A9D9-248D-4D31-B2BB-6469DE429238}"/>
    <cellStyle name="Millares [0] 2 2 9 2" xfId="3149" xr:uid="{1B40E593-4D09-47E3-B33D-2015D7512A45}"/>
    <cellStyle name="Millares [0] 2 2 9 2 2" xfId="5155" xr:uid="{9F2CCE59-101B-452C-9F94-D5BD2DC6B8CA}"/>
    <cellStyle name="Millares [0] 2 2 9 3" xfId="4193" xr:uid="{6D82F1FC-06A5-4C03-A8ED-573811F0C4B4}"/>
    <cellStyle name="Millares [0] 2 3" xfId="136" xr:uid="{00000000-0005-0000-0000-000060000000}"/>
    <cellStyle name="Millares [0] 2 3 2" xfId="376" xr:uid="{7D1471E6-AD5E-4AA4-9FE7-0E179B205958}"/>
    <cellStyle name="Millares [0] 2 3 2 2" xfId="2194" xr:uid="{14592C37-1DC7-4E5F-82BB-C6BE6516CEC3}"/>
    <cellStyle name="Millares [0] 2 3 2 3" xfId="5837" xr:uid="{1207BE4B-3811-4C13-8392-4F58DDA2481F}"/>
    <cellStyle name="Millares [0] 2 3 3" xfId="362" xr:uid="{C997B887-4763-43CF-A094-257FF523ADC2}"/>
    <cellStyle name="Millares [0] 2 3 3 2" xfId="3647" xr:uid="{B531C931-ABC8-47F7-9FA2-C3076D477E34}"/>
    <cellStyle name="Millares [0] 2 3 3 3" xfId="5631" xr:uid="{21B19206-4781-4192-9F97-320B818DF10F}"/>
    <cellStyle name="Millares [0] 2 3 4" xfId="5728" xr:uid="{C4F179F4-9874-4097-B65A-7676D17E9766}"/>
    <cellStyle name="Millares [0] 2 4" xfId="169" xr:uid="{00000000-0005-0000-0000-000061000000}"/>
    <cellStyle name="Millares [0] 2 4 2" xfId="275" xr:uid="{ABF5FD1D-0102-46D1-A8E9-903ECEB1FABD}"/>
    <cellStyle name="Millares [0] 2 4 2 2" xfId="374" xr:uid="{73557DD9-6BF0-4289-99DB-5E39D1334E72}"/>
    <cellStyle name="Millares [0] 2 4 2 2 2" xfId="2584" xr:uid="{C30B9842-DF80-477A-AC05-BDD3EA516BE6}"/>
    <cellStyle name="Millares [0] 2 4 2 2 2 2" xfId="4590" xr:uid="{6674C49D-3050-4B89-83E5-F18CF7518055}"/>
    <cellStyle name="Millares [0] 2 4 2 2 3" xfId="3002" xr:uid="{F55CFABD-3BC4-4C5E-8343-BA519935455D}"/>
    <cellStyle name="Millares [0] 2 4 2 2 3 2" xfId="5008" xr:uid="{8D01A99C-4299-4C13-81C2-92D79D30248C}"/>
    <cellStyle name="Millares [0] 2 4 2 2 4" xfId="3546" xr:uid="{D4FA7DCA-A204-48EC-BAD7-741A297A2E0A}"/>
    <cellStyle name="Millares [0] 2 4 2 2 4 2" xfId="5552" xr:uid="{64FDECF0-8F68-479D-AE84-36545284984D}"/>
    <cellStyle name="Millares [0] 2 4 2 2 5" xfId="4046" xr:uid="{A71D818C-027B-47BA-9CCA-EF65B5A73221}"/>
    <cellStyle name="Millares [0] 2 4 2 3" xfId="2373" xr:uid="{3DE046B5-6A9C-49EA-A5F6-DED5B3C2A6A6}"/>
    <cellStyle name="Millares [0] 2 4 2 3 2" xfId="4378" xr:uid="{69497CF9-BA8E-4C69-A62A-0AB733B48A61}"/>
    <cellStyle name="Millares [0] 2 4 2 4" xfId="2790" xr:uid="{8D0A7352-79D7-4115-B1B8-9DBD3CD5DFE8}"/>
    <cellStyle name="Millares [0] 2 4 2 4 2" xfId="4796" xr:uid="{EBFECDC8-000F-40B7-8855-DCB55F05499E}"/>
    <cellStyle name="Millares [0] 2 4 2 5" xfId="3334" xr:uid="{DCB5F8D6-6883-4E79-9A67-9C93EEE11EE5}"/>
    <cellStyle name="Millares [0] 2 4 2 5 2" xfId="5340" xr:uid="{A19F2C68-C8F4-4BD0-84B2-2CD0C4425524}"/>
    <cellStyle name="Millares [0] 2 4 2 6" xfId="3834" xr:uid="{C28331A9-FAC6-4A7B-A02A-2D0EE403F812}"/>
    <cellStyle name="Millares [0] 2 4 3" xfId="361" xr:uid="{C6B11A32-254B-472F-8C50-6DD89A21E834}"/>
    <cellStyle name="Millares [0] 2 4 3 2" xfId="2484" xr:uid="{71CBA6FB-D0CE-47E3-BFBD-95E918B6A2B6}"/>
    <cellStyle name="Millares [0] 2 4 3 2 2" xfId="4490" xr:uid="{9A71E65A-F028-4443-B34A-FBA272F8FED9}"/>
    <cellStyle name="Millares [0] 2 4 3 3" xfId="2902" xr:uid="{6FD1455B-6752-4E25-9A09-F56A2B62413C}"/>
    <cellStyle name="Millares [0] 2 4 3 3 2" xfId="4908" xr:uid="{677F2CC2-0F97-4D18-8AF2-CE0066094FB5}"/>
    <cellStyle name="Millares [0] 2 4 3 4" xfId="3446" xr:uid="{365E42B1-A5C4-4956-A33E-1E5BF809B87F}"/>
    <cellStyle name="Millares [0] 2 4 3 4 2" xfId="5452" xr:uid="{6A447CFF-DF10-450E-A2F5-0AB0B8F7CA7C}"/>
    <cellStyle name="Millares [0] 2 4 3 5" xfId="3946" xr:uid="{449C2501-4BF8-4009-9958-6B4535C354BD}"/>
    <cellStyle name="Millares [0] 2 4 4" xfId="875" xr:uid="{71CE92FA-CA87-448D-81AA-B60E6EC403AE}"/>
    <cellStyle name="Millares [0] 2 4 4 2" xfId="3104" xr:uid="{3F724181-C653-40C0-8917-F3623BA91257}"/>
    <cellStyle name="Millares [0] 2 4 4 2 2" xfId="5110" xr:uid="{2B2CB6C0-7D32-4D5D-BB58-6E829AD26737}"/>
    <cellStyle name="Millares [0] 2 4 4 3" xfId="4148" xr:uid="{C8D3786C-094F-46AD-99B3-F7FC91B03FEB}"/>
    <cellStyle name="Millares [0] 2 4 5" xfId="2269" xr:uid="{B1DE091B-08E3-4C32-95BB-055878A00989}"/>
    <cellStyle name="Millares [0] 2 4 5 2" xfId="4274" xr:uid="{7E4708E8-6EB3-47D2-909F-B71295CC875C}"/>
    <cellStyle name="Millares [0] 2 4 6" xfId="2686" xr:uid="{A5BA02FB-7B05-454B-AE7E-4617E1014A0B}"/>
    <cellStyle name="Millares [0] 2 4 6 2" xfId="4692" xr:uid="{5F24D32A-4440-4EA5-B5E4-5B7B08D5F0E7}"/>
    <cellStyle name="Millares [0] 2 4 7" xfId="3230" xr:uid="{2D3D03C5-A4C1-49CD-A5F4-E065F009A83E}"/>
    <cellStyle name="Millares [0] 2 4 7 2" xfId="5236" xr:uid="{0F65C5B1-D7B3-4B3A-8AE4-F77B616C56E2}"/>
    <cellStyle name="Millares [0] 2 4 8" xfId="3730" xr:uid="{177CC758-96A4-49C4-BAAD-06C38D1A60D2}"/>
    <cellStyle name="Millares [0] 2 4 9" xfId="5764" xr:uid="{2EAF070F-5B6E-4632-9A26-63205FBB4A7D}"/>
    <cellStyle name="Millares [0] 2 5" xfId="90" xr:uid="{00000000-0005-0000-0000-000062000000}"/>
    <cellStyle name="Millares [0] 2 5 2" xfId="224" xr:uid="{DC6D671B-811A-4B6A-B998-52890DD3D46E}"/>
    <cellStyle name="Millares [0] 2 5 2 2" xfId="725" xr:uid="{2B11741B-751F-4241-8902-4A8CDBBE8EF9}"/>
    <cellStyle name="Millares [0] 2 5 2 2 2" xfId="2533" xr:uid="{3AE4541E-789D-4BAE-9665-ECD35555D134}"/>
    <cellStyle name="Millares [0] 2 5 2 2 2 2" xfId="4539" xr:uid="{71B39C73-C02E-4BFD-8AD7-ECFF2D31C682}"/>
    <cellStyle name="Millares [0] 2 5 2 2 3" xfId="2951" xr:uid="{74BD424D-9888-4AB9-8273-BAFE9F1B8C2B}"/>
    <cellStyle name="Millares [0] 2 5 2 2 3 2" xfId="4957" xr:uid="{4BC8F405-4369-4FB3-9ED4-BE77749E4F00}"/>
    <cellStyle name="Millares [0] 2 5 2 2 4" xfId="3495" xr:uid="{6D34CE70-07A1-41E7-9F93-6ABDC68C8374}"/>
    <cellStyle name="Millares [0] 2 5 2 2 4 2" xfId="5501" xr:uid="{D3FC1993-A2FA-45B1-A807-522EF08721D4}"/>
    <cellStyle name="Millares [0] 2 5 2 2 5" xfId="3995" xr:uid="{3B0FC141-026A-4B30-A540-BCF1E600B410}"/>
    <cellStyle name="Millares [0] 2 5 2 3" xfId="2322" xr:uid="{4F30B4D5-5461-43AA-B9D0-54468DE62D3B}"/>
    <cellStyle name="Millares [0] 2 5 2 3 2" xfId="4327" xr:uid="{96E31C65-E878-453C-9FA7-B54D0382C2CB}"/>
    <cellStyle name="Millares [0] 2 5 2 4" xfId="2739" xr:uid="{CA8CC651-43F8-41A9-9D77-AA2C1AD9C553}"/>
    <cellStyle name="Millares [0] 2 5 2 4 2" xfId="4745" xr:uid="{D5E51874-9C92-49C0-882E-3756EC10E7A8}"/>
    <cellStyle name="Millares [0] 2 5 2 5" xfId="3283" xr:uid="{922298CE-00A3-4BB6-AA1E-3C43CFD71540}"/>
    <cellStyle name="Millares [0] 2 5 2 5 2" xfId="5289" xr:uid="{C4273421-0C02-4CC2-852E-7E09DBC35E5F}"/>
    <cellStyle name="Millares [0] 2 5 2 6" xfId="540" xr:uid="{DC8C330F-F463-4E87-9D5F-4C5D3EF0899B}"/>
    <cellStyle name="Millares [0] 2 5 2 7" xfId="3783" xr:uid="{4FC35A8C-BEF1-4559-B922-E9805ACBF07D}"/>
    <cellStyle name="Millares [0] 2 5 3" xfId="372" xr:uid="{1F190221-773F-44F9-A6AA-11A2477DD0FA}"/>
    <cellStyle name="Millares [0] 2 5 3 2" xfId="2433" xr:uid="{FE02B254-133B-456D-BC7A-6A51D7382DEE}"/>
    <cellStyle name="Millares [0] 2 5 3 2 2" xfId="4439" xr:uid="{ED6AABD2-4B89-4293-8BBC-CC16F614DBE6}"/>
    <cellStyle name="Millares [0] 2 5 3 3" xfId="2851" xr:uid="{1C820F92-7BF6-4C33-ADEB-79D62225C130}"/>
    <cellStyle name="Millares [0] 2 5 3 3 2" xfId="4857" xr:uid="{10A8A10C-0652-4400-94E2-340658FDD570}"/>
    <cellStyle name="Millares [0] 2 5 3 4" xfId="3395" xr:uid="{FFE5F8AB-25CC-4EFD-9870-8DBD0DF9206B}"/>
    <cellStyle name="Millares [0] 2 5 3 4 2" xfId="5401" xr:uid="{9E373804-2E7D-43A4-88F8-D78953421C17}"/>
    <cellStyle name="Millares [0] 2 5 3 5" xfId="645" xr:uid="{FFDF632A-C68C-4DD6-BDBF-9BD2559232E1}"/>
    <cellStyle name="Millares [0] 2 5 3 6" xfId="3895" xr:uid="{935BF7DD-1592-47E9-AFFD-3A196B8459FC}"/>
    <cellStyle name="Millares [0] 2 5 4" xfId="824" xr:uid="{FA250F18-8F4F-4129-864E-DCD1FACB9D4F}"/>
    <cellStyle name="Millares [0] 2 5 4 2" xfId="3053" xr:uid="{A24F5768-2ED6-4B82-BB1D-867C8E08DEC0}"/>
    <cellStyle name="Millares [0] 2 5 4 2 2" xfId="5059" xr:uid="{2EC9A084-2F40-4399-A8CA-A5E6F29486F5}"/>
    <cellStyle name="Millares [0] 2 5 4 3" xfId="4097" xr:uid="{D0682E8C-E195-45C3-86F5-F007A284C94B}"/>
    <cellStyle name="Millares [0] 2 5 5" xfId="2218" xr:uid="{BE79E5E1-C7DE-4360-92B5-81EF9223AFD0}"/>
    <cellStyle name="Millares [0] 2 5 5 2" xfId="4223" xr:uid="{5DC0D3A2-94EF-40B7-8D12-57E7A3C14786}"/>
    <cellStyle name="Millares [0] 2 5 6" xfId="2635" xr:uid="{0085F5A4-254B-4DB7-912D-92563C0CC882}"/>
    <cellStyle name="Millares [0] 2 5 6 2" xfId="4641" xr:uid="{06A517E8-3F08-422F-A867-2B5E78B0B444}"/>
    <cellStyle name="Millares [0] 2 5 7" xfId="3179" xr:uid="{2EDFC04D-EDA7-4C63-BFE4-2DB2AB994FF8}"/>
    <cellStyle name="Millares [0] 2 5 7 2" xfId="5185" xr:uid="{F124514D-5CB4-443F-B4C8-3FFBE82DEBB8}"/>
    <cellStyle name="Millares [0] 2 5 8" xfId="460" xr:uid="{88AAAE2F-F62A-454F-AFF1-47CF9DD17530}"/>
    <cellStyle name="Millares [0] 2 5 9" xfId="3679" xr:uid="{854ED7CB-1FF6-4C86-8351-45D6D82727F6}"/>
    <cellStyle name="Millares [0] 2 6" xfId="340" xr:uid="{12837E86-7CBC-4B8F-9C27-718FD841CE57}"/>
    <cellStyle name="Millares [0] 2 6 2" xfId="382" xr:uid="{7D1CDF91-4063-4628-A09E-79E176D24661}"/>
    <cellStyle name="Millares [0] 2 6 2 2" xfId="4422" xr:uid="{468F5D45-DB27-4B5C-8438-0A70D130C464}"/>
    <cellStyle name="Millares [0] 2 6 3" xfId="2834" xr:uid="{09A3652F-92A0-4B25-9291-6AED19F65D7E}"/>
    <cellStyle name="Millares [0] 2 6 3 2" xfId="4840" xr:uid="{41B64315-D604-4038-97AC-39587722F867}"/>
    <cellStyle name="Millares [0] 2 6 4" xfId="3378" xr:uid="{25C0A722-9D9E-4E6B-8173-866AF9654509}"/>
    <cellStyle name="Millares [0] 2 6 4 2" xfId="5384" xr:uid="{E73D3C6E-AFC1-4CF6-BA3D-0ED1F9A2ABB4}"/>
    <cellStyle name="Millares [0] 2 6 5" xfId="3878" xr:uid="{ED0096C5-40A9-481D-92E3-6AB729CCD19F}"/>
    <cellStyle name="Millares [0] 2 7" xfId="413" xr:uid="{6AC92672-3EED-490F-8EC9-1CEBC0CE9455}"/>
    <cellStyle name="Millares [0] 2 7 2" xfId="439" xr:uid="{7D86C32E-D078-43E1-994D-9ADFEEB555AB}"/>
    <cellStyle name="Millares [0] 2 7 2 2" xfId="3146" xr:uid="{FEF8A30F-7479-416D-87A0-B8EA344EAAAD}"/>
    <cellStyle name="Millares [0] 2 7 2 3" xfId="5152" xr:uid="{5EC5C7A7-B25F-4DDF-876A-5F5B646BBA79}"/>
    <cellStyle name="Millares [0] 2 7 3" xfId="918" xr:uid="{901A00FC-EA72-4F2E-B0BC-DCEA73233089}"/>
    <cellStyle name="Millares [0] 2 7 4" xfId="4190" xr:uid="{DFDEF1AA-D9C0-46A0-8388-E11FA4DD6A75}"/>
    <cellStyle name="Millares [0] 2 8" xfId="442" xr:uid="{ABCBB2BB-2CC4-498F-A06C-B48B6DB534DA}"/>
    <cellStyle name="Millares [0] 2 8 2" xfId="3151" xr:uid="{534C8CCD-7554-4B91-9EEA-E374619269FF}"/>
    <cellStyle name="Millares [0] 2 8 2 2" xfId="5157" xr:uid="{BF1EF1B7-9C40-4053-898C-28D9F97945C2}"/>
    <cellStyle name="Millares [0] 2 8 3" xfId="929" xr:uid="{96A7D293-E2C3-4F33-AB55-DE4533A0FED5}"/>
    <cellStyle name="Millares [0] 2 8 4" xfId="4195" xr:uid="{6E7EEBB3-403F-4065-BC2C-FC36FBBE3952}"/>
    <cellStyle name="Millares [0] 2 9" xfId="453" xr:uid="{BB630796-4903-49B6-8B1B-18258BAFB609}"/>
    <cellStyle name="Millares [0] 2 9 2" xfId="5608" xr:uid="{CE92408C-A40E-418F-B096-19F05C95BB23}"/>
    <cellStyle name="Millares [0] 20" xfId="3171" xr:uid="{B107A947-1705-497B-BB6A-CE06FE072F91}"/>
    <cellStyle name="Millares [0] 20 2" xfId="5177" xr:uid="{988E7212-A7F8-4195-A484-E399A7BECE3E}"/>
    <cellStyle name="Millares [0] 21" xfId="3589" xr:uid="{F50CB789-41F7-4EB4-8E8C-8CB027312D6E}"/>
    <cellStyle name="Millares [0] 21 2" xfId="5595" xr:uid="{FB83B4FE-7D3F-4117-A055-57D8D22C8C85}"/>
    <cellStyle name="Millares [0] 22" xfId="3671" xr:uid="{3CBBF79D-2E39-4116-A9DE-9756F9455392}"/>
    <cellStyle name="Millares [0] 23" xfId="5700" xr:uid="{158314CD-0079-4C99-99FA-83C874F05915}"/>
    <cellStyle name="Millares [0] 3" xfId="56" xr:uid="{00000000-0005-0000-0000-000063000000}"/>
    <cellStyle name="Millares [0] 3 10" xfId="2145" xr:uid="{3CE43F9D-A349-4671-A0E8-D8DC24E6CF88}"/>
    <cellStyle name="Millares [0] 3 2" xfId="111" xr:uid="{00000000-0005-0000-0000-000064000000}"/>
    <cellStyle name="Millares [0] 3 2 10" xfId="2232" xr:uid="{25671A32-D004-4C42-B66E-D7475DB77779}"/>
    <cellStyle name="Millares [0] 3 2 10 2" xfId="4237" xr:uid="{791CC73E-DD79-42EA-B57F-8D155CA76B02}"/>
    <cellStyle name="Millares [0] 3 2 11" xfId="2649" xr:uid="{CF0D9DF7-94F3-41CD-9D8F-6FD5343AE4CE}"/>
    <cellStyle name="Millares [0] 3 2 11 2" xfId="4655" xr:uid="{23884D3C-D20E-49B4-B21C-4F569E66CD3D}"/>
    <cellStyle name="Millares [0] 3 2 12" xfId="3193" xr:uid="{4C8CC4AB-23C6-4A7C-BE3F-FF32623DCF54}"/>
    <cellStyle name="Millares [0] 3 2 12 2" xfId="5199" xr:uid="{B34A5C82-B20F-4432-99B2-FE2C7E2F4CE7}"/>
    <cellStyle name="Millares [0] 3 2 13" xfId="3625" xr:uid="{42E732E3-3A4B-4C3F-A85B-1AABCB32586F}"/>
    <cellStyle name="Millares [0] 3 2 13 2" xfId="5613" xr:uid="{4B83E7F2-83C1-4420-8615-1DA24FC85A33}"/>
    <cellStyle name="Millares [0] 3 2 14" xfId="3693" xr:uid="{A1B8AD58-2763-4379-ADFF-F0939CEEF683}"/>
    <cellStyle name="Millares [0] 3 2 15" xfId="5705" xr:uid="{EBE2305C-5E44-4C83-A9E8-4B28508B223F}"/>
    <cellStyle name="Millares [0] 3 2 2" xfId="206" xr:uid="{00000000-0005-0000-0000-000065000000}"/>
    <cellStyle name="Millares [0] 3 2 2 10" xfId="5814" xr:uid="{EA56A73E-5A56-4F0F-91C2-949A639AEC93}"/>
    <cellStyle name="Millares [0] 3 2 2 2" xfId="307" xr:uid="{92113C0B-4D84-4E4B-9F7D-6EA914308309}"/>
    <cellStyle name="Millares [0] 3 2 2 2 2" xfId="806" xr:uid="{4E0ECDBD-2719-424A-B148-EE2B41EAEEE8}"/>
    <cellStyle name="Millares [0] 3 2 2 2 2 2" xfId="2616" xr:uid="{FF822104-4B0F-46E8-9289-E126FD5407F3}"/>
    <cellStyle name="Millares [0] 3 2 2 2 2 2 2" xfId="4622" xr:uid="{E956E5D7-F86F-4F3F-BA39-D156E68787CD}"/>
    <cellStyle name="Millares [0] 3 2 2 2 2 3" xfId="3034" xr:uid="{BE5F64DB-F48F-4BFE-B94E-384B537F9B22}"/>
    <cellStyle name="Millares [0] 3 2 2 2 2 3 2" xfId="5040" xr:uid="{01A9A104-EB21-4401-8D96-D282A81450EC}"/>
    <cellStyle name="Millares [0] 3 2 2 2 2 4" xfId="3578" xr:uid="{63D50ADD-A060-424F-9888-429D61D65946}"/>
    <cellStyle name="Millares [0] 3 2 2 2 2 4 2" xfId="5584" xr:uid="{AB2F9763-0199-4862-801A-B9D2D4B88874}"/>
    <cellStyle name="Millares [0] 3 2 2 2 2 5" xfId="4078" xr:uid="{74CE828F-889E-4DEE-A954-5D3F4CC72163}"/>
    <cellStyle name="Millares [0] 3 2 2 2 3" xfId="2405" xr:uid="{6FFBC75A-0701-4B9B-B7F9-643FE299BFD7}"/>
    <cellStyle name="Millares [0] 3 2 2 2 3 2" xfId="4410" xr:uid="{E7AD41C5-8295-4494-B194-DDB00086F1D3}"/>
    <cellStyle name="Millares [0] 3 2 2 2 4" xfId="2822" xr:uid="{61372506-E208-4B0A-9539-E9F80E62C2C1}"/>
    <cellStyle name="Millares [0] 3 2 2 2 4 2" xfId="4828" xr:uid="{B3C6205C-6A51-4F3D-A3C8-F0DE3FC1B78F}"/>
    <cellStyle name="Millares [0] 3 2 2 2 5" xfId="3366" xr:uid="{9F12F932-2F0B-4073-A767-BE90E6B33B88}"/>
    <cellStyle name="Millares [0] 3 2 2 2 5 2" xfId="5372" xr:uid="{A442FF37-C733-4B8F-9F1F-328A4CCD1EBA}"/>
    <cellStyle name="Millares [0] 3 2 2 2 6" xfId="621" xr:uid="{EDE5F02B-F503-4611-BE24-799463A7CC9B}"/>
    <cellStyle name="Millares [0] 3 2 2 2 7" xfId="3866" xr:uid="{D6DB0C90-1715-4DF9-B06B-62F17226D87A}"/>
    <cellStyle name="Millares [0] 3 2 2 3" xfId="710" xr:uid="{6787F117-3A4F-4B32-9B75-E97DE6F11B84}"/>
    <cellStyle name="Millares [0] 3 2 2 3 2" xfId="2516" xr:uid="{AFC96826-2C99-43AE-AABE-C42B4998BE7B}"/>
    <cellStyle name="Millares [0] 3 2 2 3 2 2" xfId="4522" xr:uid="{CEB79654-0C25-499C-854E-21CB0FD9F083}"/>
    <cellStyle name="Millares [0] 3 2 2 3 3" xfId="2934" xr:uid="{D41D8A35-1EEB-40E1-AD62-1284ACD79F2E}"/>
    <cellStyle name="Millares [0] 3 2 2 3 3 2" xfId="4940" xr:uid="{94122DF7-F161-4F1F-9B78-89749C83EF66}"/>
    <cellStyle name="Millares [0] 3 2 2 3 4" xfId="3478" xr:uid="{9C117EE6-6505-4B0C-8C2B-A9C1709B775F}"/>
    <cellStyle name="Millares [0] 3 2 2 3 4 2" xfId="5484" xr:uid="{91DF4563-22C5-43BA-A7EC-21DDD7A683D4}"/>
    <cellStyle name="Millares [0] 3 2 2 3 5" xfId="3978" xr:uid="{3A123639-7288-42E9-B93C-08CE0F1D2B13}"/>
    <cellStyle name="Millares [0] 3 2 2 4" xfId="907" xr:uid="{4F6BBE0E-FF90-4EFA-88AE-D529271EF558}"/>
    <cellStyle name="Millares [0] 3 2 2 4 2" xfId="3136" xr:uid="{AA6B6D56-6D58-4257-A13F-A70F7DE7E28F}"/>
    <cellStyle name="Millares [0] 3 2 2 4 2 2" xfId="5142" xr:uid="{48B28A96-C7CB-413F-BA22-BB6DB3616F00}"/>
    <cellStyle name="Millares [0] 3 2 2 4 3" xfId="4180" xr:uid="{46134F60-8734-4651-965B-C0ED04CF3806}"/>
    <cellStyle name="Millares [0] 3 2 2 5" xfId="2301" xr:uid="{07121F73-176B-4E00-BBC4-41738BDE9053}"/>
    <cellStyle name="Millares [0] 3 2 2 5 2" xfId="4306" xr:uid="{8858DD5D-DFA9-4971-888A-E18C48042040}"/>
    <cellStyle name="Millares [0] 3 2 2 6" xfId="2718" xr:uid="{6434AF13-46DA-4E83-9872-D73856ECAED4}"/>
    <cellStyle name="Millares [0] 3 2 2 6 2" xfId="4724" xr:uid="{617B3E05-B922-4A13-B81C-E72EAE6F4418}"/>
    <cellStyle name="Millares [0] 3 2 2 7" xfId="3262" xr:uid="{E2E14B01-9266-4C58-928E-F67237891C77}"/>
    <cellStyle name="Millares [0] 3 2 2 7 2" xfId="5268" xr:uid="{F091600A-5678-4240-AA95-B6D6E55DA502}"/>
    <cellStyle name="Millares [0] 3 2 2 8" xfId="523" xr:uid="{5EEFF31C-A05F-4D90-A750-99DADEE7C6E2}"/>
    <cellStyle name="Millares [0] 3 2 2 9" xfId="3762" xr:uid="{4AF9DDDB-DCF5-4504-8C43-BD7AC181D806}"/>
    <cellStyle name="Millares [0] 3 2 3" xfId="159" xr:uid="{00000000-0005-0000-0000-000066000000}"/>
    <cellStyle name="Millares [0] 3 2 3 2" xfId="265" xr:uid="{7C3D65A8-74EC-48A0-B097-29CAF2830D16}"/>
    <cellStyle name="Millares [0] 3 2 3 2 2" xfId="765" xr:uid="{CA2255DB-B2C2-4F92-9CE5-68595C8C42EF}"/>
    <cellStyle name="Millares [0] 3 2 3 2 2 2" xfId="2574" xr:uid="{80AFD300-172E-40CD-B2CB-1FC1FFD3B80B}"/>
    <cellStyle name="Millares [0] 3 2 3 2 2 2 2" xfId="4580" xr:uid="{156B8F54-6F34-4035-A6D1-545B21EE0842}"/>
    <cellStyle name="Millares [0] 3 2 3 2 2 3" xfId="2992" xr:uid="{BBCAD4BB-54FF-46B6-86F3-0F96EAE48A7B}"/>
    <cellStyle name="Millares [0] 3 2 3 2 2 3 2" xfId="4998" xr:uid="{C8592BF1-FED5-411D-B15D-7EC39F7506F7}"/>
    <cellStyle name="Millares [0] 3 2 3 2 2 4" xfId="3536" xr:uid="{3CDE3205-9FB8-4B46-AF9F-03C35CE294D4}"/>
    <cellStyle name="Millares [0] 3 2 3 2 2 4 2" xfId="5542" xr:uid="{E59AACA6-AEA2-42BD-8D76-E8555F0190F7}"/>
    <cellStyle name="Millares [0] 3 2 3 2 2 5" xfId="4036" xr:uid="{A1B7BA47-AF4D-425F-A549-0959CE7B539F}"/>
    <cellStyle name="Millares [0] 3 2 3 2 3" xfId="2363" xr:uid="{B8E480EA-521A-413D-94F7-8B1C8028C6FB}"/>
    <cellStyle name="Millares [0] 3 2 3 2 3 2" xfId="4368" xr:uid="{659E8AB2-676F-4343-8C72-C2322E277519}"/>
    <cellStyle name="Millares [0] 3 2 3 2 4" xfId="2780" xr:uid="{20FC23FB-477D-4CE3-B317-F7D53CAFEF53}"/>
    <cellStyle name="Millares [0] 3 2 3 2 4 2" xfId="4786" xr:uid="{050E157B-7CF5-42AC-BC4B-B65294AEBB9C}"/>
    <cellStyle name="Millares [0] 3 2 3 2 5" xfId="3324" xr:uid="{2C950D52-6ABA-4FDA-8A2C-D40199CEFAB1}"/>
    <cellStyle name="Millares [0] 3 2 3 2 5 2" xfId="5330" xr:uid="{F22A2EA0-17AD-47EE-A35C-5FB81ED71721}"/>
    <cellStyle name="Millares [0] 3 2 3 2 6" xfId="580" xr:uid="{EBB7735B-F1E3-40DA-83D1-A141B1C88265}"/>
    <cellStyle name="Millares [0] 3 2 3 2 7" xfId="3824" xr:uid="{5E22904D-A528-4167-9B10-0946097550AA}"/>
    <cellStyle name="Millares [0] 3 2 3 3" xfId="676" xr:uid="{AE27EC0C-02C1-4C9A-B498-387528397DE2}"/>
    <cellStyle name="Millares [0] 3 2 3 3 2" xfId="2474" xr:uid="{6DD75682-BA54-49EA-B5E7-13955F6D2EE0}"/>
    <cellStyle name="Millares [0] 3 2 3 3 2 2" xfId="4480" xr:uid="{6FE996CB-B800-4BB7-9839-3948E95938D9}"/>
    <cellStyle name="Millares [0] 3 2 3 3 3" xfId="2892" xr:uid="{7BE378FE-4393-461A-82E4-588E57732A0B}"/>
    <cellStyle name="Millares [0] 3 2 3 3 3 2" xfId="4898" xr:uid="{9C9BA3DD-5F11-4EE3-9584-A367F07B855E}"/>
    <cellStyle name="Millares [0] 3 2 3 3 4" xfId="3436" xr:uid="{A428D540-6B31-4603-B83C-E550F3194CF6}"/>
    <cellStyle name="Millares [0] 3 2 3 3 4 2" xfId="5442" xr:uid="{512011B9-C4FA-458E-8819-320870C805E1}"/>
    <cellStyle name="Millares [0] 3 2 3 3 5" xfId="3936" xr:uid="{DDEB4F42-5676-4F4C-B797-EA706894C26D}"/>
    <cellStyle name="Millares [0] 3 2 3 4" xfId="865" xr:uid="{F272E67D-1DDA-496A-BDD3-CB320DC528CC}"/>
    <cellStyle name="Millares [0] 3 2 3 4 2" xfId="3094" xr:uid="{6FB043D9-564E-4145-B73F-2845B528ABAC}"/>
    <cellStyle name="Millares [0] 3 2 3 4 2 2" xfId="5100" xr:uid="{10066C89-0B18-44FC-A396-BDF700F5CFFB}"/>
    <cellStyle name="Millares [0] 3 2 3 4 3" xfId="4138" xr:uid="{EA46D0F7-3027-4C25-9469-96D9D10E80B1}"/>
    <cellStyle name="Millares [0] 3 2 3 5" xfId="2259" xr:uid="{2483A7FF-93A7-4695-AC8F-2E60DA5D2DA3}"/>
    <cellStyle name="Millares [0] 3 2 3 5 2" xfId="4264" xr:uid="{4D5A8A07-BBB0-4197-81D2-539E413F10E6}"/>
    <cellStyle name="Millares [0] 3 2 3 6" xfId="2676" xr:uid="{0B6E83E5-5332-4E93-87D1-D0F9FB8D0B65}"/>
    <cellStyle name="Millares [0] 3 2 3 6 2" xfId="4682" xr:uid="{15967867-0BAB-444D-918B-094AB290959E}"/>
    <cellStyle name="Millares [0] 3 2 3 7" xfId="3220" xr:uid="{42C64E3A-F263-4FAA-94A4-2B353DB86D37}"/>
    <cellStyle name="Millares [0] 3 2 3 7 2" xfId="5226" xr:uid="{714BD2EE-9EDF-48E9-B75F-4717639FBA61}"/>
    <cellStyle name="Millares [0] 3 2 3 8" xfId="489" xr:uid="{5405FBD3-E454-4BBE-A4DF-7DCA1F6F5365}"/>
    <cellStyle name="Millares [0] 3 2 3 9" xfId="3720" xr:uid="{5A61BEC1-4B38-4849-BA87-C0BA52DD7632}"/>
    <cellStyle name="Millares [0] 3 2 4" xfId="238" xr:uid="{1D198660-229B-40CA-AD12-C060DD8C9484}"/>
    <cellStyle name="Millares [0] 3 2 4 2" xfId="738" xr:uid="{216EB309-79F0-4257-AEF4-90C39FEFD408}"/>
    <cellStyle name="Millares [0] 3 2 4 2 2" xfId="2547" xr:uid="{85428373-E002-403E-A2C8-E9638DE13B94}"/>
    <cellStyle name="Millares [0] 3 2 4 2 2 2" xfId="4553" xr:uid="{A848D442-2FA4-4AA6-BB7D-0A15402ED8A8}"/>
    <cellStyle name="Millares [0] 3 2 4 2 3" xfId="2965" xr:uid="{CF8C95A2-4AD2-40B1-A489-6AA904952238}"/>
    <cellStyle name="Millares [0] 3 2 4 2 3 2" xfId="4971" xr:uid="{EEAB80E2-C464-4A5F-9732-019657EEA687}"/>
    <cellStyle name="Millares [0] 3 2 4 2 4" xfId="3509" xr:uid="{3231ECCD-D306-4ABD-83A9-7F814CEC2AB4}"/>
    <cellStyle name="Millares [0] 3 2 4 2 4 2" xfId="5515" xr:uid="{51EAEF9E-8B1E-41A2-9A66-47EC482572C9}"/>
    <cellStyle name="Millares [0] 3 2 4 2 5" xfId="4009" xr:uid="{C1410D87-454D-4D84-8686-9E45B1DD9DD8}"/>
    <cellStyle name="Millares [0] 3 2 4 3" xfId="2336" xr:uid="{489C02E9-FEAC-4EB4-96FB-D3158F02DC48}"/>
    <cellStyle name="Millares [0] 3 2 4 3 2" xfId="4341" xr:uid="{AE02B6BE-680B-446A-A7A2-FE5F231AE53F}"/>
    <cellStyle name="Millares [0] 3 2 4 4" xfId="2753" xr:uid="{79028897-E6F4-4815-BF8F-1D90AD4DCED7}"/>
    <cellStyle name="Millares [0] 3 2 4 4 2" xfId="4759" xr:uid="{CFB104FD-B492-44D7-92C7-98296E74525E}"/>
    <cellStyle name="Millares [0] 3 2 4 5" xfId="3297" xr:uid="{82523064-9753-4FE0-B4A1-CE6724618B44}"/>
    <cellStyle name="Millares [0] 3 2 4 5 2" xfId="5303" xr:uid="{ACB9C27B-37C0-459A-89FB-8C03E5626264}"/>
    <cellStyle name="Millares [0] 3 2 4 6" xfId="553" xr:uid="{E0443A3A-B30E-4E1F-BDD0-203099E85542}"/>
    <cellStyle name="Millares [0] 3 2 4 7" xfId="3797" xr:uid="{459E351D-E738-403A-B0A2-D5EE83CB5390}"/>
    <cellStyle name="Millares [0] 3 2 5" xfId="387" xr:uid="{2DC92D05-FFA8-4144-A74E-4285426FB67E}"/>
    <cellStyle name="Millares [0] 3 2 5 2" xfId="2420" xr:uid="{B1817F39-5608-4F79-BAB8-FDAC863EAA87}"/>
    <cellStyle name="Millares [0] 3 2 5 2 2" xfId="4426" xr:uid="{3AE09149-F6B2-42D2-A642-350F9C8D1418}"/>
    <cellStyle name="Millares [0] 3 2 5 3" xfId="2838" xr:uid="{3A25CDA7-F618-4699-9866-F5218EC89B94}"/>
    <cellStyle name="Millares [0] 3 2 5 3 2" xfId="4844" xr:uid="{F0E0FADF-1BFF-40EF-89C6-0C3FAFB9280E}"/>
    <cellStyle name="Millares [0] 3 2 5 4" xfId="3382" xr:uid="{1E27EFC3-9D12-44B8-8C1B-EC5D7AEECB30}"/>
    <cellStyle name="Millares [0] 3 2 5 4 2" xfId="5388" xr:uid="{14778494-8D55-41CA-8686-042AAD5C659A}"/>
    <cellStyle name="Millares [0] 3 2 5 5" xfId="636" xr:uid="{0E98E2B8-D909-475A-910F-0200023628BA}"/>
    <cellStyle name="Millares [0] 3 2 5 6" xfId="3882" xr:uid="{1599B5BF-D0BB-415E-B7A9-0C320391EACC}"/>
    <cellStyle name="Millares [0] 3 2 6" xfId="658" xr:uid="{8C184E60-EABF-4F8C-A655-1896DCDC5623}"/>
    <cellStyle name="Millares [0] 3 2 6 2" xfId="2447" xr:uid="{2B39C312-5725-4B36-8257-30EA768435E8}"/>
    <cellStyle name="Millares [0] 3 2 6 2 2" xfId="4453" xr:uid="{FDB7D8CF-77CF-48A2-B5A7-5B275814405C}"/>
    <cellStyle name="Millares [0] 3 2 6 3" xfId="2865" xr:uid="{0CFBDD54-8ABD-438B-B43D-FB216C10AC11}"/>
    <cellStyle name="Millares [0] 3 2 6 3 2" xfId="4871" xr:uid="{A9D7084C-F0F1-4BDC-9D58-3D13B68C003C}"/>
    <cellStyle name="Millares [0] 3 2 6 4" xfId="3409" xr:uid="{465CCDB9-4764-4B47-A2AA-BC754C5BC5EE}"/>
    <cellStyle name="Millares [0] 3 2 6 4 2" xfId="5415" xr:uid="{C6A29BA7-8F6F-4B85-A023-095B17C9BC7B}"/>
    <cellStyle name="Millares [0] 3 2 6 5" xfId="3909" xr:uid="{0ECD6FE7-7314-4A42-83BD-7D5E937B3E3F}"/>
    <cellStyle name="Millares [0] 3 2 7" xfId="838" xr:uid="{8BA38F2F-6824-4183-A2E3-1659FE4E87CB}"/>
    <cellStyle name="Millares [0] 3 2 7 2" xfId="3067" xr:uid="{11EC33B3-7041-495E-B629-17DBF4A89DDE}"/>
    <cellStyle name="Millares [0] 3 2 7 2 2" xfId="5073" xr:uid="{4B141BC2-1E0D-4384-81BA-A87B60A617DD}"/>
    <cellStyle name="Millares [0] 3 2 7 3" xfId="4111" xr:uid="{4C1C6EB1-40A9-4043-A8E5-9C920C791DFF}"/>
    <cellStyle name="Millares [0] 3 2 8" xfId="924" xr:uid="{4F0E3DCB-DF56-44AA-A6DB-5586D96163AF}"/>
    <cellStyle name="Millares [0] 3 2 8 2" xfId="3150" xr:uid="{0ACE42E8-B160-46C7-A637-DE4C3F489BE4}"/>
    <cellStyle name="Millares [0] 3 2 8 2 2" xfId="5156" xr:uid="{260549EF-722D-46B5-AFB2-44D44513A5EE}"/>
    <cellStyle name="Millares [0] 3 2 8 3" xfId="4194" xr:uid="{5606410A-38EA-49BF-BD72-6900E13C0EF4}"/>
    <cellStyle name="Millares [0] 3 2 9" xfId="2192" xr:uid="{EF43A1FC-ACEF-4A84-8663-3F6DA4B49930}"/>
    <cellStyle name="Millares [0] 3 3" xfId="194" xr:uid="{00000000-0005-0000-0000-000067000000}"/>
    <cellStyle name="Millares [0] 3 3 10" xfId="5758" xr:uid="{B32B7649-8D12-4FA9-9AEF-C114E23CDBF9}"/>
    <cellStyle name="Millares [0] 3 3 2" xfId="296" xr:uid="{E45D31E0-03D9-493A-88AF-0187002C16DA}"/>
    <cellStyle name="Millares [0] 3 3 2 2" xfId="795" xr:uid="{E1C07C2C-517D-4508-8D83-D4E4251F381E}"/>
    <cellStyle name="Millares [0] 3 3 2 2 2" xfId="2605" xr:uid="{ED4A4921-069B-40D3-AF01-B776C002C1F4}"/>
    <cellStyle name="Millares [0] 3 3 2 2 2 2" xfId="4611" xr:uid="{F9F0F545-7B3E-4B48-BF42-A7B8B469CACF}"/>
    <cellStyle name="Millares [0] 3 3 2 2 3" xfId="3023" xr:uid="{9C5D864C-7004-48AF-B4F1-8C852CF753B7}"/>
    <cellStyle name="Millares [0] 3 3 2 2 3 2" xfId="5029" xr:uid="{F625C97D-B70A-43DE-BAE5-A63C4A57B9CE}"/>
    <cellStyle name="Millares [0] 3 3 2 2 4" xfId="3567" xr:uid="{5EC44918-4757-429D-819A-D64F34CB4220}"/>
    <cellStyle name="Millares [0] 3 3 2 2 4 2" xfId="5573" xr:uid="{A2A24C00-811B-4B23-AE22-826B35AB4F6C}"/>
    <cellStyle name="Millares [0] 3 3 2 2 5" xfId="4067" xr:uid="{843495BA-C038-49A1-BBEC-09AA56F92701}"/>
    <cellStyle name="Millares [0] 3 3 2 3" xfId="2394" xr:uid="{A73709F2-930E-4A70-A691-E6437D7E8317}"/>
    <cellStyle name="Millares [0] 3 3 2 3 2" xfId="4399" xr:uid="{1E8D87E2-E642-4E3D-A7A4-2B8679C49E9A}"/>
    <cellStyle name="Millares [0] 3 3 2 4" xfId="2811" xr:uid="{5B30015A-AB24-4A24-A04F-2E90356B30C2}"/>
    <cellStyle name="Millares [0] 3 3 2 4 2" xfId="4817" xr:uid="{39A6E4AA-4A3B-4BC2-A06C-93FB2EC79AC1}"/>
    <cellStyle name="Millares [0] 3 3 2 5" xfId="3355" xr:uid="{A911B39D-EE52-4A8E-813E-138F403B0DAA}"/>
    <cellStyle name="Millares [0] 3 3 2 5 2" xfId="5361" xr:uid="{50FAB735-303A-4710-9AF6-F03BEDBE4F7D}"/>
    <cellStyle name="Millares [0] 3 3 2 6" xfId="610" xr:uid="{5668CAEE-3B84-47FA-A0C2-3A1EBBA90A5F}"/>
    <cellStyle name="Millares [0] 3 3 2 7" xfId="3855" xr:uid="{51BDF8BD-8D04-4A85-9709-FF1A0968C52A}"/>
    <cellStyle name="Millares [0] 3 3 3" xfId="417" xr:uid="{958D344D-681E-40E5-9BB2-7257DF5556DC}"/>
    <cellStyle name="Millares [0] 3 3 3 2" xfId="2505" xr:uid="{918A90C0-A8A4-4F28-B12A-DD6AC818055F}"/>
    <cellStyle name="Millares [0] 3 3 3 2 2" xfId="4511" xr:uid="{9DF26B19-0FEE-43ED-931A-AA0C312B8F76}"/>
    <cellStyle name="Millares [0] 3 3 3 3" xfId="2923" xr:uid="{3ABD1D40-5F71-4F2B-9E61-DEB8DB5581B6}"/>
    <cellStyle name="Millares [0] 3 3 3 3 2" xfId="4929" xr:uid="{2C7458E3-4AB7-4325-A325-8A50DBC83A31}"/>
    <cellStyle name="Millares [0] 3 3 3 4" xfId="3467" xr:uid="{7BD4C522-AADC-41CF-90C2-4D3F19471092}"/>
    <cellStyle name="Millares [0] 3 3 3 4 2" xfId="5473" xr:uid="{A4AA0124-B024-4D9E-9794-16FE101F88A7}"/>
    <cellStyle name="Millares [0] 3 3 3 5" xfId="3967" xr:uid="{F1BB38DB-D363-4C08-903A-60EC7803E34C}"/>
    <cellStyle name="Millares [0] 3 3 4" xfId="896" xr:uid="{82F31FAD-6861-4671-831D-DCA51F805CF7}"/>
    <cellStyle name="Millares [0] 3 3 4 2" xfId="3125" xr:uid="{1F18EF89-7453-4128-8674-6ACB97CE616E}"/>
    <cellStyle name="Millares [0] 3 3 4 2 2" xfId="5131" xr:uid="{6042DB85-D47A-4980-BF04-1F461C45E0B8}"/>
    <cellStyle name="Millares [0] 3 3 4 3" xfId="4169" xr:uid="{EEB088E3-143F-49F5-92A3-BF6978886D67}"/>
    <cellStyle name="Millares [0] 3 3 5" xfId="2290" xr:uid="{49451D85-DDA7-4CC9-BCA8-5FAD6D439DB8}"/>
    <cellStyle name="Millares [0] 3 3 5 2" xfId="4295" xr:uid="{6266E7A0-FB4F-4EE3-8A34-CF3A3B1C5818}"/>
    <cellStyle name="Millares [0] 3 3 6" xfId="2707" xr:uid="{1749BF60-DF86-4299-94F5-1CB5F596BA0C}"/>
    <cellStyle name="Millares [0] 3 3 6 2" xfId="4713" xr:uid="{CA950F11-B6E9-4706-851A-9236BF09931A}"/>
    <cellStyle name="Millares [0] 3 3 7" xfId="3251" xr:uid="{3F477911-24A2-4B27-8154-00D48C696732}"/>
    <cellStyle name="Millares [0] 3 3 7 2" xfId="5257" xr:uid="{A3006BAA-2495-4087-A4E7-B27B4682F598}"/>
    <cellStyle name="Millares [0] 3 3 8" xfId="3637" xr:uid="{D5EC0E26-23B9-41FF-AA1A-877585B78448}"/>
    <cellStyle name="Millares [0] 3 3 8 2" xfId="5622" xr:uid="{F985078F-71F4-4260-BE19-ADD57D1677DB}"/>
    <cellStyle name="Millares [0] 3 3 9" xfId="3751" xr:uid="{989D26A9-4C94-4F02-A62A-0EBDE16D797D}"/>
    <cellStyle name="Millares [0] 3 4" xfId="178" xr:uid="{00000000-0005-0000-0000-000068000000}"/>
    <cellStyle name="Millares [0] 3 4 2" xfId="283" xr:uid="{F763AF13-1DCA-4B23-AF9E-222979589A99}"/>
    <cellStyle name="Millares [0] 3 4 2 2" xfId="782" xr:uid="{7FA938F5-471B-4545-B358-F154F3E541D2}"/>
    <cellStyle name="Millares [0] 3 4 2 2 2" xfId="2592" xr:uid="{0F997790-9CE6-48F7-99EE-C0FDDA9C93FF}"/>
    <cellStyle name="Millares [0] 3 4 2 2 2 2" xfId="4598" xr:uid="{883C444F-1944-460F-9049-9C35D616BE75}"/>
    <cellStyle name="Millares [0] 3 4 2 2 3" xfId="3010" xr:uid="{1816ADCB-8D9E-4DB4-9A1D-607B54737685}"/>
    <cellStyle name="Millares [0] 3 4 2 2 3 2" xfId="5016" xr:uid="{E8004866-21AA-41DD-9FA0-A4EBF1BD73C2}"/>
    <cellStyle name="Millares [0] 3 4 2 2 4" xfId="3554" xr:uid="{53C562F4-263F-4BC3-B8A7-D1334065F514}"/>
    <cellStyle name="Millares [0] 3 4 2 2 4 2" xfId="5560" xr:uid="{32C31948-B419-43F1-9B12-01853AC4672E}"/>
    <cellStyle name="Millares [0] 3 4 2 2 5" xfId="4054" xr:uid="{945F34ED-4A45-4275-8564-42950A893F64}"/>
    <cellStyle name="Millares [0] 3 4 2 3" xfId="2381" xr:uid="{497C2C63-A1BE-4240-89CB-189D442C6C20}"/>
    <cellStyle name="Millares [0] 3 4 2 3 2" xfId="4386" xr:uid="{F0142D95-B15F-4C4D-B7FF-3EAB0A97F813}"/>
    <cellStyle name="Millares [0] 3 4 2 4" xfId="2798" xr:uid="{32937A31-5F00-48F4-BE39-F65703A2F683}"/>
    <cellStyle name="Millares [0] 3 4 2 4 2" xfId="4804" xr:uid="{DC266639-5C5F-46A9-ADB3-29EEDB7F615C}"/>
    <cellStyle name="Millares [0] 3 4 2 5" xfId="3342" xr:uid="{18ECD4E2-0F56-4503-B836-75CEDECFE796}"/>
    <cellStyle name="Millares [0] 3 4 2 5 2" xfId="5348" xr:uid="{FF8CF58F-F75F-4BDD-88E7-44502133B6E9}"/>
    <cellStyle name="Millares [0] 3 4 2 6" xfId="597" xr:uid="{91E0CC85-125A-4617-839B-E47C83FA2A2C}"/>
    <cellStyle name="Millares [0] 3 4 2 7" xfId="3842" xr:uid="{30A45104-F41A-453E-BA42-CCB3E2705C27}"/>
    <cellStyle name="Millares [0] 3 4 3" xfId="371" xr:uid="{6EE1D968-3631-40FA-BA71-759BBDB665C7}"/>
    <cellStyle name="Millares [0] 3 4 3 2" xfId="2492" xr:uid="{EF194ECE-3B5C-46E6-8AE4-9B3B8A85225F}"/>
    <cellStyle name="Millares [0] 3 4 3 2 2" xfId="4498" xr:uid="{55C84393-19D3-45A5-AFCD-ECC67ECC5D65}"/>
    <cellStyle name="Millares [0] 3 4 3 3" xfId="2910" xr:uid="{02CA6AE2-FEE4-4491-94B5-FE9B64DD5E5B}"/>
    <cellStyle name="Millares [0] 3 4 3 3 2" xfId="4916" xr:uid="{1ED328F6-0707-4280-AA40-CD961028FE81}"/>
    <cellStyle name="Millares [0] 3 4 3 4" xfId="3454" xr:uid="{1EF8A125-0155-4D05-A0EF-CDF506A2B68D}"/>
    <cellStyle name="Millares [0] 3 4 3 4 2" xfId="5460" xr:uid="{6E797903-A005-428E-ADE0-AD1DA23A4505}"/>
    <cellStyle name="Millares [0] 3 4 3 5" xfId="3954" xr:uid="{BC2F57AF-1D14-485B-8154-F9897FB3EB6F}"/>
    <cellStyle name="Millares [0] 3 4 4" xfId="883" xr:uid="{C7C847C7-A135-4B39-A881-14AA6356AC90}"/>
    <cellStyle name="Millares [0] 3 4 4 2" xfId="3112" xr:uid="{F3342B3E-192B-4BE8-94B7-7DFC14F79BB6}"/>
    <cellStyle name="Millares [0] 3 4 4 2 2" xfId="5118" xr:uid="{4F874286-50D8-4B3F-BBF8-F8886350A9D6}"/>
    <cellStyle name="Millares [0] 3 4 4 3" xfId="4156" xr:uid="{193F95B5-AE5C-4BDD-9902-0B02C48CF766}"/>
    <cellStyle name="Millares [0] 3 4 5" xfId="2277" xr:uid="{95F010DA-5E63-4CFE-8FD0-5F659DE32D07}"/>
    <cellStyle name="Millares [0] 3 4 5 2" xfId="4282" xr:uid="{B068C6F7-137C-420B-A98A-837B30D31BA3}"/>
    <cellStyle name="Millares [0] 3 4 6" xfId="2694" xr:uid="{5CFEF440-ADAB-4EE7-84FE-52269CC2C849}"/>
    <cellStyle name="Millares [0] 3 4 6 2" xfId="4700" xr:uid="{70EAB79F-C3DD-42DE-9D13-6045C4A2E832}"/>
    <cellStyle name="Millares [0] 3 4 7" xfId="3238" xr:uid="{33373ED0-6B29-4E4B-9AB2-CF5DFCA7792A}"/>
    <cellStyle name="Millares [0] 3 4 7 2" xfId="5244" xr:uid="{DDDBE294-A669-4DA4-8013-9B2AFE0AC1DF}"/>
    <cellStyle name="Millares [0] 3 4 8" xfId="3738" xr:uid="{E82BFA96-4A10-4D05-B94D-C2DF21AA0B34}"/>
    <cellStyle name="Millares [0] 3 4 9" xfId="5796" xr:uid="{10F88575-77CE-49FD-A1ED-9D84DF5E576A}"/>
    <cellStyle name="Millares [0] 3 5" xfId="148" xr:uid="{00000000-0005-0000-0000-000069000000}"/>
    <cellStyle name="Millares [0] 3 5 2" xfId="254" xr:uid="{621B4A90-BD23-4898-906F-AC5C5545EF4E}"/>
    <cellStyle name="Millares [0] 3 5 2 2" xfId="754" xr:uid="{A05C6D76-DFA5-4414-A100-FD66840B910D}"/>
    <cellStyle name="Millares [0] 3 5 2 2 2" xfId="2563" xr:uid="{45B1BF30-FFCD-4C40-978A-DBB67F597F63}"/>
    <cellStyle name="Millares [0] 3 5 2 2 2 2" xfId="4569" xr:uid="{66AB01E6-D27C-4DA2-A78A-C7C27E92D8C5}"/>
    <cellStyle name="Millares [0] 3 5 2 2 3" xfId="2981" xr:uid="{E88BB7FC-6413-45C2-ACEA-0856903AB744}"/>
    <cellStyle name="Millares [0] 3 5 2 2 3 2" xfId="4987" xr:uid="{D1822C27-A68F-42BD-A645-31FBA3148E00}"/>
    <cellStyle name="Millares [0] 3 5 2 2 4" xfId="3525" xr:uid="{202BFBCF-C68C-4113-94DC-5B418FB97D07}"/>
    <cellStyle name="Millares [0] 3 5 2 2 4 2" xfId="5531" xr:uid="{DAE61AF2-4C93-4319-A7F9-DE5924BD3725}"/>
    <cellStyle name="Millares [0] 3 5 2 2 5" xfId="4025" xr:uid="{4C1313E0-0E01-4BA8-A8D4-F84E234857CC}"/>
    <cellStyle name="Millares [0] 3 5 2 3" xfId="2352" xr:uid="{D4A194F9-E080-4D06-B0BD-A201E832778A}"/>
    <cellStyle name="Millares [0] 3 5 2 3 2" xfId="4357" xr:uid="{A7B2EF76-A079-4E69-8D63-56DC3968DD4A}"/>
    <cellStyle name="Millares [0] 3 5 2 4" xfId="2769" xr:uid="{8955782E-536E-464F-9107-A5E21FA1FE11}"/>
    <cellStyle name="Millares [0] 3 5 2 4 2" xfId="4775" xr:uid="{DA3F0C8D-97B1-47F7-8D4E-213A5954C48C}"/>
    <cellStyle name="Millares [0] 3 5 2 5" xfId="3313" xr:uid="{C861E14F-B1E4-4B53-8B4B-E50A1098E88B}"/>
    <cellStyle name="Millares [0] 3 5 2 5 2" xfId="5319" xr:uid="{0CBAB3EF-BC10-490B-BFEC-57A3C9B27885}"/>
    <cellStyle name="Millares [0] 3 5 2 6" xfId="569" xr:uid="{4277ABB7-8898-45D8-B806-EEDD25A11A2D}"/>
    <cellStyle name="Millares [0] 3 5 2 7" xfId="3813" xr:uid="{97210AB1-878B-4A21-8452-A8DEE83FD695}"/>
    <cellStyle name="Millares [0] 3 5 3" xfId="667" xr:uid="{4A6A621B-7851-4F01-A844-EA7DE93911BA}"/>
    <cellStyle name="Millares [0] 3 5 3 2" xfId="2463" xr:uid="{BA144DF4-82F2-4C5F-925D-458D71164729}"/>
    <cellStyle name="Millares [0] 3 5 3 2 2" xfId="4469" xr:uid="{32CB0367-6B45-44CA-A7F1-685FF0FD7EB8}"/>
    <cellStyle name="Millares [0] 3 5 3 3" xfId="2881" xr:uid="{7A9518C7-15F4-4A72-BCBB-23A6112644AD}"/>
    <cellStyle name="Millares [0] 3 5 3 3 2" xfId="4887" xr:uid="{08F887D4-4502-4E6B-97B5-FD2911D778D7}"/>
    <cellStyle name="Millares [0] 3 5 3 4" xfId="3425" xr:uid="{0D34B03C-5926-4D77-9FBD-3BF606DACC3D}"/>
    <cellStyle name="Millares [0] 3 5 3 4 2" xfId="5431" xr:uid="{3A298D25-5DDD-4DAA-A237-90EEE9BC8739}"/>
    <cellStyle name="Millares [0] 3 5 3 5" xfId="3925" xr:uid="{A5D158AC-B3BE-4646-8194-A1838A257E61}"/>
    <cellStyle name="Millares [0] 3 5 4" xfId="854" xr:uid="{4F3BCB1B-7F6F-4ACE-AFC4-BB0C7D1A429B}"/>
    <cellStyle name="Millares [0] 3 5 4 2" xfId="3083" xr:uid="{897775DA-2E10-473C-804B-E61D756FB653}"/>
    <cellStyle name="Millares [0] 3 5 4 2 2" xfId="5089" xr:uid="{8BFEC783-BBD7-4B67-A6AF-4C07D3E3489D}"/>
    <cellStyle name="Millares [0] 3 5 4 3" xfId="4127" xr:uid="{E768DDBD-82BD-4D15-9DD5-3783D7A7349D}"/>
    <cellStyle name="Millares [0] 3 5 5" xfId="2248" xr:uid="{DE75936B-7683-465B-AE72-630EEE3311B1}"/>
    <cellStyle name="Millares [0] 3 5 5 2" xfId="4253" xr:uid="{3EC56119-3114-4C70-8146-5FB9DD92442F}"/>
    <cellStyle name="Millares [0] 3 5 6" xfId="2665" xr:uid="{465A5F3C-D440-42DC-AC2A-ABA5EA64F523}"/>
    <cellStyle name="Millares [0] 3 5 6 2" xfId="4671" xr:uid="{7D16BEB4-F519-4E29-9866-9B2420C4D06A}"/>
    <cellStyle name="Millares [0] 3 5 7" xfId="3209" xr:uid="{759903AA-C212-4C05-AAA0-1B771E8CCFC7}"/>
    <cellStyle name="Millares [0] 3 5 7 2" xfId="5215" xr:uid="{1F92F26F-E64B-491B-BC12-0BAD3BED7777}"/>
    <cellStyle name="Millares [0] 3 5 8" xfId="480" xr:uid="{F7779AF4-9033-41C6-B9FC-223E82585002}"/>
    <cellStyle name="Millares [0] 3 5 9" xfId="3709" xr:uid="{BDCE31A3-7AFB-4630-B84C-EF6A2C6CFF4F}"/>
    <cellStyle name="Millares [0] 3 6" xfId="99" xr:uid="{00000000-0005-0000-0000-00006A000000}"/>
    <cellStyle name="Millares [0] 3 6 2" xfId="227" xr:uid="{84BAAFB0-2368-456B-8C29-DF1782874EC0}"/>
    <cellStyle name="Millares [0] 3 6 2 2" xfId="728" xr:uid="{330510FB-F33D-48C6-973F-BD306E0BA9B8}"/>
    <cellStyle name="Millares [0] 3 6 2 2 2" xfId="2536" xr:uid="{493C70CA-DA87-40D5-B313-75B30055DA72}"/>
    <cellStyle name="Millares [0] 3 6 2 2 2 2" xfId="4542" xr:uid="{9BBE521F-6B95-492F-B370-AA7100C952A9}"/>
    <cellStyle name="Millares [0] 3 6 2 2 3" xfId="2954" xr:uid="{B471F431-C177-412E-819B-62DDB305A823}"/>
    <cellStyle name="Millares [0] 3 6 2 2 3 2" xfId="4960" xr:uid="{64560712-E73D-4D4A-AA99-EBD5457EF9EC}"/>
    <cellStyle name="Millares [0] 3 6 2 2 4" xfId="3498" xr:uid="{06B8A9FA-AE82-4775-BCF3-5E07D153251A}"/>
    <cellStyle name="Millares [0] 3 6 2 2 4 2" xfId="5504" xr:uid="{5DCD8319-AF23-4840-A5A6-DA86837829F3}"/>
    <cellStyle name="Millares [0] 3 6 2 2 5" xfId="3998" xr:uid="{282DD800-073B-4440-81A7-2584EF1FCF1C}"/>
    <cellStyle name="Millares [0] 3 6 2 3" xfId="2325" xr:uid="{9C5B7B31-34A0-4AB8-A1C6-606A829A86EC}"/>
    <cellStyle name="Millares [0] 3 6 2 3 2" xfId="4330" xr:uid="{F95FF076-80DA-4FD1-BAF1-0F9766FDB038}"/>
    <cellStyle name="Millares [0] 3 6 2 4" xfId="2742" xr:uid="{C7886DC2-1F9B-40FD-A232-5911F87BEE51}"/>
    <cellStyle name="Millares [0] 3 6 2 4 2" xfId="4748" xr:uid="{73D1EC6E-5B10-4181-B8ED-CC3E918D12E9}"/>
    <cellStyle name="Millares [0] 3 6 2 5" xfId="3286" xr:uid="{2578A1F6-CF4F-444A-9F77-B5C34449FB62}"/>
    <cellStyle name="Millares [0] 3 6 2 5 2" xfId="5292" xr:uid="{69832A07-3644-4FDC-AC99-D166D540D494}"/>
    <cellStyle name="Millares [0] 3 6 2 6" xfId="543" xr:uid="{2DCDFB96-A94E-4350-BEEF-451E13A3F177}"/>
    <cellStyle name="Millares [0] 3 6 2 7" xfId="3786" xr:uid="{18EBCC77-96B9-4F71-A514-5321485363F2}"/>
    <cellStyle name="Millares [0] 3 6 3" xfId="648" xr:uid="{483EC9EB-580B-402D-AEF3-D12612C453E3}"/>
    <cellStyle name="Millares [0] 3 6 3 2" xfId="2436" xr:uid="{E8D1583F-6440-46BE-B785-3657515637D6}"/>
    <cellStyle name="Millares [0] 3 6 3 2 2" xfId="4442" xr:uid="{31DFC7F7-D5FF-46AE-82A6-6DC6A9407DAD}"/>
    <cellStyle name="Millares [0] 3 6 3 3" xfId="2854" xr:uid="{5303F1E7-9E86-47EB-A5B0-545B7B23E04A}"/>
    <cellStyle name="Millares [0] 3 6 3 3 2" xfId="4860" xr:uid="{75F46AE0-8071-4346-8D77-BD539FAFB0AB}"/>
    <cellStyle name="Millares [0] 3 6 3 4" xfId="3398" xr:uid="{79BDF168-AF03-46E4-BD2B-EBACD7BD900A}"/>
    <cellStyle name="Millares [0] 3 6 3 4 2" xfId="5404" xr:uid="{B49D18F9-33CE-4D1C-A929-E933CA4E9BF2}"/>
    <cellStyle name="Millares [0] 3 6 3 5" xfId="3898" xr:uid="{79DBFE34-DD3A-4544-BEE4-C08E0DDAD1A7}"/>
    <cellStyle name="Millares [0] 3 6 4" xfId="827" xr:uid="{6981CD76-E6CA-415B-AE00-7BC4226531F2}"/>
    <cellStyle name="Millares [0] 3 6 4 2" xfId="3056" xr:uid="{9AE68793-7C19-4FEE-9E4E-6D8E33201173}"/>
    <cellStyle name="Millares [0] 3 6 4 2 2" xfId="5062" xr:uid="{13AA0FD8-9A76-4677-9320-06E6A0E828E5}"/>
    <cellStyle name="Millares [0] 3 6 4 3" xfId="4100" xr:uid="{7218F864-17AF-47B3-96DB-7C2A464C67D0}"/>
    <cellStyle name="Millares [0] 3 6 5" xfId="2221" xr:uid="{554391D9-24A8-4ED1-B224-A34731CCA797}"/>
    <cellStyle name="Millares [0] 3 6 5 2" xfId="4226" xr:uid="{A26610F3-35C9-428D-B46E-5AFB956AE755}"/>
    <cellStyle name="Millares [0] 3 6 6" xfId="2638" xr:uid="{B2EAE666-D654-42A8-9A85-E0264D263157}"/>
    <cellStyle name="Millares [0] 3 6 6 2" xfId="4644" xr:uid="{C4045EB8-7853-43AC-93FE-E7D2548775C5}"/>
    <cellStyle name="Millares [0] 3 6 7" xfId="3182" xr:uid="{995E9849-5B14-4C76-B35D-A6054EE886E7}"/>
    <cellStyle name="Millares [0] 3 6 7 2" xfId="5188" xr:uid="{B6ABD48A-2F18-4B27-ACD9-87905AA64A0C}"/>
    <cellStyle name="Millares [0] 3 6 8" xfId="463" xr:uid="{7F83C7D8-ED37-4C18-A00A-886CF5FF3920}"/>
    <cellStyle name="Millares [0] 3 6 9" xfId="3682" xr:uid="{E60A083A-2D3D-4B7E-B873-0B1633FF5803}"/>
    <cellStyle name="Millares [0] 3 7" xfId="63" xr:uid="{00000000-0005-0000-0000-00006B000000}"/>
    <cellStyle name="Millares [0] 3 7 2" xfId="639" xr:uid="{D9FCA577-CA4D-4939-B19B-CFED729F4D04}"/>
    <cellStyle name="Millares [0] 3 7 3" xfId="2417" xr:uid="{9169C851-5ADF-42A1-AF65-76530A906B1A}"/>
    <cellStyle name="Millares [0] 3 7 3 2" xfId="4423" xr:uid="{82A4BA38-423D-43CD-964D-CD4139297C29}"/>
    <cellStyle name="Millares [0] 3 7 4" xfId="2835" xr:uid="{F72FD5F9-18DF-4DFF-9F97-7C65B56FBA94}"/>
    <cellStyle name="Millares [0] 3 7 4 2" xfId="4841" xr:uid="{C935187F-759E-4AE7-87D5-F8AF393FD3BF}"/>
    <cellStyle name="Millares [0] 3 7 5" xfId="3379" xr:uid="{11F6B05B-09B7-427E-8C40-90C3C6EC7FCD}"/>
    <cellStyle name="Millares [0] 3 7 5 2" xfId="5385" xr:uid="{E0425FAB-A704-4DBF-B4DF-620A1C14CEA8}"/>
    <cellStyle name="Millares [0] 3 7 6" xfId="634" xr:uid="{4E4D5B96-5656-4AD1-B7FA-53C1663EF121}"/>
    <cellStyle name="Millares [0] 3 7 7" xfId="3879" xr:uid="{7F8D28C9-775A-48D8-870A-5F58B353ED26}"/>
    <cellStyle name="Millares [0] 3 8" xfId="344" xr:uid="{29EF37A0-CC9D-41F9-A675-0F38327BADAF}"/>
    <cellStyle name="Millares [0] 3 8 2" xfId="2424" xr:uid="{E671B2F5-B8C0-44C2-94D7-D25200E5FFCE}"/>
    <cellStyle name="Millares [0] 3 8 2 2" xfId="4430" xr:uid="{DD27AC17-98F3-4231-8850-7C6E2BF2111E}"/>
    <cellStyle name="Millares [0] 3 8 3" xfId="2842" xr:uid="{B948E411-140E-4732-AC07-341F3F28B9B9}"/>
    <cellStyle name="Millares [0] 3 8 3 2" xfId="4848" xr:uid="{E0AC32E2-0064-41DE-9B9D-4F6C35B52023}"/>
    <cellStyle name="Millares [0] 3 8 4" xfId="3386" xr:uid="{F81EE8FD-173B-44CF-97C0-0E97593F05F5}"/>
    <cellStyle name="Millares [0] 3 8 4 2" xfId="5392" xr:uid="{C49D402F-7302-4F6B-8539-035041C5189F}"/>
    <cellStyle name="Millares [0] 3 8 5" xfId="3886" xr:uid="{7A9EB854-C193-4E76-B643-29366CB37708}"/>
    <cellStyle name="Millares [0] 3 9" xfId="921" xr:uid="{4616CE3B-4B77-4D46-BC8A-5287AA7BE314}"/>
    <cellStyle name="Millares [0] 3 9 2" xfId="3147" xr:uid="{B7478F6C-0BB0-47EE-B992-7EB2608FD6B2}"/>
    <cellStyle name="Millares [0] 3 9 2 2" xfId="5153" xr:uid="{3178D60D-080D-446E-BD48-3979477F35A6}"/>
    <cellStyle name="Millares [0] 3 9 3" xfId="4191" xr:uid="{7300F7AB-480C-46D7-8CC8-8BCD98270BCE}"/>
    <cellStyle name="Millares [0] 4" xfId="108" xr:uid="{00000000-0005-0000-0000-00006C000000}"/>
    <cellStyle name="Millares [0] 4 10" xfId="2229" xr:uid="{1A116C88-CE5D-4FB0-ADD1-0421EB5706CB}"/>
    <cellStyle name="Millares [0] 4 10 2" xfId="4234" xr:uid="{E9D1E865-4B68-4A00-8BEF-B042E905C768}"/>
    <cellStyle name="Millares [0] 4 11" xfId="2646" xr:uid="{B336D5A8-525C-466D-937D-44527599A8E1}"/>
    <cellStyle name="Millares [0] 4 11 2" xfId="4652" xr:uid="{B957D155-3E3B-4AE6-9229-1B9081F0D8BB}"/>
    <cellStyle name="Millares [0] 4 12" xfId="3190" xr:uid="{8087D17A-820B-4782-B0C4-CDCBB354A323}"/>
    <cellStyle name="Millares [0] 4 12 2" xfId="5196" xr:uid="{883DF8B9-5CC4-4A93-BB19-B4EEB371CC6E}"/>
    <cellStyle name="Millares [0] 4 13" xfId="3621" xr:uid="{7695FDEF-F31F-4769-9750-B3A2F2D800BC}"/>
    <cellStyle name="Millares [0] 4 13 2" xfId="5610" xr:uid="{ACF1E155-6627-4BFE-B88A-A22B1488D171}"/>
    <cellStyle name="Millares [0] 4 14" xfId="3690" xr:uid="{E19FF7B5-3BBE-4162-830D-40D457F46062}"/>
    <cellStyle name="Millares [0] 4 15" xfId="5696" xr:uid="{E9DA4D29-14F4-4B47-82B5-72531BCE31EF}"/>
    <cellStyle name="Millares [0] 4 2" xfId="203" xr:uid="{00000000-0005-0000-0000-00006D000000}"/>
    <cellStyle name="Millares [0] 4 2 10" xfId="520" xr:uid="{EADCD8AE-E123-4A0C-8A2F-15B3C7E861E2}"/>
    <cellStyle name="Millares [0] 4 2 11" xfId="3759" xr:uid="{03AB5D69-A005-4FD7-BDF6-D1C8964E30F9}"/>
    <cellStyle name="Millares [0] 4 2 12" xfId="5708" xr:uid="{912DEFDD-0ED0-4BDC-B1B8-5C6A2D6F30D1}"/>
    <cellStyle name="Millares [0] 4 2 2" xfId="304" xr:uid="{F3BB06CE-A283-49C5-B211-EDAE32D9703A}"/>
    <cellStyle name="Millares [0] 4 2 2 2" xfId="803" xr:uid="{A1A91CB1-6917-4A7A-B698-423517C7846E}"/>
    <cellStyle name="Millares [0] 4 2 2 2 2" xfId="2613" xr:uid="{5592527F-F4FF-47AF-8694-6E44D99FF3F7}"/>
    <cellStyle name="Millares [0] 4 2 2 2 2 2" xfId="4619" xr:uid="{51F1B171-3240-4210-9864-8D6014B43370}"/>
    <cellStyle name="Millares [0] 4 2 2 2 3" xfId="3031" xr:uid="{3064EC82-7266-4473-AFE0-A502BCD39F19}"/>
    <cellStyle name="Millares [0] 4 2 2 2 3 2" xfId="5037" xr:uid="{45AC4C88-D6E6-47D9-B0E0-DE52E4BA5BD2}"/>
    <cellStyle name="Millares [0] 4 2 2 2 4" xfId="3575" xr:uid="{744503AA-3BBB-4E1C-93EF-D28C51163F9C}"/>
    <cellStyle name="Millares [0] 4 2 2 2 4 2" xfId="5581" xr:uid="{F9C946A4-2524-47A8-BEAF-829E2866DBA0}"/>
    <cellStyle name="Millares [0] 4 2 2 2 5" xfId="4075" xr:uid="{733EFE71-385B-41AF-B5AD-688E30B4B4ED}"/>
    <cellStyle name="Millares [0] 4 2 2 3" xfId="2402" xr:uid="{2CE4A19D-2EAF-41DA-8D27-809C8C30B6C0}"/>
    <cellStyle name="Millares [0] 4 2 2 3 2" xfId="4407" xr:uid="{3AFA4F7B-607E-4409-B083-C7B130932207}"/>
    <cellStyle name="Millares [0] 4 2 2 4" xfId="2819" xr:uid="{9A51416F-5F5C-4960-BA64-A2B300AAC060}"/>
    <cellStyle name="Millares [0] 4 2 2 4 2" xfId="4825" xr:uid="{6B1A0616-C50F-4C1A-9C95-CB07139C53E0}"/>
    <cellStyle name="Millares [0] 4 2 2 5" xfId="3363" xr:uid="{3D9F31B0-5E64-4CB3-96E1-5E92B5B07945}"/>
    <cellStyle name="Millares [0] 4 2 2 5 2" xfId="5369" xr:uid="{888D8216-DAA0-46C8-A929-E1FE00549B3A}"/>
    <cellStyle name="Millares [0] 4 2 2 6" xfId="618" xr:uid="{24F05C2D-D848-4D79-A10E-F0686EFB787F}"/>
    <cellStyle name="Millares [0] 4 2 2 7" xfId="3863" xr:uid="{E528E7FE-D5CA-48DE-AF61-98342DF4005D}"/>
    <cellStyle name="Millares [0] 4 2 2 8" xfId="5817" xr:uid="{A37558AB-236C-4FD8-9148-C2BCDF3D1FD9}"/>
    <cellStyle name="Millares [0] 4 2 3" xfId="407" xr:uid="{3C3F33C7-4687-4873-A345-629241DBB7CE}"/>
    <cellStyle name="Millares [0] 4 2 3 2" xfId="2513" xr:uid="{A59AFEC8-446C-4CCD-86BC-83F98CB287BE}"/>
    <cellStyle name="Millares [0] 4 2 3 2 2" xfId="4519" xr:uid="{A9890811-86A6-4DAE-9605-0F8F50B67A23}"/>
    <cellStyle name="Millares [0] 4 2 3 3" xfId="2931" xr:uid="{BAE2A5EA-02CE-4EC2-939F-E3090C74BF32}"/>
    <cellStyle name="Millares [0] 4 2 3 3 2" xfId="4937" xr:uid="{248CA736-7EED-4F8A-A181-97F857AF8ED0}"/>
    <cellStyle name="Millares [0] 4 2 3 4" xfId="3475" xr:uid="{8391DFE6-553E-4E5A-A350-9617D878F16E}"/>
    <cellStyle name="Millares [0] 4 2 3 4 2" xfId="5481" xr:uid="{9243A447-28A7-40C2-B635-72AE154D0716}"/>
    <cellStyle name="Millares [0] 4 2 3 5" xfId="707" xr:uid="{6FF51B77-876D-4EC7-B251-8ECF29FAF2A2}"/>
    <cellStyle name="Millares [0] 4 2 3 6" xfId="3975" xr:uid="{86701B6D-B55B-4526-80E9-D98C650F8267}"/>
    <cellStyle name="Millares [0] 4 2 4" xfId="904" xr:uid="{2F71380C-4862-4F0E-8A26-54F06B74B60D}"/>
    <cellStyle name="Millares [0] 4 2 4 2" xfId="3133" xr:uid="{0AA73729-B050-4445-A6E4-5DA5D14B052B}"/>
    <cellStyle name="Millares [0] 4 2 4 2 2" xfId="5139" xr:uid="{912A00F5-7BCA-484D-879F-1ACC203EC81B}"/>
    <cellStyle name="Millares [0] 4 2 4 3" xfId="4177" xr:uid="{C050DF3D-5ECA-4D8A-9D52-1A33C1AB05BF}"/>
    <cellStyle name="Millares [0] 4 2 5" xfId="2196" xr:uid="{1A8E90DB-FD5F-48F6-A662-F09518870741}"/>
    <cellStyle name="Millares [0] 4 2 6" xfId="2298" xr:uid="{7517FFB1-91C7-4CB6-A7AC-131FE159FDA5}"/>
    <cellStyle name="Millares [0] 4 2 6 2" xfId="4303" xr:uid="{50A4BD25-C5CB-4BEB-8430-967BFF486D3E}"/>
    <cellStyle name="Millares [0] 4 2 7" xfId="2715" xr:uid="{30652CBD-6923-4329-815D-AEC610EEFBF6}"/>
    <cellStyle name="Millares [0] 4 2 7 2" xfId="4721" xr:uid="{1B9BC9D8-BDAB-44DD-91CD-37E7F63C1DBE}"/>
    <cellStyle name="Millares [0] 4 2 8" xfId="3259" xr:uid="{2CC861EB-7A5B-4545-908E-7B05142F134A}"/>
    <cellStyle name="Millares [0] 4 2 8 2" xfId="5265" xr:uid="{BE8094AA-87A4-4C19-AE06-0600F40F25EF}"/>
    <cellStyle name="Millares [0] 4 2 9" xfId="3668" xr:uid="{2BF019C8-FD4E-47BB-8CCF-9486BE2B1BEB}"/>
    <cellStyle name="Millares [0] 4 2 9 2" xfId="5646" xr:uid="{93223012-7841-4ACA-83FE-027A5E620652}"/>
    <cellStyle name="Millares [0] 4 3" xfId="182" xr:uid="{00000000-0005-0000-0000-00006E000000}"/>
    <cellStyle name="Millares [0] 4 3 2" xfId="287" xr:uid="{881E4D3E-2260-476E-ADE0-A469D533E62D}"/>
    <cellStyle name="Millares [0] 4 3 2 2" xfId="786" xr:uid="{B9AB3D51-66E7-473B-B6A7-117CAA400512}"/>
    <cellStyle name="Millares [0] 4 3 2 2 2" xfId="2596" xr:uid="{1C7F0BC3-2D4E-40BF-968A-068B61171112}"/>
    <cellStyle name="Millares [0] 4 3 2 2 2 2" xfId="4602" xr:uid="{5F007156-74CB-4C74-9C30-29871238E717}"/>
    <cellStyle name="Millares [0] 4 3 2 2 3" xfId="3014" xr:uid="{98304B4D-B665-424D-8B23-372560684063}"/>
    <cellStyle name="Millares [0] 4 3 2 2 3 2" xfId="5020" xr:uid="{89E35D68-D03C-4442-92C5-02FF61E6AD4A}"/>
    <cellStyle name="Millares [0] 4 3 2 2 4" xfId="3558" xr:uid="{65B7B940-C143-405F-BF0F-CE308AF51B06}"/>
    <cellStyle name="Millares [0] 4 3 2 2 4 2" xfId="5564" xr:uid="{72106F66-0A3E-40EC-B414-ECBB23B2509F}"/>
    <cellStyle name="Millares [0] 4 3 2 2 5" xfId="4058" xr:uid="{B14D1815-CF94-4B78-A96A-B4B4240CBEB9}"/>
    <cellStyle name="Millares [0] 4 3 2 3" xfId="2385" xr:uid="{106E7F89-58C6-4454-ACB8-A71B6D567C35}"/>
    <cellStyle name="Millares [0] 4 3 2 3 2" xfId="4390" xr:uid="{84CA5A19-6E9F-42BA-89CC-7A90D3DD8E34}"/>
    <cellStyle name="Millares [0] 4 3 2 4" xfId="2802" xr:uid="{6C3F89F7-2047-4E89-AE0C-C1779A7D9A68}"/>
    <cellStyle name="Millares [0] 4 3 2 4 2" xfId="4808" xr:uid="{6C459D62-84D9-4831-BD0A-99D3BF1B87D7}"/>
    <cellStyle name="Millares [0] 4 3 2 5" xfId="3346" xr:uid="{DB4C5ECC-2489-4ED9-9F81-8F34BA2E38DA}"/>
    <cellStyle name="Millares [0] 4 3 2 5 2" xfId="5352" xr:uid="{62F7A748-BDAE-4EDB-A8A0-03E40734CB5D}"/>
    <cellStyle name="Millares [0] 4 3 2 6" xfId="601" xr:uid="{E8C12AB0-4CB6-4070-BA0C-FD30D8D019BE}"/>
    <cellStyle name="Millares [0] 4 3 2 7" xfId="3846" xr:uid="{92A50243-8033-4D8A-9B1B-B533AE5227E8}"/>
    <cellStyle name="Millares [0] 4 3 2 8" xfId="5842" xr:uid="{84ECEE6F-3E93-436A-989D-6508BA693012}"/>
    <cellStyle name="Millares [0] 4 3 3" xfId="425" xr:uid="{800434B9-A3EC-4B8E-A1B6-02439F081046}"/>
    <cellStyle name="Millares [0] 4 3 3 2" xfId="2496" xr:uid="{82EB530E-1379-461C-883B-41784FF3DAAE}"/>
    <cellStyle name="Millares [0] 4 3 3 2 2" xfId="4502" xr:uid="{5B8DB1BD-B3F5-4234-89AE-F8D6B48D5149}"/>
    <cellStyle name="Millares [0] 4 3 3 3" xfId="2914" xr:uid="{1E3F33F5-7420-404F-8622-BAF524C57A44}"/>
    <cellStyle name="Millares [0] 4 3 3 3 2" xfId="4920" xr:uid="{380433BD-F86F-4F55-A6D6-955EB391A339}"/>
    <cellStyle name="Millares [0] 4 3 3 4" xfId="3458" xr:uid="{DB305CB5-05D6-4815-BAA1-DC68A59FC98E}"/>
    <cellStyle name="Millares [0] 4 3 3 4 2" xfId="5464" xr:uid="{F72763F7-65D4-4849-A2F9-EE545CBF2372}"/>
    <cellStyle name="Millares [0] 4 3 3 5" xfId="3958" xr:uid="{9F5A67F1-BEC0-47AB-B9C8-9874458E09E3}"/>
    <cellStyle name="Millares [0] 4 3 4" xfId="887" xr:uid="{32D1EDE4-5BE1-4AFB-94B8-0F33E4E71059}"/>
    <cellStyle name="Millares [0] 4 3 4 2" xfId="3116" xr:uid="{1105D69B-388C-4AB1-8734-F271246DD2B7}"/>
    <cellStyle name="Millares [0] 4 3 4 2 2" xfId="5122" xr:uid="{E6CF809A-62EF-4002-A0F6-A46E8E367C18}"/>
    <cellStyle name="Millares [0] 4 3 4 3" xfId="4160" xr:uid="{18A5BFF5-0871-412A-90AD-7ACFAA1C92B1}"/>
    <cellStyle name="Millares [0] 4 3 5" xfId="2281" xr:uid="{EDAFD313-B7F4-4258-A98C-D6B0C582055D}"/>
    <cellStyle name="Millares [0] 4 3 5 2" xfId="4286" xr:uid="{84DA3019-DD56-4E93-AF5A-8C5329479CDD}"/>
    <cellStyle name="Millares [0] 4 3 6" xfId="2698" xr:uid="{F703A6F1-7F34-4022-94B0-2A53764F6F4A}"/>
    <cellStyle name="Millares [0] 4 3 6 2" xfId="4704" xr:uid="{C2F0CF27-55DE-4879-8520-1F4930683D05}"/>
    <cellStyle name="Millares [0] 4 3 7" xfId="3242" xr:uid="{80D2C27D-0E89-4B4A-B682-368D69FF195C}"/>
    <cellStyle name="Millares [0] 4 3 7 2" xfId="5248" xr:uid="{FB41FF35-1BA7-4770-B09E-33B5B2EA76EE}"/>
    <cellStyle name="Millares [0] 4 3 8" xfId="3742" xr:uid="{15A9DB19-E4BC-4108-AEE6-B27F1EE536F8}"/>
    <cellStyle name="Millares [0] 4 3 9" xfId="5732" xr:uid="{4F52CDC0-6D8D-49C6-8CDE-BEEE3DB97CC7}"/>
    <cellStyle name="Millares [0] 4 4" xfId="156" xr:uid="{00000000-0005-0000-0000-00006F000000}"/>
    <cellStyle name="Millares [0] 4 4 2" xfId="262" xr:uid="{9D4EF0BE-589E-4CA2-9F78-D021BD1E2C05}"/>
    <cellStyle name="Millares [0] 4 4 2 2" xfId="762" xr:uid="{8BA81C91-F277-4BBE-A471-BBB00E25AFA4}"/>
    <cellStyle name="Millares [0] 4 4 2 2 2" xfId="2571" xr:uid="{3B36D284-FFBE-49DD-821C-D5404DC8D9FD}"/>
    <cellStyle name="Millares [0] 4 4 2 2 2 2" xfId="4577" xr:uid="{018CF081-237A-41A5-80EA-DC64B30B401F}"/>
    <cellStyle name="Millares [0] 4 4 2 2 3" xfId="2989" xr:uid="{651BB8D0-394E-41C5-B8C6-C86699429C74}"/>
    <cellStyle name="Millares [0] 4 4 2 2 3 2" xfId="4995" xr:uid="{8C9AC2C5-E569-4FDA-84B4-6480CD6585C8}"/>
    <cellStyle name="Millares [0] 4 4 2 2 4" xfId="3533" xr:uid="{A8FB3194-BA6E-4AFA-891A-8B41C59BFC53}"/>
    <cellStyle name="Millares [0] 4 4 2 2 4 2" xfId="5539" xr:uid="{D425B92F-0E68-4F9C-8086-22B7C20B7A8A}"/>
    <cellStyle name="Millares [0] 4 4 2 2 5" xfId="4033" xr:uid="{B0E1B7EE-4C62-4F1F-BE67-E17EFB41E015}"/>
    <cellStyle name="Millares [0] 4 4 2 3" xfId="2360" xr:uid="{36CA4596-158E-4874-8422-5984ED33342A}"/>
    <cellStyle name="Millares [0] 4 4 2 3 2" xfId="4365" xr:uid="{378F7282-FA2F-4C2B-A4FA-DD13D0D59756}"/>
    <cellStyle name="Millares [0] 4 4 2 4" xfId="2777" xr:uid="{8CE5593B-51C1-4A4B-88BB-CCEA467C323B}"/>
    <cellStyle name="Millares [0] 4 4 2 4 2" xfId="4783" xr:uid="{2341C9B4-8CE9-40CC-A86E-83310F8956B8}"/>
    <cellStyle name="Millares [0] 4 4 2 5" xfId="3321" xr:uid="{D08128C3-48C5-46B0-9065-57F3BB6CE9A6}"/>
    <cellStyle name="Millares [0] 4 4 2 5 2" xfId="5327" xr:uid="{C84A4FE6-C4E8-47BA-9F39-17CAB0DC4BB5}"/>
    <cellStyle name="Millares [0] 4 4 2 6" xfId="577" xr:uid="{0B7DBF58-D68D-41CB-951E-0086BEB5CEFE}"/>
    <cellStyle name="Millares [0] 4 4 2 7" xfId="3821" xr:uid="{19A4364A-9F15-4EB7-90E1-1B509219FBE6}"/>
    <cellStyle name="Millares [0] 4 4 3" xfId="378" xr:uid="{16CAD75A-02DB-4CCE-AAEE-EB7D6E8843E7}"/>
    <cellStyle name="Millares [0] 4 4 3 2" xfId="2471" xr:uid="{AE66865D-5A69-4B96-A30C-4E001AEE4F91}"/>
    <cellStyle name="Millares [0] 4 4 3 2 2" xfId="4477" xr:uid="{58B42C31-770F-4E5F-92C6-9FFC471B163D}"/>
    <cellStyle name="Millares [0] 4 4 3 3" xfId="2889" xr:uid="{1CF094AB-B6A1-4757-ACC8-93434B970980}"/>
    <cellStyle name="Millares [0] 4 4 3 3 2" xfId="4895" xr:uid="{8858A290-D7F2-431E-9B3B-C399B0CED518}"/>
    <cellStyle name="Millares [0] 4 4 3 4" xfId="3433" xr:uid="{8FC02DDD-6794-4B13-96BC-F9AD8B63DC3D}"/>
    <cellStyle name="Millares [0] 4 4 3 4 2" xfId="5439" xr:uid="{9787161E-3504-4315-8F42-0862E245EBEB}"/>
    <cellStyle name="Millares [0] 4 4 3 5" xfId="3933" xr:uid="{AE12F599-1500-4189-A803-61B44A54F08D}"/>
    <cellStyle name="Millares [0] 4 4 4" xfId="862" xr:uid="{839B6238-8882-4C21-B612-24D7DFC39017}"/>
    <cellStyle name="Millares [0] 4 4 4 2" xfId="3091" xr:uid="{DFD9BF4F-8847-4BEE-88F0-9142D35EA15B}"/>
    <cellStyle name="Millares [0] 4 4 4 2 2" xfId="5097" xr:uid="{83315141-736C-4131-B518-181789F9F3FC}"/>
    <cellStyle name="Millares [0] 4 4 4 3" xfId="4135" xr:uid="{90FBD330-E9F9-4639-96FC-078467D0E925}"/>
    <cellStyle name="Millares [0] 4 4 5" xfId="2256" xr:uid="{14F3C1C0-2D60-4A72-B1EE-83F3CF63DF07}"/>
    <cellStyle name="Millares [0] 4 4 5 2" xfId="4261" xr:uid="{F616F2DF-CEA3-4F61-BB9B-89A195A648ED}"/>
    <cellStyle name="Millares [0] 4 4 6" xfId="2673" xr:uid="{E94CB15F-D643-44B2-BB95-E7B0858EC1A3}"/>
    <cellStyle name="Millares [0] 4 4 6 2" xfId="4679" xr:uid="{647A4269-52AA-4AE4-8B10-E732C98ED8C9}"/>
    <cellStyle name="Millares [0] 4 4 7" xfId="3217" xr:uid="{575C851E-D08A-4D92-878E-0C6794673187}"/>
    <cellStyle name="Millares [0] 4 4 7 2" xfId="5223" xr:uid="{CFFE08A6-E8DB-4B37-9338-F4A1C1550BCB}"/>
    <cellStyle name="Millares [0] 4 4 8" xfId="3717" xr:uid="{AFCD1410-D3B9-4013-A616-10824B43E529}"/>
    <cellStyle name="Millares [0] 4 4 9" xfId="5765" xr:uid="{A7483C89-E64D-484A-ABE7-D13F35489D62}"/>
    <cellStyle name="Millares [0] 4 5" xfId="235" xr:uid="{290E8CDC-207D-42BB-9D4D-AEA96795A77B}"/>
    <cellStyle name="Millares [0] 4 5 2" xfId="735" xr:uid="{9CBC879A-C7CF-4674-B00A-61CF565DCA77}"/>
    <cellStyle name="Millares [0] 4 5 2 2" xfId="2544" xr:uid="{7D9508B9-6795-452D-A262-4996068B87D1}"/>
    <cellStyle name="Millares [0] 4 5 2 2 2" xfId="4550" xr:uid="{D3450498-52A2-4769-BAE5-CE79CBB85B39}"/>
    <cellStyle name="Millares [0] 4 5 2 3" xfId="2962" xr:uid="{E6F3F427-1C6C-4576-8BEA-A7ACA0B5809F}"/>
    <cellStyle name="Millares [0] 4 5 2 3 2" xfId="4968" xr:uid="{2567D00F-BE22-459B-8143-4C5D1EEC7CC4}"/>
    <cellStyle name="Millares [0] 4 5 2 4" xfId="3506" xr:uid="{A58C9DBE-FD00-45DA-B8E0-CEA7EEF0045F}"/>
    <cellStyle name="Millares [0] 4 5 2 4 2" xfId="5512" xr:uid="{80CF0424-929D-4E25-BB69-3D58C1644FE2}"/>
    <cellStyle name="Millares [0] 4 5 2 5" xfId="4006" xr:uid="{A8348E68-FB89-44F1-B301-7E28E4160EC3}"/>
    <cellStyle name="Millares [0] 4 5 3" xfId="2333" xr:uid="{434A44B4-B0DF-45FF-A582-C66A53EF4EB3}"/>
    <cellStyle name="Millares [0] 4 5 3 2" xfId="4338" xr:uid="{FD1CAB87-9767-4AAD-BEA1-21831CF06EB5}"/>
    <cellStyle name="Millares [0] 4 5 4" xfId="2750" xr:uid="{E6886EC9-ACE8-4AE0-995A-833C66DFA162}"/>
    <cellStyle name="Millares [0] 4 5 4 2" xfId="4756" xr:uid="{4E4AF831-078A-42C9-A7E3-CDE73A353DE2}"/>
    <cellStyle name="Millares [0] 4 5 5" xfId="3294" xr:uid="{C77DE62F-DF3F-48BA-990F-5BAF16F1F5EE}"/>
    <cellStyle name="Millares [0] 4 5 5 2" xfId="5300" xr:uid="{68AD5529-C976-4D9F-8BA6-23AD7AFAB4B8}"/>
    <cellStyle name="Millares [0] 4 5 6" xfId="550" xr:uid="{833B499A-7618-437B-AA0D-F21E3451ADAE}"/>
    <cellStyle name="Millares [0] 4 5 7" xfId="3794" xr:uid="{CCEC263E-7693-4510-AFCD-A75F9DEACE9F}"/>
    <cellStyle name="Millares [0] 4 5 8" xfId="5799" xr:uid="{28E3E01D-775D-4128-B019-74FAAB9DC7CA}"/>
    <cellStyle name="Millares [0] 4 6" xfId="345" xr:uid="{BB189FE8-7C79-40B9-87FC-223403EA05DF}"/>
    <cellStyle name="Millares [0] 4 6 2" xfId="2418" xr:uid="{D1DF0753-CD73-4490-B37E-FDDF7037DAC8}"/>
    <cellStyle name="Millares [0] 4 6 2 2" xfId="4424" xr:uid="{0270C57E-64A1-4406-A5A2-45580707A78F}"/>
    <cellStyle name="Millares [0] 4 6 3" xfId="2836" xr:uid="{D2094B67-C0BF-4360-BD58-1E28FA5F0FD6}"/>
    <cellStyle name="Millares [0] 4 6 3 2" xfId="4842" xr:uid="{5452F602-2D76-4584-8A6D-079D7BF615C0}"/>
    <cellStyle name="Millares [0] 4 6 4" xfId="3380" xr:uid="{091C6776-D072-4B4C-A787-DA80498BE3EB}"/>
    <cellStyle name="Millares [0] 4 6 4 2" xfId="5386" xr:uid="{8187EB65-7166-4D30-82F6-4467645FFE17}"/>
    <cellStyle name="Millares [0] 4 6 5" xfId="3880" xr:uid="{0315D41F-4EC3-435B-AB8C-4D1E9DC33FCB}"/>
    <cellStyle name="Millares [0] 4 7" xfId="655" xr:uid="{C01F7D6D-A0EC-4D4F-B583-92EF1A37EE98}"/>
    <cellStyle name="Millares [0] 4 7 2" xfId="2444" xr:uid="{A647319B-46A8-42CE-8554-3301B6B1B014}"/>
    <cellStyle name="Millares [0] 4 7 2 2" xfId="4450" xr:uid="{E2C43D2A-89DD-4977-9B79-1E24022AFCC6}"/>
    <cellStyle name="Millares [0] 4 7 3" xfId="2862" xr:uid="{E517ADE5-5961-4692-BE15-D5158F706338}"/>
    <cellStyle name="Millares [0] 4 7 3 2" xfId="4868" xr:uid="{703C5270-FCEA-4E2A-B5EE-D62B0745ED6A}"/>
    <cellStyle name="Millares [0] 4 7 4" xfId="3406" xr:uid="{EDD07EEF-7078-4B95-9C32-C74FD68D59FF}"/>
    <cellStyle name="Millares [0] 4 7 4 2" xfId="5412" xr:uid="{EC747166-D7D8-47B8-ACCB-4C25DE9CAEBD}"/>
    <cellStyle name="Millares [0] 4 7 5" xfId="3906" xr:uid="{80169DBE-B306-4D84-85FB-A2477E2D4E7B}"/>
    <cellStyle name="Millares [0] 4 8" xfId="835" xr:uid="{4F1DB34D-F60E-4DAF-ADA8-F44BFD85AC07}"/>
    <cellStyle name="Millares [0] 4 8 2" xfId="3064" xr:uid="{7F721E77-0E73-47E4-91BA-F786525D3C5A}"/>
    <cellStyle name="Millares [0] 4 8 2 2" xfId="5070" xr:uid="{23BF5F74-11D0-427F-833E-3FC849236ED5}"/>
    <cellStyle name="Millares [0] 4 8 3" xfId="4108" xr:uid="{D7B7ED72-81A4-4C95-8803-D606CE4EBF3C}"/>
    <cellStyle name="Millares [0] 4 9" xfId="922" xr:uid="{80BDEDF4-F0BE-473A-BA11-0D0DECC92DF3}"/>
    <cellStyle name="Millares [0] 4 9 2" xfId="3148" xr:uid="{2527A722-41A2-48FE-B502-0E009C6CFF23}"/>
    <cellStyle name="Millares [0] 4 9 2 2" xfId="5154" xr:uid="{93FB7289-340A-48D7-A176-AEFE30D99779}"/>
    <cellStyle name="Millares [0] 4 9 3" xfId="4192" xr:uid="{F935E150-65A7-4954-A5D1-284B374DCEC8}"/>
    <cellStyle name="Millares [0] 5" xfId="118" xr:uid="{00000000-0005-0000-0000-000070000000}"/>
    <cellStyle name="Millares [0] 5 10" xfId="3195" xr:uid="{51DB6503-B95E-4182-9456-D8EF3CD8E378}"/>
    <cellStyle name="Millares [0] 5 10 2" xfId="5201" xr:uid="{C35CA5DA-A2FB-4655-A21E-8C8ACB69140B}"/>
    <cellStyle name="Millares [0] 5 11" xfId="3591" xr:uid="{00170D82-DA38-43F4-8938-D59F2188A5A2}"/>
    <cellStyle name="Millares [0] 5 11 2" xfId="5597" xr:uid="{F8BE9AB6-4748-4A54-9C91-9B98FF4AC4A2}"/>
    <cellStyle name="Millares [0] 5 12" xfId="3695" xr:uid="{98CED1D1-966E-4C5B-9725-19E54165D19D}"/>
    <cellStyle name="Millares [0] 5 2" xfId="208" xr:uid="{00000000-0005-0000-0000-000071000000}"/>
    <cellStyle name="Millares [0] 5 2 10" xfId="5774" xr:uid="{19C627DA-0540-40AE-A5AC-7F218536CF6B}"/>
    <cellStyle name="Millares [0] 5 2 2" xfId="309" xr:uid="{0B4DC058-B150-4B56-90B1-4966E14FA256}"/>
    <cellStyle name="Millares [0] 5 2 2 2" xfId="808" xr:uid="{EC246BAB-2734-4CFA-9984-27086709BE42}"/>
    <cellStyle name="Millares [0] 5 2 2 2 2" xfId="2618" xr:uid="{EA2666DC-F595-488D-AC4E-8B097DB6023E}"/>
    <cellStyle name="Millares [0] 5 2 2 2 2 2" xfId="4624" xr:uid="{DCF08D11-38EB-44E6-A5B5-5F29AD2142B4}"/>
    <cellStyle name="Millares [0] 5 2 2 2 3" xfId="3036" xr:uid="{5509EE04-DFB7-4732-B1BF-FE9C27C793C8}"/>
    <cellStyle name="Millares [0] 5 2 2 2 3 2" xfId="5042" xr:uid="{D29AAAAC-5127-4477-BE82-808D630B81D0}"/>
    <cellStyle name="Millares [0] 5 2 2 2 4" xfId="3580" xr:uid="{8D7ACF45-6E6B-48E6-966B-28918633B164}"/>
    <cellStyle name="Millares [0] 5 2 2 2 4 2" xfId="5586" xr:uid="{65F3CF78-BF40-4ED1-B133-BE3BFBD2386F}"/>
    <cellStyle name="Millares [0] 5 2 2 2 5" xfId="4080" xr:uid="{548E3B9E-EA36-4622-9486-B2579A8981E4}"/>
    <cellStyle name="Millares [0] 5 2 2 3" xfId="2407" xr:uid="{5A53C37B-7A11-4ABE-89CF-822BCB7A0FF9}"/>
    <cellStyle name="Millares [0] 5 2 2 3 2" xfId="4412" xr:uid="{2FA7D272-4DE2-4571-9127-BED5F5E8D8AE}"/>
    <cellStyle name="Millares [0] 5 2 2 4" xfId="2824" xr:uid="{7E6EF82A-CF4F-4FEE-B87C-9A88753AC6A5}"/>
    <cellStyle name="Millares [0] 5 2 2 4 2" xfId="4830" xr:uid="{D23264E8-28E4-4899-95F3-5949166233EE}"/>
    <cellStyle name="Millares [0] 5 2 2 5" xfId="3368" xr:uid="{D9CF47E0-D2AE-44D7-8BD2-F43B8D7D76B0}"/>
    <cellStyle name="Millares [0] 5 2 2 5 2" xfId="5374" xr:uid="{6AD5B1CB-56BA-48AA-8C01-535832099984}"/>
    <cellStyle name="Millares [0] 5 2 2 6" xfId="623" xr:uid="{C2D3ED63-3D85-458F-8A8C-8910BD4631C8}"/>
    <cellStyle name="Millares [0] 5 2 2 7" xfId="3868" xr:uid="{7FEF3D45-1EFB-485A-A702-8A0DD57ADCAB}"/>
    <cellStyle name="Millares [0] 5 2 3" xfId="711" xr:uid="{EDEFA10C-97CD-40DE-91A3-EE1408D9C173}"/>
    <cellStyle name="Millares [0] 5 2 3 2" xfId="2518" xr:uid="{B38F802C-F7BD-45F6-A757-AFDB7869BC10}"/>
    <cellStyle name="Millares [0] 5 2 3 2 2" xfId="4524" xr:uid="{02C01D4C-F7FD-4C2E-B88C-48682E53D8B6}"/>
    <cellStyle name="Millares [0] 5 2 3 3" xfId="2936" xr:uid="{DD737410-1C0B-472A-9639-20E2E82B9A6E}"/>
    <cellStyle name="Millares [0] 5 2 3 3 2" xfId="4942" xr:uid="{EA44BC02-F0C4-455A-8A62-59869B1EEB82}"/>
    <cellStyle name="Millares [0] 5 2 3 4" xfId="3480" xr:uid="{1273593A-0F33-40ED-91B4-4FCCC0CC4A8C}"/>
    <cellStyle name="Millares [0] 5 2 3 4 2" xfId="5486" xr:uid="{F9BCF65C-A2C7-4283-B907-07298A76DC13}"/>
    <cellStyle name="Millares [0] 5 2 3 5" xfId="3980" xr:uid="{A1C6C744-A45C-46DF-98B1-31EC33B59A9B}"/>
    <cellStyle name="Millares [0] 5 2 4" xfId="909" xr:uid="{78BBC283-0A35-4FB3-BFA4-3A780A3D8306}"/>
    <cellStyle name="Millares [0] 5 2 4 2" xfId="3138" xr:uid="{BCB21D03-B38E-4930-A636-B3F83CD36732}"/>
    <cellStyle name="Millares [0] 5 2 4 2 2" xfId="5144" xr:uid="{14A9B569-37BF-42CF-977A-CF64C20CA7A3}"/>
    <cellStyle name="Millares [0] 5 2 4 3" xfId="4182" xr:uid="{DCF143B3-B494-4B6D-BCAC-5D8321EF1F18}"/>
    <cellStyle name="Millares [0] 5 2 5" xfId="2303" xr:uid="{C35FCB4F-8E5F-4075-831C-19ACEA2592CE}"/>
    <cellStyle name="Millares [0] 5 2 5 2" xfId="4308" xr:uid="{3A6AB2B5-0D70-4AAF-89D5-9BEABDD1C255}"/>
    <cellStyle name="Millares [0] 5 2 6" xfId="2720" xr:uid="{DDBA1033-5F98-43BB-A2D2-4826FD5C9910}"/>
    <cellStyle name="Millares [0] 5 2 6 2" xfId="4726" xr:uid="{D5521B64-3C21-4676-AE9D-5E721162A189}"/>
    <cellStyle name="Millares [0] 5 2 7" xfId="3264" xr:uid="{34A74BB5-9076-4FCB-A69F-7639639C28CE}"/>
    <cellStyle name="Millares [0] 5 2 7 2" xfId="5270" xr:uid="{E6AE48BF-16FC-41C1-9320-C17DEE82D827}"/>
    <cellStyle name="Millares [0] 5 2 8" xfId="524" xr:uid="{BA3E09C9-00A8-4ED8-BAE5-3B13AFFB766C}"/>
    <cellStyle name="Millares [0] 5 2 9" xfId="3764" xr:uid="{8A6CD17E-FF57-49EB-B180-3B31BCEC70AE}"/>
    <cellStyle name="Millares [0] 5 3" xfId="170" xr:uid="{00000000-0005-0000-0000-000072000000}"/>
    <cellStyle name="Millares [0] 5 3 10" xfId="5810" xr:uid="{C00E09F1-2C3B-49E0-82B0-1E0C1E5AB016}"/>
    <cellStyle name="Millares [0] 5 3 2" xfId="276" xr:uid="{8E80F9FB-88FD-449A-B819-3DDB028E0587}"/>
    <cellStyle name="Millares [0] 5 3 2 2" xfId="775" xr:uid="{53E1AD5C-CEA3-4D8E-93E4-9D24F4016661}"/>
    <cellStyle name="Millares [0] 5 3 2 2 2" xfId="2585" xr:uid="{86B019B4-BF19-48A9-9D9C-024B4A95CCF8}"/>
    <cellStyle name="Millares [0] 5 3 2 2 2 2" xfId="4591" xr:uid="{F74A74F5-B9B3-4CC2-881A-63471F98D89B}"/>
    <cellStyle name="Millares [0] 5 3 2 2 3" xfId="3003" xr:uid="{846B0840-CDF8-4E1C-AAA0-54835A24180E}"/>
    <cellStyle name="Millares [0] 5 3 2 2 3 2" xfId="5009" xr:uid="{6BD7DE54-6BB6-4329-9606-D665DCC4D021}"/>
    <cellStyle name="Millares [0] 5 3 2 2 4" xfId="3547" xr:uid="{87CA81FE-2EE0-46A3-87E2-878EC0747C69}"/>
    <cellStyle name="Millares [0] 5 3 2 2 4 2" xfId="5553" xr:uid="{99B5BC86-6B30-4D79-BE4B-F46D1879EBDB}"/>
    <cellStyle name="Millares [0] 5 3 2 2 5" xfId="4047" xr:uid="{D750DF23-6E7F-4A1D-828F-3804BFA188FC}"/>
    <cellStyle name="Millares [0] 5 3 2 3" xfId="2374" xr:uid="{1114718F-D7E2-43A7-A6C6-D55D285859A9}"/>
    <cellStyle name="Millares [0] 5 3 2 3 2" xfId="4379" xr:uid="{AF99B539-A8AF-4584-A7DC-9E53C279A737}"/>
    <cellStyle name="Millares [0] 5 3 2 4" xfId="2791" xr:uid="{C275840C-39D6-4A8F-8454-97D202B6D32D}"/>
    <cellStyle name="Millares [0] 5 3 2 4 2" xfId="4797" xr:uid="{6DE74C0D-5B2C-48DC-A3A5-99E3300CD81D}"/>
    <cellStyle name="Millares [0] 5 3 2 5" xfId="3335" xr:uid="{8CFB701F-DDF5-45DF-AC49-5206537A8D5F}"/>
    <cellStyle name="Millares [0] 5 3 2 5 2" xfId="5341" xr:uid="{5852E51C-AE60-49B9-B662-A79B09128CC9}"/>
    <cellStyle name="Millares [0] 5 3 2 6" xfId="590" xr:uid="{E9929197-ABB2-45AE-8F31-C63B67A693D0}"/>
    <cellStyle name="Millares [0] 5 3 2 7" xfId="3835" xr:uid="{7C4B91C4-8AAA-42D5-898C-3CD556129F4B}"/>
    <cellStyle name="Millares [0] 5 3 3" xfId="685" xr:uid="{A5291C59-40CE-43AF-9FB1-3E000FED660F}"/>
    <cellStyle name="Millares [0] 5 3 3 2" xfId="2485" xr:uid="{ADB25161-E9E8-494D-9968-682F3ECF522B}"/>
    <cellStyle name="Millares [0] 5 3 3 2 2" xfId="4491" xr:uid="{5F8CB274-2FC7-482C-BB68-DF5C5295D612}"/>
    <cellStyle name="Millares [0] 5 3 3 3" xfId="2903" xr:uid="{3CA19155-867B-4C5A-BB7F-132610584FE1}"/>
    <cellStyle name="Millares [0] 5 3 3 3 2" xfId="4909" xr:uid="{CA8C85EC-D0E8-4C64-B883-915CC32E0E5E}"/>
    <cellStyle name="Millares [0] 5 3 3 4" xfId="3447" xr:uid="{AB5F1EA3-28A1-4C06-B756-FB9A58E90188}"/>
    <cellStyle name="Millares [0] 5 3 3 4 2" xfId="5453" xr:uid="{9180E4F8-6D1C-4733-9E03-375ACE9EC3EF}"/>
    <cellStyle name="Millares [0] 5 3 3 5" xfId="3947" xr:uid="{5FA30B1D-EC9A-4635-AD3A-61FF6A12A7F9}"/>
    <cellStyle name="Millares [0] 5 3 4" xfId="876" xr:uid="{94D8C8BE-21BE-49BC-85FF-67953EF6361D}"/>
    <cellStyle name="Millares [0] 5 3 4 2" xfId="3105" xr:uid="{C03D8186-EDB1-447F-B800-7E057E95C074}"/>
    <cellStyle name="Millares [0] 5 3 4 2 2" xfId="5111" xr:uid="{2137E006-942F-47D7-AC58-C6165B6C5E53}"/>
    <cellStyle name="Millares [0] 5 3 4 3" xfId="4149" xr:uid="{62F23B97-3FA9-403B-B9F1-0958AF8B80E1}"/>
    <cellStyle name="Millares [0] 5 3 5" xfId="2270" xr:uid="{9440DEB6-4A03-456A-A05A-036FC740B439}"/>
    <cellStyle name="Millares [0] 5 3 5 2" xfId="4275" xr:uid="{95287BD1-E463-48E3-B9C3-ECE655601E19}"/>
    <cellStyle name="Millares [0] 5 3 6" xfId="2687" xr:uid="{13FBBEBE-5AB9-4F75-8488-2C0187AF54DD}"/>
    <cellStyle name="Millares [0] 5 3 6 2" xfId="4693" xr:uid="{A19C0178-D37C-4F40-BBDA-8337E5E22F8E}"/>
    <cellStyle name="Millares [0] 5 3 7" xfId="3231" xr:uid="{6E12E585-EBA1-4B10-9C8E-FA2D7958E29F}"/>
    <cellStyle name="Millares [0] 5 3 7 2" xfId="5237" xr:uid="{A17D5AB0-1A1B-4B73-B4E6-F181D084F15E}"/>
    <cellStyle name="Millares [0] 5 3 8" xfId="498" xr:uid="{A6FE4A29-63D8-473C-87C1-2429FE04FA9D}"/>
    <cellStyle name="Millares [0] 5 3 9" xfId="3731" xr:uid="{8C7743B8-6094-41DA-9018-737342E35572}"/>
    <cellStyle name="Millares [0] 5 4" xfId="162" xr:uid="{00000000-0005-0000-0000-000073000000}"/>
    <cellStyle name="Millares [0] 5 4 2" xfId="268" xr:uid="{79D71F3D-B5EF-413C-B4FD-7A19A3A6F0A6}"/>
    <cellStyle name="Millares [0] 5 4 2 2" xfId="768" xr:uid="{4CC1E219-4480-4960-8A8E-732AC5C8B4BE}"/>
    <cellStyle name="Millares [0] 5 4 2 2 2" xfId="2577" xr:uid="{C82B6124-F022-4055-ABB7-C0EF8A6AA7F7}"/>
    <cellStyle name="Millares [0] 5 4 2 2 2 2" xfId="4583" xr:uid="{39C9F349-B402-447E-9930-6E00D2A73A7E}"/>
    <cellStyle name="Millares [0] 5 4 2 2 3" xfId="2995" xr:uid="{127345B5-3110-491B-BA81-B84572CC5F88}"/>
    <cellStyle name="Millares [0] 5 4 2 2 3 2" xfId="5001" xr:uid="{16D78469-72FC-47D2-8378-CBF4DF2383C5}"/>
    <cellStyle name="Millares [0] 5 4 2 2 4" xfId="3539" xr:uid="{3B3E6F40-7D07-4C75-8486-629E14EDACC0}"/>
    <cellStyle name="Millares [0] 5 4 2 2 4 2" xfId="5545" xr:uid="{EBF52E69-9AE2-4A87-985B-2DDBF189BDA1}"/>
    <cellStyle name="Millares [0] 5 4 2 2 5" xfId="4039" xr:uid="{FE5375CA-1440-4094-8737-27633213A8FC}"/>
    <cellStyle name="Millares [0] 5 4 2 3" xfId="2366" xr:uid="{8CA8C84F-EC54-424B-A45D-8E48582EEADD}"/>
    <cellStyle name="Millares [0] 5 4 2 3 2" xfId="4371" xr:uid="{AAEB6994-F75E-4B5B-BD4D-B6DC034905D5}"/>
    <cellStyle name="Millares [0] 5 4 2 4" xfId="2783" xr:uid="{C4BC04A0-858F-4A6C-9104-2F977566508D}"/>
    <cellStyle name="Millares [0] 5 4 2 4 2" xfId="4789" xr:uid="{FE878FF8-3718-4B6F-80C8-65DD4A66AD23}"/>
    <cellStyle name="Millares [0] 5 4 2 5" xfId="3327" xr:uid="{56E1792F-4D54-45EE-A1B0-2FF8E79E9FDB}"/>
    <cellStyle name="Millares [0] 5 4 2 5 2" xfId="5333" xr:uid="{825CA8F9-2621-4152-A7B2-2E9E9C898CC8}"/>
    <cellStyle name="Millares [0] 5 4 2 6" xfId="583" xr:uid="{60736E4C-5BE5-445C-BE4D-F6B67A40B86D}"/>
    <cellStyle name="Millares [0] 5 4 2 7" xfId="3827" xr:uid="{C5757F70-C143-49FA-A761-AEF66FD4F503}"/>
    <cellStyle name="Millares [0] 5 4 3" xfId="678" xr:uid="{B001AA4D-352E-45F4-BB80-9FD11166E7D2}"/>
    <cellStyle name="Millares [0] 5 4 3 2" xfId="2477" xr:uid="{D2570F9C-A35F-4215-B881-C85738EDBF77}"/>
    <cellStyle name="Millares [0] 5 4 3 2 2" xfId="4483" xr:uid="{AB640179-150C-4D05-835A-AD1F8164859D}"/>
    <cellStyle name="Millares [0] 5 4 3 3" xfId="2895" xr:uid="{BE86BBF0-FBC9-4AED-80B0-3F3E31C5F400}"/>
    <cellStyle name="Millares [0] 5 4 3 3 2" xfId="4901" xr:uid="{7B402DA1-A2FB-4976-A6DF-C8A49856F575}"/>
    <cellStyle name="Millares [0] 5 4 3 4" xfId="3439" xr:uid="{528DAA84-7A64-43A5-B2D0-E2CA7A88E154}"/>
    <cellStyle name="Millares [0] 5 4 3 4 2" xfId="5445" xr:uid="{9F3EEC25-5BA6-4272-A6E0-6D62F4B21AD3}"/>
    <cellStyle name="Millares [0] 5 4 3 5" xfId="3939" xr:uid="{26C2CB8C-76E2-4CA7-85A7-D02D91D5593D}"/>
    <cellStyle name="Millares [0] 5 4 4" xfId="868" xr:uid="{C21A9225-AA2A-4626-8609-D12A8B1EAEB4}"/>
    <cellStyle name="Millares [0] 5 4 4 2" xfId="3097" xr:uid="{DA630B32-C501-450E-AEA8-39562ECC3BC6}"/>
    <cellStyle name="Millares [0] 5 4 4 2 2" xfId="5103" xr:uid="{FD5F0406-5D46-460D-836B-7A2F8EEC4BB5}"/>
    <cellStyle name="Millares [0] 5 4 4 3" xfId="4141" xr:uid="{E67F87D9-67EF-4F3E-8C71-AAE37DE4CB2B}"/>
    <cellStyle name="Millares [0] 5 4 5" xfId="2262" xr:uid="{10EBAFC9-051F-41CA-B74A-6705BD20699D}"/>
    <cellStyle name="Millares [0] 5 4 5 2" xfId="4267" xr:uid="{6B423F3A-5524-46B1-91EC-CBEF2BE7F4ED}"/>
    <cellStyle name="Millares [0] 5 4 6" xfId="2679" xr:uid="{DE07A554-0131-4A3F-A35A-2602BEEDC2C7}"/>
    <cellStyle name="Millares [0] 5 4 6 2" xfId="4685" xr:uid="{04C66493-DE71-4493-BE25-F005454D1798}"/>
    <cellStyle name="Millares [0] 5 4 7" xfId="3223" xr:uid="{44B7EA6D-7DD9-423B-BC57-A8618EB056FA}"/>
    <cellStyle name="Millares [0] 5 4 7 2" xfId="5229" xr:uid="{03DA4EE1-E5A8-4C79-B7AF-5D17C995FCA6}"/>
    <cellStyle name="Millares [0] 5 4 8" xfId="491" xr:uid="{8D9D7A21-1F04-467D-958A-F3ABC0F3C9FC}"/>
    <cellStyle name="Millares [0] 5 4 9" xfId="3723" xr:uid="{FFA507AF-4112-46F3-A02D-3250DE1833CA}"/>
    <cellStyle name="Millares [0] 5 5" xfId="240" xr:uid="{1F31BEE9-2713-45CD-AA35-B3A0EA72585C}"/>
    <cellStyle name="Millares [0] 5 5 2" xfId="740" xr:uid="{02DDA5B7-15C2-4675-BC63-04F214608BEB}"/>
    <cellStyle name="Millares [0] 5 5 2 2" xfId="2549" xr:uid="{0919DCB7-425A-4DE8-80D4-881934F0E16F}"/>
    <cellStyle name="Millares [0] 5 5 2 2 2" xfId="4555" xr:uid="{91968027-EEFD-43D7-A67F-A3090E7DC53C}"/>
    <cellStyle name="Millares [0] 5 5 2 3" xfId="2967" xr:uid="{E5B99078-7451-4238-BF3F-DAC729D68639}"/>
    <cellStyle name="Millares [0] 5 5 2 3 2" xfId="4973" xr:uid="{7C989C44-C658-45BA-B688-981FBC07A245}"/>
    <cellStyle name="Millares [0] 5 5 2 4" xfId="3511" xr:uid="{123BCA86-10FF-4F28-969D-D0FC91303248}"/>
    <cellStyle name="Millares [0] 5 5 2 4 2" xfId="5517" xr:uid="{CFD90976-2FC8-424B-ABBB-33EE10AA6A87}"/>
    <cellStyle name="Millares [0] 5 5 2 5" xfId="4011" xr:uid="{8518C7BA-A323-480D-B92C-4A294A6B8FA6}"/>
    <cellStyle name="Millares [0] 5 5 3" xfId="2338" xr:uid="{565663CD-5ED1-4247-A38D-0E2E72E3BD9A}"/>
    <cellStyle name="Millares [0] 5 5 3 2" xfId="4343" xr:uid="{7265B773-36EE-44F1-A5CC-2F623D1365DE}"/>
    <cellStyle name="Millares [0] 5 5 4" xfId="2755" xr:uid="{FDFFA8DB-2744-435C-AFF1-42EF2FD35994}"/>
    <cellStyle name="Millares [0] 5 5 4 2" xfId="4761" xr:uid="{0375DF4E-A4F6-44B1-B475-E7840A7E8A0C}"/>
    <cellStyle name="Millares [0] 5 5 5" xfId="3299" xr:uid="{AA4EB632-A77C-4198-A162-8770C55E56D8}"/>
    <cellStyle name="Millares [0] 5 5 5 2" xfId="5305" xr:uid="{8A0CEF7A-CF21-4D61-97B5-3ADB5B68E8F5}"/>
    <cellStyle name="Millares [0] 5 5 6" xfId="555" xr:uid="{029E1D4B-A010-4310-B6BF-9B07471B8D39}"/>
    <cellStyle name="Millares [0] 5 5 7" xfId="3799" xr:uid="{18126C75-92B4-4553-B1C3-2FCA73769D66}"/>
    <cellStyle name="Millares [0] 5 6" xfId="409" xr:uid="{6B0539BB-461A-4465-9AB3-C9A3FAB3F5F0}"/>
    <cellStyle name="Millares [0] 5 6 2" xfId="2449" xr:uid="{C3DC2504-C0E4-4406-A5EE-8D4B9E398A6A}"/>
    <cellStyle name="Millares [0] 5 6 2 2" xfId="4455" xr:uid="{E019A605-AF27-4D86-BC93-00FE95015B49}"/>
    <cellStyle name="Millares [0] 5 6 3" xfId="2867" xr:uid="{99B7D9E4-27E3-450A-B4C2-DE247D4B6ABB}"/>
    <cellStyle name="Millares [0] 5 6 3 2" xfId="4873" xr:uid="{F60328B7-A83A-43D4-B49E-9942B7891921}"/>
    <cellStyle name="Millares [0] 5 6 4" xfId="3411" xr:uid="{94004E96-F156-406F-B8FE-ACCDC99A00BF}"/>
    <cellStyle name="Millares [0] 5 6 4 2" xfId="5417" xr:uid="{1D06E640-DEBC-4DD5-ABC6-E583C5BAD97E}"/>
    <cellStyle name="Millares [0] 5 6 5" xfId="3911" xr:uid="{89A0FEE5-5F08-49CB-A1BB-7F239AFB915B}"/>
    <cellStyle name="Millares [0] 5 7" xfId="840" xr:uid="{77008820-EFA6-4F64-B24B-F4C210C459FB}"/>
    <cellStyle name="Millares [0] 5 7 2" xfId="3069" xr:uid="{C1DF9623-55E9-4E3F-8B5B-82DB52EDA9F8}"/>
    <cellStyle name="Millares [0] 5 7 2 2" xfId="5075" xr:uid="{4214D9EB-62C4-4760-8DDE-FD0BAF0A49FB}"/>
    <cellStyle name="Millares [0] 5 7 3" xfId="4113" xr:uid="{88F5612D-D6AD-4E10-AC8A-FE164DB0BD74}"/>
    <cellStyle name="Millares [0] 5 8" xfId="2234" xr:uid="{D0F52F98-C3EB-43FC-998F-A2981E21D73C}"/>
    <cellStyle name="Millares [0] 5 8 2" xfId="4239" xr:uid="{4FA372BD-FDA9-4FD9-8AA1-D93764D095EE}"/>
    <cellStyle name="Millares [0] 5 9" xfId="2651" xr:uid="{FA8C407D-5768-4D65-A6DD-99813FBF8BBF}"/>
    <cellStyle name="Millares [0] 5 9 2" xfId="4657" xr:uid="{3468BFA4-17F7-4452-9DF8-57581CFD9201}"/>
    <cellStyle name="Millares [0] 6" xfId="131" xr:uid="{00000000-0005-0000-0000-000074000000}"/>
    <cellStyle name="Millares [0] 6 10" xfId="3200" xr:uid="{A5D238A2-B3DF-46D0-9612-3B1AD1D679C8}"/>
    <cellStyle name="Millares [0] 6 10 2" xfId="5206" xr:uid="{E6ECB2DF-9EBB-4F2E-8D56-BA197DF2796C}"/>
    <cellStyle name="Millares [0] 6 11" xfId="3651" xr:uid="{FDCE0EFB-603F-4E2B-8BA5-D9FB690BCB52}"/>
    <cellStyle name="Millares [0] 6 11 2" xfId="5633" xr:uid="{B4BBC017-E85A-4579-A5BE-F3271166D56B}"/>
    <cellStyle name="Millares [0] 6 12" xfId="3700" xr:uid="{4E842918-5D0D-42DC-A9D9-D327E524157A}"/>
    <cellStyle name="Millares [0] 6 13" xfId="5719" xr:uid="{C8CDA3B4-7B31-4B5F-9299-99966D9327DD}"/>
    <cellStyle name="Millares [0] 6 2" xfId="213" xr:uid="{00000000-0005-0000-0000-000075000000}"/>
    <cellStyle name="Millares [0] 6 2 10" xfId="5792" xr:uid="{8C8DD401-3668-423C-A723-373E7D3711EF}"/>
    <cellStyle name="Millares [0] 6 2 2" xfId="314" xr:uid="{090297E3-7FEE-4B23-9BCB-B3DE2DDF20D2}"/>
    <cellStyle name="Millares [0] 6 2 2 2" xfId="813" xr:uid="{8AD5F9D8-876C-4490-B66E-741B811C9C7A}"/>
    <cellStyle name="Millares [0] 6 2 2 2 2" xfId="2623" xr:uid="{EA15B373-1253-42AB-BF6B-E2DDAB397999}"/>
    <cellStyle name="Millares [0] 6 2 2 2 2 2" xfId="4629" xr:uid="{737C5F99-3E03-4EE6-BB87-CD5F5CF50179}"/>
    <cellStyle name="Millares [0] 6 2 2 2 3" xfId="3041" xr:uid="{4B1A415C-283B-442C-924D-19609F4057F0}"/>
    <cellStyle name="Millares [0] 6 2 2 2 3 2" xfId="5047" xr:uid="{948EE61C-F6CA-4632-B7DF-A96C7CA34D69}"/>
    <cellStyle name="Millares [0] 6 2 2 2 4" xfId="3585" xr:uid="{0D33F699-DDC2-4A56-9846-B5EF93C7079A}"/>
    <cellStyle name="Millares [0] 6 2 2 2 4 2" xfId="5591" xr:uid="{7DDADCF2-D6AD-4864-BED8-F0178B9E8107}"/>
    <cellStyle name="Millares [0] 6 2 2 2 5" xfId="4085" xr:uid="{27FCA059-AE02-4ACF-8ACF-51B58814B32E}"/>
    <cellStyle name="Millares [0] 6 2 2 3" xfId="2412" xr:uid="{9ABB9B28-C765-470F-B8CE-E7524FAFB222}"/>
    <cellStyle name="Millares [0] 6 2 2 3 2" xfId="4417" xr:uid="{8E371B0F-0D4D-48F2-A156-DAF1B00FD147}"/>
    <cellStyle name="Millares [0] 6 2 2 4" xfId="2829" xr:uid="{288E4323-659C-49A0-9916-8199F5BC5D54}"/>
    <cellStyle name="Millares [0] 6 2 2 4 2" xfId="4835" xr:uid="{A4DCC5D2-852B-4920-B358-0EA6B651ABE7}"/>
    <cellStyle name="Millares [0] 6 2 2 5" xfId="3373" xr:uid="{38741357-F9C8-40B3-890B-49B8FE834540}"/>
    <cellStyle name="Millares [0] 6 2 2 5 2" xfId="5379" xr:uid="{8FB3474E-0A24-4E74-A0ED-63295911B954}"/>
    <cellStyle name="Millares [0] 6 2 2 6" xfId="628" xr:uid="{7BD78632-03A1-4BD0-8AC5-F82A66B1848D}"/>
    <cellStyle name="Millares [0] 6 2 2 7" xfId="3873" xr:uid="{4B86223D-4314-48A0-8550-30CFA032CCD8}"/>
    <cellStyle name="Millares [0] 6 2 3" xfId="716" xr:uid="{395136E7-B8F4-43B0-BE9D-A5DF3B88A5DC}"/>
    <cellStyle name="Millares [0] 6 2 3 2" xfId="2523" xr:uid="{17E36EEB-A57D-4790-85A3-D36EBF94C18F}"/>
    <cellStyle name="Millares [0] 6 2 3 2 2" xfId="4529" xr:uid="{514DEB98-72FA-4E60-AF6F-C1CFD0C19994}"/>
    <cellStyle name="Millares [0] 6 2 3 3" xfId="2941" xr:uid="{BC1A72DA-2066-475C-A3CD-CD7A02F8CFCE}"/>
    <cellStyle name="Millares [0] 6 2 3 3 2" xfId="4947" xr:uid="{3DE2FF33-162F-4C9D-AE32-EF13AD0590A6}"/>
    <cellStyle name="Millares [0] 6 2 3 4" xfId="3485" xr:uid="{AEE0F41D-5F8F-4533-A477-03001BA1E240}"/>
    <cellStyle name="Millares [0] 6 2 3 4 2" xfId="5491" xr:uid="{9B4C4011-F7E7-4E07-8145-D939C0854A1E}"/>
    <cellStyle name="Millares [0] 6 2 3 5" xfId="3985" xr:uid="{B83CC726-349C-447B-A75D-01C048302921}"/>
    <cellStyle name="Millares [0] 6 2 4" xfId="914" xr:uid="{8796F8FA-869A-42F9-A656-7DD61273869C}"/>
    <cellStyle name="Millares [0] 6 2 4 2" xfId="3143" xr:uid="{2FC15217-8317-403D-BB29-01244DED4CC9}"/>
    <cellStyle name="Millares [0] 6 2 4 2 2" xfId="5149" xr:uid="{8AB56CCC-C149-4609-BEF8-D0A2B2151553}"/>
    <cellStyle name="Millares [0] 6 2 4 3" xfId="4187" xr:uid="{4E4317C0-60B6-462F-B64D-84B80E1E5B6A}"/>
    <cellStyle name="Millares [0] 6 2 5" xfId="2308" xr:uid="{42EC05E5-27B7-41ED-9D58-BD8FB58A9F49}"/>
    <cellStyle name="Millares [0] 6 2 5 2" xfId="4313" xr:uid="{C793FD2B-CB0C-4E21-8BEE-DA275BE5E143}"/>
    <cellStyle name="Millares [0] 6 2 6" xfId="2725" xr:uid="{352A4B6D-7E19-4FE0-B0E1-55625EAA4237}"/>
    <cellStyle name="Millares [0] 6 2 6 2" xfId="4731" xr:uid="{09355349-A8BF-4E68-BF23-EBC859247AE1}"/>
    <cellStyle name="Millares [0] 6 2 7" xfId="3269" xr:uid="{68AB8ED7-3733-475B-82FD-8E16EF4E35F3}"/>
    <cellStyle name="Millares [0] 6 2 7 2" xfId="5275" xr:uid="{71489BD1-006D-40BD-9C49-74F0FBADA8A8}"/>
    <cellStyle name="Millares [0] 6 2 8" xfId="529" xr:uid="{B709B831-F2B0-485A-8723-7DB967291F4F}"/>
    <cellStyle name="Millares [0] 6 2 9" xfId="3769" xr:uid="{84FDEA1C-C66B-4D2E-9A9B-6A31C4C7EFFB}"/>
    <cellStyle name="Millares [0] 6 3" xfId="183" xr:uid="{00000000-0005-0000-0000-000076000000}"/>
    <cellStyle name="Millares [0] 6 3 10" xfId="5828" xr:uid="{1A825941-3D11-4A60-9A81-AA1F3573B57A}"/>
    <cellStyle name="Millares [0] 6 3 2" xfId="288" xr:uid="{04ECDC5D-973C-4C21-A1BA-3D4ED9D8C501}"/>
    <cellStyle name="Millares [0] 6 3 2 2" xfId="787" xr:uid="{8B24A7D3-5530-4C39-BACC-300649895CAC}"/>
    <cellStyle name="Millares [0] 6 3 2 2 2" xfId="2597" xr:uid="{EED73C2B-6D17-46D4-9549-35E3F0C8E5BC}"/>
    <cellStyle name="Millares [0] 6 3 2 2 2 2" xfId="4603" xr:uid="{56054A63-266C-4928-AEF3-7FF69F54D232}"/>
    <cellStyle name="Millares [0] 6 3 2 2 3" xfId="3015" xr:uid="{879F15B9-CBCD-4CE2-B7A8-F376905F1A16}"/>
    <cellStyle name="Millares [0] 6 3 2 2 3 2" xfId="5021" xr:uid="{972F3832-5432-4191-95A1-BB4654B586AC}"/>
    <cellStyle name="Millares [0] 6 3 2 2 4" xfId="3559" xr:uid="{560335AD-DF77-4952-9872-30588DCCBCFF}"/>
    <cellStyle name="Millares [0] 6 3 2 2 4 2" xfId="5565" xr:uid="{E1F655EF-32AB-463A-8AF7-46365FFAA483}"/>
    <cellStyle name="Millares [0] 6 3 2 2 5" xfId="4059" xr:uid="{BC37130F-FD2C-4FAC-B26B-509847B19770}"/>
    <cellStyle name="Millares [0] 6 3 2 3" xfId="2386" xr:uid="{A1850604-CD20-45A8-B644-635BD903F3C4}"/>
    <cellStyle name="Millares [0] 6 3 2 3 2" xfId="4391" xr:uid="{CCA927E2-C9DD-47F7-B5B3-BFDF6AAE9FE4}"/>
    <cellStyle name="Millares [0] 6 3 2 4" xfId="2803" xr:uid="{32E3B4E0-CECC-4B60-A9BC-B365B1384A82}"/>
    <cellStyle name="Millares [0] 6 3 2 4 2" xfId="4809" xr:uid="{7D3DEA00-EAB3-4262-9C59-F7352EF08B06}"/>
    <cellStyle name="Millares [0] 6 3 2 5" xfId="3347" xr:uid="{E386A84E-33AB-433A-8F27-9CC4BEF6BC3F}"/>
    <cellStyle name="Millares [0] 6 3 2 5 2" xfId="5353" xr:uid="{E81C4C59-26B5-4895-83D7-25A21D760A6E}"/>
    <cellStyle name="Millares [0] 6 3 2 6" xfId="602" xr:uid="{DA03B0AA-FB6C-4D8E-A1A2-65611C6ACD86}"/>
    <cellStyle name="Millares [0] 6 3 2 7" xfId="3847" xr:uid="{3FFB693E-01DD-4999-A4A7-D51A5A6FA99F}"/>
    <cellStyle name="Millares [0] 6 3 3" xfId="695" xr:uid="{A8B1E4B3-6009-4FAA-9A57-ED1B78F4B294}"/>
    <cellStyle name="Millares [0] 6 3 3 2" xfId="2497" xr:uid="{9F23733F-AB43-43B3-BF89-FCC692AB65F7}"/>
    <cellStyle name="Millares [0] 6 3 3 2 2" xfId="4503" xr:uid="{BB5FB7C2-3811-4B64-B588-DFE5BA5CDF32}"/>
    <cellStyle name="Millares [0] 6 3 3 3" xfId="2915" xr:uid="{0E75B8FD-560F-4C1C-AF71-5D32091F77E9}"/>
    <cellStyle name="Millares [0] 6 3 3 3 2" xfId="4921" xr:uid="{E3CD5290-1A8D-41C0-B956-44C057EDBE38}"/>
    <cellStyle name="Millares [0] 6 3 3 4" xfId="3459" xr:uid="{47EB19DC-4A85-46F4-B65C-4AE34C94B06B}"/>
    <cellStyle name="Millares [0] 6 3 3 4 2" xfId="5465" xr:uid="{F218F40D-2020-4A82-AD1E-45015AC4FA8D}"/>
    <cellStyle name="Millares [0] 6 3 3 5" xfId="3959" xr:uid="{65A7EBE9-0E5F-426F-8D15-28BE70963A25}"/>
    <cellStyle name="Millares [0] 6 3 4" xfId="888" xr:uid="{EE1620EE-48F6-42A3-AA52-921A2FF74CEC}"/>
    <cellStyle name="Millares [0] 6 3 4 2" xfId="3117" xr:uid="{4CDF8B36-F176-405B-9E86-81E516BEBA4F}"/>
    <cellStyle name="Millares [0] 6 3 4 2 2" xfId="5123" xr:uid="{6DD47B05-871D-4A92-80E2-5EE2F54C08E5}"/>
    <cellStyle name="Millares [0] 6 3 4 3" xfId="4161" xr:uid="{BE166FA4-2845-4B37-A2FD-809B74174634}"/>
    <cellStyle name="Millares [0] 6 3 5" xfId="2282" xr:uid="{E31467AF-3ACC-4531-A95D-83234088890F}"/>
    <cellStyle name="Millares [0] 6 3 5 2" xfId="4287" xr:uid="{EFAAE524-341C-4486-9E69-D5911E7D724A}"/>
    <cellStyle name="Millares [0] 6 3 6" xfId="2699" xr:uid="{6B8AAF0F-9DFD-4DBD-B01B-8C37086DC3C1}"/>
    <cellStyle name="Millares [0] 6 3 6 2" xfId="4705" xr:uid="{C598D62C-44AC-431C-8DA7-7FD4D24F8841}"/>
    <cellStyle name="Millares [0] 6 3 7" xfId="3243" xr:uid="{EFCF4E42-7740-4E46-A712-B2F104E40A33}"/>
    <cellStyle name="Millares [0] 6 3 7 2" xfId="5249" xr:uid="{868D94EB-E117-4FF1-9C5F-E84EB2130392}"/>
    <cellStyle name="Millares [0] 6 3 8" xfId="508" xr:uid="{CF1022B0-D501-402D-8A3D-521454EF8A73}"/>
    <cellStyle name="Millares [0] 6 3 9" xfId="3743" xr:uid="{8A9D7DFC-C9C6-4161-9A4D-D44C5A70F2E0}"/>
    <cellStyle name="Millares [0] 6 4" xfId="167" xr:uid="{00000000-0005-0000-0000-000077000000}"/>
    <cellStyle name="Millares [0] 6 4 2" xfId="273" xr:uid="{AB008AA4-B55A-42E8-998A-57C88D1FB186}"/>
    <cellStyle name="Millares [0] 6 4 2 2" xfId="773" xr:uid="{661C7CEB-6C8E-48EE-A6C2-E105206B5C65}"/>
    <cellStyle name="Millares [0] 6 4 2 2 2" xfId="2582" xr:uid="{8DC95FB9-16F7-43BF-B7E4-CB3677572B07}"/>
    <cellStyle name="Millares [0] 6 4 2 2 2 2" xfId="4588" xr:uid="{449E08E8-36D2-4025-8F75-6012491D1F13}"/>
    <cellStyle name="Millares [0] 6 4 2 2 3" xfId="3000" xr:uid="{9DF31398-6225-48E0-A3F1-C5B6C058358F}"/>
    <cellStyle name="Millares [0] 6 4 2 2 3 2" xfId="5006" xr:uid="{C3A67FEB-1671-4DB8-88B5-D6840FE8791B}"/>
    <cellStyle name="Millares [0] 6 4 2 2 4" xfId="3544" xr:uid="{2C99C06C-8519-4895-94F0-7F79195378A5}"/>
    <cellStyle name="Millares [0] 6 4 2 2 4 2" xfId="5550" xr:uid="{AFFF4196-56EE-4F5C-A661-0E472E73EC24}"/>
    <cellStyle name="Millares [0] 6 4 2 2 5" xfId="4044" xr:uid="{0BD25F35-0CDB-48AA-9A8D-6F8B91558AF0}"/>
    <cellStyle name="Millares [0] 6 4 2 3" xfId="2371" xr:uid="{4ADF0396-B351-482A-8FEC-CF19D5783CE4}"/>
    <cellStyle name="Millares [0] 6 4 2 3 2" xfId="4376" xr:uid="{902BB542-6CF3-42E4-A9D7-86EFE42B75FD}"/>
    <cellStyle name="Millares [0] 6 4 2 4" xfId="2788" xr:uid="{D0003F6A-660C-47BC-8C00-A018D808191E}"/>
    <cellStyle name="Millares [0] 6 4 2 4 2" xfId="4794" xr:uid="{CFA55110-41AD-49EC-A60E-929464C85E4F}"/>
    <cellStyle name="Millares [0] 6 4 2 5" xfId="3332" xr:uid="{32C3749D-82BE-4A8C-A03B-59E9457F5F27}"/>
    <cellStyle name="Millares [0] 6 4 2 5 2" xfId="5338" xr:uid="{D4AABE5A-2A8F-43D9-9768-F8CA711E2FE6}"/>
    <cellStyle name="Millares [0] 6 4 2 6" xfId="588" xr:uid="{17072AD4-6813-4C5D-8D6E-DA08BF9D4DB0}"/>
    <cellStyle name="Millares [0] 6 4 2 7" xfId="3832" xr:uid="{33D2BDE8-BCE1-4A4B-AF0A-91CB7317F127}"/>
    <cellStyle name="Millares [0] 6 4 3" xfId="683" xr:uid="{EA691078-10AB-480D-A234-7357B0EA26E0}"/>
    <cellStyle name="Millares [0] 6 4 3 2" xfId="2482" xr:uid="{7214D1B5-2D22-4DEB-B7E2-11CFC559C25E}"/>
    <cellStyle name="Millares [0] 6 4 3 2 2" xfId="4488" xr:uid="{528D1B21-F37B-4ED9-B4B1-0F24FC747350}"/>
    <cellStyle name="Millares [0] 6 4 3 3" xfId="2900" xr:uid="{6C9645E8-7D99-41E6-A2A0-F923ECD9EF25}"/>
    <cellStyle name="Millares [0] 6 4 3 3 2" xfId="4906" xr:uid="{83B3824B-AD7F-4FF4-A16B-A37C8660BD8D}"/>
    <cellStyle name="Millares [0] 6 4 3 4" xfId="3444" xr:uid="{3C83244E-AA7F-4324-B098-8E73A5BB4BEA}"/>
    <cellStyle name="Millares [0] 6 4 3 4 2" xfId="5450" xr:uid="{A936EDCC-C468-44E0-B778-83E37A7A3A93}"/>
    <cellStyle name="Millares [0] 6 4 3 5" xfId="3944" xr:uid="{854E178C-A16F-4F8D-86AC-62F5594447FE}"/>
    <cellStyle name="Millares [0] 6 4 4" xfId="873" xr:uid="{20CA0167-2BC5-4919-A213-FA5EF276ADB1}"/>
    <cellStyle name="Millares [0] 6 4 4 2" xfId="3102" xr:uid="{6D328DED-3D9C-4DC1-9D29-EE6DBE6CED78}"/>
    <cellStyle name="Millares [0] 6 4 4 2 2" xfId="5108" xr:uid="{3C232CA2-754C-4C9D-AAD3-5E0D2B0AD476}"/>
    <cellStyle name="Millares [0] 6 4 4 3" xfId="4146" xr:uid="{6A4784CC-D058-45B9-BAAD-34B6ABB28C58}"/>
    <cellStyle name="Millares [0] 6 4 5" xfId="2267" xr:uid="{67D9B506-03B2-4D30-A820-840634AF666C}"/>
    <cellStyle name="Millares [0] 6 4 5 2" xfId="4272" xr:uid="{D3C80CE4-6327-45BA-94CC-9730B45478A7}"/>
    <cellStyle name="Millares [0] 6 4 6" xfId="2684" xr:uid="{B6EE85DE-80BE-48EA-8FF6-356682250723}"/>
    <cellStyle name="Millares [0] 6 4 6 2" xfId="4690" xr:uid="{607DFBA9-AFD6-426B-A465-D491C1C2D285}"/>
    <cellStyle name="Millares [0] 6 4 7" xfId="3228" xr:uid="{15C69BAC-D0B2-4283-921D-43FDC4DF4961}"/>
    <cellStyle name="Millares [0] 6 4 7 2" xfId="5234" xr:uid="{7CED2A19-7718-4DAA-A460-B0E768D880EB}"/>
    <cellStyle name="Millares [0] 6 4 8" xfId="496" xr:uid="{245117BE-4E50-47D0-809E-8D4726784D84}"/>
    <cellStyle name="Millares [0] 6 4 9" xfId="3728" xr:uid="{1EF56BF7-996E-4E10-9730-BA8EA6F48956}"/>
    <cellStyle name="Millares [0] 6 5" xfId="245" xr:uid="{52EE4DD8-85AD-453B-872B-EDDC1B78A872}"/>
    <cellStyle name="Millares [0] 6 5 2" xfId="745" xr:uid="{EA396B59-5B56-43EE-AA6E-5F790BF58832}"/>
    <cellStyle name="Millares [0] 6 5 2 2" xfId="2554" xr:uid="{9D23A770-A3B0-4094-8058-FAF9D587BDB8}"/>
    <cellStyle name="Millares [0] 6 5 2 2 2" xfId="4560" xr:uid="{F0761472-F6F1-4A18-BDA8-E7CBF62124B7}"/>
    <cellStyle name="Millares [0] 6 5 2 3" xfId="2972" xr:uid="{9D4BF6D5-28FB-4243-BC63-048CF53F8A78}"/>
    <cellStyle name="Millares [0] 6 5 2 3 2" xfId="4978" xr:uid="{14F9BCEE-2DFF-4EE6-922A-A5C5BF414C7B}"/>
    <cellStyle name="Millares [0] 6 5 2 4" xfId="3516" xr:uid="{F1908B90-9324-41E1-A49B-E06CC991B082}"/>
    <cellStyle name="Millares [0] 6 5 2 4 2" xfId="5522" xr:uid="{44420CC0-04F7-4F77-971F-F66CC77FB207}"/>
    <cellStyle name="Millares [0] 6 5 2 5" xfId="4016" xr:uid="{8167B7E0-5DAA-4ED8-8706-30BD5878C3B3}"/>
    <cellStyle name="Millares [0] 6 5 3" xfId="2343" xr:uid="{56EAB25A-1D17-45D2-8806-B3879CDE5ACE}"/>
    <cellStyle name="Millares [0] 6 5 3 2" xfId="4348" xr:uid="{0806836F-F397-4E3A-9C98-081CDBAA35EE}"/>
    <cellStyle name="Millares [0] 6 5 4" xfId="2760" xr:uid="{F3FEAB44-AEDB-4A71-B55F-A26B4B94ABC1}"/>
    <cellStyle name="Millares [0] 6 5 4 2" xfId="4766" xr:uid="{B851C4CC-A8EE-4360-8605-5A6F6354A624}"/>
    <cellStyle name="Millares [0] 6 5 5" xfId="3304" xr:uid="{7901268E-9437-4C13-9C8F-9FBFED8DA9DD}"/>
    <cellStyle name="Millares [0] 6 5 5 2" xfId="5310" xr:uid="{2A3D4174-270E-4A29-ABF7-B2F08E4E9BA3}"/>
    <cellStyle name="Millares [0] 6 5 6" xfId="560" xr:uid="{72A353CE-28F7-44BE-92CC-4399E6BB4CC0}"/>
    <cellStyle name="Millares [0] 6 5 7" xfId="3804" xr:uid="{7F1B8B7A-A4CF-45F0-85AB-461CAF27FE8C}"/>
    <cellStyle name="Millares [0] 6 6" xfId="381" xr:uid="{49ED357D-4AD2-45FF-967E-B0A4690B7531}"/>
    <cellStyle name="Millares [0] 6 6 2" xfId="2454" xr:uid="{221A8153-8F9E-4C05-869F-B4BBD7E33203}"/>
    <cellStyle name="Millares [0] 6 6 2 2" xfId="4460" xr:uid="{9A967629-A358-488E-B72A-A8B7ED866392}"/>
    <cellStyle name="Millares [0] 6 6 3" xfId="2872" xr:uid="{2E160295-B7AB-473B-BE03-858B4F0C52BB}"/>
    <cellStyle name="Millares [0] 6 6 3 2" xfId="4878" xr:uid="{E24282A2-04C1-408B-BF23-B09C585C0709}"/>
    <cellStyle name="Millares [0] 6 6 4" xfId="3416" xr:uid="{F4FF2073-610D-4046-A76D-CA7E44638F12}"/>
    <cellStyle name="Millares [0] 6 6 4 2" xfId="5422" xr:uid="{822C8C71-2A9A-4686-BDA9-AFB317BEBF2F}"/>
    <cellStyle name="Millares [0] 6 6 5" xfId="3916" xr:uid="{D6E6ABC3-4936-42F6-892D-63864CAFA915}"/>
    <cellStyle name="Millares [0] 6 7" xfId="845" xr:uid="{B4E88A19-D0D7-41E2-BAFA-0087CCFB0E5D}"/>
    <cellStyle name="Millares [0] 6 7 2" xfId="3074" xr:uid="{D571817D-D655-4C47-9951-76DA635AC4AF}"/>
    <cellStyle name="Millares [0] 6 7 2 2" xfId="5080" xr:uid="{A04F109D-9422-4EB7-98FF-D688954B8AA8}"/>
    <cellStyle name="Millares [0] 6 7 3" xfId="4118" xr:uid="{7C3D1EFC-316C-4B0D-9DF2-0C90EC6A7EBA}"/>
    <cellStyle name="Millares [0] 6 8" xfId="2239" xr:uid="{2B4BD461-3C8C-4D8D-ABB2-A12F9684D42D}"/>
    <cellStyle name="Millares [0] 6 8 2" xfId="4244" xr:uid="{85E9DCE0-BC4F-4D70-8967-B9F27541DAE6}"/>
    <cellStyle name="Millares [0] 6 9" xfId="2656" xr:uid="{B9E9AC70-16CE-4E63-AC8A-3774A09D1342}"/>
    <cellStyle name="Millares [0] 6 9 2" xfId="4662" xr:uid="{DA3F2F3F-7197-4426-97FE-53331611AAD3}"/>
    <cellStyle name="Millares [0] 7" xfId="117" xr:uid="{00000000-0005-0000-0000-000078000000}"/>
    <cellStyle name="Millares [0] 7 2" xfId="412" xr:uid="{18A47CF2-5DBB-41AB-9D1D-AA2FE1ECA80C}"/>
    <cellStyle name="Millares [0] 7 2 2" xfId="5846" xr:uid="{AD51FC40-08AC-41A5-9D90-19BC42CC6034}"/>
    <cellStyle name="Millares [0] 7 2 3" xfId="5737" xr:uid="{86E64120-7A30-490F-BCEE-703850A13E95}"/>
    <cellStyle name="Millares [0] 7 3" xfId="5741" xr:uid="{48ADB4D5-DACF-431B-B34C-A319A7B088C7}"/>
    <cellStyle name="Millares [0] 7 4" xfId="5833" xr:uid="{F4281972-05D5-4DD1-9B2F-599A2744968A}"/>
    <cellStyle name="Millares [0] 7 5" xfId="5853" xr:uid="{1A691170-65C2-4549-A821-7CE367D9639A}"/>
    <cellStyle name="Millares [0] 7 6" xfId="5724" xr:uid="{B6547F3B-3520-4551-8B06-40FF570DFF0E}"/>
    <cellStyle name="Millares [0] 8" xfId="189" xr:uid="{00000000-0005-0000-0000-000079000000}"/>
    <cellStyle name="Millares [0] 8 10" xfId="3748" xr:uid="{BA049D6E-EC81-47BD-B4DC-F5EF1758C7BD}"/>
    <cellStyle name="Millares [0] 8 11" xfId="5745" xr:uid="{B1768720-C739-4582-A1FD-EE36737A9219}"/>
    <cellStyle name="Millares [0] 8 2" xfId="293" xr:uid="{B5036CDC-6C17-44A0-8B65-075010CF6C22}"/>
    <cellStyle name="Millares [0] 8 2 2" xfId="792" xr:uid="{5C4E4EBC-367A-4D5C-94BE-CAFACD2F63A5}"/>
    <cellStyle name="Millares [0] 8 2 2 2" xfId="2602" xr:uid="{2D2E76B4-2476-4258-A113-37548E3BEE22}"/>
    <cellStyle name="Millares [0] 8 2 2 2 2" xfId="4608" xr:uid="{BF3FB48D-E07C-478E-8CED-BBACD5CB706A}"/>
    <cellStyle name="Millares [0] 8 2 2 3" xfId="3020" xr:uid="{583838BB-3708-45F4-8E4F-2568FD4FD654}"/>
    <cellStyle name="Millares [0] 8 2 2 3 2" xfId="5026" xr:uid="{CFCFE5B7-C34C-471F-825C-389993747584}"/>
    <cellStyle name="Millares [0] 8 2 2 4" xfId="3564" xr:uid="{65085E4D-4093-4C62-8DDF-D7D56F23EC23}"/>
    <cellStyle name="Millares [0] 8 2 2 4 2" xfId="5570" xr:uid="{75F00DA2-A902-4F4C-8064-10D108131941}"/>
    <cellStyle name="Millares [0] 8 2 2 5" xfId="4064" xr:uid="{55CB0A30-E89E-45EF-962B-85E59E78F2A8}"/>
    <cellStyle name="Millares [0] 8 2 3" xfId="2391" xr:uid="{1589B8B7-0E6A-4682-A013-E5A718F099AF}"/>
    <cellStyle name="Millares [0] 8 2 3 2" xfId="4396" xr:uid="{CD2BE7DC-DD7E-4C1F-859A-3A4E87819C78}"/>
    <cellStyle name="Millares [0] 8 2 4" xfId="2808" xr:uid="{62727989-27EE-46CA-BBA6-5375EEEC505C}"/>
    <cellStyle name="Millares [0] 8 2 4 2" xfId="4814" xr:uid="{DC6E8FA5-DB56-4C01-BAF5-CCB1C0B3AE57}"/>
    <cellStyle name="Millares [0] 8 2 5" xfId="3352" xr:uid="{B4B8E4A4-2770-4044-A9A8-56DF46983724}"/>
    <cellStyle name="Millares [0] 8 2 5 2" xfId="5358" xr:uid="{B58E0480-49CB-4F5E-945D-3BB8204AE711}"/>
    <cellStyle name="Millares [0] 8 2 6" xfId="607" xr:uid="{CD373C28-5F58-406B-9A05-8C3BD1F939C3}"/>
    <cellStyle name="Millares [0] 8 2 7" xfId="3852" xr:uid="{BEADF376-220D-4FFD-810D-5CA2D0319E46}"/>
    <cellStyle name="Millares [0] 8 3" xfId="436" xr:uid="{861B255B-FDFB-470A-86CF-F92BCCC0DBFA}"/>
    <cellStyle name="Millares [0] 8 3 2" xfId="2502" xr:uid="{ECE7C023-FF5C-4E32-868C-5EBF7F5B6013}"/>
    <cellStyle name="Millares [0] 8 3 2 2" xfId="4508" xr:uid="{DDDF87B7-059D-4905-947D-E3630EEB8F77}"/>
    <cellStyle name="Millares [0] 8 3 3" xfId="2920" xr:uid="{CFB0DDD1-C631-45F2-8F62-ECB87F82229E}"/>
    <cellStyle name="Millares [0] 8 3 3 2" xfId="4926" xr:uid="{9B8532FE-C282-4840-9B54-BEF75D7E504B}"/>
    <cellStyle name="Millares [0] 8 3 4" xfId="3464" xr:uid="{D885CEEC-34C0-432C-96A3-A763F161AD07}"/>
    <cellStyle name="Millares [0] 8 3 4 2" xfId="5470" xr:uid="{6D1D0ED0-F0F6-480F-A816-F91218BFACA3}"/>
    <cellStyle name="Millares [0] 8 3 5" xfId="3964" xr:uid="{614DD0BB-9C1B-43D7-A96A-4F705ECA559F}"/>
    <cellStyle name="Millares [0] 8 4" xfId="893" xr:uid="{CDCE42B1-28FB-4560-893E-94375F2F37D7}"/>
    <cellStyle name="Millares [0] 8 4 2" xfId="3122" xr:uid="{7F739F49-E9C2-4318-B2BE-9C1C10A81F6C}"/>
    <cellStyle name="Millares [0] 8 4 2 2" xfId="5128" xr:uid="{99179429-F8A9-45DB-86D5-09CE867925B1}"/>
    <cellStyle name="Millares [0] 8 4 3" xfId="4166" xr:uid="{3E16A144-FB0F-4CEE-8BFE-7CA5E9AA69FD}"/>
    <cellStyle name="Millares [0] 8 5" xfId="2179" xr:uid="{8A9DDB7C-8507-4107-88BE-234BE31C1B4F}"/>
    <cellStyle name="Millares [0] 8 5 2" xfId="3161" xr:uid="{DC52A963-8989-4E6E-A674-3F2A4B9D54D8}"/>
    <cellStyle name="Millares [0] 8 5 2 2" xfId="5167" xr:uid="{10E7F88A-ED7D-4DAE-9CFB-9665C303E9FA}"/>
    <cellStyle name="Millares [0] 8 5 3" xfId="4205" xr:uid="{F1FE4DAE-7D4B-4D98-9FCF-7342ED86993B}"/>
    <cellStyle name="Millares [0] 8 6" xfId="2287" xr:uid="{D2B2FD11-DB07-4B52-BC85-7E17EAB575A6}"/>
    <cellStyle name="Millares [0] 8 6 2" xfId="4292" xr:uid="{C57F25D7-A41A-4FDF-B3F3-1C1228CEFA1B}"/>
    <cellStyle name="Millares [0] 8 7" xfId="2704" xr:uid="{C4D50628-F04A-4953-9316-C0FF3E8B0CE0}"/>
    <cellStyle name="Millares [0] 8 7 2" xfId="4710" xr:uid="{836CD222-B4FB-4A9A-AC56-EFB8A2A92E6D}"/>
    <cellStyle name="Millares [0] 8 8" xfId="3248" xr:uid="{5E7B4ADF-988D-4CB6-816A-0DEDC9FAC67E}"/>
    <cellStyle name="Millares [0] 8 8 2" xfId="5254" xr:uid="{16A0C740-C225-48F0-BAD2-25F3A8DD94AE}"/>
    <cellStyle name="Millares [0] 8 9" xfId="3663" xr:uid="{233899ED-052E-4EFF-9BDD-554301E1684F}"/>
    <cellStyle name="Millares [0] 8 9 2" xfId="5641" xr:uid="{C22116F6-8E8A-4561-9919-8B5CBD1C7E0B}"/>
    <cellStyle name="Millares [0] 9" xfId="145" xr:uid="{00000000-0005-0000-0000-00007A000000}"/>
    <cellStyle name="Millares [0] 9 2" xfId="251" xr:uid="{5377506E-34B3-4EFC-8FA9-CC6C146EABA7}"/>
    <cellStyle name="Millares [0] 9 2 2" xfId="751" xr:uid="{BE5C9BC2-7DD3-42F8-B5F2-B86ECF1DC7C9}"/>
    <cellStyle name="Millares [0] 9 2 2 2" xfId="2560" xr:uid="{D74213A4-FF6A-47C9-8D70-3CC904E65D22}"/>
    <cellStyle name="Millares [0] 9 2 2 2 2" xfId="4566" xr:uid="{5A8EE3D9-5A73-4972-8DDB-49C9819243AA}"/>
    <cellStyle name="Millares [0] 9 2 2 3" xfId="2978" xr:uid="{77FD39F5-3F5C-4928-836C-6B2F9D43C2AC}"/>
    <cellStyle name="Millares [0] 9 2 2 3 2" xfId="4984" xr:uid="{E9B61C5D-A8F8-475E-B5E4-6169379BF16E}"/>
    <cellStyle name="Millares [0] 9 2 2 4" xfId="3522" xr:uid="{40748F69-6379-4732-85B6-96FA7BC171BA}"/>
    <cellStyle name="Millares [0] 9 2 2 4 2" xfId="5528" xr:uid="{C030CD0C-839F-496C-91A5-AA13E00FE139}"/>
    <cellStyle name="Millares [0] 9 2 2 5" xfId="4022" xr:uid="{C182C990-6342-45B7-815A-A72C93D5CD8F}"/>
    <cellStyle name="Millares [0] 9 2 3" xfId="2349" xr:uid="{44FCEE8B-865C-4E62-8278-FCA0703B3D97}"/>
    <cellStyle name="Millares [0] 9 2 3 2" xfId="4354" xr:uid="{B833A6C7-BECE-45D4-8900-DA10BE6703FB}"/>
    <cellStyle name="Millares [0] 9 2 4" xfId="2766" xr:uid="{A424C068-0EB0-4EBA-95A1-AA03E3838ECC}"/>
    <cellStyle name="Millares [0] 9 2 4 2" xfId="4772" xr:uid="{D7CA161C-5135-4CC1-8CB8-DC12B4025E26}"/>
    <cellStyle name="Millares [0] 9 2 5" xfId="3310" xr:uid="{7E56EA05-67B2-43D6-ACB9-9FA783681FD7}"/>
    <cellStyle name="Millares [0] 9 2 5 2" xfId="5316" xr:uid="{21DB3AC3-0E70-4C0A-9679-60C66DBF7770}"/>
    <cellStyle name="Millares [0] 9 2 6" xfId="566" xr:uid="{2D8DAAAD-B276-453E-9A48-AFF588F3B900}"/>
    <cellStyle name="Millares [0] 9 2 7" xfId="3810" xr:uid="{0639FD5F-ACB0-42AE-9C9F-B7F3F488CA03}"/>
    <cellStyle name="Millares [0] 9 3" xfId="400" xr:uid="{AAC6BB6D-EEE0-47FB-B4EC-169C2187989B}"/>
    <cellStyle name="Millares [0] 9 3 2" xfId="2460" xr:uid="{AC5E3FDC-498E-4E38-86FF-7E8BDB5965E4}"/>
    <cellStyle name="Millares [0] 9 3 2 2" xfId="4466" xr:uid="{3FCDC1B0-71AA-4557-A7BD-1EB1502FC5C7}"/>
    <cellStyle name="Millares [0] 9 3 3" xfId="2878" xr:uid="{9FE669D9-D239-4A00-BDB7-FEC19DA1057D}"/>
    <cellStyle name="Millares [0] 9 3 3 2" xfId="4884" xr:uid="{D0F02294-7ED3-4EA8-8005-4D49420438C3}"/>
    <cellStyle name="Millares [0] 9 3 4" xfId="3422" xr:uid="{4F6344A5-019C-4065-B318-CC29B655234C}"/>
    <cellStyle name="Millares [0] 9 3 4 2" xfId="5428" xr:uid="{90A3072D-8FBC-4DA6-B359-957F3E6CA354}"/>
    <cellStyle name="Millares [0] 9 3 5" xfId="3922" xr:uid="{490D442D-04A0-471D-B535-9E18C9CBD072}"/>
    <cellStyle name="Millares [0] 9 4" xfId="851" xr:uid="{9F50C4E7-AA16-4438-AA00-5A4A10E088B3}"/>
    <cellStyle name="Millares [0] 9 4 2" xfId="3080" xr:uid="{C29F4A79-81FD-47C8-A804-A8119137CAE2}"/>
    <cellStyle name="Millares [0] 9 4 2 2" xfId="5086" xr:uid="{0AF04BA2-400A-4984-941D-961E03946DC9}"/>
    <cellStyle name="Millares [0] 9 4 3" xfId="4124" xr:uid="{80E75B90-84A2-4264-A353-7E18218E0840}"/>
    <cellStyle name="Millares [0] 9 5" xfId="2245" xr:uid="{C60B2D57-939C-4C5B-83E6-B353A26F1A46}"/>
    <cellStyle name="Millares [0] 9 5 2" xfId="4250" xr:uid="{A0CDB2AD-AF3C-44DF-9E5E-F17261CD7688}"/>
    <cellStyle name="Millares [0] 9 6" xfId="2662" xr:uid="{3EA17159-E8F6-42FA-A841-42440AB2E5B9}"/>
    <cellStyle name="Millares [0] 9 6 2" xfId="4668" xr:uid="{10F3CF33-4238-487A-ACE7-B8D7F054149F}"/>
    <cellStyle name="Millares [0] 9 7" xfId="3206" xr:uid="{A64ED7E4-502F-485B-BB55-966C7EF102E9}"/>
    <cellStyle name="Millares [0] 9 7 2" xfId="5212" xr:uid="{08D7FD8E-D0E9-4C21-9E96-73AA73BD144A}"/>
    <cellStyle name="Millares [0] 9 8" xfId="3706" xr:uid="{2D7F8DB2-016B-4D70-A9BE-7199DBA13A9B}"/>
    <cellStyle name="Millares [0] 9 9" xfId="5806" xr:uid="{398C5502-9313-4F15-A516-7E35F0F6E8F2}"/>
    <cellStyle name="Millares 10" xfId="114" xr:uid="{00000000-0005-0000-0000-00007B000000}"/>
    <cellStyle name="Millares 10 2" xfId="134" xr:uid="{00000000-0005-0000-0000-00007C000000}"/>
    <cellStyle name="Millares 10 3" xfId="377" xr:uid="{B591CCC0-3403-4DC5-80CD-CC81E24FDA23}"/>
    <cellStyle name="Millares 10 3 2" xfId="3599" xr:uid="{87AD9AA8-C4F3-4DC3-A788-161300A62B3E}"/>
    <cellStyle name="Millares 100 11" xfId="2076" xr:uid="{99B813C2-DD32-4369-9817-98E9A7DAA3B8}"/>
    <cellStyle name="Millares 100 11 2" xfId="2180" xr:uid="{E799599B-EEB7-422F-A758-B6FCCE73D504}"/>
    <cellStyle name="Millares 100 11 2 2" xfId="3162" xr:uid="{25F69B8B-7B54-4FBB-B254-D96C5C7A16D2}"/>
    <cellStyle name="Millares 100 11 2 2 2" xfId="5168" xr:uid="{E6FE11BE-FF67-4498-87DE-1512B5E8C01B}"/>
    <cellStyle name="Millares 100 11 2 3" xfId="3629" xr:uid="{FD4DC0F7-83DA-48A9-9A5D-B21DF5ADF3DF}"/>
    <cellStyle name="Millares 100 11 2 3 2" xfId="5616" xr:uid="{F5DC6C51-50BA-4C9E-B8D6-29687E4184DE}"/>
    <cellStyle name="Millares 100 11 2 4" xfId="4206" xr:uid="{343D868D-476F-4D2C-AE41-34BB14E9195A}"/>
    <cellStyle name="Millares 100 11 2 5" xfId="5776" xr:uid="{0DBBB72F-A7C7-4052-A067-A32BE879FA22}"/>
    <cellStyle name="Millares 100 11 3" xfId="5748" xr:uid="{CC8DB679-4341-4BF6-A02C-0B2B12B28EB8}"/>
    <cellStyle name="Millares 100 11 4" xfId="5839" xr:uid="{6B88D182-35BD-4692-B173-BDC9FD7C1B4A}"/>
    <cellStyle name="Millares 109" xfId="5789" xr:uid="{5446AE3B-108C-483C-B0E7-B64E8FF1303F}"/>
    <cellStyle name="Millares 11" xfId="140" xr:uid="{00000000-0005-0000-0000-00007D000000}"/>
    <cellStyle name="Millares 11 10" xfId="3201" xr:uid="{B02664F7-2CEA-4B65-8F3F-AC7AF5461B7A}"/>
    <cellStyle name="Millares 11 10 2" xfId="5207" xr:uid="{2D26185C-11C4-48D5-84C3-588157F38E6C}"/>
    <cellStyle name="Millares 11 11" xfId="3659" xr:uid="{57190F32-10F1-4938-9982-DE49A78DC575}"/>
    <cellStyle name="Millares 11 12" xfId="3701" xr:uid="{72BFA982-FC10-4083-BA2D-39AA4A686D96}"/>
    <cellStyle name="Millares 11 2" xfId="214" xr:uid="{00000000-0005-0000-0000-00007E000000}"/>
    <cellStyle name="Millares 11 2 2" xfId="315" xr:uid="{4F38B849-0E5F-409A-BBAB-7820CA440260}"/>
    <cellStyle name="Millares 11 2 2 2" xfId="814" xr:uid="{7EB687D3-28EC-4E54-B3E8-0060AA6F9E7C}"/>
    <cellStyle name="Millares 11 2 2 2 2" xfId="2624" xr:uid="{A8FC03D8-E2B3-42E3-9A76-373CB511BDE4}"/>
    <cellStyle name="Millares 11 2 2 2 2 2" xfId="4630" xr:uid="{0594ADEA-2C38-48D5-AAE9-6690703FE421}"/>
    <cellStyle name="Millares 11 2 2 2 3" xfId="3042" xr:uid="{F89BB007-BD22-4CDF-9902-DA3AB5D194A2}"/>
    <cellStyle name="Millares 11 2 2 2 3 2" xfId="5048" xr:uid="{49BBC2CA-AD7C-4516-94E1-2AF7E3A93169}"/>
    <cellStyle name="Millares 11 2 2 2 4" xfId="3586" xr:uid="{BBB2F3C2-91BD-433D-85DD-34E0E7AF1816}"/>
    <cellStyle name="Millares 11 2 2 2 4 2" xfId="5592" xr:uid="{2B453032-A7E0-4A92-BD05-3CF3DC40530D}"/>
    <cellStyle name="Millares 11 2 2 2 5" xfId="4086" xr:uid="{73B5C673-E264-4C95-9747-D93050953EFD}"/>
    <cellStyle name="Millares 11 2 2 3" xfId="2413" xr:uid="{F268E545-F6A0-4535-843B-5244FA482C08}"/>
    <cellStyle name="Millares 11 2 2 3 2" xfId="4418" xr:uid="{298ED30B-FF6C-480B-84C7-4BFDE0F4A1B9}"/>
    <cellStyle name="Millares 11 2 2 4" xfId="2830" xr:uid="{D9181D69-E2BD-4CE1-B764-A29F2EEEB23D}"/>
    <cellStyle name="Millares 11 2 2 4 2" xfId="4836" xr:uid="{F14C89B9-B525-4BE7-B0E2-6B2FB1AB8BB8}"/>
    <cellStyle name="Millares 11 2 2 5" xfId="3374" xr:uid="{77D84415-C81C-4C02-BCE5-544817DB688C}"/>
    <cellStyle name="Millares 11 2 2 5 2" xfId="5380" xr:uid="{E03E87EF-B797-4EC0-B513-882B389C68B4}"/>
    <cellStyle name="Millares 11 2 2 6" xfId="629" xr:uid="{1C3E4BD2-AD11-4E4A-A6BD-C5E16550EA84}"/>
    <cellStyle name="Millares 11 2 2 7" xfId="3874" xr:uid="{C7159CDD-9848-4058-943B-DFDD28CAEF1C}"/>
    <cellStyle name="Millares 11 2 3" xfId="717" xr:uid="{610BB221-0F00-4844-B516-9826948759D9}"/>
    <cellStyle name="Millares 11 2 3 2" xfId="2524" xr:uid="{965A68BF-2585-466C-BFDC-D323C21036BA}"/>
    <cellStyle name="Millares 11 2 3 2 2" xfId="4530" xr:uid="{4C75244A-1C0C-4CAE-B583-1402FEBFAF95}"/>
    <cellStyle name="Millares 11 2 3 3" xfId="2942" xr:uid="{11493A29-3CFB-4244-BA92-20A79798AA3A}"/>
    <cellStyle name="Millares 11 2 3 3 2" xfId="4948" xr:uid="{95F082C7-9D98-44D8-ADAB-3EB9C678E3EB}"/>
    <cellStyle name="Millares 11 2 3 4" xfId="3486" xr:uid="{9A2807E3-3211-48CD-A89D-24216446F1B9}"/>
    <cellStyle name="Millares 11 2 3 4 2" xfId="5492" xr:uid="{DF1BBC3B-FA09-4FC3-A444-A0DCC6EA1564}"/>
    <cellStyle name="Millares 11 2 3 5" xfId="3986" xr:uid="{484CB97B-36A2-4F84-9543-F32AEB392510}"/>
    <cellStyle name="Millares 11 2 4" xfId="915" xr:uid="{696973A0-D24E-4F2A-90DD-5F30B26F5603}"/>
    <cellStyle name="Millares 11 2 4 2" xfId="3144" xr:uid="{5BEDC4B7-EDC4-4778-90FE-6FB49C61F706}"/>
    <cellStyle name="Millares 11 2 4 2 2" xfId="5150" xr:uid="{CEECB18F-0A6E-4A08-B8D2-B3931863EE21}"/>
    <cellStyle name="Millares 11 2 4 3" xfId="4188" xr:uid="{ED4F1262-6F5C-4A48-B0A1-CAF9AD7ABC0E}"/>
    <cellStyle name="Millares 11 2 5" xfId="2309" xr:uid="{38571E30-2CFA-4127-8A11-3ED36E0A895A}"/>
    <cellStyle name="Millares 11 2 5 2" xfId="4314" xr:uid="{8461FC67-9E7C-48CF-AEA3-7C6FDFA7A6A7}"/>
    <cellStyle name="Millares 11 2 6" xfId="2726" xr:uid="{46C45E44-EFFB-4425-B765-E7498B22FAFE}"/>
    <cellStyle name="Millares 11 2 6 2" xfId="4732" xr:uid="{BC6FE163-8B0A-4B44-9F7C-A345DA024528}"/>
    <cellStyle name="Millares 11 2 7" xfId="3270" xr:uid="{38EA38F1-F889-4ED0-BE8C-EE6938DC5C18}"/>
    <cellStyle name="Millares 11 2 7 2" xfId="5276" xr:uid="{AA1773B5-B577-492E-8EF9-B9F5E268900D}"/>
    <cellStyle name="Millares 11 2 8" xfId="530" xr:uid="{EA99504A-39BF-48C5-916B-8014F4F89DD1}"/>
    <cellStyle name="Millares 11 2 9" xfId="3770" xr:uid="{B5304490-A5B1-412D-99D3-C248CD227236}"/>
    <cellStyle name="Millares 11 3" xfId="168" xr:uid="{00000000-0005-0000-0000-00007F000000}"/>
    <cellStyle name="Millares 11 3 2" xfId="274" xr:uid="{F725AF24-7E5E-45AB-ADBF-07D11C5FF8C5}"/>
    <cellStyle name="Millares 11 3 2 2" xfId="774" xr:uid="{AA0750BC-8DCE-44AC-A541-DFA29157ADBB}"/>
    <cellStyle name="Millares 11 3 2 2 2" xfId="2583" xr:uid="{17A7E8F4-9C2B-4C97-A617-AC2CEF686761}"/>
    <cellStyle name="Millares 11 3 2 2 2 2" xfId="4589" xr:uid="{46549E22-8748-46C7-AFB9-4955750A9931}"/>
    <cellStyle name="Millares 11 3 2 2 3" xfId="3001" xr:uid="{DCC7BF03-5DDA-4D74-B94B-71F108FD6F37}"/>
    <cellStyle name="Millares 11 3 2 2 3 2" xfId="5007" xr:uid="{D0B367A6-AC7A-4C7E-A922-DB823DEFE070}"/>
    <cellStyle name="Millares 11 3 2 2 4" xfId="3545" xr:uid="{F9B2F6EA-788B-43B3-B3FE-8975513F444B}"/>
    <cellStyle name="Millares 11 3 2 2 4 2" xfId="5551" xr:uid="{FAC2A215-B8B3-453B-A647-C16FA1A3037C}"/>
    <cellStyle name="Millares 11 3 2 2 5" xfId="4045" xr:uid="{5E92BBF6-7F26-4B10-95F7-6BEC0F5F3706}"/>
    <cellStyle name="Millares 11 3 2 3" xfId="2372" xr:uid="{C8392808-38EA-4DFD-A3C5-861241FD92D2}"/>
    <cellStyle name="Millares 11 3 2 3 2" xfId="4377" xr:uid="{75044C62-62B7-4386-A92F-86E1D75D42E9}"/>
    <cellStyle name="Millares 11 3 2 4" xfId="2789" xr:uid="{0E1B885A-7B53-42D5-A457-53332029A7F2}"/>
    <cellStyle name="Millares 11 3 2 4 2" xfId="4795" xr:uid="{4885F4C4-58E8-4333-AA1D-FCE446120260}"/>
    <cellStyle name="Millares 11 3 2 5" xfId="3333" xr:uid="{57AC292D-6967-4F73-ACF7-F5C071E27FCF}"/>
    <cellStyle name="Millares 11 3 2 5 2" xfId="5339" xr:uid="{E1C983FA-0AEC-4295-A160-110A3812E7F0}"/>
    <cellStyle name="Millares 11 3 2 6" xfId="589" xr:uid="{0DFF728D-5277-42F8-A35E-4BB541210F95}"/>
    <cellStyle name="Millares 11 3 2 7" xfId="3833" xr:uid="{26D027CB-CE3B-4F75-86FB-B198FDA1C876}"/>
    <cellStyle name="Millares 11 3 3" xfId="684" xr:uid="{D6F66974-7EF8-4FDB-A7D3-CC1C03B3DEB7}"/>
    <cellStyle name="Millares 11 3 3 2" xfId="2483" xr:uid="{1F0F6A02-E981-4724-92A0-AD66B52E6C44}"/>
    <cellStyle name="Millares 11 3 3 2 2" xfId="4489" xr:uid="{B9569A89-7D9F-4EEF-86C8-E4260CF0B5F3}"/>
    <cellStyle name="Millares 11 3 3 3" xfId="2901" xr:uid="{6F2B0201-4C1D-4D9B-BB1C-98EDD7767C77}"/>
    <cellStyle name="Millares 11 3 3 3 2" xfId="4907" xr:uid="{532E4A3C-FCF8-4A6B-9F44-DCBF1FDE8B65}"/>
    <cellStyle name="Millares 11 3 3 4" xfId="3445" xr:uid="{BBA0D59B-85EF-45BB-9138-95B27AFA7E0F}"/>
    <cellStyle name="Millares 11 3 3 4 2" xfId="5451" xr:uid="{D19B25FC-45E6-4AD4-9E13-F44EF3C8CA99}"/>
    <cellStyle name="Millares 11 3 3 5" xfId="3945" xr:uid="{678570A5-17C6-4CE9-972A-7FF7F1EB6690}"/>
    <cellStyle name="Millares 11 3 4" xfId="874" xr:uid="{543A68CD-E312-42FC-86D2-82B9845D92C1}"/>
    <cellStyle name="Millares 11 3 4 2" xfId="3103" xr:uid="{742E2072-2B20-434A-89C8-54E764AD27BB}"/>
    <cellStyle name="Millares 11 3 4 2 2" xfId="5109" xr:uid="{D3B4A410-E800-4809-B6E1-690130683A43}"/>
    <cellStyle name="Millares 11 3 4 3" xfId="4147" xr:uid="{BB9FCB81-3C85-41E3-B360-3EFA144C8D9F}"/>
    <cellStyle name="Millares 11 3 5" xfId="2268" xr:uid="{68850C72-3CB4-42A8-A941-1B22C44D9F34}"/>
    <cellStyle name="Millares 11 3 5 2" xfId="4273" xr:uid="{C539F05B-11DF-45BA-A575-3324145108C8}"/>
    <cellStyle name="Millares 11 3 6" xfId="2685" xr:uid="{FCF2D706-5A67-4BD8-8727-088753A983FD}"/>
    <cellStyle name="Millares 11 3 6 2" xfId="4691" xr:uid="{6C12C367-117E-450E-8DF6-1CE8A272852D}"/>
    <cellStyle name="Millares 11 3 7" xfId="3229" xr:uid="{9C17B3E0-8721-407C-81D0-3740A27CC4DA}"/>
    <cellStyle name="Millares 11 3 7 2" xfId="5235" xr:uid="{049C2B80-72CF-4C49-815C-E1B716A1F6FD}"/>
    <cellStyle name="Millares 11 3 8" xfId="497" xr:uid="{A0E6DBD1-1FBB-49CD-9A35-115A241D756E}"/>
    <cellStyle name="Millares 11 3 9" xfId="3729" xr:uid="{53F6CA59-4A5D-4DEF-85E7-A38CC9575FD9}"/>
    <cellStyle name="Millares 11 4" xfId="246" xr:uid="{B15448DF-1713-4408-885E-D0AA43FEE305}"/>
    <cellStyle name="Millares 11 4 2" xfId="746" xr:uid="{C65D7F8C-786E-4F6B-AF63-F1978EEA63AE}"/>
    <cellStyle name="Millares 11 4 2 2" xfId="2555" xr:uid="{3C2A2AA5-D0A8-49CA-B243-2DF839CEF851}"/>
    <cellStyle name="Millares 11 4 2 2 2" xfId="4561" xr:uid="{1FDB857A-2815-4123-8C69-85B3601CEED7}"/>
    <cellStyle name="Millares 11 4 2 3" xfId="2973" xr:uid="{BC2B97DC-9BBE-4164-A0F4-6F436E33B910}"/>
    <cellStyle name="Millares 11 4 2 3 2" xfId="4979" xr:uid="{B8619BB4-F14C-4EFE-AF94-E134F22E13B1}"/>
    <cellStyle name="Millares 11 4 2 4" xfId="3517" xr:uid="{D7A093C4-793B-4E31-80FA-6370D01CED3C}"/>
    <cellStyle name="Millares 11 4 2 4 2" xfId="5523" xr:uid="{7FB3E8D9-4AD7-47DD-BDAD-59644D5AFD5E}"/>
    <cellStyle name="Millares 11 4 2 5" xfId="4017" xr:uid="{7EA6434B-80D2-419D-AE92-DEAE190C1157}"/>
    <cellStyle name="Millares 11 4 3" xfId="2344" xr:uid="{4DF5C7A7-D274-4B03-820F-936B721682EC}"/>
    <cellStyle name="Millares 11 4 3 2" xfId="4349" xr:uid="{D1186F0C-5A3F-4CE0-907D-B6A4D7C21F0C}"/>
    <cellStyle name="Millares 11 4 4" xfId="2761" xr:uid="{C29464C2-37FA-4C45-A904-58607D21A2AD}"/>
    <cellStyle name="Millares 11 4 4 2" xfId="4767" xr:uid="{F0F2A671-9813-46BE-9AAA-4F8E143DFF35}"/>
    <cellStyle name="Millares 11 4 5" xfId="3305" xr:uid="{9E2E6772-6844-4F3D-9AFC-AA9A54DF5994}"/>
    <cellStyle name="Millares 11 4 5 2" xfId="5311" xr:uid="{2A9B4BDC-276E-45A4-8E05-B272961D732F}"/>
    <cellStyle name="Millares 11 4 6" xfId="561" xr:uid="{377C3AFE-3DCB-4276-A10D-98BD758D881B}"/>
    <cellStyle name="Millares 11 4 7" xfId="3805" xr:uid="{813CF223-0600-4C3D-9520-5AA7198ADC37}"/>
    <cellStyle name="Millares 11 5" xfId="380" xr:uid="{070C6CCE-AD24-4712-B4FA-5E0BA3228BA8}"/>
    <cellStyle name="Millares 11 5 2" xfId="2455" xr:uid="{D7D8F124-DC8C-4C32-8665-BEE5B9277C3C}"/>
    <cellStyle name="Millares 11 5 2 2" xfId="4461" xr:uid="{668210DB-2323-4CEA-B320-1F04B52B9100}"/>
    <cellStyle name="Millares 11 5 3" xfId="2873" xr:uid="{BE263C4F-9407-4294-BB50-64BB9C7D7FCE}"/>
    <cellStyle name="Millares 11 5 3 2" xfId="4879" xr:uid="{175F8DE3-EEBD-4B5A-B62E-D48B6F9AD540}"/>
    <cellStyle name="Millares 11 5 4" xfId="3417" xr:uid="{1975B745-2D68-4CA0-84E8-973A8C53FF0D}"/>
    <cellStyle name="Millares 11 5 4 2" xfId="5423" xr:uid="{7A17ED52-B0AF-48BC-BD9A-D33BE498289C}"/>
    <cellStyle name="Millares 11 5 5" xfId="3917" xr:uid="{FE2820E9-9987-4F6B-BD6A-080289EAEE8D}"/>
    <cellStyle name="Millares 11 6" xfId="846" xr:uid="{396957EB-6E0E-46F5-88BD-7BA64AF7B085}"/>
    <cellStyle name="Millares 11 6 2" xfId="3075" xr:uid="{DBC2088A-2F2F-4FC2-8B6D-45D8C0914E89}"/>
    <cellStyle name="Millares 11 6 2 2" xfId="5081" xr:uid="{4B1AAC97-6F53-45ED-8BEA-44EF31321C94}"/>
    <cellStyle name="Millares 11 6 3" xfId="4119" xr:uid="{25733BC4-3564-4711-9311-68ACC8AA4718}"/>
    <cellStyle name="Millares 11 7" xfId="2173" xr:uid="{88A52871-E0E8-4DFB-9E09-A6C1F932DAAC}"/>
    <cellStyle name="Millares 11 8" xfId="2240" xr:uid="{5432B170-12D4-49F1-B24A-54113B0F3A2A}"/>
    <cellStyle name="Millares 11 8 2" xfId="4245" xr:uid="{3270F689-6EF6-4297-B722-69BE50D3E8C8}"/>
    <cellStyle name="Millares 11 9" xfId="2657" xr:uid="{8822A419-6711-4191-AA5D-EF5AEAFF102F}"/>
    <cellStyle name="Millares 11 9 2" xfId="4663" xr:uid="{28E7949B-84A1-46D1-97BE-A99A9F24904D}"/>
    <cellStyle name="Millares 111" xfId="5791" xr:uid="{04BBBBA9-7287-4F6F-AFEF-F419A1D62F93}"/>
    <cellStyle name="Millares 12" xfId="115" xr:uid="{00000000-0005-0000-0000-000080000000}"/>
    <cellStyle name="Millares 12 2" xfId="411" xr:uid="{92D68FBB-13E6-4FBE-9130-F4DC0CBA46F0}"/>
    <cellStyle name="Millares 12 2 2" xfId="3152" xr:uid="{726EE21C-7F59-4908-93FF-EA18528EC327}"/>
    <cellStyle name="Millares 12 2 2 2" xfId="5158" xr:uid="{E7B27FF0-8DA3-429E-AB55-F6B6F78A68F2}"/>
    <cellStyle name="Millares 12 2 3" xfId="4196" xr:uid="{298B5788-2B95-45E5-B9D5-2AA59EFFC2E9}"/>
    <cellStyle name="Millares 12 3" xfId="930" xr:uid="{2EC15479-8A45-4500-83C0-F88328957352}"/>
    <cellStyle name="Millares 13" xfId="185" xr:uid="{00000000-0005-0000-0000-000081000000}"/>
    <cellStyle name="Millares 13 2" xfId="289" xr:uid="{18D9E2C7-3F5D-4181-B2A5-E6D54720CB85}"/>
    <cellStyle name="Millares 13 2 2" xfId="788" xr:uid="{BF2565FC-E8EA-48A3-BA86-8B7B28CDC03E}"/>
    <cellStyle name="Millares 13 2 2 2" xfId="2598" xr:uid="{83339AE6-A885-4CE9-A72D-9E1485E4946A}"/>
    <cellStyle name="Millares 13 2 2 2 2" xfId="4604" xr:uid="{B8F17D57-7D62-4C20-82CB-C194C569062F}"/>
    <cellStyle name="Millares 13 2 2 3" xfId="3016" xr:uid="{74E70D56-1E4A-4EE7-8480-E6834D0B9F58}"/>
    <cellStyle name="Millares 13 2 2 3 2" xfId="5022" xr:uid="{8C18A40A-F32A-4E91-9BB4-B9EE11D17EAE}"/>
    <cellStyle name="Millares 13 2 2 4" xfId="3560" xr:uid="{10870762-3982-402B-9C3B-3E97C63EE04C}"/>
    <cellStyle name="Millares 13 2 2 4 2" xfId="5566" xr:uid="{A04ABE4B-6B45-4B57-92CE-1676189FD832}"/>
    <cellStyle name="Millares 13 2 2 5" xfId="4060" xr:uid="{E3F02268-0269-4A2F-A905-BDE24B0AA79F}"/>
    <cellStyle name="Millares 13 2 3" xfId="2387" xr:uid="{8FE4C19E-DE62-47DE-89A5-278B1C4F0EC3}"/>
    <cellStyle name="Millares 13 2 3 2" xfId="4392" xr:uid="{8A120141-8F74-4FA1-8F2C-8DC4DF30BC9B}"/>
    <cellStyle name="Millares 13 2 4" xfId="2804" xr:uid="{6ED917F2-70A2-44FF-832A-533542C5DE6B}"/>
    <cellStyle name="Millares 13 2 4 2" xfId="4810" xr:uid="{2307E1AD-31FC-4776-B11B-316BB0939CC1}"/>
    <cellStyle name="Millares 13 2 5" xfId="3348" xr:uid="{AD6203CC-0AD0-42E5-966E-E37CDA5A31D0}"/>
    <cellStyle name="Millares 13 2 5 2" xfId="5354" xr:uid="{545C022E-79CE-4075-A231-141D23C091B0}"/>
    <cellStyle name="Millares 13 2 6" xfId="603" xr:uid="{6C72EEFC-0463-4114-8C05-5659C18F9EAF}"/>
    <cellStyle name="Millares 13 2 7" xfId="3848" xr:uid="{81A15C76-FB50-40AF-9E1C-5535924F325F}"/>
    <cellStyle name="Millares 13 3" xfId="437" xr:uid="{E7F7FF5F-D82A-46B5-BE95-B97FDE15472A}"/>
    <cellStyle name="Millares 13 3 2" xfId="2498" xr:uid="{A22D83F3-DDC4-4624-9A36-A6E7CA05796F}"/>
    <cellStyle name="Millares 13 3 2 2" xfId="4504" xr:uid="{69F9BECD-F0C7-4038-AD07-D33759932CC4}"/>
    <cellStyle name="Millares 13 3 3" xfId="2916" xr:uid="{9CC41781-A7EC-4DBA-9113-3EEFC9E26ACA}"/>
    <cellStyle name="Millares 13 3 3 2" xfId="4922" xr:uid="{5FF373F2-544E-4D57-8845-3BA72A7FEDD1}"/>
    <cellStyle name="Millares 13 3 4" xfId="3460" xr:uid="{BC7D1323-CB5D-496B-8CFF-496FE1862ADA}"/>
    <cellStyle name="Millares 13 3 4 2" xfId="5466" xr:uid="{074DD875-833A-4D70-95D8-FB98E2C9CC5D}"/>
    <cellStyle name="Millares 13 3 5" xfId="3960" xr:uid="{10584364-A03D-4E03-B192-44D99D582778}"/>
    <cellStyle name="Millares 13 4" xfId="889" xr:uid="{1030EE65-BFD0-491D-A915-1D42E12F64C9}"/>
    <cellStyle name="Millares 13 4 2" xfId="3118" xr:uid="{755F4211-6BC0-43E8-A251-ED36E0FD93F0}"/>
    <cellStyle name="Millares 13 4 2 2" xfId="5124" xr:uid="{295737A1-62C5-49C4-9BE9-F54BCE92DDB6}"/>
    <cellStyle name="Millares 13 4 3" xfId="4162" xr:uid="{455B58DB-F37B-4379-875A-99D53A95BE07}"/>
    <cellStyle name="Millares 13 5" xfId="2174" xr:uid="{91132265-20C7-4B34-BC32-AD41E5436B3F}"/>
    <cellStyle name="Millares 13 6" xfId="2283" xr:uid="{48AC2781-6DFC-4008-B168-0A8B4E4FA9AB}"/>
    <cellStyle name="Millares 13 6 2" xfId="4288" xr:uid="{92494BE3-6EA2-466C-8616-A003B44DACBC}"/>
    <cellStyle name="Millares 13 7" xfId="2700" xr:uid="{00BD6B95-61B7-4182-85A5-A26206C938A3}"/>
    <cellStyle name="Millares 13 7 2" xfId="4706" xr:uid="{4D96BBE3-43D4-4DA0-A57D-6384402772FB}"/>
    <cellStyle name="Millares 13 8" xfId="3244" xr:uid="{D8484DD8-B4AA-4254-BF8C-4C9098D595AB}"/>
    <cellStyle name="Millares 13 8 2" xfId="5250" xr:uid="{249BAC06-0FE3-4083-9ADD-5F798221EEE8}"/>
    <cellStyle name="Millares 13 9" xfId="3744" xr:uid="{82B07A3C-EC53-4D0F-80B2-DFFA3EDEA464}"/>
    <cellStyle name="Millares 14" xfId="184" xr:uid="{00000000-0005-0000-0000-000082000000}"/>
    <cellStyle name="Millares 15" xfId="171" xr:uid="{00000000-0005-0000-0000-000083000000}"/>
    <cellStyle name="Millares 16" xfId="141" xr:uid="{00000000-0005-0000-0000-000084000000}"/>
    <cellStyle name="Millares 16 10" xfId="3702" xr:uid="{0B6C671C-981B-4817-88F8-62C2F508B5B5}"/>
    <cellStyle name="Millares 16 2" xfId="247" xr:uid="{15314830-31D1-467E-86E5-DDBA0EA20003}"/>
    <cellStyle name="Millares 16 2 2" xfId="747" xr:uid="{D5B75DC8-DFC2-4C22-9506-B6FF1E306A38}"/>
    <cellStyle name="Millares 16 2 2 2" xfId="2556" xr:uid="{17BF56FB-034F-4971-9733-4B9B07484A4B}"/>
    <cellStyle name="Millares 16 2 2 2 2" xfId="4562" xr:uid="{74B195F8-12CA-47CD-8889-98048C223D25}"/>
    <cellStyle name="Millares 16 2 2 3" xfId="2974" xr:uid="{8208B0A9-6D05-422B-BDCA-EA2739D50F20}"/>
    <cellStyle name="Millares 16 2 2 3 2" xfId="4980" xr:uid="{218CEE46-BF90-45D5-833E-2764BC6C70E7}"/>
    <cellStyle name="Millares 16 2 2 4" xfId="3518" xr:uid="{8B11A6D0-5ED7-487A-9684-D136DAE891FF}"/>
    <cellStyle name="Millares 16 2 2 4 2" xfId="5524" xr:uid="{DC6C29C8-8474-469F-B5D8-F575D21100FF}"/>
    <cellStyle name="Millares 16 2 2 5" xfId="4018" xr:uid="{2521E91D-F409-4B01-AC7A-16801197F244}"/>
    <cellStyle name="Millares 16 2 3" xfId="2345" xr:uid="{FEC8F324-3F71-4529-A657-32D18C16B648}"/>
    <cellStyle name="Millares 16 2 3 2" xfId="4350" xr:uid="{19FC03D1-54B9-4C47-ACE9-F5DDE105903B}"/>
    <cellStyle name="Millares 16 2 4" xfId="2762" xr:uid="{66561E0A-62F1-4BC6-B6F6-AC779E21B2EE}"/>
    <cellStyle name="Millares 16 2 4 2" xfId="4768" xr:uid="{A18E7EEB-CA6C-46D0-A118-BFA03DAF3D70}"/>
    <cellStyle name="Millares 16 2 5" xfId="3306" xr:uid="{497AA28F-8C2C-4290-B815-33FCD7205EB7}"/>
    <cellStyle name="Millares 16 2 5 2" xfId="5312" xr:uid="{223F423D-A6F2-4922-943E-0AFB030C4D2B}"/>
    <cellStyle name="Millares 16 2 6" xfId="562" xr:uid="{2A89742A-E278-42FC-BD24-D4B1450B5973}"/>
    <cellStyle name="Millares 16 2 7" xfId="3806" xr:uid="{ADFED5EA-252B-4593-9F37-B5764C99F3CE}"/>
    <cellStyle name="Millares 16 3" xfId="449" xr:uid="{EE2D96E9-4C07-497F-BB52-F9EF9E7FBFC4}"/>
    <cellStyle name="Millares 16 3 2" xfId="2456" xr:uid="{A1D66039-D816-4B25-A74F-2071DB02DA58}"/>
    <cellStyle name="Millares 16 3 2 2" xfId="4462" xr:uid="{E7FDD861-56D9-410F-A0C3-DB6B41C1ED01}"/>
    <cellStyle name="Millares 16 3 3" xfId="2874" xr:uid="{7FCCAF37-0167-4F9F-9504-CBC8E3E19F42}"/>
    <cellStyle name="Millares 16 3 3 2" xfId="4880" xr:uid="{A52498BA-F886-44D4-B45C-8F4B5F28A991}"/>
    <cellStyle name="Millares 16 3 4" xfId="3418" xr:uid="{F37F2DDF-45D5-4033-BC2B-B2340EB6CD00}"/>
    <cellStyle name="Millares 16 3 4 2" xfId="5424" xr:uid="{94152385-6AB1-4A83-86C7-4CC40D192E55}"/>
    <cellStyle name="Millares 16 3 5" xfId="661" xr:uid="{CFCE0D63-1E14-4B94-A49A-FDAAFEBD0394}"/>
    <cellStyle name="Millares 16 3 6" xfId="3918" xr:uid="{58B5C8FD-5A9E-4DED-9139-C153C8D80E43}"/>
    <cellStyle name="Millares 16 4" xfId="847" xr:uid="{493C0F3B-8833-4D3F-B851-CC7E8FD79117}"/>
    <cellStyle name="Millares 16 4 2" xfId="3076" xr:uid="{E5418535-7787-4148-AB80-839EC23CCCBA}"/>
    <cellStyle name="Millares 16 4 2 2" xfId="5082" xr:uid="{F2CC5589-BEB9-4066-A406-BF2BF73AC8C6}"/>
    <cellStyle name="Millares 16 4 3" xfId="4120" xr:uid="{B488655C-3F0E-4432-9E62-D619F30FDC8C}"/>
    <cellStyle name="Millares 16 5" xfId="2241" xr:uid="{FB713843-A5C1-49A8-8599-D5C86778CDCB}"/>
    <cellStyle name="Millares 16 5 2" xfId="4246" xr:uid="{28EF547C-FED4-48B7-8DB8-32066783EE08}"/>
    <cellStyle name="Millares 16 6" xfId="2658" xr:uid="{DCD870F1-6FBB-4193-9183-84FE4BA0DBF8}"/>
    <cellStyle name="Millares 16 6 2" xfId="4664" xr:uid="{73AB4266-E7F2-4100-A66C-076A946852D6}"/>
    <cellStyle name="Millares 16 7" xfId="3202" xr:uid="{AE17BA02-D214-4076-9F32-BE8396B6BD80}"/>
    <cellStyle name="Millares 16 7 2" xfId="5208" xr:uid="{20C834FC-2B3C-4FBB-A395-012B70766D5F}"/>
    <cellStyle name="Millares 16 8" xfId="3658" xr:uid="{E8DC8300-DC30-4961-ABE1-91755567F93C}"/>
    <cellStyle name="Millares 16 9" xfId="474" xr:uid="{8AAE9FC8-88B6-4552-AD28-F9C1458AC929}"/>
    <cellStyle name="Millares 17" xfId="161" xr:uid="{00000000-0005-0000-0000-000085000000}"/>
    <cellStyle name="Millares 17 10" xfId="3664" xr:uid="{2661AE86-C7D3-4260-A144-93359C867E3C}"/>
    <cellStyle name="Millares 17 10 2" xfId="5642" xr:uid="{B5F25B6A-6BF4-4A6A-8134-C53DB5C99B89}"/>
    <cellStyle name="Millares 17 11" xfId="3722" xr:uid="{7230A868-B919-464C-A4DA-CB9C156884AC}"/>
    <cellStyle name="Millares 17 2" xfId="267" xr:uid="{6F072DDD-93CD-4C61-A6A6-A7090DA12463}"/>
    <cellStyle name="Millares 17 2 2" xfId="767" xr:uid="{56881CDC-5D20-48AA-831C-1292E96ACBE1}"/>
    <cellStyle name="Millares 17 2 2 2" xfId="2576" xr:uid="{2F037A95-6CAA-4927-9E9A-DCD9542767B9}"/>
    <cellStyle name="Millares 17 2 2 2 2" xfId="4582" xr:uid="{19D8E886-AFE5-44DA-B2B1-A5C440505DB8}"/>
    <cellStyle name="Millares 17 2 2 3" xfId="2994" xr:uid="{C8CDC9C2-1259-487E-80C2-35EBD4E2738A}"/>
    <cellStyle name="Millares 17 2 2 3 2" xfId="5000" xr:uid="{01C52115-580E-4D3D-A821-91E453B9A141}"/>
    <cellStyle name="Millares 17 2 2 4" xfId="3538" xr:uid="{EB210AB5-8522-45D1-A851-0D5621FD6CCC}"/>
    <cellStyle name="Millares 17 2 2 4 2" xfId="5544" xr:uid="{E6C8CFDA-1F5F-465E-A6C9-2ECBF416DD56}"/>
    <cellStyle name="Millares 17 2 2 5" xfId="4038" xr:uid="{DB187E4C-A950-4779-AB0F-ADE5845C9CF9}"/>
    <cellStyle name="Millares 17 2 3" xfId="2365" xr:uid="{BE67C317-9623-412C-8C14-5C23FA2634DE}"/>
    <cellStyle name="Millares 17 2 3 2" xfId="4370" xr:uid="{CC755120-1C68-4718-A6FA-5F21D3192249}"/>
    <cellStyle name="Millares 17 2 4" xfId="2782" xr:uid="{113536BE-A4F4-4C48-8920-B169BEED9151}"/>
    <cellStyle name="Millares 17 2 4 2" xfId="4788" xr:uid="{44CEBFAB-026E-4C1E-976E-DDEFC64A05F0}"/>
    <cellStyle name="Millares 17 2 5" xfId="3326" xr:uid="{ABFF6ADE-FA5D-4E8D-8173-C193FD9EE06F}"/>
    <cellStyle name="Millares 17 2 5 2" xfId="5332" xr:uid="{846F730B-667F-4766-8547-B546DCEC93D6}"/>
    <cellStyle name="Millares 17 2 6" xfId="582" xr:uid="{A10457A8-8F2E-4EB9-A96D-33FC7CE7E2CF}"/>
    <cellStyle name="Millares 17 2 7" xfId="3826" xr:uid="{446B8EF4-2619-432B-B78C-E27ED3E723E3}"/>
    <cellStyle name="Millares 17 3" xfId="451" xr:uid="{241A5E4A-EF7C-4A47-93BC-B44938E18F36}"/>
    <cellStyle name="Millares 17 3 2" xfId="2476" xr:uid="{FACFCB28-FCCA-4654-BAE1-26902A554747}"/>
    <cellStyle name="Millares 17 3 2 2" xfId="4482" xr:uid="{4904A7BD-7F93-4628-B10F-1A8636F2B253}"/>
    <cellStyle name="Millares 17 3 3" xfId="2894" xr:uid="{F7FA1551-FC37-4625-A469-260116425954}"/>
    <cellStyle name="Millares 17 3 3 2" xfId="4900" xr:uid="{85588E30-C4EF-4AE0-852D-D2E0B6803A95}"/>
    <cellStyle name="Millares 17 3 4" xfId="3438" xr:uid="{FC7B3C5B-39D1-49E5-9836-5019A0511665}"/>
    <cellStyle name="Millares 17 3 4 2" xfId="5444" xr:uid="{BF331955-4AD8-4609-847C-AA46DF4CB701}"/>
    <cellStyle name="Millares 17 3 5" xfId="3938" xr:uid="{EE8B9578-5A43-4496-8006-3A78C229D6A5}"/>
    <cellStyle name="Millares 17 4" xfId="867" xr:uid="{BF8103C0-4F0C-406B-90C0-61BE521383B8}"/>
    <cellStyle name="Millares 17 4 2" xfId="3096" xr:uid="{0CC20CC6-0627-4B1A-B9CF-DE742C4F28EA}"/>
    <cellStyle name="Millares 17 4 2 2" xfId="5102" xr:uid="{6C346BB1-FC8D-4B2E-BC5B-FBCE8609D167}"/>
    <cellStyle name="Millares 17 4 3" xfId="4140" xr:uid="{113A7BAC-4BA2-455B-B28E-9E68397351C0}"/>
    <cellStyle name="Millares 17 5" xfId="2181" xr:uid="{CF0FD5EC-F8B7-43AE-96D1-E4B1B5C872CE}"/>
    <cellStyle name="Millares 17 5 2" xfId="3163" xr:uid="{7698940D-6215-4B27-8CC8-87D0BFAB663B}"/>
    <cellStyle name="Millares 17 5 2 2" xfId="5169" xr:uid="{BB60DF97-2D5A-494F-88B5-989C76811A0D}"/>
    <cellStyle name="Millares 17 5 3" xfId="4207" xr:uid="{C116210F-779A-42A5-9280-8B904091D77E}"/>
    <cellStyle name="Millares 17 6" xfId="2261" xr:uid="{8319BE9E-551F-43A9-922D-1F93BEA24579}"/>
    <cellStyle name="Millares 17 6 2" xfId="4266" xr:uid="{EC9BB2D8-F150-47C5-9F2D-FEDA6797A93C}"/>
    <cellStyle name="Millares 17 7" xfId="2678" xr:uid="{A2DB527B-039C-49E3-B7F4-75C877FC9951}"/>
    <cellStyle name="Millares 17 7 2" xfId="4684" xr:uid="{97D03C11-B6AC-4149-BB5A-EE9E18A10C24}"/>
    <cellStyle name="Millares 17 8" xfId="3222" xr:uid="{D05A1228-E8BB-40A0-A903-27906D7A5F59}"/>
    <cellStyle name="Millares 17 8 2" xfId="5228" xr:uid="{A4A44656-B57D-4C8F-A91A-4D93EE7604F6}"/>
    <cellStyle name="Millares 17 9" xfId="3610" xr:uid="{373361F8-0671-402A-BBE7-4D911888ED6C}"/>
    <cellStyle name="Millares 174 2" xfId="2150" xr:uid="{17B8920B-F292-47A3-866A-157F8A167693}"/>
    <cellStyle name="Millares 174 2 2" xfId="2182" xr:uid="{EC69F313-3233-442E-8D11-C451A01869ED}"/>
    <cellStyle name="Millares 174 2 2 2" xfId="3164" xr:uid="{9E0BB732-E752-45E7-9159-A9AF1E6CE5EF}"/>
    <cellStyle name="Millares 174 2 2 2 2" xfId="5170" xr:uid="{0899A485-0B3D-427A-9D90-08AB6BDD8D20}"/>
    <cellStyle name="Millares 174 2 2 3" xfId="3632" xr:uid="{356B666A-50AA-4823-9600-B861B6646569}"/>
    <cellStyle name="Millares 174 2 2 3 2" xfId="5619" xr:uid="{2EB62D80-025E-4162-B680-9A736AEF87A8}"/>
    <cellStyle name="Millares 174 2 2 4" xfId="4208" xr:uid="{28948D92-3493-45A8-9B8C-0C36918007CB}"/>
    <cellStyle name="Millares 174 2 2 5" xfId="5781" xr:uid="{56A111D1-659B-47B5-8569-40DB5EF7177B}"/>
    <cellStyle name="Millares 174 2 3" xfId="5761" xr:uid="{6D44B6A3-3DD1-433D-95BB-280ECF27641D}"/>
    <cellStyle name="Millares 18" xfId="70" xr:uid="{00000000-0005-0000-0000-000086000000}"/>
    <cellStyle name="Millares 18 10" xfId="3672" xr:uid="{3C66E15B-948A-461D-8D5C-8573A9A0D557}"/>
    <cellStyle name="Millares 18 2" xfId="217" xr:uid="{446282E4-7708-487D-93EF-593C6016615C}"/>
    <cellStyle name="Millares 18 2 2" xfId="718" xr:uid="{68325596-9557-4064-B594-9304AC37200A}"/>
    <cellStyle name="Millares 18 2 2 2" xfId="2526" xr:uid="{E19D73D0-7CD0-420A-B5B3-6B10542D713D}"/>
    <cellStyle name="Millares 18 2 2 2 2" xfId="4532" xr:uid="{322C048A-4D75-467D-A3AD-75F826709D90}"/>
    <cellStyle name="Millares 18 2 2 3" xfId="2944" xr:uid="{A9240028-A55C-448A-BF91-722E3C0E98EE}"/>
    <cellStyle name="Millares 18 2 2 3 2" xfId="4950" xr:uid="{E900130C-FCF8-437B-98D7-30AC9EA4F12C}"/>
    <cellStyle name="Millares 18 2 2 4" xfId="3488" xr:uid="{B64C9C62-9CE2-428E-BDAB-C00FCBD56248}"/>
    <cellStyle name="Millares 18 2 2 4 2" xfId="5494" xr:uid="{53BEABFB-49FE-4B42-8732-288B6B03F9A1}"/>
    <cellStyle name="Millares 18 2 2 5" xfId="3988" xr:uid="{6715F0E1-10F4-43FC-A32F-BBA787726831}"/>
    <cellStyle name="Millares 18 2 3" xfId="2315" xr:uid="{E219C106-BACF-4268-9F92-5808CF88F31E}"/>
    <cellStyle name="Millares 18 2 3 2" xfId="4320" xr:uid="{2561C0DF-8E5A-4714-B3E2-3C53F2DC7B95}"/>
    <cellStyle name="Millares 18 2 4" xfId="2732" xr:uid="{CE603DA3-5637-41FC-B46E-8F8F2576F9A4}"/>
    <cellStyle name="Millares 18 2 4 2" xfId="4738" xr:uid="{3E6173D1-4E9C-4BCD-8BA2-761774CA16B0}"/>
    <cellStyle name="Millares 18 2 5" xfId="3276" xr:uid="{AE5DEBEF-3019-4CE3-83DC-F966F707AE68}"/>
    <cellStyle name="Millares 18 2 5 2" xfId="5282" xr:uid="{4D3971FE-F733-4043-BF3F-D66EC907BC5D}"/>
    <cellStyle name="Millares 18 2 6" xfId="533" xr:uid="{13D06726-27F7-4E74-B45E-D09A86CE9D4F}"/>
    <cellStyle name="Millares 18 2 7" xfId="3776" xr:uid="{0B4503B6-11AF-4EDC-8B33-9AFB88EBCCE0}"/>
    <cellStyle name="Millares 18 3" xfId="452" xr:uid="{9DB02F54-3868-460A-9749-CE7DC4C5151A}"/>
    <cellStyle name="Millares 18 3 2" xfId="2426" xr:uid="{2F33D9EE-9D9E-46C5-937E-BF522E35D6E5}"/>
    <cellStyle name="Millares 18 3 2 2" xfId="4432" xr:uid="{7761D3BA-AACD-4063-8A1F-0B24A570BC4D}"/>
    <cellStyle name="Millares 18 3 3" xfId="2844" xr:uid="{A0CA6DDE-174D-43AD-AFBB-EA51B5BAB839}"/>
    <cellStyle name="Millares 18 3 3 2" xfId="4850" xr:uid="{BE956877-9EAF-4406-A8DC-602A57183657}"/>
    <cellStyle name="Millares 18 3 4" xfId="3388" xr:uid="{75CF6D96-ED15-4D2A-A050-7F3403DDE2AE}"/>
    <cellStyle name="Millares 18 3 4 2" xfId="5394" xr:uid="{C8077D3F-11B5-46FC-9994-ABA7452181A3}"/>
    <cellStyle name="Millares 18 3 5" xfId="3888" xr:uid="{AC654263-6484-4A15-ABC7-1DBB8E980DD7}"/>
    <cellStyle name="Millares 18 4" xfId="817" xr:uid="{90FF3E27-A717-41EE-BAF2-832ACFCFE39E}"/>
    <cellStyle name="Millares 18 4 2" xfId="3046" xr:uid="{15C72A13-622E-4AD3-9BD0-0CAEA2715B3B}"/>
    <cellStyle name="Millares 18 4 2 2" xfId="5052" xr:uid="{1DC7E1C4-D809-4DAA-9296-048E38A2C3A2}"/>
    <cellStyle name="Millares 18 4 3" xfId="4090" xr:uid="{4D6CA88A-42AB-4456-A1D4-708E30A8CD46}"/>
    <cellStyle name="Millares 18 5" xfId="2211" xr:uid="{5EE99A80-F13C-40B5-A339-C51EF14F2FED}"/>
    <cellStyle name="Millares 18 5 2" xfId="4216" xr:uid="{45B37983-3EDF-4E27-9C40-579CAE5C904B}"/>
    <cellStyle name="Millares 18 6" xfId="2628" xr:uid="{98593DCD-E95D-41C7-A034-21A37EF7B7B6}"/>
    <cellStyle name="Millares 18 6 2" xfId="4634" xr:uid="{D256E210-7132-449B-8FF4-8A56A9AB4C2A}"/>
    <cellStyle name="Millares 18 7" xfId="3172" xr:uid="{278B3134-D2F6-434D-B7C2-8928EFE67528}"/>
    <cellStyle name="Millares 18 7 2" xfId="5178" xr:uid="{7E955181-6C19-4610-87A3-8C66D9F73FA3}"/>
    <cellStyle name="Millares 18 8" xfId="3606" xr:uid="{D56072AE-0C91-4AFA-978C-39CB3195C0F5}"/>
    <cellStyle name="Millares 18 9" xfId="3665" xr:uid="{AC6BC1DD-1009-425B-895C-1469415AF99E}"/>
    <cellStyle name="Millares 18 9 2" xfId="5643" xr:uid="{92251A2F-DA06-46E2-AEA5-BB1A022B21A9}"/>
    <cellStyle name="Millares 19" xfId="316" xr:uid="{588D0287-2E30-401E-948F-FA4E54DAC134}"/>
    <cellStyle name="Millares 19 10" xfId="3771" xr:uid="{6F030744-4CDA-4935-ADD0-095CD146751B}"/>
    <cellStyle name="Millares 19 2" xfId="96" xr:uid="{00000000-0005-0000-0000-000087000000}"/>
    <cellStyle name="Millares 19 2 10" xfId="3181" xr:uid="{584FC2EB-995B-4536-A01A-C21FDC75BB86}"/>
    <cellStyle name="Millares 19 2 10 2" xfId="5187" xr:uid="{353D32B8-C91F-49CD-A961-52EEE68DA9EF}"/>
    <cellStyle name="Millares 19 2 11" xfId="462" xr:uid="{1CAA94B0-353C-4F42-9CE2-E9A080D628D2}"/>
    <cellStyle name="Millares 19 2 12" xfId="3681" xr:uid="{7ACFE3A4-54CE-4873-A5D1-49E37971881E}"/>
    <cellStyle name="Millares 19 2 2" xfId="110" xr:uid="{00000000-0005-0000-0000-000088000000}"/>
    <cellStyle name="Millares 19 2 2 10" xfId="471" xr:uid="{7A882D5E-7CF4-44CA-A618-605A248A84DE}"/>
    <cellStyle name="Millares 19 2 2 11" xfId="3692" xr:uid="{7E211310-8394-4689-9936-33AACFF4C7D1}"/>
    <cellStyle name="Millares 19 2 2 2" xfId="205" xr:uid="{00000000-0005-0000-0000-000089000000}"/>
    <cellStyle name="Millares 19 2 2 2 2" xfId="306" xr:uid="{3464422F-87C3-438F-A963-7E7B009B8337}"/>
    <cellStyle name="Millares 19 2 2 2 2 2" xfId="805" xr:uid="{C9417E1E-A1E9-4A30-A7FE-8673871FF87F}"/>
    <cellStyle name="Millares 19 2 2 2 2 2 2" xfId="2615" xr:uid="{F9944BC2-C998-4579-BBDE-E33FFCAF7491}"/>
    <cellStyle name="Millares 19 2 2 2 2 2 2 2" xfId="4621" xr:uid="{7EF4FDF0-D8F4-4209-BF14-40E0F67063A0}"/>
    <cellStyle name="Millares 19 2 2 2 2 2 3" xfId="3033" xr:uid="{71029B5A-8775-4671-BF5C-7AB3402A39B9}"/>
    <cellStyle name="Millares 19 2 2 2 2 2 3 2" xfId="5039" xr:uid="{1977B903-0E51-45BC-86BE-8671122730AD}"/>
    <cellStyle name="Millares 19 2 2 2 2 2 4" xfId="3577" xr:uid="{749782AF-738F-4B55-BF92-C4AAE7CB162C}"/>
    <cellStyle name="Millares 19 2 2 2 2 2 4 2" xfId="5583" xr:uid="{195D2F15-0BAE-4D9D-AE3C-872E00E9A9EB}"/>
    <cellStyle name="Millares 19 2 2 2 2 2 5" xfId="4077" xr:uid="{CDDAD02F-A0D6-4829-9F0F-15648CE3FBBD}"/>
    <cellStyle name="Millares 19 2 2 2 2 3" xfId="2404" xr:uid="{EB3DB5CD-F175-4862-8D67-09FCF10309F3}"/>
    <cellStyle name="Millares 19 2 2 2 2 3 2" xfId="4409" xr:uid="{B504A5B2-0A19-4497-A57D-75F19C93A377}"/>
    <cellStyle name="Millares 19 2 2 2 2 4" xfId="2821" xr:uid="{D31BD9F0-AA09-45CD-BCC1-3BE9188CF0B4}"/>
    <cellStyle name="Millares 19 2 2 2 2 4 2" xfId="4827" xr:uid="{C61E62C9-AB5B-419E-B821-B9BFF20DCA6D}"/>
    <cellStyle name="Millares 19 2 2 2 2 5" xfId="3365" xr:uid="{EC3C6C75-2802-4A2C-8219-3983F7915C5F}"/>
    <cellStyle name="Millares 19 2 2 2 2 5 2" xfId="5371" xr:uid="{17789FC8-3174-40C3-BDDF-FC8AF0A5FF2A}"/>
    <cellStyle name="Millares 19 2 2 2 2 6" xfId="620" xr:uid="{60DF98B3-2A10-4C67-9B6C-900E103B7442}"/>
    <cellStyle name="Millares 19 2 2 2 2 7" xfId="3865" xr:uid="{73E8D3B8-2F57-4B73-9121-FEEE62406D7D}"/>
    <cellStyle name="Millares 19 2 2 2 3" xfId="709" xr:uid="{E6D7E96D-D317-4016-AD54-987CA0E8045E}"/>
    <cellStyle name="Millares 19 2 2 2 3 2" xfId="2515" xr:uid="{6E7ACBE7-5F98-4BA2-A82D-CDF8C49D8E35}"/>
    <cellStyle name="Millares 19 2 2 2 3 2 2" xfId="4521" xr:uid="{512AB8DE-A3CF-466C-A822-4C2B5FC2F9E2}"/>
    <cellStyle name="Millares 19 2 2 2 3 3" xfId="2933" xr:uid="{1B3FBF47-7F2E-43C6-920B-2E1194ED4447}"/>
    <cellStyle name="Millares 19 2 2 2 3 3 2" xfId="4939" xr:uid="{0DD17F6E-68C9-43FC-B8EE-EEA9F728F304}"/>
    <cellStyle name="Millares 19 2 2 2 3 4" xfId="3477" xr:uid="{8499C6BF-02B7-4BCC-B8B9-3A7A30A4BD79}"/>
    <cellStyle name="Millares 19 2 2 2 3 4 2" xfId="5483" xr:uid="{A3049A37-1C95-4B6A-96C2-079ABB0841C5}"/>
    <cellStyle name="Millares 19 2 2 2 3 5" xfId="3977" xr:uid="{E0A11FCF-1A55-479B-BBAF-76C35D663F78}"/>
    <cellStyle name="Millares 19 2 2 2 4" xfId="906" xr:uid="{95F9A1E9-82DD-4C85-89E2-F34B4DAAC8A3}"/>
    <cellStyle name="Millares 19 2 2 2 4 2" xfId="3135" xr:uid="{E328F91F-D313-4443-A403-4A9EC30C0658}"/>
    <cellStyle name="Millares 19 2 2 2 4 2 2" xfId="5141" xr:uid="{116BE4D7-A89A-4CC8-BFA2-209628DA43EF}"/>
    <cellStyle name="Millares 19 2 2 2 4 3" xfId="4179" xr:uid="{32F8BA56-6BF2-44C0-AE72-78760A8855A8}"/>
    <cellStyle name="Millares 19 2 2 2 5" xfId="2300" xr:uid="{988B1291-3D65-43B5-AC54-8C13E9307251}"/>
    <cellStyle name="Millares 19 2 2 2 5 2" xfId="4305" xr:uid="{D8437B85-7CF7-4AD3-9930-7D72E6CB2A1E}"/>
    <cellStyle name="Millares 19 2 2 2 6" xfId="2717" xr:uid="{6288A03D-62F2-4F07-B8AC-E9359F3010E3}"/>
    <cellStyle name="Millares 19 2 2 2 6 2" xfId="4723" xr:uid="{ECC9F39E-8D6D-4F98-9A93-CB0223BE41BD}"/>
    <cellStyle name="Millares 19 2 2 2 7" xfId="3261" xr:uid="{BC2A6544-E4E7-45A4-8F44-6CC553EC6FAA}"/>
    <cellStyle name="Millares 19 2 2 2 7 2" xfId="5267" xr:uid="{9925B868-A478-4D10-8B78-3A6E154D0C66}"/>
    <cellStyle name="Millares 19 2 2 2 8" xfId="522" xr:uid="{9E3B1D5C-DC40-4180-A78D-21449330C23F}"/>
    <cellStyle name="Millares 19 2 2 2 9" xfId="3761" xr:uid="{005E2F79-21F3-473D-8C5E-CDAD11B43CD9}"/>
    <cellStyle name="Millares 19 2 2 3" xfId="158" xr:uid="{00000000-0005-0000-0000-00008A000000}"/>
    <cellStyle name="Millares 19 2 2 3 2" xfId="264" xr:uid="{D7DFCB55-A299-43BC-9FBD-8D2BB8210CD2}"/>
    <cellStyle name="Millares 19 2 2 3 2 2" xfId="764" xr:uid="{D1CA1C78-9B87-4879-8F4B-4A600B0BFE51}"/>
    <cellStyle name="Millares 19 2 2 3 2 2 2" xfId="2573" xr:uid="{18BA53A2-EF1B-48A2-A94F-93F9B74C5E20}"/>
    <cellStyle name="Millares 19 2 2 3 2 2 2 2" xfId="4579" xr:uid="{847ADCDE-E015-470F-ADD6-603A36C91B6C}"/>
    <cellStyle name="Millares 19 2 2 3 2 2 3" xfId="2991" xr:uid="{2490D2B8-DB2E-4B84-A9C2-6E5C8BE4AA5E}"/>
    <cellStyle name="Millares 19 2 2 3 2 2 3 2" xfId="4997" xr:uid="{DFCE3532-A700-4D38-86CC-0456F6465B01}"/>
    <cellStyle name="Millares 19 2 2 3 2 2 4" xfId="3535" xr:uid="{94DDCED0-E4F7-41AF-B7B0-9241F3052CF0}"/>
    <cellStyle name="Millares 19 2 2 3 2 2 4 2" xfId="5541" xr:uid="{08086C30-5F67-401A-AE52-C5F785856E2E}"/>
    <cellStyle name="Millares 19 2 2 3 2 2 5" xfId="4035" xr:uid="{704EBBD2-B571-4C2E-A1CB-CF52DE61682F}"/>
    <cellStyle name="Millares 19 2 2 3 2 3" xfId="2362" xr:uid="{5A8352D0-78B0-4057-AEFD-601EAC9A1599}"/>
    <cellStyle name="Millares 19 2 2 3 2 3 2" xfId="4367" xr:uid="{25767D2B-0BC2-4FAA-A6F7-49094BF9D7BD}"/>
    <cellStyle name="Millares 19 2 2 3 2 4" xfId="2779" xr:uid="{8E3F1A65-9183-46D6-A5A8-B41603F8D58F}"/>
    <cellStyle name="Millares 19 2 2 3 2 4 2" xfId="4785" xr:uid="{CB15F4E6-A5D8-429B-9717-5E736A5F37F9}"/>
    <cellStyle name="Millares 19 2 2 3 2 5" xfId="3323" xr:uid="{AD29B671-A533-42F4-A43C-D3B210B1E745}"/>
    <cellStyle name="Millares 19 2 2 3 2 5 2" xfId="5329" xr:uid="{D86C96CE-656B-4394-AD76-39B99C242052}"/>
    <cellStyle name="Millares 19 2 2 3 2 6" xfId="579" xr:uid="{CC3380C4-36E7-4533-B512-08D0292FDFF5}"/>
    <cellStyle name="Millares 19 2 2 3 2 7" xfId="3823" xr:uid="{6CFCCCE5-AFE5-4D21-98E6-DBDC86E370B1}"/>
    <cellStyle name="Millares 19 2 2 3 3" xfId="675" xr:uid="{B8C779D3-E896-4357-97D9-AFD74938BCF2}"/>
    <cellStyle name="Millares 19 2 2 3 3 2" xfId="2473" xr:uid="{95B9E6EE-4C44-46ED-934F-4A442D52FA8F}"/>
    <cellStyle name="Millares 19 2 2 3 3 2 2" xfId="4479" xr:uid="{2D0A2351-8113-4628-BD19-A1EEC564347A}"/>
    <cellStyle name="Millares 19 2 2 3 3 3" xfId="2891" xr:uid="{1E309929-2952-4489-AD53-AE34AB1FB618}"/>
    <cellStyle name="Millares 19 2 2 3 3 3 2" xfId="4897" xr:uid="{691DA3EF-9B96-43B5-B03C-F4C79A2AEC56}"/>
    <cellStyle name="Millares 19 2 2 3 3 4" xfId="3435" xr:uid="{5CBF76F1-6DEB-4F34-BFD0-B38731C1F102}"/>
    <cellStyle name="Millares 19 2 2 3 3 4 2" xfId="5441" xr:uid="{B54B46CA-21D0-4D70-BEF7-84AA967C3992}"/>
    <cellStyle name="Millares 19 2 2 3 3 5" xfId="3935" xr:uid="{BE1818D6-D66C-489F-ADB8-4A82C8775E1C}"/>
    <cellStyle name="Millares 19 2 2 3 4" xfId="864" xr:uid="{DBA4FFE8-93A1-4CF7-BC8A-132CB2226375}"/>
    <cellStyle name="Millares 19 2 2 3 4 2" xfId="3093" xr:uid="{235BD6CA-DE95-4135-A617-FEAEACA07EDD}"/>
    <cellStyle name="Millares 19 2 2 3 4 2 2" xfId="5099" xr:uid="{84F77BA7-FE72-469F-8EA0-FC386A50F1ED}"/>
    <cellStyle name="Millares 19 2 2 3 4 3" xfId="4137" xr:uid="{88112FF3-8952-466D-84AF-285166877B0C}"/>
    <cellStyle name="Millares 19 2 2 3 5" xfId="2258" xr:uid="{9D00F57B-BAAB-4007-BB7D-95F99EE215D3}"/>
    <cellStyle name="Millares 19 2 2 3 5 2" xfId="4263" xr:uid="{F22E912A-1422-4748-A8B3-CDC0D7665C56}"/>
    <cellStyle name="Millares 19 2 2 3 6" xfId="2675" xr:uid="{412E9A0C-EA84-41B6-8145-E7F5079B87F7}"/>
    <cellStyle name="Millares 19 2 2 3 6 2" xfId="4681" xr:uid="{D3F51753-FA3B-49E4-A1E4-5B840F32EC52}"/>
    <cellStyle name="Millares 19 2 2 3 7" xfId="3219" xr:uid="{8E528AAD-6D58-45C3-B192-E1CF77121E17}"/>
    <cellStyle name="Millares 19 2 2 3 7 2" xfId="5225" xr:uid="{B7782EC2-778E-42DC-853E-EBE1EC5A06B1}"/>
    <cellStyle name="Millares 19 2 2 3 8" xfId="488" xr:uid="{8DA65580-9169-4676-811C-95D055D961DE}"/>
    <cellStyle name="Millares 19 2 2 3 9" xfId="3719" xr:uid="{1D57DA83-80F9-4CC1-BA95-FDBE825D3B8A}"/>
    <cellStyle name="Millares 19 2 2 4" xfId="237" xr:uid="{163EC14B-2B56-4A0F-B53D-13D47BEA2F31}"/>
    <cellStyle name="Millares 19 2 2 4 2" xfId="737" xr:uid="{E425735F-7B36-4866-8A45-9961DDDFD442}"/>
    <cellStyle name="Millares 19 2 2 4 2 2" xfId="2546" xr:uid="{50C89AFF-A179-4ADA-87FF-B06FE683BF57}"/>
    <cellStyle name="Millares 19 2 2 4 2 2 2" xfId="4552" xr:uid="{701021E1-2185-4513-820E-273B4AD710E1}"/>
    <cellStyle name="Millares 19 2 2 4 2 3" xfId="2964" xr:uid="{262FDDE6-2959-4775-9D46-80C4DE742ABD}"/>
    <cellStyle name="Millares 19 2 2 4 2 3 2" xfId="4970" xr:uid="{0D8ACF81-9E0F-41EB-8C12-9F4EBF19C42C}"/>
    <cellStyle name="Millares 19 2 2 4 2 4" xfId="3508" xr:uid="{52DACDCA-381E-4F4E-B08C-DDF3ED4C9FFD}"/>
    <cellStyle name="Millares 19 2 2 4 2 4 2" xfId="5514" xr:uid="{83E3AE2D-60EC-4E8F-A747-EFAA1F1C2C24}"/>
    <cellStyle name="Millares 19 2 2 4 2 5" xfId="4008" xr:uid="{E76108CD-CECA-487C-ACC9-58D87F04ECA9}"/>
    <cellStyle name="Millares 19 2 2 4 3" xfId="2335" xr:uid="{3DD74C25-C441-4C3F-86F8-1BA5377BC602}"/>
    <cellStyle name="Millares 19 2 2 4 3 2" xfId="4340" xr:uid="{66AD108B-096D-4876-97CD-7BCB18C5A8FD}"/>
    <cellStyle name="Millares 19 2 2 4 4" xfId="2752" xr:uid="{7D65C953-E8F8-4080-B592-857BB7D81B89}"/>
    <cellStyle name="Millares 19 2 2 4 4 2" xfId="4758" xr:uid="{2576E134-E610-441A-BA45-C301AE54019D}"/>
    <cellStyle name="Millares 19 2 2 4 5" xfId="3296" xr:uid="{B185B33C-5338-4F5E-BD57-C50513CACACA}"/>
    <cellStyle name="Millares 19 2 2 4 5 2" xfId="5302" xr:uid="{FDBF2C16-D288-42EA-A3B7-5AD18F643D8D}"/>
    <cellStyle name="Millares 19 2 2 4 6" xfId="552" xr:uid="{A011BA47-1E49-414B-9B77-C092A9B58E79}"/>
    <cellStyle name="Millares 19 2 2 4 7" xfId="3796" xr:uid="{17461E8C-9E73-4818-86DA-E3BCA205B4A8}"/>
    <cellStyle name="Millares 19 2 2 5" xfId="657" xr:uid="{42E6C00E-F820-444D-A183-63D4A9BF41C8}"/>
    <cellStyle name="Millares 19 2 2 5 2" xfId="2446" xr:uid="{FEEE8E1B-30FF-453D-AECD-F2F2785AB974}"/>
    <cellStyle name="Millares 19 2 2 5 2 2" xfId="4452" xr:uid="{7CC7E62D-2765-4ACE-A286-FFFEF3CE25E3}"/>
    <cellStyle name="Millares 19 2 2 5 3" xfId="2864" xr:uid="{4622AE6B-2A38-4F48-996B-216301F95947}"/>
    <cellStyle name="Millares 19 2 2 5 3 2" xfId="4870" xr:uid="{A9B033AB-EF30-4426-B5A3-D2D35264623C}"/>
    <cellStyle name="Millares 19 2 2 5 4" xfId="3408" xr:uid="{604A951F-C159-4B6E-8971-99FC8B919BC0}"/>
    <cellStyle name="Millares 19 2 2 5 4 2" xfId="5414" xr:uid="{414B6A23-E88A-49C5-BE30-60DD11FB4D14}"/>
    <cellStyle name="Millares 19 2 2 5 5" xfId="3908" xr:uid="{4FD07041-2221-47F7-AE83-FBAAF1609766}"/>
    <cellStyle name="Millares 19 2 2 6" xfId="837" xr:uid="{A7BB17E0-2F2E-42DA-A5C1-A6AF3032A929}"/>
    <cellStyle name="Millares 19 2 2 6 2" xfId="3066" xr:uid="{CA25E1FC-2A56-4133-A209-6F05DAF3F585}"/>
    <cellStyle name="Millares 19 2 2 6 2 2" xfId="5072" xr:uid="{C054C9EC-755A-4BA4-AC3B-06D0F8732A8F}"/>
    <cellStyle name="Millares 19 2 2 6 3" xfId="4110" xr:uid="{B14E041E-DD1B-43A2-A14E-ECA4B324927D}"/>
    <cellStyle name="Millares 19 2 2 7" xfId="2231" xr:uid="{6E3B0F18-1267-4CBA-B353-39F9B6DF88C3}"/>
    <cellStyle name="Millares 19 2 2 7 2" xfId="4236" xr:uid="{2C6CD1E5-0C34-44AB-996A-A9D7D35A5C45}"/>
    <cellStyle name="Millares 19 2 2 8" xfId="2648" xr:uid="{71E53E11-FB0C-4259-A51B-BCA2564ACB62}"/>
    <cellStyle name="Millares 19 2 2 8 2" xfId="4654" xr:uid="{E6392798-2811-4BC3-85B1-DB14A1FA86BD}"/>
    <cellStyle name="Millares 19 2 2 9" xfId="3192" xr:uid="{71C0A0D4-9A9A-436E-8C4B-B759A1597A23}"/>
    <cellStyle name="Millares 19 2 2 9 2" xfId="5198" xr:uid="{82995672-9EF8-49F8-BE52-19498E031C9A}"/>
    <cellStyle name="Millares 19 2 3" xfId="193" xr:uid="{00000000-0005-0000-0000-00008B000000}"/>
    <cellStyle name="Millares 19 2 3 2" xfId="295" xr:uid="{37A4362C-7C32-47F1-845D-09EBF48418CC}"/>
    <cellStyle name="Millares 19 2 3 2 2" xfId="794" xr:uid="{15C7C085-7176-43A2-AED6-2289586D1331}"/>
    <cellStyle name="Millares 19 2 3 2 2 2" xfId="2604" xr:uid="{58EE582E-6566-4BFF-B48B-DFC7F178DE97}"/>
    <cellStyle name="Millares 19 2 3 2 2 2 2" xfId="4610" xr:uid="{FF306465-FB4F-449D-8926-6A01144C2EA1}"/>
    <cellStyle name="Millares 19 2 3 2 2 3" xfId="3022" xr:uid="{CA18F74D-A56E-409B-8AB9-DBE3D9DA34F8}"/>
    <cellStyle name="Millares 19 2 3 2 2 3 2" xfId="5028" xr:uid="{8FE302DB-322D-4E75-A272-05EAA45CD479}"/>
    <cellStyle name="Millares 19 2 3 2 2 4" xfId="3566" xr:uid="{946A55EC-EDB6-40FD-A8CC-2B3245C24EE5}"/>
    <cellStyle name="Millares 19 2 3 2 2 4 2" xfId="5572" xr:uid="{8019D3A4-948F-43C1-92C8-7674A35271AC}"/>
    <cellStyle name="Millares 19 2 3 2 2 5" xfId="4066" xr:uid="{C2E87C49-C365-4200-802B-8A8F2019B0F9}"/>
    <cellStyle name="Millares 19 2 3 2 3" xfId="2393" xr:uid="{80F91E8C-8153-4543-8BDB-57CF4C1C4BFF}"/>
    <cellStyle name="Millares 19 2 3 2 3 2" xfId="4398" xr:uid="{803164CA-1F16-4684-983E-512931057932}"/>
    <cellStyle name="Millares 19 2 3 2 4" xfId="2810" xr:uid="{A3496961-509C-42BE-BFC1-D3CEC17781C5}"/>
    <cellStyle name="Millares 19 2 3 2 4 2" xfId="4816" xr:uid="{31937527-79FF-4887-A34C-B457485DCC87}"/>
    <cellStyle name="Millares 19 2 3 2 5" xfId="3354" xr:uid="{C8E07A9A-D31B-49CC-991D-F04CB0053B86}"/>
    <cellStyle name="Millares 19 2 3 2 5 2" xfId="5360" xr:uid="{97FFA7A9-AA71-4A38-9B95-CFE023F9991E}"/>
    <cellStyle name="Millares 19 2 3 2 6" xfId="609" xr:uid="{AC5E758A-B806-4468-A9A7-6E4E3C951090}"/>
    <cellStyle name="Millares 19 2 3 2 7" xfId="3854" xr:uid="{F4017634-65B8-4DE0-B3CF-FB7394C4031E}"/>
    <cellStyle name="Millares 19 2 3 3" xfId="700" xr:uid="{B9DDA0F8-4EEE-4986-B3E7-40D586BC3840}"/>
    <cellStyle name="Millares 19 2 3 3 2" xfId="2504" xr:uid="{4F19EEC5-FC0B-4882-B9F6-24B861E56548}"/>
    <cellStyle name="Millares 19 2 3 3 2 2" xfId="4510" xr:uid="{E8EAF2D1-DF56-4B51-8829-A95BD7002792}"/>
    <cellStyle name="Millares 19 2 3 3 3" xfId="2922" xr:uid="{D87E9E08-70C5-4A37-B682-1C815797E9D8}"/>
    <cellStyle name="Millares 19 2 3 3 3 2" xfId="4928" xr:uid="{6D548938-9C86-4133-BAB2-8A7FAB931790}"/>
    <cellStyle name="Millares 19 2 3 3 4" xfId="3466" xr:uid="{3F56D3E8-1598-44A0-8AE6-E2DAC87B5C69}"/>
    <cellStyle name="Millares 19 2 3 3 4 2" xfId="5472" xr:uid="{F9B58464-4F34-45C2-A1E4-0E0973EB6AD2}"/>
    <cellStyle name="Millares 19 2 3 3 5" xfId="3966" xr:uid="{730CDF1B-105D-407A-8D93-4C1F04888D17}"/>
    <cellStyle name="Millares 19 2 3 4" xfId="895" xr:uid="{7E56B6D4-128A-4EA1-BA63-F870219647BC}"/>
    <cellStyle name="Millares 19 2 3 4 2" xfId="3124" xr:uid="{57BFA3BD-8C23-4969-803A-6D67BB59728A}"/>
    <cellStyle name="Millares 19 2 3 4 2 2" xfId="5130" xr:uid="{7FD3DB43-DAA4-4A95-8149-8AC36B4E570E}"/>
    <cellStyle name="Millares 19 2 3 4 3" xfId="4168" xr:uid="{A6934E6E-3ED1-4CF8-B0A8-98D24DCC0CF3}"/>
    <cellStyle name="Millares 19 2 3 5" xfId="2289" xr:uid="{F7640151-5117-43B5-B58C-588F82853CC3}"/>
    <cellStyle name="Millares 19 2 3 5 2" xfId="4294" xr:uid="{F56639AA-25B5-4014-A73E-2A30D191E581}"/>
    <cellStyle name="Millares 19 2 3 6" xfId="2706" xr:uid="{9A6E30C4-FF94-4CCA-B4FA-C6107B912142}"/>
    <cellStyle name="Millares 19 2 3 6 2" xfId="4712" xr:uid="{9D31ADBB-1AEC-42A1-8154-3AD1AB8F7A87}"/>
    <cellStyle name="Millares 19 2 3 7" xfId="3250" xr:uid="{B243C4A0-88F1-46FE-AE71-28DE9C41C078}"/>
    <cellStyle name="Millares 19 2 3 7 2" xfId="5256" xr:uid="{50A45256-E272-4CC9-A213-8369B7E4D5D8}"/>
    <cellStyle name="Millares 19 2 3 8" xfId="513" xr:uid="{E1CB11DA-44B2-481D-87A6-789E4F644485}"/>
    <cellStyle name="Millares 19 2 3 9" xfId="3750" xr:uid="{74B41DB5-28BE-44A5-9B73-FD254AD4E116}"/>
    <cellStyle name="Millares 19 2 4" xfId="147" xr:uid="{00000000-0005-0000-0000-00008C000000}"/>
    <cellStyle name="Millares 19 2 4 2" xfId="253" xr:uid="{648FDB2E-97C5-42BF-BFB9-6A62A37547AF}"/>
    <cellStyle name="Millares 19 2 4 2 2" xfId="753" xr:uid="{F9022BF0-4A73-4FDC-B001-7E3BA9B2A3CF}"/>
    <cellStyle name="Millares 19 2 4 2 2 2" xfId="2562" xr:uid="{CDD2F9F9-96A0-4EEA-9ACA-6B03719FDEC4}"/>
    <cellStyle name="Millares 19 2 4 2 2 2 2" xfId="4568" xr:uid="{67BCCB3F-DFCF-4F24-920B-0732AEAA8750}"/>
    <cellStyle name="Millares 19 2 4 2 2 3" xfId="2980" xr:uid="{21044A41-A93C-4994-B488-8ADAB635F445}"/>
    <cellStyle name="Millares 19 2 4 2 2 3 2" xfId="4986" xr:uid="{45B53EB8-5E28-4448-9881-A986029F1A42}"/>
    <cellStyle name="Millares 19 2 4 2 2 4" xfId="3524" xr:uid="{73337DE0-F28C-42BE-BA5E-A486F8FFEDB8}"/>
    <cellStyle name="Millares 19 2 4 2 2 4 2" xfId="5530" xr:uid="{838A7D73-B673-4C2B-84D0-73A2FCABA29C}"/>
    <cellStyle name="Millares 19 2 4 2 2 5" xfId="4024" xr:uid="{5477E864-54E1-424A-B9D2-A8ED7E10C2DD}"/>
    <cellStyle name="Millares 19 2 4 2 3" xfId="2351" xr:uid="{BF1DC1F4-E187-4EBB-9FEE-5A40A8FDAA5C}"/>
    <cellStyle name="Millares 19 2 4 2 3 2" xfId="4356" xr:uid="{8277BDB6-97A3-4235-A5C8-23B2F4734B07}"/>
    <cellStyle name="Millares 19 2 4 2 4" xfId="2768" xr:uid="{F8078D32-1E57-4DF4-9D51-8190820637C7}"/>
    <cellStyle name="Millares 19 2 4 2 4 2" xfId="4774" xr:uid="{89C79E93-0C38-456E-9524-EE2707385363}"/>
    <cellStyle name="Millares 19 2 4 2 5" xfId="3312" xr:uid="{C2A76C36-4F1D-4862-9198-DA0C62B4E609}"/>
    <cellStyle name="Millares 19 2 4 2 5 2" xfId="5318" xr:uid="{22CC4C38-E7B1-46BB-A97B-C5ABBE0F4DD2}"/>
    <cellStyle name="Millares 19 2 4 2 6" xfId="568" xr:uid="{EA2300F9-9F80-4823-BDDA-1381AFC575FF}"/>
    <cellStyle name="Millares 19 2 4 2 7" xfId="3812" xr:uid="{9E867662-7222-4E05-B0F9-EF4606626519}"/>
    <cellStyle name="Millares 19 2 4 3" xfId="666" xr:uid="{6DDA4738-CF5D-4F82-BB1D-74D783E542E7}"/>
    <cellStyle name="Millares 19 2 4 3 2" xfId="2462" xr:uid="{83007DEE-8210-407B-8A3A-707BD2699CD0}"/>
    <cellStyle name="Millares 19 2 4 3 2 2" xfId="4468" xr:uid="{5421E534-379B-4384-B1B5-8E88AD0284F7}"/>
    <cellStyle name="Millares 19 2 4 3 3" xfId="2880" xr:uid="{9B0B713F-86F2-4EF4-9CBD-620D13B80C46}"/>
    <cellStyle name="Millares 19 2 4 3 3 2" xfId="4886" xr:uid="{4A603A29-EAFC-4325-94D0-006640932B3F}"/>
    <cellStyle name="Millares 19 2 4 3 4" xfId="3424" xr:uid="{0EE085FA-8795-4983-8A83-40C0701C3605}"/>
    <cellStyle name="Millares 19 2 4 3 4 2" xfId="5430" xr:uid="{A7BC1C53-33EC-42DC-8F80-536EC622B58D}"/>
    <cellStyle name="Millares 19 2 4 3 5" xfId="3924" xr:uid="{2C62E675-317C-454B-8639-943A966F7CCC}"/>
    <cellStyle name="Millares 19 2 4 4" xfId="853" xr:uid="{B67852E1-8CDE-480D-BCD2-A6220AF852EB}"/>
    <cellStyle name="Millares 19 2 4 4 2" xfId="3082" xr:uid="{C95FB144-AF7A-43E4-8074-3D376FD0FD12}"/>
    <cellStyle name="Millares 19 2 4 4 2 2" xfId="5088" xr:uid="{58DC7810-A8E5-4426-8C8A-D740204AA6DF}"/>
    <cellStyle name="Millares 19 2 4 4 3" xfId="4126" xr:uid="{C5E280DF-72E4-47E5-8C9A-F355ACE041E7}"/>
    <cellStyle name="Millares 19 2 4 5" xfId="2247" xr:uid="{5C5427E2-C876-4850-8A14-242E15E44F7B}"/>
    <cellStyle name="Millares 19 2 4 5 2" xfId="4252" xr:uid="{CDDE1369-2C85-41C4-AB90-9030B30D4736}"/>
    <cellStyle name="Millares 19 2 4 6" xfId="2664" xr:uid="{EEC7BEF0-E6E2-41D8-8B07-127AB981B726}"/>
    <cellStyle name="Millares 19 2 4 6 2" xfId="4670" xr:uid="{E02EFCE6-F2E1-4D3F-91AA-621BD6E5619D}"/>
    <cellStyle name="Millares 19 2 4 7" xfId="3208" xr:uid="{AA84697A-90B9-479D-9153-FC34E29BB6D1}"/>
    <cellStyle name="Millares 19 2 4 7 2" xfId="5214" xr:uid="{13008325-7C73-413E-95C9-865A292055AE}"/>
    <cellStyle name="Millares 19 2 4 8" xfId="479" xr:uid="{B7B2C725-F120-4BB5-81A9-22C9AE84D225}"/>
    <cellStyle name="Millares 19 2 4 9" xfId="3708" xr:uid="{21BA89B9-F721-4150-B738-14F664667BAF}"/>
    <cellStyle name="Millares 19 2 5" xfId="226" xr:uid="{E892BF56-2B2F-46E5-8B1E-B0F2002F33CB}"/>
    <cellStyle name="Millares 19 2 5 2" xfId="727" xr:uid="{EB5B72B8-3955-4B37-BB1A-9A13EF1F7284}"/>
    <cellStyle name="Millares 19 2 5 2 2" xfId="2535" xr:uid="{3FB142E4-B12B-4508-80E5-5207264CB882}"/>
    <cellStyle name="Millares 19 2 5 2 2 2" xfId="4541" xr:uid="{AAF519DB-ED49-47FC-88C3-7B10FDCC7BCA}"/>
    <cellStyle name="Millares 19 2 5 2 3" xfId="2953" xr:uid="{791F783B-8DC2-408A-9ECD-110D2899E1F4}"/>
    <cellStyle name="Millares 19 2 5 2 3 2" xfId="4959" xr:uid="{4CE08457-5044-4F18-8AD5-C58DF8ACF1CB}"/>
    <cellStyle name="Millares 19 2 5 2 4" xfId="3497" xr:uid="{FE06C28D-B85F-4910-873C-1EDB581C6A45}"/>
    <cellStyle name="Millares 19 2 5 2 4 2" xfId="5503" xr:uid="{CE4B2153-F9F2-407A-8D5F-546012045E68}"/>
    <cellStyle name="Millares 19 2 5 2 5" xfId="3997" xr:uid="{2CA31B7D-50A6-4F0F-A36E-A3775B6A880B}"/>
    <cellStyle name="Millares 19 2 5 3" xfId="2324" xr:uid="{6C6BF898-F25F-422B-8367-D6E4325B48C1}"/>
    <cellStyle name="Millares 19 2 5 3 2" xfId="4329" xr:uid="{386A2AEA-CDA5-4EF0-981D-7BCCFD793E4A}"/>
    <cellStyle name="Millares 19 2 5 4" xfId="2741" xr:uid="{F2323D72-2B0E-47D4-8E3C-E13D225665EC}"/>
    <cellStyle name="Millares 19 2 5 4 2" xfId="4747" xr:uid="{1B3E4353-2B90-4E4F-89C2-CB875E50E573}"/>
    <cellStyle name="Millares 19 2 5 5" xfId="3285" xr:uid="{D3CB895E-0008-425E-AFE1-4B8524659990}"/>
    <cellStyle name="Millares 19 2 5 5 2" xfId="5291" xr:uid="{25DAEF16-05A3-49FF-8AC2-67E4E372BE2D}"/>
    <cellStyle name="Millares 19 2 5 6" xfId="542" xr:uid="{3D1C4F9B-0A77-4E2A-AD22-06E7450632B5}"/>
    <cellStyle name="Millares 19 2 5 7" xfId="3785" xr:uid="{CBF4BA2A-F246-466A-A7AD-7E5721E134AF}"/>
    <cellStyle name="Millares 19 2 6" xfId="647" xr:uid="{EAFDA47E-8252-463A-BDAA-74910D78E0DC}"/>
    <cellStyle name="Millares 19 2 6 2" xfId="2435" xr:uid="{CB0B6943-F374-4500-A5EE-909A291C2A28}"/>
    <cellStyle name="Millares 19 2 6 2 2" xfId="4441" xr:uid="{B3EF0BBD-900C-41BE-B90A-5E06663BBC97}"/>
    <cellStyle name="Millares 19 2 6 3" xfId="2853" xr:uid="{30CA7F10-D3DE-48C8-B784-088955083715}"/>
    <cellStyle name="Millares 19 2 6 3 2" xfId="4859" xr:uid="{E55B92A1-A84A-4020-8988-DA6AF92A78B8}"/>
    <cellStyle name="Millares 19 2 6 4" xfId="3397" xr:uid="{2B6861F2-AE87-4706-876B-8B04022FBACD}"/>
    <cellStyle name="Millares 19 2 6 4 2" xfId="5403" xr:uid="{E6DEABB5-A3AC-40AE-8885-7D41131625A3}"/>
    <cellStyle name="Millares 19 2 6 5" xfId="3897" xr:uid="{8BBDA1B6-2921-43C2-B8A5-203D573C87DE}"/>
    <cellStyle name="Millares 19 2 7" xfId="826" xr:uid="{2495A1A0-22EB-4F25-9B56-DE557CF56168}"/>
    <cellStyle name="Millares 19 2 7 2" xfId="3055" xr:uid="{6A23F60F-B3C5-4C5E-97CE-7E58C96F5770}"/>
    <cellStyle name="Millares 19 2 7 2 2" xfId="5061" xr:uid="{452D3BB7-F50F-4701-A64C-F9D062B73785}"/>
    <cellStyle name="Millares 19 2 7 3" xfId="4099" xr:uid="{17700AC9-EF9F-4ABA-9BC7-586951F5F365}"/>
    <cellStyle name="Millares 19 2 8" xfId="2220" xr:uid="{F49E5277-693A-4D23-ADF4-E183AEBCD7FE}"/>
    <cellStyle name="Millares 19 2 8 2" xfId="4225" xr:uid="{2BED688D-969A-4667-9FCF-A83218EE4FDF}"/>
    <cellStyle name="Millares 19 2 9" xfId="2637" xr:uid="{97FA6400-5441-4B27-A776-62A9EF599E77}"/>
    <cellStyle name="Millares 19 2 9 2" xfId="4643" xr:uid="{2045E994-FA46-468A-89E0-49D61D30D56C}"/>
    <cellStyle name="Millares 19 3" xfId="455" xr:uid="{A04C5895-ED74-46C8-8F33-E295DC14929F}"/>
    <cellStyle name="Millares 19 3 2" xfId="2414" xr:uid="{C2260CB4-B8FD-4154-AC74-2D246F67782C}"/>
    <cellStyle name="Millares 19 3 2 2" xfId="4419" xr:uid="{8133F553-8772-4C55-91F7-66E9C2A68A43}"/>
    <cellStyle name="Millares 19 3 3" xfId="2831" xr:uid="{D4C7713E-06CD-4CD6-95F9-38E070F3526B}"/>
    <cellStyle name="Millares 19 3 3 2" xfId="4837" xr:uid="{175EA8C6-7603-4FEF-8C30-5E14DC0D4332}"/>
    <cellStyle name="Millares 19 3 4" xfId="3375" xr:uid="{EC57699A-791C-4DBC-BD0C-EAAF7A2C8CEB}"/>
    <cellStyle name="Millares 19 3 4 2" xfId="5381" xr:uid="{AD5E0382-3BC2-499F-B350-8B84A3D84F7E}"/>
    <cellStyle name="Millares 19 3 5" xfId="630" xr:uid="{7DC0B680-B6EA-4E70-A270-F69BF78495D5}"/>
    <cellStyle name="Millares 19 3 6" xfId="3875" xr:uid="{583A1276-71AE-4984-8D4D-93FF766096A9}"/>
    <cellStyle name="Millares 19 4" xfId="815" xr:uid="{4621F08E-1F4E-4237-8F0B-0FBD07D911D8}"/>
    <cellStyle name="Millares 19 4 2" xfId="2625" xr:uid="{81740B3F-1266-4C91-96A7-7160C8CD3694}"/>
    <cellStyle name="Millares 19 4 2 2" xfId="4631" xr:uid="{5D72E30C-1EC8-49AE-92A0-CF1CE496E750}"/>
    <cellStyle name="Millares 19 4 3" xfId="3043" xr:uid="{170C7B3E-793D-4DBB-A864-62FFED579BA8}"/>
    <cellStyle name="Millares 19 4 3 2" xfId="5049" xr:uid="{4A8BDC63-EB31-4629-9A90-792BBAEAC86E}"/>
    <cellStyle name="Millares 19 4 4" xfId="3587" xr:uid="{B0282E3C-E4FB-4114-8E7C-9773062E6827}"/>
    <cellStyle name="Millares 19 4 4 2" xfId="5593" xr:uid="{1D62F2C4-BDB4-4D52-8A49-48827F78B66F}"/>
    <cellStyle name="Millares 19 4 5" xfId="4087" xr:uid="{0A8E2CD6-8E09-4559-9646-D1294BBACBD4}"/>
    <cellStyle name="Millares 19 5" xfId="2310" xr:uid="{628422B7-3F93-4B25-A405-762C018F69C7}"/>
    <cellStyle name="Millares 19 5 2" xfId="4315" xr:uid="{E90A3C65-9F2A-49DE-B1C4-13E3A3F39FAD}"/>
    <cellStyle name="Millares 19 6" xfId="2727" xr:uid="{AC91B6CF-718F-44A6-BE6C-D1BEDC993671}"/>
    <cellStyle name="Millares 19 6 2" xfId="4733" xr:uid="{6F3D7195-5FD1-4E61-B78E-657E80FB3350}"/>
    <cellStyle name="Millares 19 7" xfId="3271" xr:uid="{7A8598AE-4059-4A51-A8BD-9CB9937D156C}"/>
    <cellStyle name="Millares 19 7 2" xfId="5277" xr:uid="{2B5004D6-E13B-46F4-9D22-2F700417C3AF}"/>
    <cellStyle name="Millares 19 8" xfId="3609" xr:uid="{86771C4F-06C1-4D96-BE5D-3FC18CD29FC5}"/>
    <cellStyle name="Millares 19 9" xfId="531" xr:uid="{4C5B051C-2E3E-4DAB-8CDC-FEAA5874FD51}"/>
    <cellStyle name="Millares 2" xfId="52" xr:uid="{00000000-0005-0000-0000-00008D000000}"/>
    <cellStyle name="Millares 2 2" xfId="76" xr:uid="{00000000-0005-0000-0000-00008E000000}"/>
    <cellStyle name="Millares 2 2 10" xfId="2149" xr:uid="{35EA4BF0-F8EE-48F9-BC65-545E43FB2693}"/>
    <cellStyle name="Millares 2 2 11" xfId="2215" xr:uid="{D0D93CD2-300D-48C6-AE42-1F90CD71B062}"/>
    <cellStyle name="Millares 2 2 11 2" xfId="4220" xr:uid="{13089AE6-97CD-4CE9-B502-19BE2666E362}"/>
    <cellStyle name="Millares 2 2 12" xfId="2632" xr:uid="{D20103FC-475A-494D-B134-7F570915048B}"/>
    <cellStyle name="Millares 2 2 12 2" xfId="4638" xr:uid="{20F315A7-E4E0-431C-8239-E7A4D0DD4EF0}"/>
    <cellStyle name="Millares 2 2 13" xfId="3176" xr:uid="{CB0FB892-26C6-42BC-9E46-EC8C40D37191}"/>
    <cellStyle name="Millares 2 2 13 2" xfId="5182" xr:uid="{03444BD2-BFDD-4FA3-87F7-4A3EEDA044D4}"/>
    <cellStyle name="Millares 2 2 14" xfId="458" xr:uid="{09CC6C9C-C2C9-4507-A2E3-953FED052D27}"/>
    <cellStyle name="Millares 2 2 15" xfId="3676" xr:uid="{3EA389F5-0A85-4922-B028-C1C792040BC5}"/>
    <cellStyle name="Millares 2 2 16" xfId="5706" xr:uid="{33F4FFA5-3726-42F5-B537-FBBA9954B8C3}"/>
    <cellStyle name="Millares 2 2 2" xfId="106" xr:uid="{00000000-0005-0000-0000-00008F000000}"/>
    <cellStyle name="Millares 2 2 2 10" xfId="3188" xr:uid="{15E21279-022C-45C5-9BE4-E7A6ACE4DF9E}"/>
    <cellStyle name="Millares 2 2 2 10 2" xfId="5194" xr:uid="{BD2511EA-9DB6-4621-834E-47ED4663A92D}"/>
    <cellStyle name="Millares 2 2 2 11" xfId="3628" xr:uid="{844D3ABE-E1D4-4D70-A5E8-74490DA63981}"/>
    <cellStyle name="Millares 2 2 2 11 2" xfId="5615" xr:uid="{29809237-AF1F-448B-9CA0-3853AAB915C4}"/>
    <cellStyle name="Millares 2 2 2 12" xfId="468" xr:uid="{2D830138-7EF2-4DF4-BA7A-E3F66A4EB5FB}"/>
    <cellStyle name="Millares 2 2 2 13" xfId="3688" xr:uid="{9CE9C6E8-98AD-44B4-84CF-4FD4569A8F1F}"/>
    <cellStyle name="Millares 2 2 2 14" xfId="5780" xr:uid="{10E31AF7-9725-40AB-AAD5-E2358880B923}"/>
    <cellStyle name="Millares 2 2 2 2" xfId="201" xr:uid="{00000000-0005-0000-0000-000090000000}"/>
    <cellStyle name="Millares 2 2 2 2 2" xfId="302" xr:uid="{F382E3AB-51B4-4A7D-99EC-5E7BDE403BF9}"/>
    <cellStyle name="Millares 2 2 2 2 2 2" xfId="801" xr:uid="{0EB26473-490F-4E61-A559-C1F0BBFC141D}"/>
    <cellStyle name="Millares 2 2 2 2 2 2 2" xfId="2611" xr:uid="{F566CF5F-FCB7-450D-B3FD-6E17AB8E8DCB}"/>
    <cellStyle name="Millares 2 2 2 2 2 2 2 2" xfId="4617" xr:uid="{11196C75-A743-4E37-9B12-D27B07BF663B}"/>
    <cellStyle name="Millares 2 2 2 2 2 2 3" xfId="3029" xr:uid="{9D50B4A2-08CB-4427-9478-D32FC362E4D5}"/>
    <cellStyle name="Millares 2 2 2 2 2 2 3 2" xfId="5035" xr:uid="{0870D9E3-7B52-4739-BABB-26D6B8444E9B}"/>
    <cellStyle name="Millares 2 2 2 2 2 2 4" xfId="3573" xr:uid="{8C36A071-0DC1-4A06-8201-3F0F51172006}"/>
    <cellStyle name="Millares 2 2 2 2 2 2 4 2" xfId="5579" xr:uid="{3911D8E5-23DB-4B1C-B7D4-54FA83E8F5D6}"/>
    <cellStyle name="Millares 2 2 2 2 2 2 5" xfId="4073" xr:uid="{89D9FFE9-F749-48DD-BD9C-081AAB25D4D4}"/>
    <cellStyle name="Millares 2 2 2 2 2 3" xfId="2400" xr:uid="{AE3B5374-0E33-47B3-BBA7-99F657DC19C3}"/>
    <cellStyle name="Millares 2 2 2 2 2 3 2" xfId="4405" xr:uid="{DA1F402A-C0D1-45A7-9DE3-582655A2ADE4}"/>
    <cellStyle name="Millares 2 2 2 2 2 4" xfId="2817" xr:uid="{9372BB87-373F-4503-9E5C-B0C734142EB6}"/>
    <cellStyle name="Millares 2 2 2 2 2 4 2" xfId="4823" xr:uid="{2F4625F5-3EFE-4E19-98B9-24D5535B1467}"/>
    <cellStyle name="Millares 2 2 2 2 2 5" xfId="3361" xr:uid="{202E13B9-55FC-468A-BB68-C588F509EC2D}"/>
    <cellStyle name="Millares 2 2 2 2 2 5 2" xfId="5367" xr:uid="{E65FA5F5-BC28-4EA2-83F8-6718B1FE6E93}"/>
    <cellStyle name="Millares 2 2 2 2 2 6" xfId="616" xr:uid="{B10FB882-3A05-49B6-A01D-4E1F3E899417}"/>
    <cellStyle name="Millares 2 2 2 2 2 7" xfId="3861" xr:uid="{4888C0EA-AF00-405F-AA84-F8D6534BF63C}"/>
    <cellStyle name="Millares 2 2 2 2 3" xfId="705" xr:uid="{27C3AC79-978B-4AA7-B02F-C82E329ABC7F}"/>
    <cellStyle name="Millares 2 2 2 2 3 2" xfId="2511" xr:uid="{2E6666FB-85F6-4139-8D8F-8A488398155C}"/>
    <cellStyle name="Millares 2 2 2 2 3 2 2" xfId="4517" xr:uid="{13DF991A-C7FA-4663-A7AC-568FC7B4D43C}"/>
    <cellStyle name="Millares 2 2 2 2 3 3" xfId="2929" xr:uid="{B55133CC-AF51-4156-A8B4-B036EAD6DFC0}"/>
    <cellStyle name="Millares 2 2 2 2 3 3 2" xfId="4935" xr:uid="{67514235-7C2E-400F-91B3-490F5198C3F5}"/>
    <cellStyle name="Millares 2 2 2 2 3 4" xfId="3473" xr:uid="{C123C68C-AE56-436B-A5F5-01DC8DC6AC9F}"/>
    <cellStyle name="Millares 2 2 2 2 3 4 2" xfId="5479" xr:uid="{55A93C3A-BDA0-46B6-93F9-6E6B82A3A8E6}"/>
    <cellStyle name="Millares 2 2 2 2 3 5" xfId="3973" xr:uid="{C7CF06E7-6EB7-4EB8-B55C-5E9F184977C6}"/>
    <cellStyle name="Millares 2 2 2 2 4" xfId="902" xr:uid="{748CF834-D0B3-4653-A730-3A5F4B787B62}"/>
    <cellStyle name="Millares 2 2 2 2 4 2" xfId="3131" xr:uid="{922E621A-753C-4C90-BCC2-0AD863E1A44A}"/>
    <cellStyle name="Millares 2 2 2 2 4 2 2" xfId="5137" xr:uid="{27CDE476-F962-4172-A674-611900F617D8}"/>
    <cellStyle name="Millares 2 2 2 2 4 3" xfId="4175" xr:uid="{16CD7D45-DCA3-42DC-9966-6CFFBE98C9C6}"/>
    <cellStyle name="Millares 2 2 2 2 5" xfId="2296" xr:uid="{80365EB5-2D5B-4480-AAE8-635FB78FF5B9}"/>
    <cellStyle name="Millares 2 2 2 2 5 2" xfId="4301" xr:uid="{16134B1B-7259-46B7-BF82-6E5E9BD33611}"/>
    <cellStyle name="Millares 2 2 2 2 6" xfId="2713" xr:uid="{DE6A1174-F9DA-43E5-84B4-6BA85B14821B}"/>
    <cellStyle name="Millares 2 2 2 2 6 2" xfId="4719" xr:uid="{CA887DE7-08BE-430A-8DD7-6787C2FC2B7B}"/>
    <cellStyle name="Millares 2 2 2 2 7" xfId="3257" xr:uid="{9EBD1C26-AC3A-4D6F-B39E-AD330CAE81AF}"/>
    <cellStyle name="Millares 2 2 2 2 7 2" xfId="5263" xr:uid="{F74547B9-74EF-4F27-96B1-54C2CE510247}"/>
    <cellStyle name="Millares 2 2 2 2 8" xfId="518" xr:uid="{1ADCCE41-C0EC-4F5B-AE21-C4824E7414BA}"/>
    <cellStyle name="Millares 2 2 2 2 9" xfId="3757" xr:uid="{2753758F-E38D-4A2F-805F-4F9BF5E650EA}"/>
    <cellStyle name="Millares 2 2 2 3" xfId="154" xr:uid="{00000000-0005-0000-0000-000091000000}"/>
    <cellStyle name="Millares 2 2 2 3 2" xfId="260" xr:uid="{BF6FE3C6-9F3B-4BD9-AB01-E72A029BFCE3}"/>
    <cellStyle name="Millares 2 2 2 3 2 2" xfId="760" xr:uid="{CF29C40D-F41D-49E8-B0E3-1DF11280B1C9}"/>
    <cellStyle name="Millares 2 2 2 3 2 2 2" xfId="2569" xr:uid="{35DE0658-6BF2-407C-A29B-B2E0CCC4400A}"/>
    <cellStyle name="Millares 2 2 2 3 2 2 2 2" xfId="4575" xr:uid="{341CABFB-D38C-4273-ADF7-A0F4324C0BEE}"/>
    <cellStyle name="Millares 2 2 2 3 2 2 3" xfId="2987" xr:uid="{97511517-839E-412B-849C-F30D1C4130C2}"/>
    <cellStyle name="Millares 2 2 2 3 2 2 3 2" xfId="4993" xr:uid="{EBFB8EFF-6F94-43FF-8262-424116BAB9BE}"/>
    <cellStyle name="Millares 2 2 2 3 2 2 4" xfId="3531" xr:uid="{7B4304F0-3419-4929-A168-4EA11301AB0E}"/>
    <cellStyle name="Millares 2 2 2 3 2 2 4 2" xfId="5537" xr:uid="{70EB5382-D157-46F1-B27E-0710017118A5}"/>
    <cellStyle name="Millares 2 2 2 3 2 2 5" xfId="4031" xr:uid="{63AFCF63-0B1C-485A-B3DA-2686D1F48E16}"/>
    <cellStyle name="Millares 2 2 2 3 2 3" xfId="2358" xr:uid="{019D4757-B6AA-43A5-8F77-00608011B172}"/>
    <cellStyle name="Millares 2 2 2 3 2 3 2" xfId="4363" xr:uid="{A228FDD1-7CA9-474C-A2BD-AFBEFFD2E155}"/>
    <cellStyle name="Millares 2 2 2 3 2 4" xfId="2775" xr:uid="{1ADFED55-CE97-467B-A8FF-0A97CE0B33DC}"/>
    <cellStyle name="Millares 2 2 2 3 2 4 2" xfId="4781" xr:uid="{1158D10D-73AB-4145-AD2C-E01BFF8A2E5D}"/>
    <cellStyle name="Millares 2 2 2 3 2 5" xfId="3319" xr:uid="{48F81156-F27D-4754-B4CA-FCFA63EEFF7B}"/>
    <cellStyle name="Millares 2 2 2 3 2 5 2" xfId="5325" xr:uid="{A6EC9B25-CB97-4054-89BB-E7923B1619CB}"/>
    <cellStyle name="Millares 2 2 2 3 2 6" xfId="575" xr:uid="{4B25D63B-5B7B-4C74-978C-29135A5852AE}"/>
    <cellStyle name="Millares 2 2 2 3 2 7" xfId="3819" xr:uid="{E7E96D4F-D6FE-4E47-9F64-99F3DD44B84F}"/>
    <cellStyle name="Millares 2 2 2 3 3" xfId="672" xr:uid="{2DA88C64-8EE3-4471-A340-7E248C43B905}"/>
    <cellStyle name="Millares 2 2 2 3 3 2" xfId="2469" xr:uid="{3283B886-653D-4574-92DA-F1C353D253B8}"/>
    <cellStyle name="Millares 2 2 2 3 3 2 2" xfId="4475" xr:uid="{B5356BDD-86EE-4CEC-9201-B95E03C64DF8}"/>
    <cellStyle name="Millares 2 2 2 3 3 3" xfId="2887" xr:uid="{07D009C9-96F0-4770-84B4-36002A7F5252}"/>
    <cellStyle name="Millares 2 2 2 3 3 3 2" xfId="4893" xr:uid="{46ABED7C-9F12-407E-AFC2-4D9E062E8AB9}"/>
    <cellStyle name="Millares 2 2 2 3 3 4" xfId="3431" xr:uid="{B6267E19-585F-4767-BA52-C102BDAEA208}"/>
    <cellStyle name="Millares 2 2 2 3 3 4 2" xfId="5437" xr:uid="{8138E6B1-D6D9-4C1F-9765-3788EF6E239C}"/>
    <cellStyle name="Millares 2 2 2 3 3 5" xfId="3931" xr:uid="{24D8F936-34F8-4234-92F9-D9A733483F5C}"/>
    <cellStyle name="Millares 2 2 2 3 4" xfId="860" xr:uid="{9C7D3BC8-3A4E-401E-A3DF-FC237D6E98FD}"/>
    <cellStyle name="Millares 2 2 2 3 4 2" xfId="3089" xr:uid="{D2D5FA5E-18D0-4DBE-A2BE-8610A6252DA9}"/>
    <cellStyle name="Millares 2 2 2 3 4 2 2" xfId="5095" xr:uid="{CF401B72-8A78-4760-A9D2-0E9D00D2FF15}"/>
    <cellStyle name="Millares 2 2 2 3 4 3" xfId="4133" xr:uid="{536180F0-A97C-42E1-AB5B-747BFB44AE77}"/>
    <cellStyle name="Millares 2 2 2 3 5" xfId="2254" xr:uid="{EDA8A5DC-D1E5-44BD-98BF-E313537CCD80}"/>
    <cellStyle name="Millares 2 2 2 3 5 2" xfId="4259" xr:uid="{95F10BC6-77E9-4CFA-9BCF-7DFABBE22B0A}"/>
    <cellStyle name="Millares 2 2 2 3 6" xfId="2671" xr:uid="{812682F7-39B9-4E29-A1E1-D8EA57E28F7E}"/>
    <cellStyle name="Millares 2 2 2 3 6 2" xfId="4677" xr:uid="{9F64D29E-F9F6-4914-8CC6-762539718803}"/>
    <cellStyle name="Millares 2 2 2 3 7" xfId="3215" xr:uid="{0F3A6F2B-7017-4D37-860E-649FE9C98D70}"/>
    <cellStyle name="Millares 2 2 2 3 7 2" xfId="5221" xr:uid="{9D13F2C1-C36D-418D-A0FD-3BAAD3468635}"/>
    <cellStyle name="Millares 2 2 2 3 8" xfId="485" xr:uid="{01560CF5-B710-40A0-81C0-129979B072E2}"/>
    <cellStyle name="Millares 2 2 2 3 9" xfId="3715" xr:uid="{77853BD1-EA47-4E9F-A4D6-F8FA04917A8C}"/>
    <cellStyle name="Millares 2 2 2 4" xfId="233" xr:uid="{72BAADC7-F76E-4C34-BC11-3CA83BCE95B1}"/>
    <cellStyle name="Millares 2 2 2 4 2" xfId="733" xr:uid="{63EB5D90-2879-4B15-A417-0932B0EB078C}"/>
    <cellStyle name="Millares 2 2 2 4 2 2" xfId="2542" xr:uid="{DC8B59DD-52E5-4BA5-A34F-BD15FA82A30A}"/>
    <cellStyle name="Millares 2 2 2 4 2 2 2" xfId="4548" xr:uid="{A015F8B8-F00B-405F-922D-4270146D44FB}"/>
    <cellStyle name="Millares 2 2 2 4 2 3" xfId="2960" xr:uid="{9EE6DC95-CC20-4692-A4DF-1352BF960932}"/>
    <cellStyle name="Millares 2 2 2 4 2 3 2" xfId="4966" xr:uid="{E1CE8366-1DD0-4BD6-9372-3529986F2835}"/>
    <cellStyle name="Millares 2 2 2 4 2 4" xfId="3504" xr:uid="{AA7B8E8E-19C1-4D6E-AE79-715186C4F4A2}"/>
    <cellStyle name="Millares 2 2 2 4 2 4 2" xfId="5510" xr:uid="{7F5FFE6C-7448-45B6-94E1-AD6C721E1163}"/>
    <cellStyle name="Millares 2 2 2 4 2 5" xfId="4004" xr:uid="{E4448C84-3D86-40FA-9A66-0FA2B07F13F1}"/>
    <cellStyle name="Millares 2 2 2 4 3" xfId="2331" xr:uid="{4F61259D-9D26-43A6-A0E0-90131C5B8D2E}"/>
    <cellStyle name="Millares 2 2 2 4 3 2" xfId="4336" xr:uid="{C280E28E-D258-46AD-BCBB-AA15D3BA88D4}"/>
    <cellStyle name="Millares 2 2 2 4 4" xfId="2748" xr:uid="{5558B80D-E61E-4007-A8DD-E63EBA746876}"/>
    <cellStyle name="Millares 2 2 2 4 4 2" xfId="4754" xr:uid="{B6688A8E-5ACC-4C6B-8213-4BE6B6EAD385}"/>
    <cellStyle name="Millares 2 2 2 4 5" xfId="3292" xr:uid="{8F5E0013-C786-4B87-BF02-E23FDBEC29D3}"/>
    <cellStyle name="Millares 2 2 2 4 5 2" xfId="5298" xr:uid="{7872600A-D103-4C79-B585-9DF67195581A}"/>
    <cellStyle name="Millares 2 2 2 4 6" xfId="548" xr:uid="{FB0EA64C-9433-4E3A-B2B4-1CDC91928774}"/>
    <cellStyle name="Millares 2 2 2 4 7" xfId="3792" xr:uid="{5B141169-481F-4B1C-9568-E2C26D6247BE}"/>
    <cellStyle name="Millares 2 2 2 5" xfId="383" xr:uid="{60FD9281-863A-466F-8801-651098F961C0}"/>
    <cellStyle name="Millares 2 2 2 5 2" xfId="2442" xr:uid="{72309E7A-4812-43F1-B332-2DCE9839F1D1}"/>
    <cellStyle name="Millares 2 2 2 5 2 2" xfId="4448" xr:uid="{F40B699E-9977-405A-BF58-B0D5EB7AFD21}"/>
    <cellStyle name="Millares 2 2 2 5 3" xfId="2860" xr:uid="{382137AE-F024-4DE9-8249-662CF9E85614}"/>
    <cellStyle name="Millares 2 2 2 5 3 2" xfId="4866" xr:uid="{E57D706F-3C60-4F88-82F7-C3B3480B48B8}"/>
    <cellStyle name="Millares 2 2 2 5 4" xfId="3404" xr:uid="{8A5BE903-782F-4963-9DA8-A7584D98C2A8}"/>
    <cellStyle name="Millares 2 2 2 5 4 2" xfId="5410" xr:uid="{E3926E93-5EF3-432F-B285-17AD69E897BA}"/>
    <cellStyle name="Millares 2 2 2 5 5" xfId="653" xr:uid="{48B51AAA-A4EA-4999-BC4F-653E2D1BA329}"/>
    <cellStyle name="Millares 2 2 2 5 6" xfId="3904" xr:uid="{84692758-1C28-4E04-A93A-BCBDCDB02B0A}"/>
    <cellStyle name="Millares 2 2 2 6" xfId="833" xr:uid="{E9C5C12E-9AB9-43F6-B5A1-CA082AC88321}"/>
    <cellStyle name="Millares 2 2 2 6 2" xfId="3062" xr:uid="{37139DA9-730B-4EF4-996F-8A8585EB9C0B}"/>
    <cellStyle name="Millares 2 2 2 6 2 2" xfId="5068" xr:uid="{01D18D42-33AF-4993-83B2-47B52C2E3536}"/>
    <cellStyle name="Millares 2 2 2 6 3" xfId="4106" xr:uid="{F94D6888-7253-4150-BC65-091C6193637B}"/>
    <cellStyle name="Millares 2 2 2 7" xfId="2183" xr:uid="{CC0067E7-E2CA-47FA-8CA1-A57B6D4F5709}"/>
    <cellStyle name="Millares 2 2 2 7 2" xfId="3165" xr:uid="{571BB61C-2EA6-4446-B309-0B31F6075C90}"/>
    <cellStyle name="Millares 2 2 2 7 2 2" xfId="5171" xr:uid="{356539F0-E152-44F9-8ED8-13ACFD6828B6}"/>
    <cellStyle name="Millares 2 2 2 7 3" xfId="4209" xr:uid="{8930E4BC-2CEA-4E87-9AFA-1DCC92F6A6A8}"/>
    <cellStyle name="Millares 2 2 2 8" xfId="2227" xr:uid="{45861356-077F-403A-90B9-AD5E4D28AC1F}"/>
    <cellStyle name="Millares 2 2 2 8 2" xfId="4232" xr:uid="{DF6F50B2-7092-4DA0-A388-D59F713D5662}"/>
    <cellStyle name="Millares 2 2 2 9" xfId="2644" xr:uid="{E99812A4-B9E6-4BBA-A434-4CBFF62E1404}"/>
    <cellStyle name="Millares 2 2 2 9 2" xfId="4650" xr:uid="{EFA79CA9-2AE0-43AE-9361-FDD83A056D3B}"/>
    <cellStyle name="Millares 2 2 3" xfId="188" xr:uid="{00000000-0005-0000-0000-000092000000}"/>
    <cellStyle name="Millares 2 2 3 10" xfId="3747" xr:uid="{F5D3F4F0-3DD8-41E0-BAD7-C2F1FF7553F6}"/>
    <cellStyle name="Millares 2 2 3 11" xfId="5760" xr:uid="{20E98F02-8487-4124-B0EA-68BA0A347531}"/>
    <cellStyle name="Millares 2 2 3 2" xfId="292" xr:uid="{5D9FC505-53DF-44C3-998D-B843CD3F77D8}"/>
    <cellStyle name="Millares 2 2 3 2 2" xfId="791" xr:uid="{C1041372-1BE9-40A1-8D38-2037ACDDD0A0}"/>
    <cellStyle name="Millares 2 2 3 2 2 2" xfId="2601" xr:uid="{685549C8-48C1-4724-87AB-0AFD31C103BB}"/>
    <cellStyle name="Millares 2 2 3 2 2 2 2" xfId="4607" xr:uid="{9CE628B2-B864-4C8D-B29D-682EB72217AD}"/>
    <cellStyle name="Millares 2 2 3 2 2 3" xfId="3019" xr:uid="{9A075D35-EBCB-4646-8980-C664DD138BB1}"/>
    <cellStyle name="Millares 2 2 3 2 2 3 2" xfId="5025" xr:uid="{F078DF73-8121-46C5-B08D-C177F430684A}"/>
    <cellStyle name="Millares 2 2 3 2 2 4" xfId="3563" xr:uid="{959CEDA3-5C8F-4115-876F-D21DCBFAB912}"/>
    <cellStyle name="Millares 2 2 3 2 2 4 2" xfId="5569" xr:uid="{D1EF44D9-EF17-497C-BABC-022484F8EAA0}"/>
    <cellStyle name="Millares 2 2 3 2 2 5" xfId="4063" xr:uid="{00CD2F78-7970-4CA8-AF36-14DFB03203AE}"/>
    <cellStyle name="Millares 2 2 3 2 3" xfId="2390" xr:uid="{BBEC16FB-75C8-46F1-957C-7FB5EAFC36B9}"/>
    <cellStyle name="Millares 2 2 3 2 3 2" xfId="4395" xr:uid="{87122281-1126-441A-B35F-89F574020911}"/>
    <cellStyle name="Millares 2 2 3 2 4" xfId="2807" xr:uid="{B4459D34-532E-4111-86FE-E62C918A9349}"/>
    <cellStyle name="Millares 2 2 3 2 4 2" xfId="4813" xr:uid="{FB347559-83CE-4A4E-9FAE-4D369401EF46}"/>
    <cellStyle name="Millares 2 2 3 2 5" xfId="3351" xr:uid="{7D0E434C-9E92-4EC5-A60B-40D1C39846AB}"/>
    <cellStyle name="Millares 2 2 3 2 5 2" xfId="5357" xr:uid="{B9F4522F-60F9-4A74-8FD0-AE98787E91B6}"/>
    <cellStyle name="Millares 2 2 3 2 6" xfId="606" xr:uid="{D6944199-3B00-4DFA-83C8-7C363A26279A}"/>
    <cellStyle name="Millares 2 2 3 2 7" xfId="3851" xr:uid="{76393331-7FFA-4775-9FB1-A5780904BD7E}"/>
    <cellStyle name="Millares 2 2 3 3" xfId="422" xr:uid="{9C1874A9-5D0F-4ECC-BD78-9F9476CB66EE}"/>
    <cellStyle name="Millares 2 2 3 3 2" xfId="2501" xr:uid="{A5F4C5DB-D1BB-48E8-B550-EE152E7D0678}"/>
    <cellStyle name="Millares 2 2 3 3 2 2" xfId="4507" xr:uid="{E7AD1C1E-69CB-41C0-8581-B401A5888804}"/>
    <cellStyle name="Millares 2 2 3 3 3" xfId="2919" xr:uid="{2F6FD599-BD4C-439D-9954-232EDB353F65}"/>
    <cellStyle name="Millares 2 2 3 3 3 2" xfId="4925" xr:uid="{E7B22A36-D410-47EE-9A40-EFAB8F81B5B6}"/>
    <cellStyle name="Millares 2 2 3 3 4" xfId="3463" xr:uid="{1A1AAA7E-F44D-4BD2-9A07-6B6ECD1C569B}"/>
    <cellStyle name="Millares 2 2 3 3 4 2" xfId="5469" xr:uid="{D8D29958-12FF-4A9B-881D-7C4196857C9C}"/>
    <cellStyle name="Millares 2 2 3 3 5" xfId="698" xr:uid="{C751F577-E09E-48F4-A875-451A26AA67DF}"/>
    <cellStyle name="Millares 2 2 3 3 6" xfId="3963" xr:uid="{B3E756AD-B324-49FA-A2BA-883670286532}"/>
    <cellStyle name="Millares 2 2 3 4" xfId="892" xr:uid="{947B50B8-3ADC-4B7C-A4FC-35F4A27BE38B}"/>
    <cellStyle name="Millares 2 2 3 4 2" xfId="3121" xr:uid="{296511CA-ECF3-427E-A5DA-9F7DCC0E63E7}"/>
    <cellStyle name="Millares 2 2 3 4 2 2" xfId="5127" xr:uid="{5FB6F8AD-0B32-420F-8649-81A95F67D675}"/>
    <cellStyle name="Millares 2 2 3 4 3" xfId="4165" xr:uid="{BE3BF297-1A0A-47DC-8FF4-4DBFA7F4896D}"/>
    <cellStyle name="Millares 2 2 3 5" xfId="2197" xr:uid="{02CA1FE8-B302-418E-9E9D-C74CA8112ADD}"/>
    <cellStyle name="Millares 2 2 3 6" xfId="2286" xr:uid="{E35C10BE-84F6-4BB8-B8F0-F9A342B8271E}"/>
    <cellStyle name="Millares 2 2 3 6 2" xfId="4291" xr:uid="{AE1F538A-E1D0-4861-9769-0D20A46F544A}"/>
    <cellStyle name="Millares 2 2 3 7" xfId="2703" xr:uid="{1E1A4990-E6C2-4677-A499-5BF6671483D3}"/>
    <cellStyle name="Millares 2 2 3 7 2" xfId="4709" xr:uid="{BB1906F0-5C82-4922-B2D7-013EEF82C393}"/>
    <cellStyle name="Millares 2 2 3 8" xfId="3247" xr:uid="{9114C85F-FA78-4351-88EB-3BAF3815B1C6}"/>
    <cellStyle name="Millares 2 2 3 8 2" xfId="5253" xr:uid="{6193F2E4-CE5F-46AE-A509-9FF534FCF172}"/>
    <cellStyle name="Millares 2 2 3 9" xfId="511" xr:uid="{7CA90FEC-EE57-4CE1-AC6B-A8A56BF12D23}"/>
    <cellStyle name="Millares 2 2 4" xfId="176" xr:uid="{00000000-0005-0000-0000-000093000000}"/>
    <cellStyle name="Millares 2 2 4 10" xfId="5815" xr:uid="{31B93ED6-B842-4095-BDD6-0E7BE4B920DF}"/>
    <cellStyle name="Millares 2 2 4 2" xfId="281" xr:uid="{EF4548F4-02DA-44E6-8036-0FC0B83048AD}"/>
    <cellStyle name="Millares 2 2 4 2 2" xfId="780" xr:uid="{22AB7514-6EFD-45D6-8FDD-20FD3F871C72}"/>
    <cellStyle name="Millares 2 2 4 2 2 2" xfId="2590" xr:uid="{5063A3CA-96C4-47CA-ACEA-29DF9498E57C}"/>
    <cellStyle name="Millares 2 2 4 2 2 2 2" xfId="4596" xr:uid="{43059608-C3D8-444C-9498-3AFFF89B2260}"/>
    <cellStyle name="Millares 2 2 4 2 2 3" xfId="3008" xr:uid="{15A0B185-E64E-4F97-877A-8A3DEBFE75B8}"/>
    <cellStyle name="Millares 2 2 4 2 2 3 2" xfId="5014" xr:uid="{ECBF3807-DDD0-491D-8D71-5BD8F632A4F9}"/>
    <cellStyle name="Millares 2 2 4 2 2 4" xfId="3552" xr:uid="{E23E9C13-D84A-4000-BB65-9A1819CFFF3E}"/>
    <cellStyle name="Millares 2 2 4 2 2 4 2" xfId="5558" xr:uid="{C4C06BD5-2040-4943-B29D-3D2D351CD4EF}"/>
    <cellStyle name="Millares 2 2 4 2 2 5" xfId="4052" xr:uid="{5E5A6CCB-8D41-4838-8310-77335206ECB8}"/>
    <cellStyle name="Millares 2 2 4 2 3" xfId="2379" xr:uid="{BA3E8EA4-0AC9-426A-9CD4-983300B4E65C}"/>
    <cellStyle name="Millares 2 2 4 2 3 2" xfId="4384" xr:uid="{0842B061-2404-4C6B-A763-F17F349A38F1}"/>
    <cellStyle name="Millares 2 2 4 2 4" xfId="2796" xr:uid="{CD680436-A36D-4570-BA8B-0A5CE72B7999}"/>
    <cellStyle name="Millares 2 2 4 2 4 2" xfId="4802" xr:uid="{1C601F04-9F3B-4F73-94B8-1126CE8F8B15}"/>
    <cellStyle name="Millares 2 2 4 2 5" xfId="3340" xr:uid="{E3837EBD-2AAE-464B-A6C7-9B6C34209A58}"/>
    <cellStyle name="Millares 2 2 4 2 5 2" xfId="5346" xr:uid="{A4C6B2BD-9B93-4240-934D-3DD4B63C2853}"/>
    <cellStyle name="Millares 2 2 4 2 6" xfId="595" xr:uid="{B45C79F2-4518-4920-B5D7-1E7D6D36A643}"/>
    <cellStyle name="Millares 2 2 4 2 7" xfId="3840" xr:uid="{42A9BE6B-3F76-4872-A38C-D25787D233E9}"/>
    <cellStyle name="Millares 2 2 4 3" xfId="690" xr:uid="{16A029A5-C415-4CED-B2BA-9A5BA8D29BCF}"/>
    <cellStyle name="Millares 2 2 4 3 2" xfId="2490" xr:uid="{6AA1D0C7-D949-41B1-BDC6-58608E0C4DD6}"/>
    <cellStyle name="Millares 2 2 4 3 2 2" xfId="4496" xr:uid="{577A19C5-CE6D-4DCF-8D44-C24A4099B52F}"/>
    <cellStyle name="Millares 2 2 4 3 3" xfId="2908" xr:uid="{E703339B-692D-45BF-BC9C-69CC33EF8921}"/>
    <cellStyle name="Millares 2 2 4 3 3 2" xfId="4914" xr:uid="{82E1ECE3-BE9D-4BC4-A59E-A0F22E9BCE59}"/>
    <cellStyle name="Millares 2 2 4 3 4" xfId="3452" xr:uid="{EFFA8C30-270B-4F5E-BDCE-CEA96F36291A}"/>
    <cellStyle name="Millares 2 2 4 3 4 2" xfId="5458" xr:uid="{9324DF60-F782-4972-8F2B-AFEC31DF3BD0}"/>
    <cellStyle name="Millares 2 2 4 3 5" xfId="3952" xr:uid="{4A244F43-5C68-45BB-879E-F63A6EDBF8A9}"/>
    <cellStyle name="Millares 2 2 4 4" xfId="881" xr:uid="{52BA88E3-57AD-4BC9-ABCB-A2B8DB3569E8}"/>
    <cellStyle name="Millares 2 2 4 4 2" xfId="3110" xr:uid="{A8876BAD-A7E5-47D0-84F0-9640F4B731A8}"/>
    <cellStyle name="Millares 2 2 4 4 2 2" xfId="5116" xr:uid="{C2344167-770A-40B1-8BC2-4A97D53C2C7F}"/>
    <cellStyle name="Millares 2 2 4 4 3" xfId="4154" xr:uid="{76596BB8-7A18-4331-80CE-CE8E141CBF46}"/>
    <cellStyle name="Millares 2 2 4 5" xfId="2275" xr:uid="{28AF6DD3-3DB4-4908-99B1-25F03A1EA901}"/>
    <cellStyle name="Millares 2 2 4 5 2" xfId="4280" xr:uid="{038B75E8-EA98-4F48-9E9C-AAB965903CE3}"/>
    <cellStyle name="Millares 2 2 4 6" xfId="2692" xr:uid="{1D6150F4-C321-421A-815B-CA24480B4D67}"/>
    <cellStyle name="Millares 2 2 4 6 2" xfId="4698" xr:uid="{3625167C-D9CB-442D-8820-6F39C9D82111}"/>
    <cellStyle name="Millares 2 2 4 7" xfId="3236" xr:uid="{9C974521-9097-4F94-8459-E0B65C0C5D7A}"/>
    <cellStyle name="Millares 2 2 4 7 2" xfId="5242" xr:uid="{B409F60A-1A7A-4920-87B7-DC2D5D3BFEDB}"/>
    <cellStyle name="Millares 2 2 4 8" xfId="503" xr:uid="{A27270DF-DF4B-44F3-852C-7A32D2720088}"/>
    <cellStyle name="Millares 2 2 4 9" xfId="3736" xr:uid="{932948AA-24BC-4F51-9192-E3B90FDDE2C8}"/>
    <cellStyle name="Millares 2 2 5" xfId="144" xr:uid="{00000000-0005-0000-0000-000094000000}"/>
    <cellStyle name="Millares 2 2 5 2" xfId="250" xr:uid="{B836873C-43C2-4559-82C8-17A741E3B6FB}"/>
    <cellStyle name="Millares 2 2 5 2 2" xfId="750" xr:uid="{609E953E-5081-48F4-BC18-13FFD72EEE7B}"/>
    <cellStyle name="Millares 2 2 5 2 2 2" xfId="2559" xr:uid="{3EC036DE-8473-4AC9-8B7C-42F725676F00}"/>
    <cellStyle name="Millares 2 2 5 2 2 2 2" xfId="4565" xr:uid="{1DFC22E2-9996-47B6-A596-B545747BBD6E}"/>
    <cellStyle name="Millares 2 2 5 2 2 3" xfId="2977" xr:uid="{A211EC71-D522-4EDB-A726-1773E2B8B83F}"/>
    <cellStyle name="Millares 2 2 5 2 2 3 2" xfId="4983" xr:uid="{4B32E814-6B94-4F12-907C-BBD8B2710083}"/>
    <cellStyle name="Millares 2 2 5 2 2 4" xfId="3521" xr:uid="{09387591-DED0-4A31-B761-3D50F72BD66C}"/>
    <cellStyle name="Millares 2 2 5 2 2 4 2" xfId="5527" xr:uid="{AD6493F9-185D-44EE-BF00-99B6EEC53DC6}"/>
    <cellStyle name="Millares 2 2 5 2 2 5" xfId="4021" xr:uid="{D38A9C54-7E1E-442A-A771-B6C751F76D05}"/>
    <cellStyle name="Millares 2 2 5 2 3" xfId="2348" xr:uid="{7CF7B40C-DBE4-4D84-9CE4-2316B2F18A8C}"/>
    <cellStyle name="Millares 2 2 5 2 3 2" xfId="4353" xr:uid="{A8053196-24AD-402F-87C5-B06F8C75D705}"/>
    <cellStyle name="Millares 2 2 5 2 4" xfId="2765" xr:uid="{1EF783CA-EB62-414B-A575-C648D3E881B1}"/>
    <cellStyle name="Millares 2 2 5 2 4 2" xfId="4771" xr:uid="{CEAC0A12-80F9-433E-B47B-3ED1E74593BD}"/>
    <cellStyle name="Millares 2 2 5 2 5" xfId="3309" xr:uid="{F4E0DBB5-A85F-4F19-8E2A-B51EECD8F134}"/>
    <cellStyle name="Millares 2 2 5 2 5 2" xfId="5315" xr:uid="{31E1965B-418A-46F7-B85E-BFD4FB07E4C8}"/>
    <cellStyle name="Millares 2 2 5 2 6" xfId="565" xr:uid="{6C10ABF2-DDBB-4B78-8DA5-C02C702F17F8}"/>
    <cellStyle name="Millares 2 2 5 2 7" xfId="3809" xr:uid="{E0AFC0C0-5CA6-45C6-A50A-AD72E2D01428}"/>
    <cellStyle name="Millares 2 2 5 3" xfId="664" xr:uid="{1E818922-7BA7-4E99-B94C-5E2AE13246B7}"/>
    <cellStyle name="Millares 2 2 5 3 2" xfId="2459" xr:uid="{65CCFE63-7C01-4073-BD67-BE62F908CE58}"/>
    <cellStyle name="Millares 2 2 5 3 2 2" xfId="4465" xr:uid="{0D261F32-7D97-481B-BEDE-EA1D54EA228E}"/>
    <cellStyle name="Millares 2 2 5 3 3" xfId="2877" xr:uid="{35A3EC74-0B00-4EFB-A99F-34331CDDD2AF}"/>
    <cellStyle name="Millares 2 2 5 3 3 2" xfId="4883" xr:uid="{EAB0E4C0-20AB-4D4D-B27F-144C38580211}"/>
    <cellStyle name="Millares 2 2 5 3 4" xfId="3421" xr:uid="{B871CFE8-F1C9-4B97-822C-AD0BC0750EFC}"/>
    <cellStyle name="Millares 2 2 5 3 4 2" xfId="5427" xr:uid="{22E149F4-6596-44D5-84FC-232BC65A0BEB}"/>
    <cellStyle name="Millares 2 2 5 3 5" xfId="3921" xr:uid="{992E3222-6D51-4FB6-9782-FF54CE15D224}"/>
    <cellStyle name="Millares 2 2 5 4" xfId="850" xr:uid="{437C579F-F4EF-41DD-A08E-27C2A4AD0CC3}"/>
    <cellStyle name="Millares 2 2 5 4 2" xfId="3079" xr:uid="{A3DA5058-F43C-49AE-95AC-80CE648D786F}"/>
    <cellStyle name="Millares 2 2 5 4 2 2" xfId="5085" xr:uid="{56FBF5BA-35C0-48E9-86BF-E067AD05984D}"/>
    <cellStyle name="Millares 2 2 5 4 3" xfId="4123" xr:uid="{AE267F3F-721E-4B2C-AD95-D52A246FD9A2}"/>
    <cellStyle name="Millares 2 2 5 5" xfId="2244" xr:uid="{969FD036-19C7-4118-B086-FC0CE0A77075}"/>
    <cellStyle name="Millares 2 2 5 5 2" xfId="4249" xr:uid="{E23666F4-20DD-4954-BAB7-AFB4B3317251}"/>
    <cellStyle name="Millares 2 2 5 6" xfId="2661" xr:uid="{B1713898-E9C4-46DA-ABB2-F765B85B1711}"/>
    <cellStyle name="Millares 2 2 5 6 2" xfId="4667" xr:uid="{419B7DD7-58E7-4AD1-852F-754D55860423}"/>
    <cellStyle name="Millares 2 2 5 7" xfId="3205" xr:uid="{6CF11F7E-293C-4FA3-966E-E1C0FD70CEF3}"/>
    <cellStyle name="Millares 2 2 5 7 2" xfId="5211" xr:uid="{C6D1D923-931B-400A-8204-F37C88967314}"/>
    <cellStyle name="Millares 2 2 5 8" xfId="477" xr:uid="{35F15745-0426-4B6A-818C-DA1F76EE2860}"/>
    <cellStyle name="Millares 2 2 5 9" xfId="3705" xr:uid="{4596160A-2423-48F6-BB39-666C1FE376A0}"/>
    <cellStyle name="Millares 2 2 6" xfId="221" xr:uid="{A7B0CB49-B2EB-447D-BB3C-671D002634A1}"/>
    <cellStyle name="Millares 2 2 6 2" xfId="722" xr:uid="{45AD7225-1E5D-40D6-89C8-FFC9FE5E95B5}"/>
    <cellStyle name="Millares 2 2 6 2 2" xfId="2530" xr:uid="{38F5AAAA-EE1C-47E2-BE24-A2BF9A75DC90}"/>
    <cellStyle name="Millares 2 2 6 2 2 2" xfId="4536" xr:uid="{F2EF5347-1552-4624-A1F5-9C6F7EC09E6F}"/>
    <cellStyle name="Millares 2 2 6 2 3" xfId="2948" xr:uid="{B3A5246D-4B1C-4B76-B25A-D6185BCBFB26}"/>
    <cellStyle name="Millares 2 2 6 2 3 2" xfId="4954" xr:uid="{C07BA7E4-A391-43D7-9A2E-A6E597A9C624}"/>
    <cellStyle name="Millares 2 2 6 2 4" xfId="3492" xr:uid="{CEBCC245-166F-4E07-B665-D7D65F6EE60E}"/>
    <cellStyle name="Millares 2 2 6 2 4 2" xfId="5498" xr:uid="{71504A6E-9EFF-4DA9-A3DD-81BF91BC3C5B}"/>
    <cellStyle name="Millares 2 2 6 2 5" xfId="3992" xr:uid="{B4AE26D0-7850-42D3-8A80-CF557DF992ED}"/>
    <cellStyle name="Millares 2 2 6 3" xfId="2319" xr:uid="{1E03F9CF-F3CB-4C0B-8BA4-E1ED63DCCEBD}"/>
    <cellStyle name="Millares 2 2 6 3 2" xfId="4324" xr:uid="{E8198781-A56E-4843-AF5D-89C66507EA53}"/>
    <cellStyle name="Millares 2 2 6 4" xfId="2736" xr:uid="{15117B09-09E1-4D61-B7A5-48CBFAC0680A}"/>
    <cellStyle name="Millares 2 2 6 4 2" xfId="4742" xr:uid="{4C44EF1E-A55A-462A-A46B-CE176DEA65F7}"/>
    <cellStyle name="Millares 2 2 6 5" xfId="3280" xr:uid="{BEA673F5-70F7-4181-A893-C5BE3C30DCEB}"/>
    <cellStyle name="Millares 2 2 6 5 2" xfId="5286" xr:uid="{C0613508-33AE-48F0-8286-55ED1C162B09}"/>
    <cellStyle name="Millares 2 2 6 6" xfId="537" xr:uid="{66DC127C-FDA2-4C9F-9BA3-F77229E6A700}"/>
    <cellStyle name="Millares 2 2 6 7" xfId="3780" xr:uid="{0583C4AD-B0B6-48E2-B83D-5BBDBF5C51EB}"/>
    <cellStyle name="Millares 2 2 7" xfId="363" xr:uid="{B1158C53-3151-41DD-BDDD-57159774B31B}"/>
    <cellStyle name="Millares 2 2 7 2" xfId="2430" xr:uid="{DEFF0B21-A3AC-4F65-B82A-7AF9D3BEC5C4}"/>
    <cellStyle name="Millares 2 2 7 2 2" xfId="4436" xr:uid="{08819BB2-32BA-4014-A278-319C8ED9DF3F}"/>
    <cellStyle name="Millares 2 2 7 3" xfId="2848" xr:uid="{94F85FA1-47F3-4A15-87D9-A7AAB49F06A8}"/>
    <cellStyle name="Millares 2 2 7 3 2" xfId="4854" xr:uid="{B29E2989-2454-4E0D-9BF0-63ACCA449FB9}"/>
    <cellStyle name="Millares 2 2 7 4" xfId="3392" xr:uid="{2CC34ACE-38B4-4487-9B9F-9680ED7DBEC4}"/>
    <cellStyle name="Millares 2 2 7 4 2" xfId="5398" xr:uid="{39ECA393-7131-420A-8D54-43F0E109EDFF}"/>
    <cellStyle name="Millares 2 2 7 5" xfId="643" xr:uid="{2AD1A82B-4796-4984-94F5-9E83A1B9B360}"/>
    <cellStyle name="Millares 2 2 7 6" xfId="3892" xr:uid="{60F78E7E-360D-4B07-86AE-7C95677C8B9C}"/>
    <cellStyle name="Millares 2 2 8" xfId="821" xr:uid="{8E6E837A-4D5E-4950-A1F2-303EFF5461F4}"/>
    <cellStyle name="Millares 2 2 8 2" xfId="3050" xr:uid="{C9A4C60C-8E90-4ADF-8555-2E5174581180}"/>
    <cellStyle name="Millares 2 2 8 2 2" xfId="5056" xr:uid="{472DFB6C-C41E-4AB2-9579-C27D5B721B8E}"/>
    <cellStyle name="Millares 2 2 8 3" xfId="4094" xr:uid="{46E96732-5C46-408C-95EB-41B5B974DE01}"/>
    <cellStyle name="Millares 2 2 9" xfId="931" xr:uid="{BA6D6771-A112-4364-A551-575EC8795033}"/>
    <cellStyle name="Millares 2 3" xfId="95" xr:uid="{00000000-0005-0000-0000-000095000000}"/>
    <cellStyle name="Millares 2 3 2" xfId="395" xr:uid="{5E887AED-0A8A-49B6-B34F-01F84FCA3C67}"/>
    <cellStyle name="Millares 2 3 2 2" xfId="3153" xr:uid="{64FEB990-F958-4C2E-8947-4FF928DDD7D5}"/>
    <cellStyle name="Millares 2 3 2 2 2" xfId="5159" xr:uid="{B2B0A808-5E11-467F-BE35-B9423A5BDEE9}"/>
    <cellStyle name="Millares 2 3 2 3" xfId="932" xr:uid="{89C18F99-4AB5-4B87-BD20-8DF781C80663}"/>
    <cellStyle name="Millares 2 3 2 4" xfId="4197" xr:uid="{5992F52B-BE2F-4417-993B-07D1E5BD5F77}"/>
    <cellStyle name="Millares 2 3 2 5" xfId="5773" xr:uid="{B08004DF-CDA0-4903-9ACB-45E487F269CD}"/>
    <cellStyle name="Millares 2 3 3" xfId="373" xr:uid="{933D1E67-DA87-4C77-B3D7-BBFCD7005CA2}"/>
    <cellStyle name="Millares 2 3 3 2" xfId="2160" xr:uid="{D99D552A-F5D9-42FC-B9AC-E8049A8D8F1A}"/>
    <cellStyle name="Millares 2 3 4" xfId="3622" xr:uid="{952DA5A3-813E-4831-A466-E38758D60F3F}"/>
    <cellStyle name="Millares 2 3 5" xfId="3657" xr:uid="{3708E25F-DC8C-460E-BC16-331BD54B62F9}"/>
    <cellStyle name="Millares 2 3 6" xfId="5730" xr:uid="{DDE8C34E-59DC-404F-AFD9-00E13D2CD953}"/>
    <cellStyle name="Millares 2 4" xfId="100" xr:uid="{00000000-0005-0000-0000-000096000000}"/>
    <cellStyle name="Millares 2 4 2" xfId="116" xr:uid="{00000000-0005-0000-0000-000097000000}"/>
    <cellStyle name="Millares 2 4 2 2" xfId="5785" xr:uid="{D02DAF61-2DFC-410E-A000-55C5174E6117}"/>
    <cellStyle name="Millares 2 4 3" xfId="379" xr:uid="{080B0D3C-A5FF-4F9B-BA9A-22244848FCF7}"/>
    <cellStyle name="Millares 2 4 3 2" xfId="2167" xr:uid="{211BA838-3C44-42E2-9CCC-E1DC38E3E1B3}"/>
    <cellStyle name="Millares 2 4 3 3" xfId="5835" xr:uid="{A2FFA29E-775A-43AC-A53B-192FDF0DAFC4}"/>
    <cellStyle name="Millares 2 4 4" xfId="5726" xr:uid="{07EF9086-F258-4927-9377-3CF688BD1ADC}"/>
    <cellStyle name="Millares 2 5" xfId="75" xr:uid="{00000000-0005-0000-0000-000098000000}"/>
    <cellStyle name="Millares 2 5 2" xfId="356" xr:uid="{EB77D17B-1EE5-4229-9288-8CEABEB57347}"/>
    <cellStyle name="Millares 2 5 3" xfId="5744" xr:uid="{CBD6504B-4F83-4EC7-9300-33CB8EA15B83}"/>
    <cellStyle name="Millares 2 6" xfId="61" xr:uid="{00000000-0005-0000-0000-000099000000}"/>
    <cellStyle name="Millares 2 6 2" xfId="5797" xr:uid="{589A9DE1-1698-426D-B3A3-FDC9E23D7786}"/>
    <cellStyle name="Millares 2 7" xfId="637" xr:uid="{E7C07C3A-C272-404D-B39A-4B79A0E2DA35}"/>
    <cellStyle name="Millares 2 8" xfId="2073" xr:uid="{F5DAD00D-4DC5-405F-A0B3-5C8F305CCEAE}"/>
    <cellStyle name="Millares 2 8 2 2" xfId="342" xr:uid="{DA3F905C-9157-45FF-8126-3C3CBD5B6A44}"/>
    <cellStyle name="Millares 20" xfId="318" xr:uid="{2EAC8086-A52E-4E07-B9A6-8505D2953035}"/>
    <cellStyle name="Millares 20 2" xfId="456" xr:uid="{0FC32B92-3DE9-4379-B32B-90AAED7C8A16}"/>
    <cellStyle name="Millares 20 2 2" xfId="2415" xr:uid="{0E8DD43B-0C0E-4992-8552-17570B1FB728}"/>
    <cellStyle name="Millares 20 2 2 2" xfId="4420" xr:uid="{3C2F439A-BD5B-4A3E-B48C-EEF210E61758}"/>
    <cellStyle name="Millares 20 2 3" xfId="2832" xr:uid="{51FDD280-C8B8-4F1E-B1C4-99624A0B8271}"/>
    <cellStyle name="Millares 20 2 3 2" xfId="4838" xr:uid="{12DAC6EA-BBFB-4AB7-870D-0A6DF3B8598E}"/>
    <cellStyle name="Millares 20 2 4" xfId="3376" xr:uid="{2F0F5F77-DFE8-4F81-8B4F-05C8D22961DA}"/>
    <cellStyle name="Millares 20 2 4 2" xfId="5382" xr:uid="{3160EE5E-5169-4FDB-A179-15814C277CC4}"/>
    <cellStyle name="Millares 20 2 5" xfId="631" xr:uid="{DB76B345-28A8-4C26-BEBF-E48BC67057EA}"/>
    <cellStyle name="Millares 20 2 6" xfId="3876" xr:uid="{76ADD5B3-C428-4C57-B6F8-19BEF895D8F6}"/>
    <cellStyle name="Millares 20 2 7" xfId="5809" xr:uid="{009306C7-F03C-42FC-9D29-D78EB788A263}"/>
    <cellStyle name="Millares 20 3" xfId="816" xr:uid="{6E30077E-CA2E-4745-8EBF-D1C387BF58D2}"/>
    <cellStyle name="Millares 20 3 2" xfId="2626" xr:uid="{B9DD2674-EB8A-42C6-9F2A-44C7C948E587}"/>
    <cellStyle name="Millares 20 3 2 2" xfId="4632" xr:uid="{51CA059E-F79D-4E79-AEA3-2B30033BECF9}"/>
    <cellStyle name="Millares 20 3 3" xfId="3044" xr:uid="{1DC73604-A6DA-44D2-9ADE-C56D8EF5DA23}"/>
    <cellStyle name="Millares 20 3 3 2" xfId="5050" xr:uid="{65F166B1-5E7B-47BA-A10B-A6707F2E5E81}"/>
    <cellStyle name="Millares 20 3 4" xfId="3588" xr:uid="{FA05C203-22F6-4358-8871-3B3F3BD8416D}"/>
    <cellStyle name="Millares 20 3 4 2" xfId="5594" xr:uid="{32B68F5E-8029-4AB2-87F1-0F1179DD8B4F}"/>
    <cellStyle name="Millares 20 3 5" xfId="4088" xr:uid="{17C94E1B-5742-41B4-8894-915FB6B9AA50}"/>
    <cellStyle name="Millares 20 4" xfId="3603" xr:uid="{99D7E7B3-9F6C-49D2-87DB-4F87951F2532}"/>
    <cellStyle name="Millares 20 5" xfId="5701" xr:uid="{CC52BC85-AF97-4B72-8EA5-D4B900FD6E0A}"/>
    <cellStyle name="Millares 21" xfId="320" xr:uid="{B0950C5D-A6C9-4FD1-AB5B-4BFD70F57DFA}"/>
    <cellStyle name="Millares 21 2" xfId="457" xr:uid="{BF603069-A7B1-4797-B21B-2A518F184085}"/>
    <cellStyle name="Millares 212" xfId="2075" xr:uid="{6C210243-BB2E-4CB3-AFE8-26AB350901B5}"/>
    <cellStyle name="Millares 212 2" xfId="2184" xr:uid="{44CF010E-3A6D-43AB-B804-C5DFE04C6782}"/>
    <cellStyle name="Millares 212 2 2" xfId="3166" xr:uid="{9C11E46E-481B-4286-8506-4CED3F85CF13}"/>
    <cellStyle name="Millares 212 2 2 2" xfId="5172" xr:uid="{5BDA00B6-9156-4390-B5A6-9A017831545A}"/>
    <cellStyle name="Millares 212 2 3" xfId="3630" xr:uid="{803896D1-66D8-4FEF-A5E0-F3C9A91AB166}"/>
    <cellStyle name="Millares 212 2 3 2" xfId="5617" xr:uid="{A9D9660D-3DC5-40C0-B692-084A8CC60589}"/>
    <cellStyle name="Millares 212 2 4" xfId="4210" xr:uid="{EC17D6B2-BDCB-4360-9E1C-3475D951632C}"/>
    <cellStyle name="Millares 212 2 5" xfId="5775" xr:uid="{E90EC9EF-2365-4A74-81BB-8EB568F910F5}"/>
    <cellStyle name="Millares 212 3" xfId="3157" xr:uid="{83618184-BA94-4083-8BDC-D7A69169CA4E}"/>
    <cellStyle name="Millares 212 3 2" xfId="3639" xr:uid="{16A3ABB7-642A-49D7-AF46-7E46D2208B18}"/>
    <cellStyle name="Millares 212 3 2 2" xfId="5624" xr:uid="{17DBEA91-3423-45EC-A6D0-FC9077CFFF2E}"/>
    <cellStyle name="Millares 212 3 3" xfId="5163" xr:uid="{DECD4A59-74F1-467F-8CA4-A2ED106F11D3}"/>
    <cellStyle name="Millares 212 3 4" xfId="5747" xr:uid="{8B63E2FE-3027-4B8A-832E-FEF13E58716C}"/>
    <cellStyle name="Millares 212 4" xfId="3652" xr:uid="{CE978FFD-035F-4527-9153-E6D67C77977F}"/>
    <cellStyle name="Millares 212 4 2" xfId="5634" xr:uid="{238D877A-C132-44F6-B0F6-022D8505B1C6}"/>
    <cellStyle name="Millares 212 4 3" xfId="5840" xr:uid="{78BEAE2D-8556-43C9-A647-DB5D3F7C3E4B}"/>
    <cellStyle name="Millares 212 5" xfId="3595" xr:uid="{39E1BA82-BFAF-44EB-9D60-04A9AED9926E}"/>
    <cellStyle name="Millares 212 5 2" xfId="5599" xr:uid="{0AA6FC0E-3C27-4255-A8F6-486C66864BF6}"/>
    <cellStyle name="Millares 212 6" xfId="4201" xr:uid="{61C19AAC-E23C-465E-A4FF-AC1A742D7A12}"/>
    <cellStyle name="Millares 212 7" xfId="5731" xr:uid="{A48A959F-A2E6-4CC8-BDE4-61EFB2A44802}"/>
    <cellStyle name="Millares 22" xfId="322" xr:uid="{68728192-5C73-46B0-A5EB-39D2BD4DB79D}"/>
    <cellStyle name="Millares 22 2" xfId="435" xr:uid="{1B1A6D89-605F-446A-A6EC-D8C02D02A631}"/>
    <cellStyle name="Millares 22 2 2" xfId="2311" xr:uid="{1C10F664-E880-49C2-843D-664830FC302B}"/>
    <cellStyle name="Millares 22 2 3" xfId="4316" xr:uid="{D1DC96AE-172C-4E1D-8902-9062F23C47BB}"/>
    <cellStyle name="Millares 22 3" xfId="2728" xr:uid="{A8F0FBB3-AFF2-4D4E-88BF-557816328C4C}"/>
    <cellStyle name="Millares 22 3 2" xfId="4734" xr:uid="{9228EF6F-F0BF-45C9-9949-501FC6235BB4}"/>
    <cellStyle name="Millares 22 4" xfId="3272" xr:uid="{3AAA7CF3-6DB4-4C32-9089-2F3ACBCAA60A}"/>
    <cellStyle name="Millares 22 4 2" xfId="5278" xr:uid="{6F4DA071-6EB5-4465-B00A-3E6179D694B1}"/>
    <cellStyle name="Millares 22 5" xfId="3772" xr:uid="{87BE2230-8367-48D9-A743-DDD01697E9D6}"/>
    <cellStyle name="Millares 23" xfId="325" xr:uid="{A7702E2B-800F-4206-92F8-87A86BB0A044}"/>
    <cellStyle name="Millares 23 2" xfId="2313" xr:uid="{033F25AB-2F1A-4948-960B-60DFC0DE38C9}"/>
    <cellStyle name="Millares 23 2 2" xfId="4318" xr:uid="{E41A6974-DC3F-4D81-B36E-80E5A1F90E62}"/>
    <cellStyle name="Millares 23 3" xfId="2730" xr:uid="{8B7C3389-FEA5-4C91-A888-6546A9747583}"/>
    <cellStyle name="Millares 23 3 2" xfId="4736" xr:uid="{DB425EFB-BE53-41A1-AAF2-5B7E84E51544}"/>
    <cellStyle name="Millares 23 4" xfId="3274" xr:uid="{A2FE9251-57DF-4517-A002-9BE3E3F8396C}"/>
    <cellStyle name="Millares 23 4 2" xfId="5280" xr:uid="{19BB2CB2-C412-4507-936A-B70EF9458214}"/>
    <cellStyle name="Millares 23 5" xfId="3774" xr:uid="{7A53961A-F121-4C7B-96AA-57CAC28A9D4A}"/>
    <cellStyle name="Millares 24" xfId="328" xr:uid="{FB9304AE-A317-4338-8E78-2E3450F3F305}"/>
    <cellStyle name="Millares 24 2" xfId="2312" xr:uid="{1D9BAA57-9DE4-46BE-8BE9-E5FA9BBA13B8}"/>
    <cellStyle name="Millares 24 2 2" xfId="4317" xr:uid="{7378E794-6949-46CC-97C3-6B695605CC4A}"/>
    <cellStyle name="Millares 24 3" xfId="2729" xr:uid="{4ED5535E-B35B-445A-9521-646BC2052585}"/>
    <cellStyle name="Millares 24 3 2" xfId="4735" xr:uid="{ABEC316D-BE85-4DA9-A94D-498E6F4EA9F0}"/>
    <cellStyle name="Millares 24 4" xfId="3273" xr:uid="{EAC0FBE6-39C2-4F32-AE0F-4914D47CE269}"/>
    <cellStyle name="Millares 24 4 2" xfId="5279" xr:uid="{3EE7BA4A-9D50-4927-8A4A-D617A1204F4F}"/>
    <cellStyle name="Millares 24 5" xfId="3773" xr:uid="{40385557-82EF-4C97-A3E2-57539A240818}"/>
    <cellStyle name="Millares 25" xfId="332" xr:uid="{A34364F0-E321-4907-9870-DDC02B7E4072}"/>
    <cellStyle name="Millares 25 2" xfId="633" xr:uid="{FF541A5C-58E9-4FF6-8675-CB7E844FC59A}"/>
    <cellStyle name="Millares 26" xfId="347" xr:uid="{DB635C9B-0531-417D-BA40-7FE8ACED1F68}"/>
    <cellStyle name="Millares 26 2" xfId="917" xr:uid="{43CD63F4-F2D2-49A1-A953-3A9CF30E75D0}"/>
    <cellStyle name="Millares 27" xfId="327" xr:uid="{FBE30AAC-180E-4503-B886-5757D68F0397}"/>
    <cellStyle name="Millares 27 2" xfId="920" xr:uid="{0A8B755B-E93C-4E36-A11D-C723B3321F32}"/>
    <cellStyle name="Millares 28" xfId="330" xr:uid="{3D5557B9-36B1-4D73-A344-EC68E9B5FD2B}"/>
    <cellStyle name="Millares 28 2" xfId="919" xr:uid="{762E982C-E052-4A73-AEB9-8A932B015908}"/>
    <cellStyle name="Millares 29" xfId="329" xr:uid="{16E96D1A-F7FB-4CCE-8B9A-7781B1DD5EEB}"/>
    <cellStyle name="Millares 29 2" xfId="927" xr:uid="{9F5694ED-90AE-4184-8D68-608F475BBA35}"/>
    <cellStyle name="Millares 3" xfId="65" xr:uid="{00000000-0005-0000-0000-00009A000000}"/>
    <cellStyle name="Millares 3 11" xfId="2142" xr:uid="{D0AAC36C-F667-43AD-8F3F-F6643BD749A7}"/>
    <cellStyle name="Millares 3 11 2" xfId="2185" xr:uid="{BF79C09E-E3CE-4AD6-B1D8-1C45272E9A2D}"/>
    <cellStyle name="Millares 3 11 2 2" xfId="3167" xr:uid="{1CCDD1CC-6D6C-45C8-91F7-6CF47FA650AC}"/>
    <cellStyle name="Millares 3 11 2 2 2" xfId="5173" xr:uid="{09B611B9-F61B-4F23-B0CD-01409E8BF1FE}"/>
    <cellStyle name="Millares 3 11 2 3" xfId="3631" xr:uid="{D28D4FA1-54E1-4CE5-B7B0-111C939D1D71}"/>
    <cellStyle name="Millares 3 11 2 3 2" xfId="5618" xr:uid="{53E8F381-5FC2-4B91-A4CA-E56E33EF78E0}"/>
    <cellStyle name="Millares 3 11 2 4" xfId="4211" xr:uid="{D560108C-06D2-4D70-9BC2-C08589200D7C}"/>
    <cellStyle name="Millares 3 11 2 5" xfId="5778" xr:uid="{70ADF602-229F-424A-9824-C100629B099D}"/>
    <cellStyle name="Millares 3 11 3" xfId="5757" xr:uid="{DAB0589F-AF85-4E4C-9839-6380AAA60BE8}"/>
    <cellStyle name="Millares 3 2" xfId="77" xr:uid="{00000000-0005-0000-0000-00009B000000}"/>
    <cellStyle name="Millares 3 2 2" xfId="424" xr:uid="{92727CCF-C237-4637-AEF1-DEFD9F7A18AF}"/>
    <cellStyle name="Millares 3 2 2 2" xfId="3644" xr:uid="{AB4A67FB-3E74-43E2-B7DE-5A0BB3CF0D17}"/>
    <cellStyle name="Millares 3 2 2 2 2" xfId="5628" xr:uid="{1804A8CB-BF9D-4161-8760-B453EF627854}"/>
    <cellStyle name="Millares 3 2 2 2 3" xfId="5823" xr:uid="{77B510E0-274A-4E25-9D31-99FA133E1D44}"/>
    <cellStyle name="Millares 3 2 2 3" xfId="934" xr:uid="{2598EA28-8564-4649-8615-92A7FD386974}"/>
    <cellStyle name="Millares 3 2 2 4" xfId="5714" xr:uid="{8BBB155F-1C7A-4817-B53A-981B53E45D00}"/>
    <cellStyle name="Millares 3 2 3" xfId="388" xr:uid="{C293A310-0591-4D3B-8E29-2DBC79FE6001}"/>
    <cellStyle name="Millares 3 2 3 2" xfId="2168" xr:uid="{FF09A5A7-DC24-43F7-ADF9-7DC8D7CAD47D}"/>
    <cellStyle name="Millares 3 2 4" xfId="3626" xr:uid="{E9F9E132-E58E-431F-9A3D-56B358E7EC37}"/>
    <cellStyle name="Millares 3 2 4 2" xfId="5614" xr:uid="{BD4CF9E9-83D4-4484-8FD1-1C48568C9885}"/>
    <cellStyle name="Millares 3 3" xfId="343" xr:uid="{0A8D6440-8B25-4961-B9AB-7C36D3FE85D6}"/>
    <cellStyle name="Millares 3 3 2" xfId="385" xr:uid="{FB158A7A-7A3E-4159-810D-76546121E3C0}"/>
    <cellStyle name="Millares 3 3 2 2" xfId="2193" xr:uid="{D6D48AFD-540D-4B8C-99D8-CA633F3BFD31}"/>
    <cellStyle name="Millares 3 3 2 3" xfId="5819" xr:uid="{83284717-2050-4C7B-9DAC-BF62CE3F4AF2}"/>
    <cellStyle name="Millares 3 3 3" xfId="3638" xr:uid="{5F12AFE7-6653-424C-90B1-7D6B022EE091}"/>
    <cellStyle name="Millares 3 3 3 2" xfId="5623" xr:uid="{62F53AB1-396E-41C1-B29C-0C4431EF7915}"/>
    <cellStyle name="Millares 3 3 4" xfId="933" xr:uid="{E73AEBAF-DA77-4E11-AF27-D6008F45017E}"/>
    <cellStyle name="Millares 3 3 5" xfId="5710" xr:uid="{DA5F18D1-6EB5-4F84-BF94-EB4A7F7C6F20}"/>
    <cellStyle name="Millares 3 4" xfId="441" xr:uid="{55648D2F-5E6C-456C-9448-E1E6D83FF28A}"/>
    <cellStyle name="Millares 3 4 2" xfId="2155" xr:uid="{1738246C-040A-43EE-A079-FF66DD17C453}"/>
    <cellStyle name="Millares 3 4 3" xfId="5767" xr:uid="{D95317D1-5D8C-4B99-B318-DCA656EAB559}"/>
    <cellStyle name="Millares 3 5" xfId="360" xr:uid="{96378EB6-E628-4375-BACC-96013B24628A}"/>
    <cellStyle name="Millares 3 5 2" xfId="3608" xr:uid="{72B79FBA-FC47-49E5-86C6-7BEDAAE79EE4}"/>
    <cellStyle name="Millares 3 5 3" xfId="5801" xr:uid="{F447B103-5E07-4992-8FE5-9BA8A215B5DE}"/>
    <cellStyle name="Millares 30" xfId="350" xr:uid="{8A5D3151-E5A4-4D15-9F09-39A8F2FB4554}"/>
    <cellStyle name="Millares 30 2" xfId="936" xr:uid="{93A48908-7508-4976-926E-31430162A646}"/>
    <cellStyle name="Millares 31" xfId="324" xr:uid="{0495521E-60D3-49F2-A271-A224C9743F9F}"/>
    <cellStyle name="Millares 31 2" xfId="2060" xr:uid="{7B8FC6FC-D4AF-4365-AD85-4AA97F8E3489}"/>
    <cellStyle name="Millares 32" xfId="336" xr:uid="{6E1FC6BB-E4ED-4BCE-A9F4-E2C97162C7D8}"/>
    <cellStyle name="Millares 32 2" xfId="935" xr:uid="{2CD988BD-92A5-402F-B45B-59CB15BBD720}"/>
    <cellStyle name="Millares 33" xfId="2059" xr:uid="{B1BE7DA6-C9D1-4CAD-AB55-4F3A8A47EE39}"/>
    <cellStyle name="Millares 34" xfId="2025" xr:uid="{A4FFC788-FB49-40AB-A8BE-F0A629473620}"/>
    <cellStyle name="Millares 35" xfId="2058" xr:uid="{0B6E7CB3-E2A0-4649-B5FE-C12A2FE21295}"/>
    <cellStyle name="Millares 36" xfId="2026" xr:uid="{87C23D40-061A-466B-BF1E-5C7D31F53575}"/>
    <cellStyle name="Millares 37" xfId="2064" xr:uid="{E64A653A-94BF-498C-ADCB-F05FEA94D7EE}"/>
    <cellStyle name="Millares 38" xfId="2068" xr:uid="{1F8624D0-AB10-4172-9565-CE9B9D1E366F}"/>
    <cellStyle name="Millares 39" xfId="2063" xr:uid="{6D195046-DC65-4158-857D-1B122F2FE99B}"/>
    <cellStyle name="Millares 4" xfId="64" xr:uid="{00000000-0005-0000-0000-00009C000000}"/>
    <cellStyle name="Millares 4 2" xfId="133" xr:uid="{00000000-0005-0000-0000-00009D000000}"/>
    <cellStyle name="Millares 4 2 2" xfId="2169" xr:uid="{9817C040-D90A-45FB-ACC7-BEBB27FFCE63}"/>
    <cellStyle name="Millares 4 2 3" xfId="5770" xr:uid="{030C020B-5E5F-4590-98D7-A066F29B0F12}"/>
    <cellStyle name="Millares 4 3" xfId="121" xr:uid="{00000000-0005-0000-0000-00009E000000}"/>
    <cellStyle name="Millares 4 3 10" xfId="3197" xr:uid="{89D4DFC0-FE9F-4AAA-A7C8-2E84AA4878F2}"/>
    <cellStyle name="Millares 4 3 10 2" xfId="5203" xr:uid="{C8629851-EA5D-4307-847A-8E01E5B611CA}"/>
    <cellStyle name="Millares 4 3 11" xfId="3669" xr:uid="{B6077602-9E92-4D62-ABE3-69B0C6938BB3}"/>
    <cellStyle name="Millares 4 3 11 2" xfId="5647" xr:uid="{62B7F3EC-F63F-4418-9450-6A899A6706EC}"/>
    <cellStyle name="Millares 4 3 12" xfId="472" xr:uid="{5CEE3620-0998-4C76-A2DD-56DE514AB704}"/>
    <cellStyle name="Millares 4 3 13" xfId="3697" xr:uid="{57E8B1A3-F5CC-48DC-9C0B-326E97962C61}"/>
    <cellStyle name="Millares 4 3 2" xfId="210" xr:uid="{00000000-0005-0000-0000-00009F000000}"/>
    <cellStyle name="Millares 4 3 2 10" xfId="5830" xr:uid="{1E5612BB-1CA3-456F-8A32-B7D1035EA429}"/>
    <cellStyle name="Millares 4 3 2 2" xfId="311" xr:uid="{16877C51-6622-4719-9528-31D256BDE17F}"/>
    <cellStyle name="Millares 4 3 2 2 2" xfId="810" xr:uid="{B6812CB0-E42E-4D3B-B193-EA94C0E166CE}"/>
    <cellStyle name="Millares 4 3 2 2 2 2" xfId="2620" xr:uid="{2ED11F67-5E04-44B2-9210-D6970D6F82A5}"/>
    <cellStyle name="Millares 4 3 2 2 2 2 2" xfId="4626" xr:uid="{B1BE6541-CBB7-4EB7-B25F-1DC51E681375}"/>
    <cellStyle name="Millares 4 3 2 2 2 3" xfId="3038" xr:uid="{3AE5C2B6-74FF-4493-9015-88869780B44B}"/>
    <cellStyle name="Millares 4 3 2 2 2 3 2" xfId="5044" xr:uid="{0434E674-7380-4A40-975D-195557B973ED}"/>
    <cellStyle name="Millares 4 3 2 2 2 4" xfId="3582" xr:uid="{78340D1F-9401-44BA-BF81-994338AC1637}"/>
    <cellStyle name="Millares 4 3 2 2 2 4 2" xfId="5588" xr:uid="{8429072C-4111-44CC-8510-5A296E1A467A}"/>
    <cellStyle name="Millares 4 3 2 2 2 5" xfId="4082" xr:uid="{8282E9DC-97B7-4632-A655-865EF4A3F5F9}"/>
    <cellStyle name="Millares 4 3 2 2 3" xfId="2409" xr:uid="{88B141A2-D823-46E8-8C61-DA898E5C1D32}"/>
    <cellStyle name="Millares 4 3 2 2 3 2" xfId="4414" xr:uid="{B0E0AA15-D810-42AB-9257-C23DC748CE19}"/>
    <cellStyle name="Millares 4 3 2 2 4" xfId="2826" xr:uid="{E7FC1D53-E877-4A05-A5B8-858A0BC86BCF}"/>
    <cellStyle name="Millares 4 3 2 2 4 2" xfId="4832" xr:uid="{DB0A2F0A-592C-445A-AB94-0DF0BE64E1E7}"/>
    <cellStyle name="Millares 4 3 2 2 5" xfId="3370" xr:uid="{EFAF3537-4651-428C-A3FA-D4BAA49F0104}"/>
    <cellStyle name="Millares 4 3 2 2 5 2" xfId="5376" xr:uid="{E994A4C3-85F6-47E2-A73C-BCA5DFBCA453}"/>
    <cellStyle name="Millares 4 3 2 2 6" xfId="625" xr:uid="{B7FF8418-F348-4F8A-85AF-A30FA1AC0DD7}"/>
    <cellStyle name="Millares 4 3 2 2 7" xfId="3870" xr:uid="{71D039F6-7EF8-443C-B237-7FC83E80B617}"/>
    <cellStyle name="Millares 4 3 2 3" xfId="713" xr:uid="{7810C0C4-A488-46C2-BAE0-A43013B782C9}"/>
    <cellStyle name="Millares 4 3 2 3 2" xfId="2520" xr:uid="{FA3510EE-2E4D-47E5-BBA8-E5565948EAB3}"/>
    <cellStyle name="Millares 4 3 2 3 2 2" xfId="4526" xr:uid="{826A1516-7E26-431E-A912-77398DCABAFE}"/>
    <cellStyle name="Millares 4 3 2 3 3" xfId="2938" xr:uid="{2CC6BC78-794B-46BE-B3EC-4D65AF2D9879}"/>
    <cellStyle name="Millares 4 3 2 3 3 2" xfId="4944" xr:uid="{305DB40C-7BDC-4F9A-965B-EB85A4F0FDCA}"/>
    <cellStyle name="Millares 4 3 2 3 4" xfId="3482" xr:uid="{19DDC2CD-0119-400C-ACF8-285470D8FEB5}"/>
    <cellStyle name="Millares 4 3 2 3 4 2" xfId="5488" xr:uid="{59664C0B-C2A1-484F-A086-BA877F43D4EF}"/>
    <cellStyle name="Millares 4 3 2 3 5" xfId="3982" xr:uid="{6BA73848-72CC-4726-A72B-7D3CDD8CE423}"/>
    <cellStyle name="Millares 4 3 2 4" xfId="911" xr:uid="{99676EF7-B23D-43CD-B808-7DFA2489BFF4}"/>
    <cellStyle name="Millares 4 3 2 4 2" xfId="3140" xr:uid="{329268C5-00AA-4FE8-9C17-9C0B2EEDFC7F}"/>
    <cellStyle name="Millares 4 3 2 4 2 2" xfId="5146" xr:uid="{E415CACB-FF62-476C-93CF-6F0A45DF01DB}"/>
    <cellStyle name="Millares 4 3 2 4 3" xfId="4184" xr:uid="{1A8B3D92-0933-433F-943D-DC3B85A05960}"/>
    <cellStyle name="Millares 4 3 2 5" xfId="2305" xr:uid="{F176EE1D-C824-4C5F-9BB9-A50E7B128894}"/>
    <cellStyle name="Millares 4 3 2 5 2" xfId="4310" xr:uid="{0A414AD3-523E-4CEB-B4B4-54F112D4DDAB}"/>
    <cellStyle name="Millares 4 3 2 6" xfId="2722" xr:uid="{7744EE11-29F1-435E-BF05-52AADA0F2587}"/>
    <cellStyle name="Millares 4 3 2 6 2" xfId="4728" xr:uid="{7EAD8DF2-6058-4E27-97DB-230A976A74E6}"/>
    <cellStyle name="Millares 4 3 2 7" xfId="3266" xr:uid="{9E01C1AF-3718-4C3D-9254-2EBE9B657207}"/>
    <cellStyle name="Millares 4 3 2 7 2" xfId="5272" xr:uid="{F8475E95-2489-4164-A213-42676128F4C0}"/>
    <cellStyle name="Millares 4 3 2 8" xfId="526" xr:uid="{E68F3E41-5977-47F9-BD24-01F13BE3C5BD}"/>
    <cellStyle name="Millares 4 3 2 9" xfId="3766" xr:uid="{61865595-8C9E-4168-BA2B-8512DB6C7EE2}"/>
    <cellStyle name="Millares 4 3 3" xfId="164" xr:uid="{00000000-0005-0000-0000-0000A0000000}"/>
    <cellStyle name="Millares 4 3 3 2" xfId="270" xr:uid="{F8D317CD-4650-46A6-972F-53C9027E8AE1}"/>
    <cellStyle name="Millares 4 3 3 2 2" xfId="770" xr:uid="{66BD6CDC-8765-4A29-91CE-5D9B3183BBB0}"/>
    <cellStyle name="Millares 4 3 3 2 2 2" xfId="2579" xr:uid="{9205C2F6-E326-4DB8-97B1-E8D749F25546}"/>
    <cellStyle name="Millares 4 3 3 2 2 2 2" xfId="4585" xr:uid="{E47DED7D-4FBE-4AE3-B945-E7A317C588DA}"/>
    <cellStyle name="Millares 4 3 3 2 2 3" xfId="2997" xr:uid="{6CC404C4-6972-4B16-8EB9-6A200F328B2D}"/>
    <cellStyle name="Millares 4 3 3 2 2 3 2" xfId="5003" xr:uid="{553D8808-C4A2-4312-9146-155A5F785073}"/>
    <cellStyle name="Millares 4 3 3 2 2 4" xfId="3541" xr:uid="{3086804B-7CAB-4579-882D-EF1DAE61B3DD}"/>
    <cellStyle name="Millares 4 3 3 2 2 4 2" xfId="5547" xr:uid="{656C0C32-0BD5-4232-B685-F4F4BDC3C70C}"/>
    <cellStyle name="Millares 4 3 3 2 2 5" xfId="4041" xr:uid="{F512AE05-E2D0-4BBE-83E5-07D73A2B3260}"/>
    <cellStyle name="Millares 4 3 3 2 3" xfId="2368" xr:uid="{8D41B2F9-9B8B-4AF8-8008-B062583700B2}"/>
    <cellStyle name="Millares 4 3 3 2 3 2" xfId="4373" xr:uid="{079C1BC7-9163-4DDE-8689-3271F12E805E}"/>
    <cellStyle name="Millares 4 3 3 2 4" xfId="2785" xr:uid="{DE975EE2-2675-4A83-BB40-4CB198DE8080}"/>
    <cellStyle name="Millares 4 3 3 2 4 2" xfId="4791" xr:uid="{7B138AC2-874A-48AE-A37C-D0D4315AF023}"/>
    <cellStyle name="Millares 4 3 3 2 5" xfId="3329" xr:uid="{1C3CECBC-0B07-4AA8-A6DC-CCDB3861ACB6}"/>
    <cellStyle name="Millares 4 3 3 2 5 2" xfId="5335" xr:uid="{99B079C2-98F4-4247-9F19-7BA9CA4392CC}"/>
    <cellStyle name="Millares 4 3 3 2 6" xfId="585" xr:uid="{B939BA12-2214-438D-A483-954A03EAAE19}"/>
    <cellStyle name="Millares 4 3 3 2 7" xfId="3829" xr:uid="{76ADF2F3-6B81-4F63-8D6F-89CB7B5AC6BB}"/>
    <cellStyle name="Millares 4 3 3 3" xfId="680" xr:uid="{2AEEF6C1-6F96-4A2F-BFCF-CB806DC05862}"/>
    <cellStyle name="Millares 4 3 3 3 2" xfId="2479" xr:uid="{CA0BEFD6-D314-4B9F-9C9B-AE237A468C3E}"/>
    <cellStyle name="Millares 4 3 3 3 2 2" xfId="4485" xr:uid="{437B2D63-6515-4160-99DC-E82C9DF6C46E}"/>
    <cellStyle name="Millares 4 3 3 3 3" xfId="2897" xr:uid="{1F11AF1C-896A-4F3B-A514-D4FCA2986049}"/>
    <cellStyle name="Millares 4 3 3 3 3 2" xfId="4903" xr:uid="{864C891E-AB71-4F32-AF3C-B2283A5E41A8}"/>
    <cellStyle name="Millares 4 3 3 3 4" xfId="3441" xr:uid="{2D218556-DC6B-4206-838D-8C88F900221F}"/>
    <cellStyle name="Millares 4 3 3 3 4 2" xfId="5447" xr:uid="{1F61A67A-011D-4F10-968F-BD4DA292D5BF}"/>
    <cellStyle name="Millares 4 3 3 3 5" xfId="3941" xr:uid="{4C2AD370-48FC-41AC-9729-2DA16D85BEF5}"/>
    <cellStyle name="Millares 4 3 3 4" xfId="870" xr:uid="{FD8C1927-683D-4D06-AD5B-2F0701BE38C2}"/>
    <cellStyle name="Millares 4 3 3 4 2" xfId="3099" xr:uid="{269CAB6C-0B56-40FE-A9F0-2F92A8EC9C72}"/>
    <cellStyle name="Millares 4 3 3 4 2 2" xfId="5105" xr:uid="{5BBE064E-21F2-470C-9DCA-E1D21D751510}"/>
    <cellStyle name="Millares 4 3 3 4 3" xfId="4143" xr:uid="{9EB97BDF-2C69-4DF8-AEF3-0526A92C7637}"/>
    <cellStyle name="Millares 4 3 3 5" xfId="2264" xr:uid="{FF16000B-75C6-427B-AF51-A900F85967C9}"/>
    <cellStyle name="Millares 4 3 3 5 2" xfId="4269" xr:uid="{7DEF0FA6-1394-49D9-ADD8-5D1BC0CCA68C}"/>
    <cellStyle name="Millares 4 3 3 6" xfId="2681" xr:uid="{6FACCB21-0843-49A0-9CDC-F828CF8130AA}"/>
    <cellStyle name="Millares 4 3 3 6 2" xfId="4687" xr:uid="{47F09DFF-85A7-4A75-9B0F-9B1C50B41CE3}"/>
    <cellStyle name="Millares 4 3 3 7" xfId="3225" xr:uid="{95F454F3-0FBE-494F-BD47-1092542E0608}"/>
    <cellStyle name="Millares 4 3 3 7 2" xfId="5231" xr:uid="{0281F9F9-2524-4CAD-8610-0A642CC1F871}"/>
    <cellStyle name="Millares 4 3 3 8" xfId="493" xr:uid="{9C665ECD-7643-46C9-BC81-24F35EA7A828}"/>
    <cellStyle name="Millares 4 3 3 9" xfId="3725" xr:uid="{93EEECF5-60EF-420C-BA3D-BA792BC3C65D}"/>
    <cellStyle name="Millares 4 3 4" xfId="242" xr:uid="{98C14EFB-84AF-4C9D-BBEC-E50691005703}"/>
    <cellStyle name="Millares 4 3 4 2" xfId="742" xr:uid="{F9B7FD01-CEA5-4495-93DA-E7A0599727BC}"/>
    <cellStyle name="Millares 4 3 4 2 2" xfId="2551" xr:uid="{C17CC09E-BB95-4F41-847C-A0FEC516D8B2}"/>
    <cellStyle name="Millares 4 3 4 2 2 2" xfId="4557" xr:uid="{D2767A31-B5F1-4F4D-92CB-38819B03BF94}"/>
    <cellStyle name="Millares 4 3 4 2 3" xfId="2969" xr:uid="{6FF9B124-9DB2-4B23-844C-E101B968F4C0}"/>
    <cellStyle name="Millares 4 3 4 2 3 2" xfId="4975" xr:uid="{8AB2DEF5-7F23-4A6F-8E17-6656864D5E55}"/>
    <cellStyle name="Millares 4 3 4 2 4" xfId="3513" xr:uid="{9EF7B7C0-FF10-45A5-BFCC-2EABD982C289}"/>
    <cellStyle name="Millares 4 3 4 2 4 2" xfId="5519" xr:uid="{0BA10044-77FC-4456-80BD-12D9037330B8}"/>
    <cellStyle name="Millares 4 3 4 2 5" xfId="4013" xr:uid="{6965D641-AD16-443E-A763-A9166E952DB2}"/>
    <cellStyle name="Millares 4 3 4 3" xfId="2340" xr:uid="{E3177908-50C5-497B-865E-A8676A4DED0E}"/>
    <cellStyle name="Millares 4 3 4 3 2" xfId="4345" xr:uid="{36A0EC61-645C-42A7-8BEE-F9872972E425}"/>
    <cellStyle name="Millares 4 3 4 4" xfId="2757" xr:uid="{B514DED6-FCA6-409A-B698-7AC69A312199}"/>
    <cellStyle name="Millares 4 3 4 4 2" xfId="4763" xr:uid="{26FA99E0-CEC0-4094-BBAA-86EACF561796}"/>
    <cellStyle name="Millares 4 3 4 5" xfId="3301" xr:uid="{31CC062A-3EE3-4F07-B9BC-26994D370F42}"/>
    <cellStyle name="Millares 4 3 4 5 2" xfId="5307" xr:uid="{2B4EF7E5-3828-4DF0-AD60-9E5FE99BB5B3}"/>
    <cellStyle name="Millares 4 3 4 6" xfId="557" xr:uid="{B6FEFF72-EBB3-47E8-8328-0FC853741F92}"/>
    <cellStyle name="Millares 4 3 4 7" xfId="3801" xr:uid="{BBD23E6B-D437-4647-A7DA-33E88160684F}"/>
    <cellStyle name="Millares 4 3 5" xfId="384" xr:uid="{50651ED3-975F-478E-960C-30091BC96FCC}"/>
    <cellStyle name="Millares 4 3 5 2" xfId="2451" xr:uid="{EB8ACC2B-39F2-4E79-B99F-BE167155AF32}"/>
    <cellStyle name="Millares 4 3 5 2 2" xfId="4457" xr:uid="{F5E9AC55-6EA3-4D14-992A-5E5A5DEFC4FC}"/>
    <cellStyle name="Millares 4 3 5 3" xfId="2869" xr:uid="{AF556D61-4920-447F-8193-7DDF10FD9186}"/>
    <cellStyle name="Millares 4 3 5 3 2" xfId="4875" xr:uid="{87C7FF9A-A830-4DD5-89C4-8E932BDD1046}"/>
    <cellStyle name="Millares 4 3 5 4" xfId="3413" xr:uid="{D0D74C4D-A2D8-4EE3-8E75-A22E122EE2FC}"/>
    <cellStyle name="Millares 4 3 5 4 2" xfId="5419" xr:uid="{653E1614-4615-4A32-A5B1-F53D4620CB2A}"/>
    <cellStyle name="Millares 4 3 5 5" xfId="659" xr:uid="{AB45EADE-9CE3-460B-BF9D-6D43365300CC}"/>
    <cellStyle name="Millares 4 3 5 6" xfId="3913" xr:uid="{E31A0955-8FF3-4AED-9F2F-E22A1F450163}"/>
    <cellStyle name="Millares 4 3 6" xfId="842" xr:uid="{6AD6C96D-308A-48B2-8E7F-241D5AFFC5F4}"/>
    <cellStyle name="Millares 4 3 6 2" xfId="3071" xr:uid="{4335599E-6A54-42B0-89BC-6156F1647852}"/>
    <cellStyle name="Millares 4 3 6 2 2" xfId="5077" xr:uid="{3E1FEE4B-029A-4D4E-BC23-86C94BE63EA5}"/>
    <cellStyle name="Millares 4 3 6 3" xfId="4115" xr:uid="{2DA3BB67-1989-4D23-B1E0-45C38024BA61}"/>
    <cellStyle name="Millares 4 3 7" xfId="2198" xr:uid="{79794307-143D-476E-8FAD-FB76040C5EA0}"/>
    <cellStyle name="Millares 4 3 8" xfId="2236" xr:uid="{83F93853-7A46-472C-AF0D-245772B4F5C9}"/>
    <cellStyle name="Millares 4 3 8 2" xfId="4241" xr:uid="{2355691B-A647-495B-B8C4-9385F99FAC51}"/>
    <cellStyle name="Millares 4 3 9" xfId="2653" xr:uid="{A4AAC3E5-322A-42D8-AF67-13BF4D973C3A}"/>
    <cellStyle name="Millares 4 3 9 2" xfId="4659" xr:uid="{4CE9A75A-85F6-4EE3-A36D-BDBC104E28AD}"/>
    <cellStyle name="Millares 4 4" xfId="192" xr:uid="{00000000-0005-0000-0000-0000A1000000}"/>
    <cellStyle name="Millares 4 4 2" xfId="364" xr:uid="{188AC2E1-8A5D-4771-9DB4-208DA691D160}"/>
    <cellStyle name="Millares 4 4 3" xfId="5808" xr:uid="{0C0A0A88-0B50-4B34-A6BB-70E47D543332}"/>
    <cellStyle name="Millares 4 5" xfId="172" xr:uid="{00000000-0005-0000-0000-0000A2000000}"/>
    <cellStyle name="Millares 4 5 2" xfId="277" xr:uid="{B2D657AB-6D27-4C38-AE66-75230FD8AAF8}"/>
    <cellStyle name="Millares 4 5 2 2" xfId="776" xr:uid="{378559FA-3AEC-4A77-821A-84723A4E4CAE}"/>
    <cellStyle name="Millares 4 5 2 2 2" xfId="2586" xr:uid="{A6E0A19B-BA3F-4619-81DC-3B0F91978DCC}"/>
    <cellStyle name="Millares 4 5 2 2 2 2" xfId="4592" xr:uid="{3DC2C57F-F3EA-4AC2-8952-30FD934783EC}"/>
    <cellStyle name="Millares 4 5 2 2 3" xfId="3004" xr:uid="{70B3C3E9-41BE-4F2F-B8C3-6AD09099AE26}"/>
    <cellStyle name="Millares 4 5 2 2 3 2" xfId="5010" xr:uid="{22E6A5DE-CDD5-4EFC-87D4-B162E2966298}"/>
    <cellStyle name="Millares 4 5 2 2 4" xfId="3548" xr:uid="{753A3E4C-D647-48E1-9913-327833EC6EAB}"/>
    <cellStyle name="Millares 4 5 2 2 4 2" xfId="5554" xr:uid="{6F0C958A-CF35-4DA8-80C2-6B85DA003B82}"/>
    <cellStyle name="Millares 4 5 2 2 5" xfId="4048" xr:uid="{291601D2-5D3A-4B3C-86AF-9E3B97470679}"/>
    <cellStyle name="Millares 4 5 2 3" xfId="2375" xr:uid="{5A6E673C-EE13-4803-A2A8-DE7F6EED03DB}"/>
    <cellStyle name="Millares 4 5 2 3 2" xfId="4380" xr:uid="{5F50902E-5FA6-4594-8920-FADB752C7C5F}"/>
    <cellStyle name="Millares 4 5 2 4" xfId="2792" xr:uid="{79ACC578-2943-492A-A846-A9E243786939}"/>
    <cellStyle name="Millares 4 5 2 4 2" xfId="4798" xr:uid="{67E045E0-972E-4278-8910-806AA333D4E2}"/>
    <cellStyle name="Millares 4 5 2 5" xfId="3336" xr:uid="{BA8FE1A6-5DD0-4CA3-8773-DB1EADE6581B}"/>
    <cellStyle name="Millares 4 5 2 5 2" xfId="5342" xr:uid="{0FBC01C8-C2CE-4FA8-A3A5-C136F5F10769}"/>
    <cellStyle name="Millares 4 5 2 6" xfId="591" xr:uid="{91BE53F2-D98F-4BCC-9F79-EA9B512FA6DA}"/>
    <cellStyle name="Millares 4 5 2 7" xfId="3836" xr:uid="{4EB5EB29-F26B-4235-BA95-7D0E893329EB}"/>
    <cellStyle name="Millares 4 5 3" xfId="686" xr:uid="{FF88E770-EC96-4EE6-A213-EC933FEE9D4B}"/>
    <cellStyle name="Millares 4 5 3 2" xfId="2486" xr:uid="{0263B12C-EE0D-4A85-927C-BC51BEF7C88D}"/>
    <cellStyle name="Millares 4 5 3 2 2" xfId="4492" xr:uid="{2F7C1B74-6B4D-4931-A33A-78901F0E50F2}"/>
    <cellStyle name="Millares 4 5 3 3" xfId="2904" xr:uid="{7B381BF7-66AE-43DB-A56A-79215F376429}"/>
    <cellStyle name="Millares 4 5 3 3 2" xfId="4910" xr:uid="{962DD78D-044A-4A24-8E05-921C54D8625D}"/>
    <cellStyle name="Millares 4 5 3 4" xfId="3448" xr:uid="{686D5612-0EF4-472C-BBFA-018A7DC79DB1}"/>
    <cellStyle name="Millares 4 5 3 4 2" xfId="5454" xr:uid="{F951158A-724F-4A4B-BDF2-2CA0E044B039}"/>
    <cellStyle name="Millares 4 5 3 5" xfId="3948" xr:uid="{40F85344-EED7-4AF9-89CE-83492DFEBCF4}"/>
    <cellStyle name="Millares 4 5 4" xfId="877" xr:uid="{7D2CB3AE-0789-4EBD-8033-62F505ECDF4F}"/>
    <cellStyle name="Millares 4 5 4 2" xfId="3106" xr:uid="{F6F00DC7-8BE2-41BF-8936-9415FEED72BD}"/>
    <cellStyle name="Millares 4 5 4 2 2" xfId="5112" xr:uid="{6A3A6C53-4558-4022-AFE1-BC025D7F0745}"/>
    <cellStyle name="Millares 4 5 4 3" xfId="4150" xr:uid="{66B718DC-9CE5-4CE5-8685-CB51D2499469}"/>
    <cellStyle name="Millares 4 5 5" xfId="2271" xr:uid="{CC49C49C-761C-418E-A808-24C316A1C74A}"/>
    <cellStyle name="Millares 4 5 5 2" xfId="4276" xr:uid="{6A3DA29D-23C0-4A05-9B72-68D9B33D32FA}"/>
    <cellStyle name="Millares 4 5 6" xfId="2688" xr:uid="{EC840EDC-C977-4DC7-9383-FB4F47CC62C9}"/>
    <cellStyle name="Millares 4 5 6 2" xfId="4694" xr:uid="{CBCA5A75-0C9F-4E6C-90B2-1B54916BFB98}"/>
    <cellStyle name="Millares 4 5 7" xfId="3232" xr:uid="{E329B00C-FDC8-4E31-A178-D221B27A5604}"/>
    <cellStyle name="Millares 4 5 7 2" xfId="5238" xr:uid="{EC1416F0-F3E5-4FF5-9D9C-2FC3520FD4BD}"/>
    <cellStyle name="Millares 4 5 8" xfId="499" xr:uid="{A448153E-EF1F-4E22-A3F5-93AE137A852E}"/>
    <cellStyle name="Millares 4 5 9" xfId="3732" xr:uid="{93C343C0-CEB7-491B-831B-FDC34628D281}"/>
    <cellStyle name="Millares 4 6" xfId="2162" xr:uid="{DF638EC7-87DB-442E-9DFB-04A676D21961}"/>
    <cellStyle name="Millares 4 7" xfId="3640" xr:uid="{8256AE72-5334-4A37-BF6B-80D7518489D3}"/>
    <cellStyle name="Millares 4 7 2" xfId="5625" xr:uid="{019975ED-8D42-4376-A9F7-54729C6909A3}"/>
    <cellStyle name="Millares 40" xfId="2067" xr:uid="{ED3ED52A-B1A8-4854-B692-5B845E66DC43}"/>
    <cellStyle name="Millares 41" xfId="2062" xr:uid="{05B7ACE9-7335-4ACC-9D78-225AE2990741}"/>
    <cellStyle name="Millares 42" xfId="2066" xr:uid="{827702D8-EFB1-4BA1-9F45-C97B2098B2A8}"/>
    <cellStyle name="Millares 43" xfId="2061" xr:uid="{DF915391-D640-4EC0-A28A-3E411D3C56A3}"/>
    <cellStyle name="Millares 44" xfId="2065" xr:uid="{04941582-72DB-4EB4-B99B-DA0BAF2A4C0D}"/>
    <cellStyle name="Millares 45" xfId="2046" xr:uid="{BFB5702E-1B9A-4E00-B0BB-B7645D98B1CA}"/>
    <cellStyle name="Millares 45 2" xfId="3156" xr:uid="{92B8D2E2-E75E-4CDF-A85D-9038DF88F281}"/>
    <cellStyle name="Millares 45 2 2" xfId="5162" xr:uid="{C2420784-BA19-43DB-8D8E-948E81F8DFB5}"/>
    <cellStyle name="Millares 45 3" xfId="4200" xr:uid="{31158481-34B1-44C1-959B-5DD849221A02}"/>
    <cellStyle name="Millares 46" xfId="2161" xr:uid="{8976BA17-CCE4-454F-97CA-F8BEDFC46B58}"/>
    <cellStyle name="Millares 46 2" xfId="3158" xr:uid="{D6A56B3C-0D8F-449E-B070-BC698D74EC3B}"/>
    <cellStyle name="Millares 46 2 2" xfId="5164" xr:uid="{B874378A-55AF-4E84-9547-EDCB499B2186}"/>
    <cellStyle name="Millares 46 3" xfId="4202" xr:uid="{4AD2E377-CBF8-448B-BD1D-0E25E9AA0CAB}"/>
    <cellStyle name="Millares 47" xfId="2209" xr:uid="{91CE9A29-6935-4402-913B-7D2DB4B2F71C}"/>
    <cellStyle name="Millares 47 2" xfId="3170" xr:uid="{C8D94A3E-30AF-4861-BF36-51FA40AEAF1B}"/>
    <cellStyle name="Millares 47 2 2" xfId="5176" xr:uid="{138FAAA4-9DBB-484D-B48E-90E520D15E21}"/>
    <cellStyle name="Millares 47 3" xfId="4214" xr:uid="{549D43C6-2752-4384-AD45-D3C31DACC17F}"/>
    <cellStyle name="Millares 48" xfId="3594" xr:uid="{462C3686-902E-4AE5-BA27-6E1E1721D439}"/>
    <cellStyle name="Millares 48 2" xfId="5598" xr:uid="{23AE4560-4546-4DC1-A94F-91FECE6C9611}"/>
    <cellStyle name="Millares 49" xfId="3619" xr:uid="{09F2422B-BDB3-455A-9F5C-F12E21ACE2F0}"/>
    <cellStyle name="Millares 49 2" xfId="5607" xr:uid="{9BE1FBF4-BB61-4B05-AA1B-9AE54BDD431B}"/>
    <cellStyle name="Millares 5" xfId="67" xr:uid="{00000000-0005-0000-0000-0000A3000000}"/>
    <cellStyle name="Millares 5 2" xfId="137" xr:uid="{00000000-0005-0000-0000-0000A4000000}"/>
    <cellStyle name="Millares 5 2 2" xfId="2199" xr:uid="{5E5A3D0A-D258-46F3-A46C-0511B7E2F5CC}"/>
    <cellStyle name="Millares 5 2 3" xfId="3670" xr:uid="{EADE9239-2D8B-4FF1-ADDB-8F1A13220C6E}"/>
    <cellStyle name="Millares 5 2 3 2" xfId="5648" xr:uid="{253523CB-01A9-485F-B2E6-1942598D3208}"/>
    <cellStyle name="Millares 5 2 4" xfId="5772" xr:uid="{F2AB8CE7-8D3E-4BB1-8C90-1AD75531A124}"/>
    <cellStyle name="Millares 5 3" xfId="129" xr:uid="{00000000-0005-0000-0000-0000A5000000}"/>
    <cellStyle name="Millares 5 3 10" xfId="473" xr:uid="{305792EB-6226-4EF4-9151-35BA584D0B92}"/>
    <cellStyle name="Millares 5 3 11" xfId="3698" xr:uid="{23DA3B22-4373-4682-BBC3-1C5D0E629043}"/>
    <cellStyle name="Millares 5 3 12" xfId="5811" xr:uid="{14E524D7-94AD-4FAB-8FB0-2E30A3ED9BAB}"/>
    <cellStyle name="Millares 5 3 2" xfId="211" xr:uid="{00000000-0005-0000-0000-0000A6000000}"/>
    <cellStyle name="Millares 5 3 2 2" xfId="312" xr:uid="{4B6B9331-7887-442E-952F-45B10A13037E}"/>
    <cellStyle name="Millares 5 3 2 2 2" xfId="811" xr:uid="{4D9D5B26-17EB-4DF4-B0AD-BD14FB9B7169}"/>
    <cellStyle name="Millares 5 3 2 2 2 2" xfId="2621" xr:uid="{387C1BF2-2AA1-40B8-B756-ED11BF178CFB}"/>
    <cellStyle name="Millares 5 3 2 2 2 2 2" xfId="4627" xr:uid="{C4DEEAB2-8F04-4A6C-A166-D1797540A7A1}"/>
    <cellStyle name="Millares 5 3 2 2 2 3" xfId="3039" xr:uid="{4A34EA89-040B-44BA-8FD3-7B755123FEF7}"/>
    <cellStyle name="Millares 5 3 2 2 2 3 2" xfId="5045" xr:uid="{E82FD29D-F704-4CC4-9B8F-1CC195B4680B}"/>
    <cellStyle name="Millares 5 3 2 2 2 4" xfId="3583" xr:uid="{92A502B8-E5D0-46D1-B5B6-40F41FD83099}"/>
    <cellStyle name="Millares 5 3 2 2 2 4 2" xfId="5589" xr:uid="{A83F7D89-AFBD-46C0-B892-BEAABF6C49F4}"/>
    <cellStyle name="Millares 5 3 2 2 2 5" xfId="4083" xr:uid="{44C81DA1-2976-4257-A437-B15554457FCE}"/>
    <cellStyle name="Millares 5 3 2 2 3" xfId="2410" xr:uid="{281FC95A-57C2-4D00-9C01-6B7EFF515713}"/>
    <cellStyle name="Millares 5 3 2 2 3 2" xfId="4415" xr:uid="{FB38AB1F-220A-4C45-B9F3-E5B47C72150C}"/>
    <cellStyle name="Millares 5 3 2 2 4" xfId="2827" xr:uid="{DB96A152-81F7-47C3-BCFA-4A8D2BB124EA}"/>
    <cellStyle name="Millares 5 3 2 2 4 2" xfId="4833" xr:uid="{D1D5B445-91EF-4210-A4C4-00F0A0CDE075}"/>
    <cellStyle name="Millares 5 3 2 2 5" xfId="3371" xr:uid="{60B52F00-46EA-4C6F-8A95-7BCDA8AE7886}"/>
    <cellStyle name="Millares 5 3 2 2 5 2" xfId="5377" xr:uid="{954B02DE-B2A6-4A0A-B4C1-258FC64CE65E}"/>
    <cellStyle name="Millares 5 3 2 2 6" xfId="626" xr:uid="{225F731C-58A4-44E5-876E-F65467F26D21}"/>
    <cellStyle name="Millares 5 3 2 2 7" xfId="3871" xr:uid="{A32E8DCF-E2D5-4EFF-903E-8354E3DE8C54}"/>
    <cellStyle name="Millares 5 3 2 3" xfId="714" xr:uid="{71E036F2-4F50-4405-A16C-E0743B44498A}"/>
    <cellStyle name="Millares 5 3 2 3 2" xfId="2521" xr:uid="{A8FDCB3A-B4F9-4A67-B65B-A8438A5BF6AE}"/>
    <cellStyle name="Millares 5 3 2 3 2 2" xfId="4527" xr:uid="{B5ABCAFA-29AF-4C9B-AFE8-C297B91F267B}"/>
    <cellStyle name="Millares 5 3 2 3 3" xfId="2939" xr:uid="{7D33A9ED-1C91-484A-81C9-81BE2AB3F2C1}"/>
    <cellStyle name="Millares 5 3 2 3 3 2" xfId="4945" xr:uid="{AD5FA09A-039C-4F8D-B364-97E7EAE788FA}"/>
    <cellStyle name="Millares 5 3 2 3 4" xfId="3483" xr:uid="{619FBC80-CD3B-4996-8370-0BB3E5670CFD}"/>
    <cellStyle name="Millares 5 3 2 3 4 2" xfId="5489" xr:uid="{3766BADC-63D5-45CF-922A-2CC43DD2A43C}"/>
    <cellStyle name="Millares 5 3 2 3 5" xfId="3983" xr:uid="{C5C18304-D64E-4683-96E5-E5545445AB05}"/>
    <cellStyle name="Millares 5 3 2 4" xfId="912" xr:uid="{54F59026-DDBB-418E-B1CD-FA194858659D}"/>
    <cellStyle name="Millares 5 3 2 4 2" xfId="3141" xr:uid="{06BB5978-E046-47CC-ABFF-F79472E6F447}"/>
    <cellStyle name="Millares 5 3 2 4 2 2" xfId="5147" xr:uid="{5C1BB045-C305-4DC4-BD38-75841CF09748}"/>
    <cellStyle name="Millares 5 3 2 4 3" xfId="4185" xr:uid="{C195A482-4C19-401F-B09E-403E242E8A30}"/>
    <cellStyle name="Millares 5 3 2 5" xfId="2306" xr:uid="{2ACD8AD4-1064-41D5-BD78-A4831A1D8ABB}"/>
    <cellStyle name="Millares 5 3 2 5 2" xfId="4311" xr:uid="{57AB72CD-032E-44EF-A8C1-BE5BDCD35CD2}"/>
    <cellStyle name="Millares 5 3 2 6" xfId="2723" xr:uid="{CE8BFEF0-94D4-487E-B354-20885EAC1900}"/>
    <cellStyle name="Millares 5 3 2 6 2" xfId="4729" xr:uid="{8762CBC6-FD0A-452B-8565-08C4170F2BE6}"/>
    <cellStyle name="Millares 5 3 2 7" xfId="3267" xr:uid="{C6F8F74B-6291-49EF-AB30-7F718546E476}"/>
    <cellStyle name="Millares 5 3 2 7 2" xfId="5273" xr:uid="{AC65E574-BD84-45E5-86BE-31B35CA32C3C}"/>
    <cellStyle name="Millares 5 3 2 8" xfId="527" xr:uid="{60F2C400-F6B2-4F78-9362-F9CEBEB4FC0C}"/>
    <cellStyle name="Millares 5 3 2 9" xfId="3767" xr:uid="{06DB25E4-E2F2-43EF-9118-2F97F18AA40F}"/>
    <cellStyle name="Millares 5 3 3" xfId="165" xr:uid="{00000000-0005-0000-0000-0000A7000000}"/>
    <cellStyle name="Millares 5 3 3 2" xfId="271" xr:uid="{10AFC5D7-FECD-441F-B830-661980E926A8}"/>
    <cellStyle name="Millares 5 3 3 2 2" xfId="771" xr:uid="{5665CCA4-2AAD-4B6E-AA20-DCC259ECD733}"/>
    <cellStyle name="Millares 5 3 3 2 2 2" xfId="2580" xr:uid="{169E0F6D-345B-4EA8-B035-903884CAB568}"/>
    <cellStyle name="Millares 5 3 3 2 2 2 2" xfId="4586" xr:uid="{21EAE379-9FD0-44F2-82AD-EF14B16E743B}"/>
    <cellStyle name="Millares 5 3 3 2 2 3" xfId="2998" xr:uid="{678CD377-1133-467A-B8BC-D177DD50627F}"/>
    <cellStyle name="Millares 5 3 3 2 2 3 2" xfId="5004" xr:uid="{66B79382-D20A-4482-94B2-D12D0E16131B}"/>
    <cellStyle name="Millares 5 3 3 2 2 4" xfId="3542" xr:uid="{6930A552-85DA-4C65-9893-E1E01099E265}"/>
    <cellStyle name="Millares 5 3 3 2 2 4 2" xfId="5548" xr:uid="{7EA37149-47D7-4FA8-A742-4CCB92F461A4}"/>
    <cellStyle name="Millares 5 3 3 2 2 5" xfId="4042" xr:uid="{BB8DD3A8-88A0-4BE7-A2CA-34340D2C0703}"/>
    <cellStyle name="Millares 5 3 3 2 3" xfId="2369" xr:uid="{14603CEA-F651-470A-8103-0683F6745865}"/>
    <cellStyle name="Millares 5 3 3 2 3 2" xfId="4374" xr:uid="{7A84B0EB-9DAF-405B-BF17-5700ECC69B1C}"/>
    <cellStyle name="Millares 5 3 3 2 4" xfId="2786" xr:uid="{96D693BD-4734-43FC-901A-1459B51694DC}"/>
    <cellStyle name="Millares 5 3 3 2 4 2" xfId="4792" xr:uid="{9898A2C0-AA01-44E7-901D-23FEC439BB9D}"/>
    <cellStyle name="Millares 5 3 3 2 5" xfId="3330" xr:uid="{C561571D-DF6B-45DE-9459-2A1E52412AFA}"/>
    <cellStyle name="Millares 5 3 3 2 5 2" xfId="5336" xr:uid="{60505CC2-9F78-4BF9-A3AA-6D1D201B4BF4}"/>
    <cellStyle name="Millares 5 3 3 2 6" xfId="586" xr:uid="{67554C23-3FED-4E4F-A582-8BBA91CE0C0B}"/>
    <cellStyle name="Millares 5 3 3 2 7" xfId="3830" xr:uid="{D25AB147-C5AD-4CBF-83C7-428212C64023}"/>
    <cellStyle name="Millares 5 3 3 3" xfId="681" xr:uid="{A0060729-9DE4-4867-982D-6BA1B7F17365}"/>
    <cellStyle name="Millares 5 3 3 3 2" xfId="2480" xr:uid="{04F0116C-9953-4D60-A0C5-4ECC16F1878C}"/>
    <cellStyle name="Millares 5 3 3 3 2 2" xfId="4486" xr:uid="{5CEF7DC7-5A07-4FA8-AD72-0C7C87C95CE6}"/>
    <cellStyle name="Millares 5 3 3 3 3" xfId="2898" xr:uid="{D36165BF-1223-4955-8D4F-C26BB62F0C93}"/>
    <cellStyle name="Millares 5 3 3 3 3 2" xfId="4904" xr:uid="{CD649306-F5A8-4601-A9ED-279A08D9A9E7}"/>
    <cellStyle name="Millares 5 3 3 3 4" xfId="3442" xr:uid="{79B1F654-12CF-444E-B53A-4F851074E168}"/>
    <cellStyle name="Millares 5 3 3 3 4 2" xfId="5448" xr:uid="{951442BC-6D6C-4930-BEE5-08500F5C6043}"/>
    <cellStyle name="Millares 5 3 3 3 5" xfId="3942" xr:uid="{EBC985F1-55BB-4E77-A9B4-5CC59BA2D3E7}"/>
    <cellStyle name="Millares 5 3 3 4" xfId="871" xr:uid="{4EADCDCD-4005-4D09-A08D-4E49313F6DDB}"/>
    <cellStyle name="Millares 5 3 3 4 2" xfId="3100" xr:uid="{E5DD7750-5C14-4727-BC4D-1295A4F24733}"/>
    <cellStyle name="Millares 5 3 3 4 2 2" xfId="5106" xr:uid="{6DF44855-1101-4F0F-AEBE-47F59EA4CA82}"/>
    <cellStyle name="Millares 5 3 3 4 3" xfId="4144" xr:uid="{34C4F6DA-09CB-4918-9146-8807B9370AFA}"/>
    <cellStyle name="Millares 5 3 3 5" xfId="2265" xr:uid="{58976693-C79B-464A-8C19-A0C2199AA650}"/>
    <cellStyle name="Millares 5 3 3 5 2" xfId="4270" xr:uid="{B067930A-54B6-4960-9A0E-951D4B4E9601}"/>
    <cellStyle name="Millares 5 3 3 6" xfId="2682" xr:uid="{BA28A88D-9864-4E95-9150-E142A0049D36}"/>
    <cellStyle name="Millares 5 3 3 6 2" xfId="4688" xr:uid="{2F778052-8C28-4498-8F0F-060E016790DB}"/>
    <cellStyle name="Millares 5 3 3 7" xfId="3226" xr:uid="{C9F0B585-04CE-45E9-B1E2-B332294A0CB5}"/>
    <cellStyle name="Millares 5 3 3 7 2" xfId="5232" xr:uid="{A376E010-C703-418D-9A58-7CC12F834725}"/>
    <cellStyle name="Millares 5 3 3 8" xfId="494" xr:uid="{A50393CC-3E58-4346-BEBF-14FEAA4A6EF7}"/>
    <cellStyle name="Millares 5 3 3 9" xfId="3726" xr:uid="{D8DB7928-3BCF-462D-8312-69AAE61FECFA}"/>
    <cellStyle name="Millares 5 3 4" xfId="243" xr:uid="{FE68CEBC-1119-47E9-9CB5-F6BFC970DC83}"/>
    <cellStyle name="Millares 5 3 4 2" xfId="743" xr:uid="{DA1B309B-8953-4404-A9D4-7B568AB1C64E}"/>
    <cellStyle name="Millares 5 3 4 2 2" xfId="2552" xr:uid="{1ECB7171-42D8-4DEB-A0F7-A81B00735600}"/>
    <cellStyle name="Millares 5 3 4 2 2 2" xfId="4558" xr:uid="{76732023-8F58-49AB-8BEF-01EB76998BA0}"/>
    <cellStyle name="Millares 5 3 4 2 3" xfId="2970" xr:uid="{71E44804-BB7B-4184-AA66-50EB51969B6F}"/>
    <cellStyle name="Millares 5 3 4 2 3 2" xfId="4976" xr:uid="{E3F72A8A-FE6E-4229-9138-584B90809878}"/>
    <cellStyle name="Millares 5 3 4 2 4" xfId="3514" xr:uid="{C21F72D5-8926-4674-A021-38729C06BE7F}"/>
    <cellStyle name="Millares 5 3 4 2 4 2" xfId="5520" xr:uid="{D8F881EC-42A8-4B3A-B086-D1B8C4EC4B9B}"/>
    <cellStyle name="Millares 5 3 4 2 5" xfId="4014" xr:uid="{9D7FD949-D815-4295-8764-F805F64283F6}"/>
    <cellStyle name="Millares 5 3 4 3" xfId="2341" xr:uid="{9F9AEAFA-0CC2-42A3-92FD-EDF3AD9ECA4A}"/>
    <cellStyle name="Millares 5 3 4 3 2" xfId="4346" xr:uid="{4F47DED8-015C-4901-AD80-3C386E9F3632}"/>
    <cellStyle name="Millares 5 3 4 4" xfId="2758" xr:uid="{854839FC-0100-4D11-B237-72397B5C845F}"/>
    <cellStyle name="Millares 5 3 4 4 2" xfId="4764" xr:uid="{26389317-C0EE-435C-95AD-A658B04FBA1E}"/>
    <cellStyle name="Millares 5 3 4 5" xfId="3302" xr:uid="{3487D6F4-2DDE-4637-B3D2-9765248A40A4}"/>
    <cellStyle name="Millares 5 3 4 5 2" xfId="5308" xr:uid="{BDD82B68-B2B5-4138-87C0-84A06C05B438}"/>
    <cellStyle name="Millares 5 3 4 6" xfId="558" xr:uid="{5ED7EB27-5FF9-40D2-BE59-D48585C6EE41}"/>
    <cellStyle name="Millares 5 3 4 7" xfId="3802" xr:uid="{1BD19D98-1998-4EE8-BF12-B486E28EA597}"/>
    <cellStyle name="Millares 5 3 5" xfId="660" xr:uid="{492645AA-F057-4366-8E55-1170719681FF}"/>
    <cellStyle name="Millares 5 3 5 2" xfId="2452" xr:uid="{DB644CE4-2349-4B9A-8E1B-AC8D992ABD52}"/>
    <cellStyle name="Millares 5 3 5 2 2" xfId="4458" xr:uid="{7A222BDA-5629-479D-923D-8BEE5D3D1DD1}"/>
    <cellStyle name="Millares 5 3 5 3" xfId="2870" xr:uid="{C998FDE1-51EC-4A27-B21D-A8F1E64347CF}"/>
    <cellStyle name="Millares 5 3 5 3 2" xfId="4876" xr:uid="{91B13F08-05D0-4EA9-94F3-6426CEC9F234}"/>
    <cellStyle name="Millares 5 3 5 4" xfId="3414" xr:uid="{56BAD656-61D5-430D-B8E2-B8D31692494A}"/>
    <cellStyle name="Millares 5 3 5 4 2" xfId="5420" xr:uid="{7DB114FE-154F-4486-9777-31C8C588AE51}"/>
    <cellStyle name="Millares 5 3 5 5" xfId="3914" xr:uid="{DBA81B86-B036-4599-86CC-BA13F3D9E873}"/>
    <cellStyle name="Millares 5 3 6" xfId="843" xr:uid="{46F704B6-418E-4873-93F2-DC025DEA1975}"/>
    <cellStyle name="Millares 5 3 6 2" xfId="3072" xr:uid="{E3F9C66D-FB10-486B-B04C-0D6A416DF699}"/>
    <cellStyle name="Millares 5 3 6 2 2" xfId="5078" xr:uid="{8FABC17D-7895-4AB6-971B-01DB4D2AC5F4}"/>
    <cellStyle name="Millares 5 3 6 3" xfId="4116" xr:uid="{10B0CA7E-5C69-453A-8158-4D74071FF7FA}"/>
    <cellStyle name="Millares 5 3 7" xfId="2237" xr:uid="{78363E81-956A-4077-B81E-BCBBCAC0A6B5}"/>
    <cellStyle name="Millares 5 3 7 2" xfId="4242" xr:uid="{781337EF-B90C-4F30-A604-6D694922C198}"/>
    <cellStyle name="Millares 5 3 8" xfId="2654" xr:uid="{C7C1E2DD-3158-4838-856D-EC8ED1D5601F}"/>
    <cellStyle name="Millares 5 3 8 2" xfId="4660" xr:uid="{49049136-14F8-4447-BD62-94578D3B98EA}"/>
    <cellStyle name="Millares 5 3 9" xfId="3198" xr:uid="{4643570E-1CBE-4F88-9E14-DDA2B2B56BCB}"/>
    <cellStyle name="Millares 5 3 9 2" xfId="5204" xr:uid="{638DFE73-D0D0-4B2F-886A-2630D92C927D}"/>
    <cellStyle name="Millares 5 4" xfId="191" xr:uid="{00000000-0005-0000-0000-0000A8000000}"/>
    <cellStyle name="Millares 5 5" xfId="180" xr:uid="{00000000-0005-0000-0000-0000A9000000}"/>
    <cellStyle name="Millares 5 5 2" xfId="285" xr:uid="{E17EA94A-D7CE-4718-82B5-C2DCF9229307}"/>
    <cellStyle name="Millares 5 5 2 2" xfId="784" xr:uid="{7E3B2C58-DCA2-422D-AD9C-D31F9D39AE15}"/>
    <cellStyle name="Millares 5 5 2 2 2" xfId="2594" xr:uid="{8E73F900-6C61-4BE6-9163-AC3DD4EA8CAC}"/>
    <cellStyle name="Millares 5 5 2 2 2 2" xfId="4600" xr:uid="{E64059F3-61CA-4A9B-81EE-F4D67792C18F}"/>
    <cellStyle name="Millares 5 5 2 2 3" xfId="3012" xr:uid="{EF059483-EA87-4856-BF92-C84257753893}"/>
    <cellStyle name="Millares 5 5 2 2 3 2" xfId="5018" xr:uid="{97E8D5F1-B53F-4E22-8CC9-408F2114C080}"/>
    <cellStyle name="Millares 5 5 2 2 4" xfId="3556" xr:uid="{F5C9B331-46D5-429D-B18A-124F8C7E9880}"/>
    <cellStyle name="Millares 5 5 2 2 4 2" xfId="5562" xr:uid="{14826608-9BDF-430C-9250-4DE0D9E0D722}"/>
    <cellStyle name="Millares 5 5 2 2 5" xfId="4056" xr:uid="{58586DC5-5FE7-4160-B7E6-535EF4768128}"/>
    <cellStyle name="Millares 5 5 2 3" xfId="2383" xr:uid="{DCE47831-DA7F-4241-93AF-BF9C2350EBEA}"/>
    <cellStyle name="Millares 5 5 2 3 2" xfId="4388" xr:uid="{7B55A1EA-D817-4407-A9C7-6E78F305725B}"/>
    <cellStyle name="Millares 5 5 2 4" xfId="2800" xr:uid="{3213A4B6-DE65-4AD8-8E42-A2E5B9132C97}"/>
    <cellStyle name="Millares 5 5 2 4 2" xfId="4806" xr:uid="{9AB4F3A4-FDE2-47FD-8E60-16AD4E6305CC}"/>
    <cellStyle name="Millares 5 5 2 5" xfId="3344" xr:uid="{45DA86C8-CC3F-4562-9C63-7A6EC8EA5AB7}"/>
    <cellStyle name="Millares 5 5 2 5 2" xfId="5350" xr:uid="{8653114B-67C6-4781-AE40-7F153D19E5C7}"/>
    <cellStyle name="Millares 5 5 2 6" xfId="599" xr:uid="{CE6EA289-40A5-42AF-8D7D-85536245649E}"/>
    <cellStyle name="Millares 5 5 2 7" xfId="3844" xr:uid="{43DB7BA6-4E52-47C7-9E43-312947D5E60B}"/>
    <cellStyle name="Millares 5 5 3" xfId="693" xr:uid="{AACDA9C8-1DB4-4BC1-A920-07AAACDA64D5}"/>
    <cellStyle name="Millares 5 5 3 2" xfId="2494" xr:uid="{99D91934-CE6B-4530-B20F-D072664FD93E}"/>
    <cellStyle name="Millares 5 5 3 2 2" xfId="4500" xr:uid="{A47BE64B-8F2A-4914-8241-162063C0A428}"/>
    <cellStyle name="Millares 5 5 3 3" xfId="2912" xr:uid="{943FD930-E56E-4680-B920-0CA3D8C05DA6}"/>
    <cellStyle name="Millares 5 5 3 3 2" xfId="4918" xr:uid="{83271FDC-4A44-4153-8A6F-B36DD982EE46}"/>
    <cellStyle name="Millares 5 5 3 4" xfId="3456" xr:uid="{B47D4B97-6449-4A45-B2A2-8ADF8033FF0F}"/>
    <cellStyle name="Millares 5 5 3 4 2" xfId="5462" xr:uid="{9C3E333E-7CDE-4657-BDF7-AD924275B98C}"/>
    <cellStyle name="Millares 5 5 3 5" xfId="3956" xr:uid="{E58E162A-A13C-47D8-88EB-50B39CD89AC3}"/>
    <cellStyle name="Millares 5 5 4" xfId="885" xr:uid="{C03343FA-EB58-4FA3-8FDC-7E7B6ED52B3F}"/>
    <cellStyle name="Millares 5 5 4 2" xfId="3114" xr:uid="{70918707-3920-4744-B6B1-89632D04E94B}"/>
    <cellStyle name="Millares 5 5 4 2 2" xfId="5120" xr:uid="{38D366DC-78C1-4FF3-9D58-0BCCABC9093E}"/>
    <cellStyle name="Millares 5 5 4 3" xfId="4158" xr:uid="{C1CA0866-A29B-485E-A0F9-21646426C4D8}"/>
    <cellStyle name="Millares 5 5 5" xfId="2279" xr:uid="{DC721383-0501-41A5-852C-101536367449}"/>
    <cellStyle name="Millares 5 5 5 2" xfId="4284" xr:uid="{A977F07F-9E2F-4EF3-8ADD-D256FC61341C}"/>
    <cellStyle name="Millares 5 5 6" xfId="2696" xr:uid="{72CD8D35-B513-464B-B93B-4CE160137B5B}"/>
    <cellStyle name="Millares 5 5 6 2" xfId="4702" xr:uid="{FE6754E5-E8C2-473B-B85F-72EC9F46327C}"/>
    <cellStyle name="Millares 5 5 7" xfId="3240" xr:uid="{D9E0F3C2-B436-43F2-BB37-A9AAB3C501AC}"/>
    <cellStyle name="Millares 5 5 7 2" xfId="5246" xr:uid="{8EB4F45A-B582-42A4-9040-E069891C91CF}"/>
    <cellStyle name="Millares 5 5 8" xfId="506" xr:uid="{D4FA7B42-1BE4-4E1B-86A5-83A19A450536}"/>
    <cellStyle name="Millares 5 5 9" xfId="3740" xr:uid="{0C1A5412-FF25-4BED-A0B4-2876A424719F}"/>
    <cellStyle name="Millares 5 6" xfId="370" xr:uid="{E02ACB48-0E6B-4D1C-B538-C59FE58FE605}"/>
    <cellStyle name="Millares 5 6 2" xfId="2170" xr:uid="{F4E3922C-0413-453D-9EFA-E90093865C81}"/>
    <cellStyle name="Millares 5 7" xfId="3650" xr:uid="{3939459F-A1E3-4300-AADE-57397C4F20B0}"/>
    <cellStyle name="Millares 5 7 2" xfId="5632" xr:uid="{A917B09D-BA09-49CA-BB39-C2C6F4BBB391}"/>
    <cellStyle name="Millares 5 8" xfId="5702" xr:uid="{13AF0F24-8617-4BA3-BDB9-E0DEA66648E2}"/>
    <cellStyle name="Millares 50" xfId="3656" xr:uid="{2BF92581-2CA2-4F0B-B9E6-CBEE5621A50D}"/>
    <cellStyle name="Millares 50 2" xfId="5638" xr:uid="{A50CC76A-534F-44B5-8BE0-C260C8CB3B66}"/>
    <cellStyle name="Millares 51" xfId="3596" xr:uid="{ACFCA1BF-7990-4BA4-A13D-25D37AD8513A}"/>
    <cellStyle name="Millares 51 2" xfId="5600" xr:uid="{96C05028-BD8D-46A4-8143-947E2D0C7933}"/>
    <cellStyle name="Millares 52" xfId="3605" xr:uid="{72C9EFF7-6F69-452E-ADAB-547C083EC269}"/>
    <cellStyle name="Millares 52 2" xfId="5606" xr:uid="{080C34FB-62FB-4C34-B115-1B97E7A564C1}"/>
    <cellStyle name="Millares 53" xfId="3598" xr:uid="{DE7B4929-8B08-4A2B-8EE3-62A89F4F1413}"/>
    <cellStyle name="Millares 53 2" xfId="5602" xr:uid="{F8498082-72AC-4FE1-A00B-F2565F46F8D1}"/>
    <cellStyle name="Millares 54" xfId="3600" xr:uid="{342AB82B-37F8-472B-BD38-37B5034A6EB0}"/>
    <cellStyle name="Millares 54 2" xfId="5603" xr:uid="{27CBEDE9-0375-4DFC-A455-AC260339719B}"/>
    <cellStyle name="Millares 55" xfId="3590" xr:uid="{639093C3-FE32-4F89-9E14-8DBA773A51D7}"/>
    <cellStyle name="Millares 55 2" xfId="5596" xr:uid="{288A0E4F-1730-43BC-88AE-2F52BD89C335}"/>
    <cellStyle name="Millares 56" xfId="3601" xr:uid="{C40F2732-5B01-4092-8D66-DF04554E0F53}"/>
    <cellStyle name="Millares 56 2" xfId="5604" xr:uid="{8C9EB2AD-4E42-4AF7-81A4-DFAF8E256E5C}"/>
    <cellStyle name="Millares 57" xfId="3597" xr:uid="{34063DC1-AD02-42A1-9800-64F79850C1B9}"/>
    <cellStyle name="Millares 57 2" xfId="5601" xr:uid="{18B7E992-C655-4CF6-A2D8-9222E02CE0F1}"/>
    <cellStyle name="Millares 58" xfId="3602" xr:uid="{E4FE6BE0-177F-4892-ADC1-7314AE109894}"/>
    <cellStyle name="Millares 58 2" xfId="5605" xr:uid="{7482AA22-9D7C-48CC-9093-AC8A762628BF}"/>
    <cellStyle name="Millares 59" xfId="3666" xr:uid="{C34004AE-4AE4-41E3-B163-054A4C86B7B1}"/>
    <cellStyle name="Millares 59 2" xfId="5644" xr:uid="{6589377D-EDEB-4484-9F56-C3DA3677D6BC}"/>
    <cellStyle name="Millares 6" xfId="68" xr:uid="{00000000-0005-0000-0000-0000AA000000}"/>
    <cellStyle name="Millares 6 2" xfId="120" xr:uid="{00000000-0005-0000-0000-0000AB000000}"/>
    <cellStyle name="Millares 6 2 2" xfId="386" xr:uid="{C727EEC9-6942-4219-82C6-2181B483CA30}"/>
    <cellStyle name="Millares 6 2 2 2" xfId="3154" xr:uid="{BC4F006A-6575-4AFB-A243-0B57E45C23DE}"/>
    <cellStyle name="Millares 6 2 2 2 2" xfId="5160" xr:uid="{A62E5B95-4B0C-437F-81B4-5548025A945D}"/>
    <cellStyle name="Millares 6 2 2 3" xfId="4198" xr:uid="{241C3CD5-DABC-44CD-B51E-8528E16F921E}"/>
    <cellStyle name="Millares 6 2 3" xfId="5788" xr:uid="{AECF6863-0E42-4B25-8D99-59E5AD81CCBA}"/>
    <cellStyle name="Millares 6 3" xfId="130" xr:uid="{00000000-0005-0000-0000-0000AC000000}"/>
    <cellStyle name="Millares 6 3 10" xfId="3199" xr:uid="{A9493864-91A7-47CA-9770-151B1396A611}"/>
    <cellStyle name="Millares 6 3 10 2" xfId="5205" xr:uid="{7DCDF7F2-DD9B-493A-87A5-86DA43A21370}"/>
    <cellStyle name="Millares 6 3 11" xfId="3699" xr:uid="{4E487BF8-7908-42B0-97DF-D9C0FD130529}"/>
    <cellStyle name="Millares 6 3 12" xfId="5786" xr:uid="{D4BBE621-6D79-4684-80D6-E17E90AD0712}"/>
    <cellStyle name="Millares 6 3 2" xfId="212" xr:uid="{00000000-0005-0000-0000-0000AD000000}"/>
    <cellStyle name="Millares 6 3 2 2" xfId="313" xr:uid="{BB46958F-4100-4B25-8B33-A8C8636CF657}"/>
    <cellStyle name="Millares 6 3 2 2 2" xfId="812" xr:uid="{9EB9F498-0C9B-493B-A947-FFD20AF6E130}"/>
    <cellStyle name="Millares 6 3 2 2 2 2" xfId="2622" xr:uid="{8C972F57-8F4A-4620-B67A-1C8BAE50678C}"/>
    <cellStyle name="Millares 6 3 2 2 2 2 2" xfId="4628" xr:uid="{D07D2FE2-C000-4253-B2D1-AA4CB54C4F94}"/>
    <cellStyle name="Millares 6 3 2 2 2 3" xfId="3040" xr:uid="{076A022F-EBEF-4187-BDA0-47A9E58E02B1}"/>
    <cellStyle name="Millares 6 3 2 2 2 3 2" xfId="5046" xr:uid="{BCD63704-F3D0-419D-AC58-33E991B4097E}"/>
    <cellStyle name="Millares 6 3 2 2 2 4" xfId="3584" xr:uid="{1294327D-0E99-45EB-A84C-7075F88C452B}"/>
    <cellStyle name="Millares 6 3 2 2 2 4 2" xfId="5590" xr:uid="{B2A551AC-CEB2-4857-9446-4AD721E10BAC}"/>
    <cellStyle name="Millares 6 3 2 2 2 5" xfId="4084" xr:uid="{F8DE45A2-2C94-47FE-B870-1C2F7998B2D3}"/>
    <cellStyle name="Millares 6 3 2 2 3" xfId="2411" xr:uid="{3766D3F0-8D14-4099-8BEC-1697F82D5FB1}"/>
    <cellStyle name="Millares 6 3 2 2 3 2" xfId="4416" xr:uid="{67125682-BBD2-466B-BC39-046D7E2A27D2}"/>
    <cellStyle name="Millares 6 3 2 2 4" xfId="2828" xr:uid="{A9EAD137-6696-4206-8A39-B25D1BDDE61B}"/>
    <cellStyle name="Millares 6 3 2 2 4 2" xfId="4834" xr:uid="{CE6B262C-EDE4-4883-AE88-815BC04962EE}"/>
    <cellStyle name="Millares 6 3 2 2 5" xfId="3372" xr:uid="{AFCA30BD-6F58-4464-BDD0-8CA00EFAC744}"/>
    <cellStyle name="Millares 6 3 2 2 5 2" xfId="5378" xr:uid="{F3D1E538-DB82-4569-9461-C9DF60202C05}"/>
    <cellStyle name="Millares 6 3 2 2 6" xfId="627" xr:uid="{AA12E783-7570-4D7E-AB42-D799800E291C}"/>
    <cellStyle name="Millares 6 3 2 2 7" xfId="3872" xr:uid="{27B98954-C6B7-49BE-A909-EF785A7411BD}"/>
    <cellStyle name="Millares 6 3 2 3" xfId="715" xr:uid="{4BED55BB-79B4-48A3-96E9-033A89D487D0}"/>
    <cellStyle name="Millares 6 3 2 3 2" xfId="2522" xr:uid="{38FF6CAD-B1CF-47C1-8268-2A2EC822EFC3}"/>
    <cellStyle name="Millares 6 3 2 3 2 2" xfId="4528" xr:uid="{BB50DA3D-0B9C-44A3-B9B7-F3D56EB35B74}"/>
    <cellStyle name="Millares 6 3 2 3 3" xfId="2940" xr:uid="{C434C8E3-0E73-4146-8FD8-ADCA014CBE62}"/>
    <cellStyle name="Millares 6 3 2 3 3 2" xfId="4946" xr:uid="{10D36B49-1230-4350-BDE6-2D0EA5051D50}"/>
    <cellStyle name="Millares 6 3 2 3 4" xfId="3484" xr:uid="{0F9B663F-B151-4603-96EF-9F88F8B3AA03}"/>
    <cellStyle name="Millares 6 3 2 3 4 2" xfId="5490" xr:uid="{0F3F3B4C-6E08-40DF-8C82-1BF035B5D19F}"/>
    <cellStyle name="Millares 6 3 2 3 5" xfId="3984" xr:uid="{14B09615-EABE-41CA-82A1-A0ACADEB3FEC}"/>
    <cellStyle name="Millares 6 3 2 4" xfId="913" xr:uid="{6DA7FE62-406F-4E6E-A053-A6BB019FDB43}"/>
    <cellStyle name="Millares 6 3 2 4 2" xfId="3142" xr:uid="{1C34DBF0-7866-4965-9C5A-F7AC5C18AF82}"/>
    <cellStyle name="Millares 6 3 2 4 2 2" xfId="5148" xr:uid="{4686C533-D40E-4412-8ED6-3E41F27A8FC8}"/>
    <cellStyle name="Millares 6 3 2 4 3" xfId="4186" xr:uid="{EF3DF3C9-C3DD-47EB-A3A1-EE9821F97E10}"/>
    <cellStyle name="Millares 6 3 2 5" xfId="2307" xr:uid="{F951938B-7B46-4403-9ACF-3E12103CE32E}"/>
    <cellStyle name="Millares 6 3 2 5 2" xfId="4312" xr:uid="{77656548-1CD4-4E74-BB48-4025E0F4711D}"/>
    <cellStyle name="Millares 6 3 2 6" xfId="2724" xr:uid="{F9B6F80D-7F35-4AE3-8163-C5662A516751}"/>
    <cellStyle name="Millares 6 3 2 6 2" xfId="4730" xr:uid="{714848EE-E138-4B5B-875B-41FA94CC4028}"/>
    <cellStyle name="Millares 6 3 2 7" xfId="3268" xr:uid="{27A1704C-F538-4374-A07A-3F3D72589B8A}"/>
    <cellStyle name="Millares 6 3 2 7 2" xfId="5274" xr:uid="{CBFEAFF0-6550-4A09-9B71-E32402F874B5}"/>
    <cellStyle name="Millares 6 3 2 8" xfId="528" xr:uid="{2A08FB51-F5D7-4527-9A70-8E375AE7A7C2}"/>
    <cellStyle name="Millares 6 3 2 9" xfId="3768" xr:uid="{121F06F9-4472-4295-8960-A24593C53F75}"/>
    <cellStyle name="Millares 6 3 3" xfId="166" xr:uid="{00000000-0005-0000-0000-0000AE000000}"/>
    <cellStyle name="Millares 6 3 3 2" xfId="272" xr:uid="{EBC0F28F-0ED4-4F06-887F-15215519E3A4}"/>
    <cellStyle name="Millares 6 3 3 2 2" xfId="772" xr:uid="{5B4B429F-EE8C-4BA7-AA4A-46F90A6A6537}"/>
    <cellStyle name="Millares 6 3 3 2 2 2" xfId="2581" xr:uid="{A3581061-F521-4B3A-A1DB-8945F036AAA1}"/>
    <cellStyle name="Millares 6 3 3 2 2 2 2" xfId="4587" xr:uid="{6886BC50-1E7E-4B38-8279-D2125A96D8CD}"/>
    <cellStyle name="Millares 6 3 3 2 2 3" xfId="2999" xr:uid="{19102489-A08E-45B7-99CC-A8BC78FCEC4F}"/>
    <cellStyle name="Millares 6 3 3 2 2 3 2" xfId="5005" xr:uid="{ED709D66-2047-4688-9758-6317F45E95CE}"/>
    <cellStyle name="Millares 6 3 3 2 2 4" xfId="3543" xr:uid="{A2B68E81-8875-4CC3-AD9C-D82D4BB096DA}"/>
    <cellStyle name="Millares 6 3 3 2 2 4 2" xfId="5549" xr:uid="{77039284-B278-4631-A4BB-A23ACB26847D}"/>
    <cellStyle name="Millares 6 3 3 2 2 5" xfId="4043" xr:uid="{8D16FB1A-9EF8-420F-9298-CCBB5F35C2C4}"/>
    <cellStyle name="Millares 6 3 3 2 3" xfId="2370" xr:uid="{FB05F502-EFA8-4E79-A93B-FB8402C0125F}"/>
    <cellStyle name="Millares 6 3 3 2 3 2" xfId="4375" xr:uid="{501BBC62-5B29-46C0-ADCD-2C92709553C3}"/>
    <cellStyle name="Millares 6 3 3 2 4" xfId="2787" xr:uid="{797B9F4E-CB55-4DB9-B527-DB01512D45DF}"/>
    <cellStyle name="Millares 6 3 3 2 4 2" xfId="4793" xr:uid="{C1E9B400-500A-4EB6-895C-7D5DD0378596}"/>
    <cellStyle name="Millares 6 3 3 2 5" xfId="3331" xr:uid="{E10C8E1E-71DD-480A-80DA-A0D70A39DD9C}"/>
    <cellStyle name="Millares 6 3 3 2 5 2" xfId="5337" xr:uid="{1D91EAF5-6BD7-42CE-839A-9FABA83A30C3}"/>
    <cellStyle name="Millares 6 3 3 2 6" xfId="587" xr:uid="{D7CD3C21-39BC-4F0D-BC94-74440AB5A0E8}"/>
    <cellStyle name="Millares 6 3 3 2 7" xfId="3831" xr:uid="{FB4C00A3-71CE-4E25-A2B7-FCF56228EFE0}"/>
    <cellStyle name="Millares 6 3 3 3" xfId="682" xr:uid="{5087B255-0ADE-4E86-9EAA-355DFA18382A}"/>
    <cellStyle name="Millares 6 3 3 3 2" xfId="2481" xr:uid="{442FDCD3-179F-45F0-94DA-84AA47D5537B}"/>
    <cellStyle name="Millares 6 3 3 3 2 2" xfId="4487" xr:uid="{333168FD-0D41-4DF5-BF93-A106AB2F1F00}"/>
    <cellStyle name="Millares 6 3 3 3 3" xfId="2899" xr:uid="{4C404BF9-EFE0-45C8-9649-C901D621E786}"/>
    <cellStyle name="Millares 6 3 3 3 3 2" xfId="4905" xr:uid="{8C25E269-44AB-437A-8071-B4BFCB2BF891}"/>
    <cellStyle name="Millares 6 3 3 3 4" xfId="3443" xr:uid="{CED2E3D9-A8B3-49CE-B008-F34BD469D0AD}"/>
    <cellStyle name="Millares 6 3 3 3 4 2" xfId="5449" xr:uid="{F5D9525E-32E5-496C-9395-32B2942F09E9}"/>
    <cellStyle name="Millares 6 3 3 3 5" xfId="3943" xr:uid="{5B7A93E1-2D2A-405F-97F4-F10D30DA30EE}"/>
    <cellStyle name="Millares 6 3 3 4" xfId="872" xr:uid="{56CE85F1-5518-4BD1-95B4-0C3E48D9D755}"/>
    <cellStyle name="Millares 6 3 3 4 2" xfId="3101" xr:uid="{51B905D5-0128-4F28-80EA-326B36FAFCB7}"/>
    <cellStyle name="Millares 6 3 3 4 2 2" xfId="5107" xr:uid="{888A5014-A554-445B-A928-E5D578CC1BCA}"/>
    <cellStyle name="Millares 6 3 3 4 3" xfId="4145" xr:uid="{B1679EAF-F6F3-415B-A645-406C10E48C1A}"/>
    <cellStyle name="Millares 6 3 3 5" xfId="2266" xr:uid="{056DA986-4EBD-421B-8116-6066D06EA0F9}"/>
    <cellStyle name="Millares 6 3 3 5 2" xfId="4271" xr:uid="{DA7EB01C-AB12-4586-B07C-82A425B248E8}"/>
    <cellStyle name="Millares 6 3 3 6" xfId="2683" xr:uid="{B2D914B0-F4C3-4E9F-84C5-16B4C6BC385A}"/>
    <cellStyle name="Millares 6 3 3 6 2" xfId="4689" xr:uid="{D7C5A505-4B7B-4C54-B603-10817AAE77D2}"/>
    <cellStyle name="Millares 6 3 3 7" xfId="3227" xr:uid="{829F6D6F-57AC-44C4-85C2-DB529CA5CBAB}"/>
    <cellStyle name="Millares 6 3 3 7 2" xfId="5233" xr:uid="{CBD43E84-B760-47BA-9A8F-9BBCD9304FC4}"/>
    <cellStyle name="Millares 6 3 3 8" xfId="495" xr:uid="{55BDF4E0-1578-42FC-9153-E350C46DF731}"/>
    <cellStyle name="Millares 6 3 3 9" xfId="3727" xr:uid="{2AE0AB87-0776-4E9E-9092-DF6BAB339F3E}"/>
    <cellStyle name="Millares 6 3 4" xfId="244" xr:uid="{50F69E58-F614-4357-AA89-9CB24F10423D}"/>
    <cellStyle name="Millares 6 3 4 2" xfId="744" xr:uid="{F9C06607-1C26-45CE-8978-317EBA23AD38}"/>
    <cellStyle name="Millares 6 3 4 2 2" xfId="2553" xr:uid="{77FF4C23-484B-44E6-A22F-68DA50D62753}"/>
    <cellStyle name="Millares 6 3 4 2 2 2" xfId="4559" xr:uid="{C954FC98-A907-4A9A-84E9-93872E4A103E}"/>
    <cellStyle name="Millares 6 3 4 2 3" xfId="2971" xr:uid="{6DDF3BCC-4DF2-4749-8A3B-B7A50101B0E4}"/>
    <cellStyle name="Millares 6 3 4 2 3 2" xfId="4977" xr:uid="{359FFF94-7D55-4010-88E0-4A72D2F44EFB}"/>
    <cellStyle name="Millares 6 3 4 2 4" xfId="3515" xr:uid="{7C0544EB-F610-4D2F-8DAF-8B00D855C1F8}"/>
    <cellStyle name="Millares 6 3 4 2 4 2" xfId="5521" xr:uid="{C47AC7E7-1906-4BB3-831B-1979851E1083}"/>
    <cellStyle name="Millares 6 3 4 2 5" xfId="4015" xr:uid="{9C4F7C5C-4B57-4E68-BFBC-A9855C98FBAC}"/>
    <cellStyle name="Millares 6 3 4 3" xfId="2342" xr:uid="{0C6D5482-DD3D-49A4-BF55-0901FD339D65}"/>
    <cellStyle name="Millares 6 3 4 3 2" xfId="4347" xr:uid="{8BABE767-95F5-41A9-9985-4B2183849E25}"/>
    <cellStyle name="Millares 6 3 4 4" xfId="2759" xr:uid="{2CC76C1B-BBD5-4137-BFC7-C845994E8FCC}"/>
    <cellStyle name="Millares 6 3 4 4 2" xfId="4765" xr:uid="{12FB8251-0C9F-460E-B8BF-0F57792AF48C}"/>
    <cellStyle name="Millares 6 3 4 5" xfId="3303" xr:uid="{5C070FDE-04DF-4351-94B5-FE04EAB86678}"/>
    <cellStyle name="Millares 6 3 4 5 2" xfId="5309" xr:uid="{9889E1AD-48DB-41A9-8183-2461A11B2544}"/>
    <cellStyle name="Millares 6 3 4 6" xfId="559" xr:uid="{174C025E-80D3-4714-8C35-161907420F5C}"/>
    <cellStyle name="Millares 6 3 4 7" xfId="3803" xr:uid="{84680787-FC43-4187-BF44-AE0217F6E55B}"/>
    <cellStyle name="Millares 6 3 5" xfId="416" xr:uid="{B8EF70FC-2986-4B47-8AE7-B30462926151}"/>
    <cellStyle name="Millares 6 3 5 2" xfId="2453" xr:uid="{E32146DB-69C0-4873-B4D5-1C0A873BBECA}"/>
    <cellStyle name="Millares 6 3 5 2 2" xfId="4459" xr:uid="{962089B8-8E52-4161-ACCF-275251C240C1}"/>
    <cellStyle name="Millares 6 3 5 3" xfId="2871" xr:uid="{48A63679-4A19-438E-9E47-38DFFA27BD52}"/>
    <cellStyle name="Millares 6 3 5 3 2" xfId="4877" xr:uid="{20846A78-EB63-4572-83FA-CB995E584F57}"/>
    <cellStyle name="Millares 6 3 5 4" xfId="3415" xr:uid="{2665677D-AAE4-412B-AD4F-24BCE3C64297}"/>
    <cellStyle name="Millares 6 3 5 4 2" xfId="5421" xr:uid="{AF1679AB-FB5D-48BB-BC21-9B624309F4B2}"/>
    <cellStyle name="Millares 6 3 5 5" xfId="3915" xr:uid="{E3C43262-D45E-4A6B-AE47-82D5600F5BCC}"/>
    <cellStyle name="Millares 6 3 6" xfId="844" xr:uid="{AF884365-A622-49F1-A4C3-C2E94DF828E0}"/>
    <cellStyle name="Millares 6 3 6 2" xfId="3073" xr:uid="{725E871C-F134-4675-B3F0-898FCF3BF220}"/>
    <cellStyle name="Millares 6 3 6 2 2" xfId="5079" xr:uid="{A291738F-2AAE-478B-8199-02430F9A8D25}"/>
    <cellStyle name="Millares 6 3 6 3" xfId="4117" xr:uid="{9E16B209-4575-4868-8751-4D13433C0708}"/>
    <cellStyle name="Millares 6 3 7" xfId="2029" xr:uid="{C12E6F70-3742-40AD-AB9B-E9E21DBFD467}"/>
    <cellStyle name="Millares 6 3 8" xfId="2238" xr:uid="{A6E19C00-E4C8-4D0C-92DA-D68EAF002AA1}"/>
    <cellStyle name="Millares 6 3 8 2" xfId="4243" xr:uid="{030AC88D-6B1E-4348-8FC8-12B1F473D459}"/>
    <cellStyle name="Millares 6 3 9" xfId="2655" xr:uid="{738085E5-B80B-4939-B839-B06E006B1B3D}"/>
    <cellStyle name="Millares 6 3 9 2" xfId="4661" xr:uid="{7FE606AC-5281-42B1-B38C-37C5D82AF367}"/>
    <cellStyle name="Millares 6 4" xfId="196" xr:uid="{00000000-0005-0000-0000-0000AF000000}"/>
    <cellStyle name="Millares 6 4 2" xfId="5834" xr:uid="{4213DFD3-892E-4597-ABA8-38187A4568D8}"/>
    <cellStyle name="Millares 6 5" xfId="181" xr:uid="{00000000-0005-0000-0000-0000B0000000}"/>
    <cellStyle name="Millares 6 5 10" xfId="5852" xr:uid="{7869F08D-6234-4B4C-BE24-91F8976AED86}"/>
    <cellStyle name="Millares 6 5 2" xfId="286" xr:uid="{704E4021-3E62-4250-9540-45B2B2420E2C}"/>
    <cellStyle name="Millares 6 5 2 2" xfId="785" xr:uid="{D6BF9FB3-F93B-4EEB-94CF-867DE1C1A44D}"/>
    <cellStyle name="Millares 6 5 2 2 2" xfId="2595" xr:uid="{6556CD88-D318-4061-B720-9A6A5634E688}"/>
    <cellStyle name="Millares 6 5 2 2 2 2" xfId="4601" xr:uid="{1EA26B0E-42BC-4514-BCB7-1C33E0C841A6}"/>
    <cellStyle name="Millares 6 5 2 2 3" xfId="3013" xr:uid="{50CB5E64-9663-4B4D-83CD-8818082CA166}"/>
    <cellStyle name="Millares 6 5 2 2 3 2" xfId="5019" xr:uid="{B26F5A71-B094-488D-8ADB-50037CBEEBB3}"/>
    <cellStyle name="Millares 6 5 2 2 4" xfId="3557" xr:uid="{DF9E1DAD-0ED9-4FF6-9279-D9125EBFEF95}"/>
    <cellStyle name="Millares 6 5 2 2 4 2" xfId="5563" xr:uid="{3ECC5CF2-2559-41AF-807E-BB2F13601E88}"/>
    <cellStyle name="Millares 6 5 2 2 5" xfId="4057" xr:uid="{BEA02FD2-7E8E-47AF-9510-27EC6B92C1C8}"/>
    <cellStyle name="Millares 6 5 2 3" xfId="2384" xr:uid="{793AFD2D-271D-4928-9B66-F1F070724147}"/>
    <cellStyle name="Millares 6 5 2 3 2" xfId="4389" xr:uid="{C27385FF-EC5C-4DF1-957C-088E531C6024}"/>
    <cellStyle name="Millares 6 5 2 4" xfId="2801" xr:uid="{D4096F71-9AB7-484A-9385-409D87D3258D}"/>
    <cellStyle name="Millares 6 5 2 4 2" xfId="4807" xr:uid="{65CD1E19-886D-44CE-B553-DFC1189D0ABA}"/>
    <cellStyle name="Millares 6 5 2 5" xfId="3345" xr:uid="{1A1E572D-3C1D-468D-AE42-7EAC0EE06D75}"/>
    <cellStyle name="Millares 6 5 2 5 2" xfId="5351" xr:uid="{161C21BB-833D-4AF9-9F7C-2054805B8F4F}"/>
    <cellStyle name="Millares 6 5 2 6" xfId="600" xr:uid="{71DEF7FB-DF80-42F1-8FF8-474C1DEEF69B}"/>
    <cellStyle name="Millares 6 5 2 7" xfId="3845" xr:uid="{60C2379E-BE46-49FE-93FF-26853A80530F}"/>
    <cellStyle name="Millares 6 5 3" xfId="694" xr:uid="{7E6D6262-6316-4217-9634-273EEEB7DB69}"/>
    <cellStyle name="Millares 6 5 3 2" xfId="2495" xr:uid="{98725857-A944-484F-A72C-7CBFF0481E22}"/>
    <cellStyle name="Millares 6 5 3 2 2" xfId="4501" xr:uid="{4A3C7E25-3D15-4005-AF9D-53E6B0CE4F00}"/>
    <cellStyle name="Millares 6 5 3 3" xfId="2913" xr:uid="{09D9965C-F66E-4E96-B187-DC9033748DAA}"/>
    <cellStyle name="Millares 6 5 3 3 2" xfId="4919" xr:uid="{FB390DF7-5DA9-49D2-8782-DBCB43CFBF73}"/>
    <cellStyle name="Millares 6 5 3 4" xfId="3457" xr:uid="{51C778FE-CC42-4462-83E3-7325CCF9DE35}"/>
    <cellStyle name="Millares 6 5 3 4 2" xfId="5463" xr:uid="{C3E8A8C0-DA50-4F4D-B7CA-F3FC6F9A0624}"/>
    <cellStyle name="Millares 6 5 3 5" xfId="3957" xr:uid="{E86E5CCB-B50F-4BB0-BD7D-1B44691DB712}"/>
    <cellStyle name="Millares 6 5 4" xfId="886" xr:uid="{CFA5084B-81EA-478D-9D78-3F77E3110CA3}"/>
    <cellStyle name="Millares 6 5 4 2" xfId="3115" xr:uid="{2A88A23B-FFAA-441E-A864-273BC47B8C46}"/>
    <cellStyle name="Millares 6 5 4 2 2" xfId="5121" xr:uid="{70645691-F0D4-420C-A321-2DD5FE8F730A}"/>
    <cellStyle name="Millares 6 5 4 3" xfId="4159" xr:uid="{DD9A1F32-69CD-4455-97C6-0A9A44965817}"/>
    <cellStyle name="Millares 6 5 5" xfId="2280" xr:uid="{66EA27CE-21C1-4490-B9C0-E4E9CD3AC4AA}"/>
    <cellStyle name="Millares 6 5 5 2" xfId="4285" xr:uid="{CE451EFE-6C92-4580-AF10-6524F2CE9B14}"/>
    <cellStyle name="Millares 6 5 6" xfId="2697" xr:uid="{5BA6CBA1-4D57-413D-8AE8-8ACD7B57A20D}"/>
    <cellStyle name="Millares 6 5 6 2" xfId="4703" xr:uid="{6A6807C3-7FB5-4F1D-B85D-442A02DB890D}"/>
    <cellStyle name="Millares 6 5 7" xfId="3241" xr:uid="{DA31CF0A-AA03-4B66-9881-32EF1B9371E0}"/>
    <cellStyle name="Millares 6 5 7 2" xfId="5247" xr:uid="{F2A078EC-8CA1-4E63-9429-243874352A9F}"/>
    <cellStyle name="Millares 6 5 8" xfId="507" xr:uid="{AEEE3750-439F-4FB3-ACF8-728F9B9B5E0C}"/>
    <cellStyle name="Millares 6 5 9" xfId="3741" xr:uid="{4DEB77BD-8930-402F-A1BE-66BB393E1E00}"/>
    <cellStyle name="Millares 6 6" xfId="357" xr:uid="{D8D0E056-CC43-4D99-A62F-71F8A4D85B36}"/>
    <cellStyle name="Millares 6 6 2" xfId="2028" xr:uid="{67786B2A-8B2F-492F-A823-3721C5E9E039}"/>
    <cellStyle name="Millares 6 7" xfId="2172" xr:uid="{56B9FD4D-3CA9-4654-9ECB-9367BDF08CD4}"/>
    <cellStyle name="Millares 6 7 2" xfId="3159" xr:uid="{8AA426DE-D38F-40AF-A2F6-29DC4B238841}"/>
    <cellStyle name="Millares 6 7 2 2" xfId="5165" xr:uid="{03FE42F6-4563-40E6-9FA9-B7AD9373D896}"/>
    <cellStyle name="Millares 6 7 3" xfId="4203" xr:uid="{1B786388-E97B-4CEA-81A3-538FDBB3A0A4}"/>
    <cellStyle name="Millares 6 8" xfId="3662" xr:uid="{37041BB8-57BD-48E2-9B04-E774AC7AD1C1}"/>
    <cellStyle name="Millares 6 8 2" xfId="5640" xr:uid="{35884162-7072-4003-A542-57914BB09DE5}"/>
    <cellStyle name="Millares 6 9" xfId="5725" xr:uid="{C754DEAC-9F4D-4661-9337-A2BAD78B2F35}"/>
    <cellStyle name="Millares 60" xfId="3667" xr:uid="{823DDD90-B18D-42C7-A813-59D832130B4D}"/>
    <cellStyle name="Millares 60 2" xfId="5645" xr:uid="{BDA8C57F-B7FA-41A2-B19A-BD7631CCDB92}"/>
    <cellStyle name="Millares 61" xfId="5691" xr:uid="{CC5440E4-F3F0-4CAC-94B9-C90B36301265}"/>
    <cellStyle name="Millares 62" xfId="5753" xr:uid="{12503D5B-9C0B-460E-8FE3-47156B67B943}"/>
    <cellStyle name="Millares 63" xfId="5854" xr:uid="{0D00BC42-2E6B-42AD-8CC1-E6188FDA068F}"/>
    <cellStyle name="Millares 64" xfId="5754" xr:uid="{E2F65486-B605-4DEA-A7F5-533170809C89}"/>
    <cellStyle name="Millares 65" xfId="5856" xr:uid="{25AAF638-6BC3-40A0-A499-5C46A1BC77D3}"/>
    <cellStyle name="Millares 654 2 2" xfId="2143" xr:uid="{1588D16D-2794-4669-86F1-366185608090}"/>
    <cellStyle name="Millares 656" xfId="2153" xr:uid="{28FE85F7-67DA-4CA4-9007-A62789CCA5DE}"/>
    <cellStyle name="Millares 656 2" xfId="2186" xr:uid="{6BAB5EAF-8A05-446F-93C3-E83943B936AC}"/>
    <cellStyle name="Millares 656 2 2" xfId="3168" xr:uid="{0B501146-B479-46C7-BF77-BCF616EAAC7A}"/>
    <cellStyle name="Millares 656 2 2 2" xfId="5174" xr:uid="{9951ADE9-D066-4432-A9B5-8BDB7CCCCAA2}"/>
    <cellStyle name="Millares 656 2 3" xfId="3655" xr:uid="{D02DA085-D4F0-453B-A4DF-9FF1CB02F6C6}"/>
    <cellStyle name="Millares 656 2 3 2" xfId="5637" xr:uid="{A90BCC75-4CCD-4238-9915-86702ABBA3D2}"/>
    <cellStyle name="Millares 656 2 4" xfId="4212" xr:uid="{06C103FF-BE00-49C0-88CB-553897D1D65B}"/>
    <cellStyle name="Millares 656 2 5" xfId="5782" xr:uid="{811E739A-6AA2-4594-AB8B-6D4110A41DA0}"/>
    <cellStyle name="Millares 656 3" xfId="5762" xr:uid="{A1841237-C3BA-4023-8F33-835674EADBEE}"/>
    <cellStyle name="Millares 657" xfId="2146" xr:uid="{CBB86695-1393-4F96-8E2C-E1DF18AB5747}"/>
    <cellStyle name="Millares 657 2" xfId="2187" xr:uid="{76EE8FC8-76C5-4FCB-B6D0-231367963D8E}"/>
    <cellStyle name="Millares 657 2 2" xfId="3169" xr:uid="{71BBC27E-5CE4-4FD4-A308-16403DFAC913}"/>
    <cellStyle name="Millares 657 2 2 2" xfId="5175" xr:uid="{0336A5D9-2797-40E3-8D61-631B88F7A0BB}"/>
    <cellStyle name="Millares 657 2 3" xfId="3654" xr:uid="{38122B26-1CE6-4AF2-A3E4-2F9582EC69D7}"/>
    <cellStyle name="Millares 657 2 3 2" xfId="5636" xr:uid="{C37C1BAA-7A80-4288-B345-38A5630DA7C2}"/>
    <cellStyle name="Millares 657 2 4" xfId="4213" xr:uid="{AC73B2C9-814B-460D-8C67-CA98607E79E5}"/>
    <cellStyle name="Millares 657 2 5" xfId="5779" xr:uid="{37F00625-758A-4A75-B4AC-D5B8C6BE6D99}"/>
    <cellStyle name="Millares 657 3" xfId="5759" xr:uid="{52055767-793A-4E11-BAB1-EFE83CC47083}"/>
    <cellStyle name="Millares 66" xfId="5857" xr:uid="{44263DC7-287B-497D-8572-EB91D9ECEC18}"/>
    <cellStyle name="Millares 67" xfId="406" xr:uid="{C03C7A93-AA89-4B97-9AFA-924A18D43940}"/>
    <cellStyle name="Millares 68" xfId="5752" xr:uid="{A1E3011E-4C24-4EAB-8B24-DB9A5D365EB1}"/>
    <cellStyle name="Millares 69" xfId="5860" xr:uid="{E5D30B7C-B034-4FB6-8140-648C2CF6935D}"/>
    <cellStyle name="Millares 7" xfId="66" xr:uid="{00000000-0005-0000-0000-0000B1000000}"/>
    <cellStyle name="Millares 7 2" xfId="119" xr:uid="{00000000-0005-0000-0000-0000B2000000}"/>
    <cellStyle name="Millares 7 2 10" xfId="3196" xr:uid="{FB26521B-A5F8-441F-AD70-EC947C1D046B}"/>
    <cellStyle name="Millares 7 2 10 2" xfId="5202" xr:uid="{B98D8FBC-035A-407D-A6A6-21109978B7E2}"/>
    <cellStyle name="Millares 7 2 11" xfId="3696" xr:uid="{4CDE336B-F7DA-49DC-9B42-9E3ED86C7964}"/>
    <cellStyle name="Millares 7 2 2" xfId="209" xr:uid="{00000000-0005-0000-0000-0000B3000000}"/>
    <cellStyle name="Millares 7 2 2 2" xfId="310" xr:uid="{41736706-4A19-49F1-A19E-F9D76F13E2EA}"/>
    <cellStyle name="Millares 7 2 2 2 2" xfId="809" xr:uid="{3AF43B34-ADD5-41B2-AF3F-038BA271C75A}"/>
    <cellStyle name="Millares 7 2 2 2 2 2" xfId="2619" xr:uid="{1A4AC4C0-4529-40F1-9AD7-E0BC2D3C8A97}"/>
    <cellStyle name="Millares 7 2 2 2 2 2 2" xfId="4625" xr:uid="{23AA92DA-B252-46BC-9B43-7D289125B00F}"/>
    <cellStyle name="Millares 7 2 2 2 2 3" xfId="3037" xr:uid="{CD00DA6D-1409-424F-A826-38F7D079BAD0}"/>
    <cellStyle name="Millares 7 2 2 2 2 3 2" xfId="5043" xr:uid="{EE04C9B9-4405-46C6-B59C-C5CA4BEF11D3}"/>
    <cellStyle name="Millares 7 2 2 2 2 4" xfId="3581" xr:uid="{98146CE8-EBAC-47F1-AFD7-4E564140F02D}"/>
    <cellStyle name="Millares 7 2 2 2 2 4 2" xfId="5587" xr:uid="{8B37D11A-DE08-408C-9EE5-C97D77E19E2C}"/>
    <cellStyle name="Millares 7 2 2 2 2 5" xfId="4081" xr:uid="{22C5190E-2001-4E0A-958D-0F3F94C8165B}"/>
    <cellStyle name="Millares 7 2 2 2 3" xfId="2408" xr:uid="{FE5F5E6E-F052-4044-9A0B-FD5221E1DF3D}"/>
    <cellStyle name="Millares 7 2 2 2 3 2" xfId="4413" xr:uid="{1816B617-BABB-4526-9EA2-9EB41D0AF76E}"/>
    <cellStyle name="Millares 7 2 2 2 4" xfId="2825" xr:uid="{C8097D42-1BA4-4259-882E-43416E93BB1E}"/>
    <cellStyle name="Millares 7 2 2 2 4 2" xfId="4831" xr:uid="{5304DBA7-E524-4D38-B8DD-B510D4056399}"/>
    <cellStyle name="Millares 7 2 2 2 5" xfId="3369" xr:uid="{653FCE83-1AFF-4641-8D02-F1A12670AA02}"/>
    <cellStyle name="Millares 7 2 2 2 5 2" xfId="5375" xr:uid="{159C0C36-58AD-4D4E-BC0B-DDF6CA2D4292}"/>
    <cellStyle name="Millares 7 2 2 2 6" xfId="624" xr:uid="{C6F30069-F0D2-494A-8D59-A6D7F28CFAEB}"/>
    <cellStyle name="Millares 7 2 2 2 7" xfId="3869" xr:uid="{44D4E9A3-E53F-4DEC-A766-C21A445B6431}"/>
    <cellStyle name="Millares 7 2 2 3" xfId="712" xr:uid="{53BFA44F-13E3-47B5-8DF0-E109B5CC9359}"/>
    <cellStyle name="Millares 7 2 2 3 2" xfId="2519" xr:uid="{093BC94D-C4E7-4CDE-B720-6848BB1AD47C}"/>
    <cellStyle name="Millares 7 2 2 3 2 2" xfId="4525" xr:uid="{D96BB1AB-7E6D-4D0B-A898-76C659B2E185}"/>
    <cellStyle name="Millares 7 2 2 3 3" xfId="2937" xr:uid="{2CFCD19C-41F2-447A-8205-DC2F0A609AA9}"/>
    <cellStyle name="Millares 7 2 2 3 3 2" xfId="4943" xr:uid="{8493B261-014A-4A45-982E-4AC1ADAF87EA}"/>
    <cellStyle name="Millares 7 2 2 3 4" xfId="3481" xr:uid="{2C619694-067D-4657-80B7-E2BD496AC63E}"/>
    <cellStyle name="Millares 7 2 2 3 4 2" xfId="5487" xr:uid="{62472B8F-6E57-4290-B3B4-F0AD0455516F}"/>
    <cellStyle name="Millares 7 2 2 3 5" xfId="3981" xr:uid="{9DD4A27D-29DC-4376-8F72-0DB06E90633B}"/>
    <cellStyle name="Millares 7 2 2 4" xfId="910" xr:uid="{14EBDA33-4D30-4D78-ADD3-6DD41885C7BA}"/>
    <cellStyle name="Millares 7 2 2 4 2" xfId="3139" xr:uid="{DBE26FDB-5DC6-45E7-8042-AD7D0693211F}"/>
    <cellStyle name="Millares 7 2 2 4 2 2" xfId="5145" xr:uid="{A55EF18F-C99C-4C01-9BCB-767B5D697E76}"/>
    <cellStyle name="Millares 7 2 2 4 3" xfId="4183" xr:uid="{0591455C-0176-405F-AC51-60F4B7BE00F2}"/>
    <cellStyle name="Millares 7 2 2 5" xfId="2304" xr:uid="{2FD6794B-9B51-444E-A8B5-56BC81754E92}"/>
    <cellStyle name="Millares 7 2 2 5 2" xfId="4309" xr:uid="{833894F6-715D-4FD9-BC74-DAC1565EC13B}"/>
    <cellStyle name="Millares 7 2 2 6" xfId="2721" xr:uid="{D28485C6-923D-44B9-89AC-46CBDAEDE9D8}"/>
    <cellStyle name="Millares 7 2 2 6 2" xfId="4727" xr:uid="{D0E3C8C6-B9AA-41B4-B569-E90D2866FD79}"/>
    <cellStyle name="Millares 7 2 2 7" xfId="3265" xr:uid="{95F8E102-D7CA-4D1C-81AF-78AABD06BC0B}"/>
    <cellStyle name="Millares 7 2 2 7 2" xfId="5271" xr:uid="{B8A5008E-FE7C-43B6-B0D0-2466EAE2FE12}"/>
    <cellStyle name="Millares 7 2 2 8" xfId="525" xr:uid="{2C9D795E-6603-43D6-87D5-2A2D7984ACDC}"/>
    <cellStyle name="Millares 7 2 2 9" xfId="3765" xr:uid="{08874317-5E8E-4A80-A9FA-FE2EF8E7C799}"/>
    <cellStyle name="Millares 7 2 3" xfId="163" xr:uid="{00000000-0005-0000-0000-0000B4000000}"/>
    <cellStyle name="Millares 7 2 3 2" xfId="269" xr:uid="{F2069326-5EFA-4E63-9CEB-13F0056BC2E5}"/>
    <cellStyle name="Millares 7 2 3 2 2" xfId="769" xr:uid="{722D03B7-7855-40F0-83CB-AC1E82B6B214}"/>
    <cellStyle name="Millares 7 2 3 2 2 2" xfId="2578" xr:uid="{55A8122E-0CA4-4E1E-B9DB-0E44DDDF6056}"/>
    <cellStyle name="Millares 7 2 3 2 2 2 2" xfId="4584" xr:uid="{0FB6BCC9-2F30-40F9-BE88-F36FC2E53387}"/>
    <cellStyle name="Millares 7 2 3 2 2 3" xfId="2996" xr:uid="{4EC465CB-1397-4340-BBE2-6A75B9B45075}"/>
    <cellStyle name="Millares 7 2 3 2 2 3 2" xfId="5002" xr:uid="{5C777DC7-9EB2-4872-AEAA-89B62F5EFEFB}"/>
    <cellStyle name="Millares 7 2 3 2 2 4" xfId="3540" xr:uid="{460CEADD-3755-492D-9DA2-B50200DF32C8}"/>
    <cellStyle name="Millares 7 2 3 2 2 4 2" xfId="5546" xr:uid="{39FE861B-93C3-4ED4-803B-333E9AD20DD7}"/>
    <cellStyle name="Millares 7 2 3 2 2 5" xfId="4040" xr:uid="{7E2C01C2-2847-47CA-89E1-A62DFA9DF632}"/>
    <cellStyle name="Millares 7 2 3 2 3" xfId="2367" xr:uid="{BB173BFF-FF55-4FF3-81E4-63EF0CD1C803}"/>
    <cellStyle name="Millares 7 2 3 2 3 2" xfId="4372" xr:uid="{504E7296-D0A2-44A7-89B9-250748CF4257}"/>
    <cellStyle name="Millares 7 2 3 2 4" xfId="2784" xr:uid="{860A2285-8010-4882-8D66-45C0FC477573}"/>
    <cellStyle name="Millares 7 2 3 2 4 2" xfId="4790" xr:uid="{2541AA37-3229-4B4D-89DB-39374C1EE5DD}"/>
    <cellStyle name="Millares 7 2 3 2 5" xfId="3328" xr:uid="{27C89294-360B-46F0-80AF-A2D9DF6B1565}"/>
    <cellStyle name="Millares 7 2 3 2 5 2" xfId="5334" xr:uid="{7AD9B3BF-E3A1-457B-9483-69A036E033FD}"/>
    <cellStyle name="Millares 7 2 3 2 6" xfId="584" xr:uid="{7D50DA28-72FE-4F70-BE6C-47E543118083}"/>
    <cellStyle name="Millares 7 2 3 2 7" xfId="3828" xr:uid="{470A7449-A9BA-42BC-8408-1B698FCFE321}"/>
    <cellStyle name="Millares 7 2 3 3" xfId="679" xr:uid="{831DA344-89A7-4957-BDCB-D7B4174CD0CB}"/>
    <cellStyle name="Millares 7 2 3 3 2" xfId="2478" xr:uid="{A9E0505F-83FD-4DB8-A170-7304F3207143}"/>
    <cellStyle name="Millares 7 2 3 3 2 2" xfId="4484" xr:uid="{599B65CF-C829-4653-A292-461BE931AD20}"/>
    <cellStyle name="Millares 7 2 3 3 3" xfId="2896" xr:uid="{4772233E-7FA0-40CA-9AEA-B563CDE66E35}"/>
    <cellStyle name="Millares 7 2 3 3 3 2" xfId="4902" xr:uid="{D5DAE759-59F8-4ACF-BFB7-135859AB195D}"/>
    <cellStyle name="Millares 7 2 3 3 4" xfId="3440" xr:uid="{2D82C13D-B1E2-4A47-8D5C-F58E1B642687}"/>
    <cellStyle name="Millares 7 2 3 3 4 2" xfId="5446" xr:uid="{2391662B-5298-4B94-8FCC-0A415248AF1B}"/>
    <cellStyle name="Millares 7 2 3 3 5" xfId="3940" xr:uid="{44F3BFD8-61B4-4F3B-A0ED-4B14C8A49E30}"/>
    <cellStyle name="Millares 7 2 3 4" xfId="869" xr:uid="{85EE3912-6017-4A71-9C24-D9F3DBF46D2A}"/>
    <cellStyle name="Millares 7 2 3 4 2" xfId="3098" xr:uid="{13800EBC-776E-496B-88FC-660DFA57AF87}"/>
    <cellStyle name="Millares 7 2 3 4 2 2" xfId="5104" xr:uid="{BD3AF678-16D9-4207-AD52-5FD39FC3AECB}"/>
    <cellStyle name="Millares 7 2 3 4 3" xfId="4142" xr:uid="{10AD62C0-7E81-4C9E-8F1D-0C5B3061FDBB}"/>
    <cellStyle name="Millares 7 2 3 5" xfId="2263" xr:uid="{CBA900DC-AB6F-4036-8FC7-DDD017E36858}"/>
    <cellStyle name="Millares 7 2 3 5 2" xfId="4268" xr:uid="{9D649CCB-3ADD-4D0A-A415-F56AD4785904}"/>
    <cellStyle name="Millares 7 2 3 6" xfId="2680" xr:uid="{D6F754D9-ED91-4508-9F0C-0A024818FD10}"/>
    <cellStyle name="Millares 7 2 3 6 2" xfId="4686" xr:uid="{40844CA0-BAF6-4DAB-8F3C-1F073C2FA153}"/>
    <cellStyle name="Millares 7 2 3 7" xfId="3224" xr:uid="{BE10124C-3EA3-4A4E-BD9B-1707329CFA08}"/>
    <cellStyle name="Millares 7 2 3 7 2" xfId="5230" xr:uid="{F05B49F6-5637-4F62-AC18-2CABF78577E7}"/>
    <cellStyle name="Millares 7 2 3 8" xfId="492" xr:uid="{A2DC2DE8-3C56-4D84-9FAB-CDA2BDE33B43}"/>
    <cellStyle name="Millares 7 2 3 9" xfId="3724" xr:uid="{FCEAB18E-3A43-4BB7-BCEE-36DD567F1357}"/>
    <cellStyle name="Millares 7 2 4" xfId="241" xr:uid="{C0F02893-5BB1-42DB-8C9D-C5B92831E1BE}"/>
    <cellStyle name="Millares 7 2 4 2" xfId="741" xr:uid="{B0849EEB-F3CF-4009-8041-94CEA1D490C7}"/>
    <cellStyle name="Millares 7 2 4 2 2" xfId="2550" xr:uid="{BB34FD09-D2BC-40D2-9EA7-F3C0FE7C8EFD}"/>
    <cellStyle name="Millares 7 2 4 2 2 2" xfId="4556" xr:uid="{6009A124-8F5F-4A09-8C4E-B5FDD1103F2A}"/>
    <cellStyle name="Millares 7 2 4 2 3" xfId="2968" xr:uid="{1996D7C4-7978-4D00-8AC3-DF83D49853B9}"/>
    <cellStyle name="Millares 7 2 4 2 3 2" xfId="4974" xr:uid="{B1949232-4F65-472B-9944-904E0766CCEE}"/>
    <cellStyle name="Millares 7 2 4 2 4" xfId="3512" xr:uid="{18F42FBE-9FA8-481F-B280-66C9CFBC171B}"/>
    <cellStyle name="Millares 7 2 4 2 4 2" xfId="5518" xr:uid="{64F900B4-D2D2-4CE7-85ED-BCF0D6BA7B5D}"/>
    <cellStyle name="Millares 7 2 4 2 5" xfId="4012" xr:uid="{332DD342-95FA-4600-9E68-4BC615422B37}"/>
    <cellStyle name="Millares 7 2 4 3" xfId="2339" xr:uid="{4B7CB507-0560-4D85-9AE4-486C8014250F}"/>
    <cellStyle name="Millares 7 2 4 3 2" xfId="4344" xr:uid="{EE0EF471-98A6-4C10-B0A6-F2A977A667C7}"/>
    <cellStyle name="Millares 7 2 4 4" xfId="2756" xr:uid="{0A82EAB5-1D14-4562-8BD0-2C384083C96C}"/>
    <cellStyle name="Millares 7 2 4 4 2" xfId="4762" xr:uid="{EC14A339-56E9-4B1F-8D85-5CE151A5D01F}"/>
    <cellStyle name="Millares 7 2 4 5" xfId="3300" xr:uid="{42864344-2846-4946-A594-DF65457AE953}"/>
    <cellStyle name="Millares 7 2 4 5 2" xfId="5306" xr:uid="{63625609-C390-419D-8F01-797D210398B8}"/>
    <cellStyle name="Millares 7 2 4 6" xfId="556" xr:uid="{8E54DDD9-8F22-4EAA-8ADE-19C29903FE02}"/>
    <cellStyle name="Millares 7 2 4 7" xfId="3800" xr:uid="{69B5BE67-AA18-4814-AA90-A4F9086FE4CB}"/>
    <cellStyle name="Millares 7 2 5" xfId="408" xr:uid="{53544F80-0E25-42BF-8729-B01F58E8550E}"/>
    <cellStyle name="Millares 7 2 5 2" xfId="2450" xr:uid="{AC7AE018-2ECC-48B5-983D-BF463B56C157}"/>
    <cellStyle name="Millares 7 2 5 2 2" xfId="4456" xr:uid="{343F88F7-3EA5-498C-9872-77CC5368F304}"/>
    <cellStyle name="Millares 7 2 5 3" xfId="2868" xr:uid="{E50A3B7C-FBA9-4B7E-BBE0-7B4A453274A4}"/>
    <cellStyle name="Millares 7 2 5 3 2" xfId="4874" xr:uid="{A166A7B6-7081-4D3C-905C-04E3791CB347}"/>
    <cellStyle name="Millares 7 2 5 4" xfId="3412" xr:uid="{73F0BAAE-E2E2-4C9F-9F2B-BAFA652FE150}"/>
    <cellStyle name="Millares 7 2 5 4 2" xfId="5418" xr:uid="{2BB028A6-DB0D-42F4-BC15-FE8ADEB6495D}"/>
    <cellStyle name="Millares 7 2 5 5" xfId="3912" xr:uid="{BC6CE062-6AD7-41C4-962E-87E7452020F0}"/>
    <cellStyle name="Millares 7 2 6" xfId="841" xr:uid="{2328417D-50B5-46BE-B237-B99333008556}"/>
    <cellStyle name="Millares 7 2 6 2" xfId="3070" xr:uid="{4C47E910-33E1-49DA-B8DD-E2483719849A}"/>
    <cellStyle name="Millares 7 2 6 2 2" xfId="5076" xr:uid="{E73B8077-2052-4E4F-8797-6DD22C656798}"/>
    <cellStyle name="Millares 7 2 6 3" xfId="4114" xr:uid="{87EEE096-283A-48C4-8472-0789FA17289A}"/>
    <cellStyle name="Millares 7 2 7" xfId="2166" xr:uid="{5592EB25-106A-4828-9E92-1A8553FE3BAA}"/>
    <cellStyle name="Millares 7 2 8" xfId="2235" xr:uid="{365A07B0-6D03-407E-907F-D90CE986AE7A}"/>
    <cellStyle name="Millares 7 2 8 2" xfId="4240" xr:uid="{C09078E8-D43A-4C1C-91B6-C8128DEFC3ED}"/>
    <cellStyle name="Millares 7 2 9" xfId="2652" xr:uid="{64353900-DA44-4630-B9D8-E069057D9D53}"/>
    <cellStyle name="Millares 7 2 9 2" xfId="4658" xr:uid="{68F2E4CA-BB7B-4CD5-91AE-8827820001A2}"/>
    <cellStyle name="Millares 7 3" xfId="132" xr:uid="{00000000-0005-0000-0000-0000B5000000}"/>
    <cellStyle name="Millares 7 4" xfId="197" xr:uid="{00000000-0005-0000-0000-0000B6000000}"/>
    <cellStyle name="Millares 7 4 2" xfId="298" xr:uid="{208EDCB0-F30B-4E1A-9469-4FE8AC795009}"/>
    <cellStyle name="Millares 7 4 2 2" xfId="797" xr:uid="{1DFADA0E-23ED-487D-830C-F6A568E3A097}"/>
    <cellStyle name="Millares 7 4 2 2 2" xfId="2607" xr:uid="{15C6B065-A95E-437A-85E7-14C4303A1F4D}"/>
    <cellStyle name="Millares 7 4 2 2 2 2" xfId="4613" xr:uid="{93955D74-627E-452A-8533-DE5833625868}"/>
    <cellStyle name="Millares 7 4 2 2 3" xfId="3025" xr:uid="{F6973F97-AAC3-40D9-BB77-C025C5F83E67}"/>
    <cellStyle name="Millares 7 4 2 2 3 2" xfId="5031" xr:uid="{5E11B0F5-FC21-4B8C-934B-BE1C69EBC3B4}"/>
    <cellStyle name="Millares 7 4 2 2 4" xfId="3569" xr:uid="{41757B21-27DA-4C72-9131-779B21F80B8B}"/>
    <cellStyle name="Millares 7 4 2 2 4 2" xfId="5575" xr:uid="{0B950CAA-8932-4727-9F3C-2EBA0C87A741}"/>
    <cellStyle name="Millares 7 4 2 2 5" xfId="4069" xr:uid="{78A17EC6-A957-4D40-AF60-71FDAA4298D6}"/>
    <cellStyle name="Millares 7 4 2 3" xfId="2396" xr:uid="{930DFAE8-BEFA-4E0B-B487-FC1F6AD78933}"/>
    <cellStyle name="Millares 7 4 2 3 2" xfId="4401" xr:uid="{9058E3E7-1286-42DE-9364-1396C3B8893D}"/>
    <cellStyle name="Millares 7 4 2 4" xfId="2813" xr:uid="{1986968B-73FB-4C42-B088-B1576146C65F}"/>
    <cellStyle name="Millares 7 4 2 4 2" xfId="4819" xr:uid="{E69E368B-8625-4B47-9DE0-9B31A9A8982F}"/>
    <cellStyle name="Millares 7 4 2 5" xfId="3357" xr:uid="{5E1F6E32-9136-4BA4-82B0-93FE30E13DB8}"/>
    <cellStyle name="Millares 7 4 2 5 2" xfId="5363" xr:uid="{642210AD-8E58-47B1-AC8C-725D224F5AB1}"/>
    <cellStyle name="Millares 7 4 2 6" xfId="612" xr:uid="{D3D0EB9E-7E13-42F5-A690-E6C098E7D262}"/>
    <cellStyle name="Millares 7 4 2 7" xfId="3857" xr:uid="{DA1BCCA8-6147-4B91-9B55-735048343FE7}"/>
    <cellStyle name="Millares 7 4 3" xfId="701" xr:uid="{43B7AE29-634E-49C8-9095-F5CDF6724086}"/>
    <cellStyle name="Millares 7 4 3 2" xfId="2507" xr:uid="{E8E06516-64A8-4E51-82D9-9BE8D907DCFF}"/>
    <cellStyle name="Millares 7 4 3 2 2" xfId="4513" xr:uid="{C834C2D1-07FE-4CE4-B725-F6E70A28D3AC}"/>
    <cellStyle name="Millares 7 4 3 3" xfId="2925" xr:uid="{63099C25-9CD5-4FEB-A3F1-DC6125092261}"/>
    <cellStyle name="Millares 7 4 3 3 2" xfId="4931" xr:uid="{309D7BD4-9988-4DAE-895C-1AFBFAA9AC5D}"/>
    <cellStyle name="Millares 7 4 3 4" xfId="3469" xr:uid="{A5DB2935-0865-481D-B715-A8816A5BFC44}"/>
    <cellStyle name="Millares 7 4 3 4 2" xfId="5475" xr:uid="{A523057B-9F59-4582-BDAB-F8C4BFBE18C1}"/>
    <cellStyle name="Millares 7 4 3 5" xfId="3969" xr:uid="{D2EA68BA-3C0D-4F86-83E8-7333C0990101}"/>
    <cellStyle name="Millares 7 4 4" xfId="898" xr:uid="{0903021D-2FE4-465D-BD6D-E05024838320}"/>
    <cellStyle name="Millares 7 4 4 2" xfId="3127" xr:uid="{947231AB-88C3-4E51-B348-70F74735A220}"/>
    <cellStyle name="Millares 7 4 4 2 2" xfId="5133" xr:uid="{B1D4CDC3-38B0-4A30-9728-6F92D80F0A96}"/>
    <cellStyle name="Millares 7 4 4 3" xfId="4171" xr:uid="{ABE93759-E335-4260-BDA4-0BFA567EE345}"/>
    <cellStyle name="Millares 7 4 5" xfId="2292" xr:uid="{F4437AB9-A429-483B-B365-0EA664755D4F}"/>
    <cellStyle name="Millares 7 4 5 2" xfId="4297" xr:uid="{A107B9CC-2606-4C0B-9667-C98CFB4013E3}"/>
    <cellStyle name="Millares 7 4 6" xfId="2709" xr:uid="{C7593031-FFC6-49CF-8BB3-F5B99F90513D}"/>
    <cellStyle name="Millares 7 4 6 2" xfId="4715" xr:uid="{46E7D412-8BC7-4996-B1B3-07C9AF37228E}"/>
    <cellStyle name="Millares 7 4 7" xfId="3253" xr:uid="{7EC5B83F-CD45-4CB9-8310-F095CE95E96C}"/>
    <cellStyle name="Millares 7 4 7 2" xfId="5259" xr:uid="{7970B6B4-62BD-4A90-B0A5-A40CA89CE9FC}"/>
    <cellStyle name="Millares 7 4 8" xfId="514" xr:uid="{B57ED9AC-AC0B-4CCF-A054-836D738D4FB8}"/>
    <cellStyle name="Millares 7 4 9" xfId="3753" xr:uid="{5A416C0B-1D17-4426-AAA8-CED537B8E179}"/>
    <cellStyle name="Millares 7 5" xfId="150" xr:uid="{00000000-0005-0000-0000-0000B7000000}"/>
    <cellStyle name="Millares 7 5 2" xfId="256" xr:uid="{03C37BB0-74DA-48DF-9CEE-4A98134A05EF}"/>
    <cellStyle name="Millares 7 5 2 2" xfId="756" xr:uid="{CD5CEAD4-DA68-4077-86A1-C54449DD4030}"/>
    <cellStyle name="Millares 7 5 2 2 2" xfId="2565" xr:uid="{427FEEF5-DAFF-4F5D-934F-E2411D869886}"/>
    <cellStyle name="Millares 7 5 2 2 2 2" xfId="4571" xr:uid="{241860FA-9233-4FBF-B5BD-4C01BE7609DB}"/>
    <cellStyle name="Millares 7 5 2 2 3" xfId="2983" xr:uid="{2D893021-6EB1-4A5B-9238-B8C0B2311604}"/>
    <cellStyle name="Millares 7 5 2 2 3 2" xfId="4989" xr:uid="{6B5D7CFD-C48F-487C-80A3-6C9567879B91}"/>
    <cellStyle name="Millares 7 5 2 2 4" xfId="3527" xr:uid="{AECAABFA-1EC7-44C6-A850-EF0302E1BDE5}"/>
    <cellStyle name="Millares 7 5 2 2 4 2" xfId="5533" xr:uid="{78D7B32C-F858-41B6-BF81-99DF17C5F088}"/>
    <cellStyle name="Millares 7 5 2 2 5" xfId="4027" xr:uid="{10ABE09C-DC7D-4732-884A-2069A1C365C0}"/>
    <cellStyle name="Millares 7 5 2 3" xfId="2354" xr:uid="{3C3C6C9D-40EE-4FC0-9287-BBF9FC2DDE81}"/>
    <cellStyle name="Millares 7 5 2 3 2" xfId="4359" xr:uid="{954915A6-1354-437A-B031-E67991A5F4E9}"/>
    <cellStyle name="Millares 7 5 2 4" xfId="2771" xr:uid="{22D726C8-31DD-4057-B74F-78D86B37C796}"/>
    <cellStyle name="Millares 7 5 2 4 2" xfId="4777" xr:uid="{847F4725-9486-4686-9023-500A01BEE3E0}"/>
    <cellStyle name="Millares 7 5 2 5" xfId="3315" xr:uid="{3B276942-1538-46E9-9BFD-9667963048BA}"/>
    <cellStyle name="Millares 7 5 2 5 2" xfId="5321" xr:uid="{934D5AAF-DD0A-47B2-9A56-B88851877AD4}"/>
    <cellStyle name="Millares 7 5 2 6" xfId="571" xr:uid="{F5D9EA5C-7730-4B47-B4A0-9BE936D52155}"/>
    <cellStyle name="Millares 7 5 2 7" xfId="3815" xr:uid="{7889186D-4292-4C6B-83EA-8F3D2BC49A14}"/>
    <cellStyle name="Millares 7 5 3" xfId="668" xr:uid="{D4F96C97-6DB0-41D1-9357-5E8882D356EB}"/>
    <cellStyle name="Millares 7 5 3 2" xfId="2465" xr:uid="{B5EA052D-0CEC-43C6-A441-7ADFF43312C6}"/>
    <cellStyle name="Millares 7 5 3 2 2" xfId="4471" xr:uid="{93768879-68FA-422E-BBFB-3B23CBF6175F}"/>
    <cellStyle name="Millares 7 5 3 3" xfId="2883" xr:uid="{7B6D9A1B-FA16-498C-91F9-D90CF23F2DA9}"/>
    <cellStyle name="Millares 7 5 3 3 2" xfId="4889" xr:uid="{EF7DC8CE-7DCD-49A7-9A3B-7D9753E399B3}"/>
    <cellStyle name="Millares 7 5 3 4" xfId="3427" xr:uid="{F511915B-0ADA-4D80-9C4E-8E032C94A126}"/>
    <cellStyle name="Millares 7 5 3 4 2" xfId="5433" xr:uid="{477A37F6-15D8-4825-BEA9-7B3FB8B42F01}"/>
    <cellStyle name="Millares 7 5 3 5" xfId="3927" xr:uid="{7516EC7C-C81D-441C-BDF0-6035A1537C7E}"/>
    <cellStyle name="Millares 7 5 4" xfId="856" xr:uid="{5EFE40AB-FD2E-4F24-9594-85526C2FDEAA}"/>
    <cellStyle name="Millares 7 5 4 2" xfId="3085" xr:uid="{7BB1CDFF-D803-4A1D-86C1-55472BD41C3E}"/>
    <cellStyle name="Millares 7 5 4 2 2" xfId="5091" xr:uid="{B02B732A-2CA0-4DB7-9A89-F7011C4D0CD6}"/>
    <cellStyle name="Millares 7 5 4 3" xfId="4129" xr:uid="{1F8E4946-8DF7-4444-93AA-31706C167439}"/>
    <cellStyle name="Millares 7 5 5" xfId="2250" xr:uid="{69BFDF48-80FC-487A-A3AF-4F2DC61611BA}"/>
    <cellStyle name="Millares 7 5 5 2" xfId="4255" xr:uid="{4AB8CC28-7991-442B-9B28-BF638521AD0A}"/>
    <cellStyle name="Millares 7 5 6" xfId="2667" xr:uid="{32C2937D-CDF0-44B6-B434-022A92A8AC6E}"/>
    <cellStyle name="Millares 7 5 6 2" xfId="4673" xr:uid="{FC3A3788-4426-466D-80D6-216272139939}"/>
    <cellStyle name="Millares 7 5 7" xfId="3211" xr:uid="{A9BDB9D7-9EDD-4201-AFB9-B0447E274BA4}"/>
    <cellStyle name="Millares 7 5 7 2" xfId="5217" xr:uid="{ED98583A-1207-4E32-8A2A-FA48C5DE2678}"/>
    <cellStyle name="Millares 7 5 8" xfId="481" xr:uid="{16F3F71B-4EE4-4682-B573-D509B07F6BEF}"/>
    <cellStyle name="Millares 7 5 9" xfId="3711" xr:uid="{6342D664-FE8E-4B4A-8C94-DEE3EFD5B326}"/>
    <cellStyle name="Millares 7 6" xfId="102" xr:uid="{00000000-0005-0000-0000-0000B8000000}"/>
    <cellStyle name="Millares 7 6 2" xfId="229" xr:uid="{30A918DB-6FD9-487B-99B1-FED8EECD13A5}"/>
    <cellStyle name="Millares 7 6 2 2" xfId="729" xr:uid="{5564CB21-1045-417E-8E22-59F1DCF6B1BD}"/>
    <cellStyle name="Millares 7 6 2 2 2" xfId="2538" xr:uid="{63B0FEC9-791E-410D-B76D-30CA7391BA4B}"/>
    <cellStyle name="Millares 7 6 2 2 2 2" xfId="4544" xr:uid="{362F482D-E902-4FE7-82CF-CF08D37CFF9F}"/>
    <cellStyle name="Millares 7 6 2 2 3" xfId="2956" xr:uid="{FE43170C-9B47-4565-AC1B-C77640B81789}"/>
    <cellStyle name="Millares 7 6 2 2 3 2" xfId="4962" xr:uid="{B66B034F-1C0E-436C-AC23-172B2B7E3C09}"/>
    <cellStyle name="Millares 7 6 2 2 4" xfId="3500" xr:uid="{901EB04F-E3B0-467C-9319-119D61B527CB}"/>
    <cellStyle name="Millares 7 6 2 2 4 2" xfId="5506" xr:uid="{1DF1C133-12A3-4E7A-A28E-C0EADC7D2187}"/>
    <cellStyle name="Millares 7 6 2 2 5" xfId="4000" xr:uid="{01932421-5794-4D04-9169-56DE8BF8E690}"/>
    <cellStyle name="Millares 7 6 2 3" xfId="2327" xr:uid="{03EE0482-A7F7-4DD0-8EEA-BDBD1506E49D}"/>
    <cellStyle name="Millares 7 6 2 3 2" xfId="4332" xr:uid="{82CA6E55-2597-462C-B80B-E5E9828D3E32}"/>
    <cellStyle name="Millares 7 6 2 4" xfId="2744" xr:uid="{F93B08B3-13E9-4D46-8556-4B1496CDEFBC}"/>
    <cellStyle name="Millares 7 6 2 4 2" xfId="4750" xr:uid="{B32812CC-5FF3-4AD0-ABDF-C3E5AED8EF90}"/>
    <cellStyle name="Millares 7 6 2 5" xfId="3288" xr:uid="{240CB930-A7CC-4FA0-9CB4-A952DD6201AF}"/>
    <cellStyle name="Millares 7 6 2 5 2" xfId="5294" xr:uid="{B0145D49-110F-4DC4-8E9D-493482707797}"/>
    <cellStyle name="Millares 7 6 2 6" xfId="544" xr:uid="{83B3B013-630E-46BC-8107-530763ED8B79}"/>
    <cellStyle name="Millares 7 6 2 7" xfId="3788" xr:uid="{F9392A75-47FD-4D58-A376-FA267005564C}"/>
    <cellStyle name="Millares 7 6 3" xfId="649" xr:uid="{109EB79C-A3C8-4415-9A08-3821ADE34E64}"/>
    <cellStyle name="Millares 7 6 3 2" xfId="2438" xr:uid="{1CF18ADD-7780-451E-A5A2-7F9C77551656}"/>
    <cellStyle name="Millares 7 6 3 2 2" xfId="4444" xr:uid="{12FBFE18-D536-44C6-9A5E-9BC0980428F7}"/>
    <cellStyle name="Millares 7 6 3 3" xfId="2856" xr:uid="{072526D0-07D5-4D85-88E1-F8B4C8B6A1A0}"/>
    <cellStyle name="Millares 7 6 3 3 2" xfId="4862" xr:uid="{1DCD6D52-1A15-4F09-A932-21EA7CD3A283}"/>
    <cellStyle name="Millares 7 6 3 4" xfId="3400" xr:uid="{82539EF8-67E9-4138-933D-1B44FE6A48FE}"/>
    <cellStyle name="Millares 7 6 3 4 2" xfId="5406" xr:uid="{3F4FEBFC-929F-4AC0-87C7-91EA2364C1E3}"/>
    <cellStyle name="Millares 7 6 3 5" xfId="3900" xr:uid="{837B4A3A-D4FC-48C8-905A-DCD95911C106}"/>
    <cellStyle name="Millares 7 6 4" xfId="829" xr:uid="{49256649-FCDB-4201-AFF0-13BEFBF94305}"/>
    <cellStyle name="Millares 7 6 4 2" xfId="3058" xr:uid="{74AB516A-EB67-4962-890E-E9F7114BE620}"/>
    <cellStyle name="Millares 7 6 4 2 2" xfId="5064" xr:uid="{69469889-74D3-43DA-B71C-CD4D55274DF0}"/>
    <cellStyle name="Millares 7 6 4 3" xfId="4102" xr:uid="{33DA1320-F669-4F28-820E-947864E2510B}"/>
    <cellStyle name="Millares 7 6 5" xfId="2223" xr:uid="{93F0C642-98F6-4125-8354-FB28EEBBD7A8}"/>
    <cellStyle name="Millares 7 6 5 2" xfId="4228" xr:uid="{E978DEA2-13A7-4FD9-A9F7-ABF73023311D}"/>
    <cellStyle name="Millares 7 6 6" xfId="2640" xr:uid="{670C5AE9-CCD5-49A2-B8BF-856904F3A9D1}"/>
    <cellStyle name="Millares 7 6 6 2" xfId="4646" xr:uid="{D0A0161F-2B22-49E6-A0FD-19BC99E7B047}"/>
    <cellStyle name="Millares 7 6 7" xfId="3184" xr:uid="{4743D286-C94E-4AAD-B4BD-CD88CCD18E7D}"/>
    <cellStyle name="Millares 7 6 7 2" xfId="5190" xr:uid="{78230008-6B92-4F2A-A087-8E8305D1C6A6}"/>
    <cellStyle name="Millares 7 6 8" xfId="464" xr:uid="{F1DEA8CD-EE7F-4DC4-85AF-E5653CB3C885}"/>
    <cellStyle name="Millares 7 6 9" xfId="3684" xr:uid="{24F084F4-893E-4505-A2C2-1A434D9043B4}"/>
    <cellStyle name="Millares 7 7" xfId="937" xr:uid="{5C1112F0-C694-4370-8B02-10C213C8EA20}"/>
    <cellStyle name="Millares 7 7 2" xfId="3155" xr:uid="{406DED16-E7FA-46CC-9585-F30561788869}"/>
    <cellStyle name="Millares 7 7 2 2" xfId="5161" xr:uid="{D8A5FC63-91E2-455A-88FD-261D547DF825}"/>
    <cellStyle name="Millares 7 7 3" xfId="4199" xr:uid="{BCBA160D-7F0D-426B-8172-A29737CA421F}"/>
    <cellStyle name="Millares 7 8" xfId="2164" xr:uid="{E492DEE3-B2CB-4637-84E2-CE30496C7693}"/>
    <cellStyle name="Millares 7 9" xfId="5743" xr:uid="{0BC1AF10-A307-4B10-97C9-E70B4330D58A}"/>
    <cellStyle name="Millares 70" xfId="5751" xr:uid="{E7EACD0B-9A4D-4AB8-B931-4FA36E57180D}"/>
    <cellStyle name="Millares 71" xfId="5855" xr:uid="{50E842F1-45B6-4A52-A18C-C94552DD294A}"/>
    <cellStyle name="Millares 72" xfId="5858" xr:uid="{AF8FCF05-0961-4680-94A2-CD1E3E0FA938}"/>
    <cellStyle name="Millares 73" xfId="5864" xr:uid="{CA2F6B20-AF5F-410D-B908-B485C623068D}"/>
    <cellStyle name="Millares 8" xfId="69" xr:uid="{00000000-0005-0000-0000-0000B9000000}"/>
    <cellStyle name="Millares 8 2" xfId="138" xr:uid="{00000000-0005-0000-0000-0000BA000000}"/>
    <cellStyle name="Millares 8 3" xfId="113" xr:uid="{00000000-0005-0000-0000-0000BB000000}"/>
    <cellStyle name="Millares 8 4" xfId="5793" xr:uid="{809FA7B1-4651-413E-A940-E650F726BB7A}"/>
    <cellStyle name="Millares 88" xfId="5790" xr:uid="{597BC9F3-D0CB-4BED-A1A7-3B357AA3686E}"/>
    <cellStyle name="Millares 9" xfId="94" xr:uid="{00000000-0005-0000-0000-0000BC000000}"/>
    <cellStyle name="Millares 9 2" xfId="128" xr:uid="{00000000-0005-0000-0000-0000BD000000}"/>
    <cellStyle name="Millares 9 3" xfId="2165" xr:uid="{29EBC3D3-BDD7-4438-8AD7-76ABAB7D4CA8}"/>
    <cellStyle name="Millares 9 4" xfId="3607" xr:uid="{0F5C7ACE-E385-4E19-85BC-7B076BCB3D08}"/>
    <cellStyle name="Millares 9 5" xfId="3661" xr:uid="{2F939833-AA20-48E8-8BD2-C30F18FF024F}"/>
    <cellStyle name="Millares 9 5 2" xfId="5639" xr:uid="{BF761FAB-452B-4080-96F9-AB1E44464C63}"/>
    <cellStyle name="Moneda 2" xfId="421" xr:uid="{65818545-BC5A-42A9-BB06-C367D32AC8CA}"/>
    <cellStyle name="Moneda 2 2" xfId="445" xr:uid="{03D044B1-674A-466E-A177-7B3F2081AB14}"/>
    <cellStyle name="Neutral" xfId="8" builtinId="28" customBuiltin="1"/>
    <cellStyle name="Neutral 2" xfId="326" xr:uid="{D3AEDC7D-E59A-477E-9D4B-AD22DDF6E8C8}"/>
    <cellStyle name="Neutral 2 2" xfId="3612" xr:uid="{4FCCD0A5-F191-4417-A20D-E2A65D19FFB8}"/>
    <cellStyle name="Neutral 3" xfId="5657" xr:uid="{46DFF50B-2D7F-453F-80D6-8C158E8D43E2}"/>
    <cellStyle name="Normal" xfId="0" builtinId="0"/>
    <cellStyle name="Normal - Style1" xfId="5722" xr:uid="{80B252AC-A7EB-40C4-AD09-6A1079F55CCB}"/>
    <cellStyle name="Normal 10" xfId="93" xr:uid="{00000000-0005-0000-0000-0000C0000000}"/>
    <cellStyle name="Normal 10 10" xfId="938" xr:uid="{179CDD5E-2254-4055-9416-EE4E5BA2C238}"/>
    <cellStyle name="Normal 10 10 2 2 2" xfId="2141" xr:uid="{CE25CA2F-F175-46D1-90C4-2A3D4D937FAB}"/>
    <cellStyle name="Normal 10 11" xfId="939" xr:uid="{C533DA56-1E2C-4D54-B238-48173BDBE392}"/>
    <cellStyle name="Normal 10 12" xfId="940" xr:uid="{2457E1F2-E6C3-476C-83C7-842AF1D9141E}"/>
    <cellStyle name="Normal 10 2" xfId="415" xr:uid="{237726B1-99AB-4C08-B8D7-AF177B30847A}"/>
    <cellStyle name="Normal 10 2 2" xfId="942" xr:uid="{C42EBE66-1737-451F-A2F4-70429E809CEB}"/>
    <cellStyle name="Normal 10 2 3" xfId="943" xr:uid="{D59F3C1F-E0A5-45E5-906F-4EF8497392C6}"/>
    <cellStyle name="Normal 10 2 4" xfId="944" xr:uid="{B8E1ABC2-1938-4699-A4AF-C4139155960E}"/>
    <cellStyle name="Normal 10 2 5" xfId="945" xr:uid="{08E85618-3680-487A-9EF4-B4B263E5B45E}"/>
    <cellStyle name="Normal 10 2 6" xfId="946" xr:uid="{18914258-3CFE-478F-89BF-27981425CC81}"/>
    <cellStyle name="Normal 10 2 7" xfId="947" xr:uid="{6B699EAB-E11C-48D2-A31A-1483E8879BC3}"/>
    <cellStyle name="Normal 10 2 8" xfId="948" xr:uid="{5DA20055-36E1-4667-9DA9-58C7FA0B9697}"/>
    <cellStyle name="Normal 10 2 9" xfId="941" xr:uid="{4134BBF5-EAA0-4CD1-B859-321CE33AD4C5}"/>
    <cellStyle name="Normal 10 3" xfId="401" xr:uid="{A865876A-26E6-4986-B84D-DF0F07309ED9}"/>
    <cellStyle name="Normal 10 3 2" xfId="950" xr:uid="{22B85FF7-8DC6-4262-8910-2E663A652988}"/>
    <cellStyle name="Normal 10 3 3" xfId="951" xr:uid="{F02358FC-87AF-4161-B899-DF9736EFA6B0}"/>
    <cellStyle name="Normal 10 3 4" xfId="952" xr:uid="{802DD6D9-9C1A-40B5-BFE3-80B481FC39DC}"/>
    <cellStyle name="Normal 10 3 5" xfId="953" xr:uid="{9E56DB2D-1579-488B-899A-989D0770E2C0}"/>
    <cellStyle name="Normal 10 3 6" xfId="954" xr:uid="{E85A519A-E4EA-42FB-8E8D-058000ED1456}"/>
    <cellStyle name="Normal 10 3 7" xfId="955" xr:uid="{BD719DE8-D010-4AB8-858D-D9C9B4BD2A17}"/>
    <cellStyle name="Normal 10 3 8" xfId="956" xr:uid="{43CC3DC4-B526-4998-B858-02FB5027CFDA}"/>
    <cellStyle name="Normal 10 3 9" xfId="949" xr:uid="{51A95613-6EC6-42E1-935E-E6A0A6C3C70E}"/>
    <cellStyle name="Normal 10 4" xfId="957" xr:uid="{419AAFFE-B594-4363-BBB3-3E72FB2198E7}"/>
    <cellStyle name="Normal 10 4 2" xfId="958" xr:uid="{04809192-036A-4D35-8396-094761FFB64F}"/>
    <cellStyle name="Normal 10 4 3" xfId="959" xr:uid="{9F6020DB-5F1D-4EB5-B9B1-85F2CA0067EB}"/>
    <cellStyle name="Normal 10 4 4" xfId="960" xr:uid="{177E8E0C-EF68-4C69-AFD3-6E554B392EE5}"/>
    <cellStyle name="Normal 10 4 5" xfId="961" xr:uid="{F46B46D9-2EE5-4800-B0B6-7E8008268A80}"/>
    <cellStyle name="Normal 10 4 6" xfId="962" xr:uid="{D3334738-73F5-4EC5-A0F4-4A47718548EE}"/>
    <cellStyle name="Normal 10 4 7" xfId="963" xr:uid="{93B57F94-2123-4EFB-8608-82665CED8FA8}"/>
    <cellStyle name="Normal 10 4 8" xfId="964" xr:uid="{E4510E92-B435-4ABA-8825-C9CA1DDD9B87}"/>
    <cellStyle name="Normal 10 5" xfId="965" xr:uid="{D22A5AF9-8230-4200-8A72-341461E1E6BF}"/>
    <cellStyle name="Normal 10 5 2" xfId="966" xr:uid="{F566FA2C-4A49-48B9-B0E8-2D2B97314A65}"/>
    <cellStyle name="Normal 10 5 3" xfId="967" xr:uid="{126B56A4-B058-4283-A12E-8825348416B5}"/>
    <cellStyle name="Normal 10 5 4" xfId="968" xr:uid="{47CFB5CE-45F3-4B1B-A67F-5D2C94877764}"/>
    <cellStyle name="Normal 10 5 5" xfId="969" xr:uid="{04E50059-BC60-4E3D-8D7C-CF3E371BE41A}"/>
    <cellStyle name="Normal 10 5 6" xfId="970" xr:uid="{BA51979C-A91A-4D7C-A577-92366293B03F}"/>
    <cellStyle name="Normal 10 5 7" xfId="971" xr:uid="{C766D3D6-A75A-4252-A65B-3E1958CE4F8A}"/>
    <cellStyle name="Normal 10 5 8" xfId="972" xr:uid="{FD50F7FB-FE7D-46B2-B3E5-AC6970C675CC}"/>
    <cellStyle name="Normal 10 6" xfId="973" xr:uid="{63983C04-40D7-40F1-8E24-4F89E95B6B52}"/>
    <cellStyle name="Normal 10 6 2" xfId="974" xr:uid="{DB3CB3F9-FBE2-4983-A7D3-CF05412BE10E}"/>
    <cellStyle name="Normal 10 6 3" xfId="975" xr:uid="{77E77464-1311-4FBB-8826-1D777E7CD0F6}"/>
    <cellStyle name="Normal 10 6 4" xfId="976" xr:uid="{5397B3B0-2DB9-4645-B3F0-BCBB52D12CF1}"/>
    <cellStyle name="Normal 10 6 5" xfId="977" xr:uid="{3B5CE721-E409-4F55-9F7F-ADA87FB31203}"/>
    <cellStyle name="Normal 10 6 6" xfId="978" xr:uid="{F3E365BD-8ADB-4A92-B2AA-779F5256717D}"/>
    <cellStyle name="Normal 10 6 7" xfId="979" xr:uid="{1BBF22BD-F2A1-4C82-BFD0-85A21ADF4B52}"/>
    <cellStyle name="Normal 10 6 8" xfId="980" xr:uid="{5D5BBF3B-9C0A-445B-AB6B-29531176C4BD}"/>
    <cellStyle name="Normal 10 7" xfId="981" xr:uid="{8B10A3DA-7D6F-42C6-84D5-FA4BC5676612}"/>
    <cellStyle name="Normal 10 7 2" xfId="982" xr:uid="{2711D7CC-332E-4E1E-B3C1-7E097CBCAA7C}"/>
    <cellStyle name="Normal 10 7 3" xfId="983" xr:uid="{51E48625-8B4E-43B0-8914-D0009B297A83}"/>
    <cellStyle name="Normal 10 7 4" xfId="984" xr:uid="{793EA7E7-4399-4CC0-B978-2F075073DE4C}"/>
    <cellStyle name="Normal 10 7 5" xfId="985" xr:uid="{09B3DB0F-B068-4C15-97E8-22EDC375AF5B}"/>
    <cellStyle name="Normal 10 7 6" xfId="986" xr:uid="{C57E23A9-DEBA-42D1-BC78-AEF4050CBB4F}"/>
    <cellStyle name="Normal 10 7 7" xfId="987" xr:uid="{D01D4675-9BA6-4707-ACD9-0E9704D8E5F3}"/>
    <cellStyle name="Normal 10 7 8" xfId="988" xr:uid="{950EEC73-F1D1-4B86-9EBC-09BD0326DDD9}"/>
    <cellStyle name="Normal 10 8" xfId="405" xr:uid="{3EB77A02-AD81-4CFF-9A00-F69AAFFFFCE2}"/>
    <cellStyle name="Normal 10 9" xfId="989" xr:uid="{A25C6DF6-5410-4615-B675-908FF50624B9}"/>
    <cellStyle name="Normal 1016" xfId="2079" xr:uid="{8DE63004-3686-4AF3-BE77-8B039D5A0D7F}"/>
    <cellStyle name="Normal 1018" xfId="2109" xr:uid="{F395579D-5131-4121-B0D9-F1CA83DB062A}"/>
    <cellStyle name="Normal 1022" xfId="2133" xr:uid="{60D4A448-4953-447C-BBE9-97905364B7DA}"/>
    <cellStyle name="Normal 1024" xfId="2086" xr:uid="{6FEE7A00-91AE-48BD-9CD7-39C2C5E1D433}"/>
    <cellStyle name="Normal 1025" xfId="2136" xr:uid="{6005D106-7326-4BAC-B8EA-7F790F9BF94A}"/>
    <cellStyle name="Normal 1026" xfId="2135" xr:uid="{FB5473F5-DA37-4CEE-8B99-F525D17D0B2A}"/>
    <cellStyle name="Normal 1027" xfId="2137" xr:uid="{AC4023E4-394F-4158-90B2-729D8FC96647}"/>
    <cellStyle name="Normal 105" xfId="2147" xr:uid="{BEB35885-79C6-4CF6-8258-B1B71E3AE9A4}"/>
    <cellStyle name="Normal 107" xfId="2151" xr:uid="{1AA65D35-C919-47FC-BE51-779F2AABCD1F}"/>
    <cellStyle name="Normal 109" xfId="2152" xr:uid="{190D1550-E0E2-4AAB-BA9B-9BDE9BD65C59}"/>
    <cellStyle name="Normal 11" xfId="414" xr:uid="{C94B98E0-8C20-4797-AABA-C16E1E63662F}"/>
    <cellStyle name="Normal 11 10" xfId="990" xr:uid="{D09961CB-74A3-4090-9D19-FCABE413BBFA}"/>
    <cellStyle name="Normal 11 11" xfId="991" xr:uid="{68C0CA43-756F-47CE-88A5-121564130448}"/>
    <cellStyle name="Normal 11 12" xfId="992" xr:uid="{DCCE505B-D786-4ECC-9BEC-C39DFD811FD2}"/>
    <cellStyle name="Normal 11 13" xfId="2188" xr:uid="{BE9A044C-819E-4340-9E26-B7E1F3A12C60}"/>
    <cellStyle name="Normal 11 2" xfId="993" xr:uid="{6B4B7F47-D6B7-42D7-8502-90A63FEB1F8E}"/>
    <cellStyle name="Normal 11 2 2" xfId="994" xr:uid="{A700FEEB-1B1D-477B-97A1-52D7CC9B79D2}"/>
    <cellStyle name="Normal 11 2 3" xfId="995" xr:uid="{912AE656-8275-485E-9F4B-1E8A57705FBC}"/>
    <cellStyle name="Normal 11 2 4" xfId="996" xr:uid="{035F6D52-91C2-4505-BB07-A5DCA1B20397}"/>
    <cellStyle name="Normal 11 2 5" xfId="997" xr:uid="{D722717D-E941-4C67-8166-14252275B4AE}"/>
    <cellStyle name="Normal 11 2 6" xfId="998" xr:uid="{BE9B561E-AD6B-4437-BAB1-086EAD882186}"/>
    <cellStyle name="Normal 11 2 7" xfId="999" xr:uid="{013D6EC5-8580-40B2-B498-B955C60094C7}"/>
    <cellStyle name="Normal 11 2 8" xfId="1000" xr:uid="{D3533918-F781-4CA2-BD93-06AF8DC7B685}"/>
    <cellStyle name="Normal 11 3" xfId="1001" xr:uid="{869855DE-A1CA-4789-B9D2-7B656E2F77EA}"/>
    <cellStyle name="Normal 11 3 2" xfId="1002" xr:uid="{2F78C988-A827-44D3-85B9-91521DA750A9}"/>
    <cellStyle name="Normal 11 3 3" xfId="1003" xr:uid="{2277B762-87B6-4D69-B8CE-CA1BA006EDCC}"/>
    <cellStyle name="Normal 11 3 4" xfId="1004" xr:uid="{92E7C336-0EA2-43A6-AE0F-3CFA75DB73B6}"/>
    <cellStyle name="Normal 11 3 5" xfId="1005" xr:uid="{778A7361-5BF5-4F93-A2D6-3BA62610DA9F}"/>
    <cellStyle name="Normal 11 3 6" xfId="1006" xr:uid="{9445BA16-B4F1-42DA-805E-BD9CEF840557}"/>
    <cellStyle name="Normal 11 3 7" xfId="1007" xr:uid="{87564CEE-53DC-4811-B33B-3C2162F689BF}"/>
    <cellStyle name="Normal 11 3 8" xfId="1008" xr:uid="{3C56C0C7-1EE9-486F-8051-6F6D703F1DE3}"/>
    <cellStyle name="Normal 11 4" xfId="1009" xr:uid="{CF5EFA52-A6BB-4376-A1F9-722D3B7C471C}"/>
    <cellStyle name="Normal 11 4 2" xfId="1010" xr:uid="{350D3107-AB6C-4BAD-8E90-407400BA0BBD}"/>
    <cellStyle name="Normal 11 4 3" xfId="1011" xr:uid="{38D6DE42-6120-429B-9222-7B444A6BAB4A}"/>
    <cellStyle name="Normal 11 4 4" xfId="1012" xr:uid="{0A8F30F3-3589-4CA9-A9C8-847B306DED6F}"/>
    <cellStyle name="Normal 11 4 5" xfId="1013" xr:uid="{AE17857C-399A-4146-B46F-865B92084C8E}"/>
    <cellStyle name="Normal 11 4 6" xfId="1014" xr:uid="{A3658678-8F29-4CAB-AC0A-06DE83187CD0}"/>
    <cellStyle name="Normal 11 4 7" xfId="1015" xr:uid="{0422C5B5-DAB3-4B6D-B2D8-4D2D24E5A046}"/>
    <cellStyle name="Normal 11 4 8" xfId="1016" xr:uid="{B63B0F1A-DBE2-47B7-BB95-965F26FB119B}"/>
    <cellStyle name="Normal 11 5" xfId="1017" xr:uid="{239A96DE-074F-4177-BBD9-160FF9DF0482}"/>
    <cellStyle name="Normal 11 5 2" xfId="1018" xr:uid="{76D72802-BEB9-4D94-A321-80DB3BE08399}"/>
    <cellStyle name="Normal 11 5 3" xfId="1019" xr:uid="{456DD2A6-84F1-4428-A8CE-27F6B988E2E8}"/>
    <cellStyle name="Normal 11 5 4" xfId="1020" xr:uid="{DBB636F8-35BB-4143-9DC8-4082A2AB7BEE}"/>
    <cellStyle name="Normal 11 5 5" xfId="1021" xr:uid="{2FE063A9-4656-490B-A3A3-F3D5DA052773}"/>
    <cellStyle name="Normal 11 5 6" xfId="1022" xr:uid="{314A6AFB-4B69-4B67-B3BB-7FFB3F5F600E}"/>
    <cellStyle name="Normal 11 5 7" xfId="1023" xr:uid="{7EAECB0B-9490-488C-BAC1-616271BB2892}"/>
    <cellStyle name="Normal 11 5 8" xfId="1024" xr:uid="{E04C474E-E9BB-46FB-B180-02A69371C8E9}"/>
    <cellStyle name="Normal 11 6" xfId="1025" xr:uid="{CCA13387-9559-4199-990E-14CC62415D6F}"/>
    <cellStyle name="Normal 11 6 2" xfId="1026" xr:uid="{621EB193-F90D-4012-BF9C-3D4B49258BF2}"/>
    <cellStyle name="Normal 11 6 3" xfId="1027" xr:uid="{F34254B1-D170-455E-8DAF-7CD4FB4D9725}"/>
    <cellStyle name="Normal 11 6 4" xfId="1028" xr:uid="{4C3191A5-467F-4C48-8880-167DB4158F80}"/>
    <cellStyle name="Normal 11 6 5" xfId="1029" xr:uid="{74E45342-EE6A-4E27-9A8F-944CD660A6C8}"/>
    <cellStyle name="Normal 11 6 6" xfId="1030" xr:uid="{EB252E0B-141D-4559-BEFD-AF8FE60F2272}"/>
    <cellStyle name="Normal 11 6 7" xfId="1031" xr:uid="{D1F23F27-7CEC-4748-B5A3-F9E198A03AC7}"/>
    <cellStyle name="Normal 11 6 8" xfId="1032" xr:uid="{D6D625DC-A532-43BF-9D10-1A7F0C40B4AD}"/>
    <cellStyle name="Normal 11 7" xfId="1033" xr:uid="{D438D847-BB60-4C6B-839F-DE46A002B660}"/>
    <cellStyle name="Normal 11 7 2" xfId="1034" xr:uid="{62F8D18D-D521-4523-8BA1-4E418D986AE5}"/>
    <cellStyle name="Normal 11 7 3" xfId="1035" xr:uid="{9DB0FF25-C128-44C1-B0D0-ACAD9A533505}"/>
    <cellStyle name="Normal 11 7 4" xfId="1036" xr:uid="{9A0673F7-78D0-4FF8-9081-CDCC78DC1F8D}"/>
    <cellStyle name="Normal 11 7 5" xfId="1037" xr:uid="{E5FAFED3-FB55-4EA5-9A97-4FF11FCC0194}"/>
    <cellStyle name="Normal 11 7 6" xfId="1038" xr:uid="{3CC7F098-9706-45D0-BFCC-87BD6F3C1945}"/>
    <cellStyle name="Normal 11 7 7" xfId="1039" xr:uid="{460DC521-4AB4-4BE8-A7F5-CB70DC69CA27}"/>
    <cellStyle name="Normal 11 7 8" xfId="1040" xr:uid="{151FCD07-81EF-4782-8C0F-E165EB051471}"/>
    <cellStyle name="Normal 11 8" xfId="1041" xr:uid="{0BFC4E20-0786-4878-AAAB-40B6F6DBE914}"/>
    <cellStyle name="Normal 11 8 2" xfId="1042" xr:uid="{727DCB79-590A-4C8C-B2AD-CAD3E9491538}"/>
    <cellStyle name="Normal 11 8 3" xfId="1043" xr:uid="{10EE3219-7021-4BA6-A1D0-200BCC316062}"/>
    <cellStyle name="Normal 11 8 4" xfId="1044" xr:uid="{63B961F2-CFC2-48B3-BC6F-75050BF85DC8}"/>
    <cellStyle name="Normal 11 9" xfId="1045" xr:uid="{005D7D7A-A29A-4B34-9588-8B79F8D54573}"/>
    <cellStyle name="Normal 12" xfId="46" xr:uid="{00000000-0005-0000-0000-0000C1000000}"/>
    <cellStyle name="Normal 12 10" xfId="1046" xr:uid="{2F521BB5-AB34-478A-AB89-31EA492D6CD9}"/>
    <cellStyle name="Normal 12 10 2" xfId="2074" xr:uid="{6FF4D988-FFA6-4F6D-8AE9-053752E9CBAE}"/>
    <cellStyle name="Normal 12 11" xfId="1047" xr:uid="{49183591-4BD5-4872-B8C6-30C12CEAD278}"/>
    <cellStyle name="Normal 12 2" xfId="1048" xr:uid="{09DFF2D6-5926-4139-889C-276E67203289}"/>
    <cellStyle name="Normal 12 2 10" xfId="2070" xr:uid="{AA660CB4-A818-40F0-A3D6-A7047CB7BA7C}"/>
    <cellStyle name="Normal 12 2 2" xfId="1049" xr:uid="{528768D1-FE4E-419F-99A0-69EF931862DB}"/>
    <cellStyle name="Normal 12 2 2 4" xfId="2077" xr:uid="{7340B90E-286C-4F3E-AA62-D18E774A161B}"/>
    <cellStyle name="Normal 12 2 2 4 2" xfId="5740" xr:uid="{74A8AA00-DEEC-4E00-A457-A303A429A8B7}"/>
    <cellStyle name="Normal 12 2 2 4 3" xfId="5749" xr:uid="{DFB8E660-6AC3-4BFC-919F-227AF595C46C}"/>
    <cellStyle name="Normal 12 2 2 4 4" xfId="5841" xr:uid="{1EFA3664-EEC2-4E76-A153-FBDC1ED2C470}"/>
    <cellStyle name="Normal 12 2 3" xfId="1050" xr:uid="{45019D91-141D-4406-8730-503CF6CBEA46}"/>
    <cellStyle name="Normal 12 2 4" xfId="1051" xr:uid="{3AFD2551-F397-4D11-B474-63D05D20E8AB}"/>
    <cellStyle name="Normal 12 2 5" xfId="1052" xr:uid="{B8E50F20-31BA-4BD8-A11E-894D1823FC2E}"/>
    <cellStyle name="Normal 12 2 6" xfId="1053" xr:uid="{47A25CC4-34A4-4815-96C3-1D88119CDEF6}"/>
    <cellStyle name="Normal 12 2 7" xfId="1054" xr:uid="{25EA6407-677E-4A0E-BF95-C102CB40F2DD}"/>
    <cellStyle name="Normal 12 2 8" xfId="1055" xr:uid="{6482EFB5-5253-4A9D-B1F2-BF79F958565B}"/>
    <cellStyle name="Normal 12 3" xfId="1056" xr:uid="{1A2AB0E6-AA5D-4FFB-BDB0-F3747740AA9D}"/>
    <cellStyle name="Normal 12 3 2" xfId="1057" xr:uid="{0CBA3DA4-D677-4EE3-8C0B-0420BE3F1910}"/>
    <cellStyle name="Normal 12 3 3" xfId="1058" xr:uid="{44005035-A8F1-4A21-B95B-3FEC899B4E41}"/>
    <cellStyle name="Normal 12 3 4" xfId="1059" xr:uid="{475A3702-65F4-4365-9932-4D68F2335231}"/>
    <cellStyle name="Normal 12 3 5" xfId="1060" xr:uid="{B782D57E-578A-49E4-99A5-ED4A1BD795D0}"/>
    <cellStyle name="Normal 12 3 6" xfId="1061" xr:uid="{181DC878-04E2-49A6-9BAB-F71A59630E65}"/>
    <cellStyle name="Normal 12 3 7" xfId="1062" xr:uid="{92BEFCB7-29FE-4DB4-B234-FA9D8DBA7DF3}"/>
    <cellStyle name="Normal 12 3 8" xfId="1063" xr:uid="{E098A23F-DBFF-4236-A062-2B7792EBC840}"/>
    <cellStyle name="Normal 12 4" xfId="1064" xr:uid="{7FB8EC8A-AD23-4088-87AD-3CE469290F8F}"/>
    <cellStyle name="Normal 12 4 2" xfId="1065" xr:uid="{037F6AD5-1CBF-4172-BA61-07F8E1A19A25}"/>
    <cellStyle name="Normal 12 4 3" xfId="1066" xr:uid="{BF981263-4CEC-43AB-8AD7-B711D8E6EBD2}"/>
    <cellStyle name="Normal 12 4 4" xfId="1067" xr:uid="{5CFA3153-3107-4B4A-9D98-30E33968672D}"/>
    <cellStyle name="Normal 12 4 5" xfId="1068" xr:uid="{4AFDD33D-3C09-49D8-9F9E-E460B7480CBA}"/>
    <cellStyle name="Normal 12 4 6" xfId="1069" xr:uid="{99D704A8-1E43-4F9D-8FF8-5E72F6417E3A}"/>
    <cellStyle name="Normal 12 4 7" xfId="1070" xr:uid="{FD848870-DB85-48FC-B438-CC5B0AF1DB9E}"/>
    <cellStyle name="Normal 12 4 8" xfId="1071" xr:uid="{F6C0AD89-AF57-42E0-AC6C-AB6F44A47BC8}"/>
    <cellStyle name="Normal 12 5" xfId="1072" xr:uid="{A9F25F5F-7551-47C8-8BE3-288F84B355F4}"/>
    <cellStyle name="Normal 12 5 2" xfId="1073" xr:uid="{F7126BCC-5B02-4F0D-B800-218ADD072DE5}"/>
    <cellStyle name="Normal 12 5 3" xfId="1074" xr:uid="{EB562B4F-B6BA-49B2-BB73-0A3FF1D4B324}"/>
    <cellStyle name="Normal 12 5 4" xfId="1075" xr:uid="{A97A25B5-BFB7-464C-9B23-73A90CAAACB2}"/>
    <cellStyle name="Normal 12 5 5" xfId="1076" xr:uid="{E45C8B6F-1CD7-4470-B9E8-CE6B433B30C8}"/>
    <cellStyle name="Normal 12 5 6" xfId="1077" xr:uid="{21492D8D-DF66-4735-A433-FBC8DC8ACE91}"/>
    <cellStyle name="Normal 12 5 7" xfId="1078" xr:uid="{4AE6EB29-8AE3-4B71-A69C-AA0E20A8FA76}"/>
    <cellStyle name="Normal 12 5 8" xfId="1079" xr:uid="{EC43F871-1587-4E69-97AC-EDEA5CB2CB85}"/>
    <cellStyle name="Normal 12 6" xfId="1080" xr:uid="{4B95F5D5-BDED-40A4-A168-DC063F5EB831}"/>
    <cellStyle name="Normal 12 6 2" xfId="1081" xr:uid="{8D59FDB2-B8C2-4D26-B68A-2FBF697BD1C5}"/>
    <cellStyle name="Normal 12 6 3" xfId="1082" xr:uid="{E232F439-DCC6-4025-ACF0-452C3A344A0B}"/>
    <cellStyle name="Normal 12 6 4" xfId="1083" xr:uid="{15070234-0769-4D7F-96D3-1DE51155ABE4}"/>
    <cellStyle name="Normal 12 6 5" xfId="1084" xr:uid="{0748E339-01E1-44C4-8596-4D35FDC8A1B9}"/>
    <cellStyle name="Normal 12 6 6" xfId="1085" xr:uid="{C889DC92-9440-42A4-8AB1-04F33F107F43}"/>
    <cellStyle name="Normal 12 6 7" xfId="1086" xr:uid="{9233DEDF-B819-42C4-8984-3D626308F0CD}"/>
    <cellStyle name="Normal 12 6 8" xfId="1087" xr:uid="{13A7AAB5-E268-42C2-AACC-9B1FB49C5631}"/>
    <cellStyle name="Normal 12 7" xfId="1088" xr:uid="{F30FE3F4-970A-4916-A061-4AC5F528F508}"/>
    <cellStyle name="Normal 12 7 2" xfId="1089" xr:uid="{F540486D-CFF1-488C-9019-6B60870DA78E}"/>
    <cellStyle name="Normal 12 7 3" xfId="1090" xr:uid="{6403E37C-FA9F-4E96-AAD5-40F6D945A56C}"/>
    <cellStyle name="Normal 12 7 4" xfId="1091" xr:uid="{2C6D62D5-E787-47F2-B462-74798E192BE9}"/>
    <cellStyle name="Normal 12 7 5" xfId="1092" xr:uid="{942DE7F2-EF88-47FE-97F0-07D2413E3E60}"/>
    <cellStyle name="Normal 12 7 6" xfId="1093" xr:uid="{5A5DECCA-837F-49B1-BF9C-A70895066C04}"/>
    <cellStyle name="Normal 12 7 7" xfId="1094" xr:uid="{B6235B5F-EE25-4E08-B088-254DE9F628FF}"/>
    <cellStyle name="Normal 12 7 8" xfId="1095" xr:uid="{2EAC14FF-2FD9-4BD5-8388-6AADC5ED1D8A}"/>
    <cellStyle name="Normal 12 8" xfId="1096" xr:uid="{E508A43A-88A0-4436-9380-15C8E9946308}"/>
    <cellStyle name="Normal 12 9" xfId="1097" xr:uid="{903FF1E4-1472-43DA-A6EE-B3C6E10684D0}"/>
    <cellStyle name="Normal 125" xfId="2072" xr:uid="{65CBB69E-3EB5-4E67-9A9D-1B3CB6142533}"/>
    <cellStyle name="Normal 126" xfId="2139" xr:uid="{BC916562-63AF-45A6-ABAD-DCB0286D5900}"/>
    <cellStyle name="Normal 13" xfId="426" xr:uid="{9D3F0469-9F9F-4B90-8D48-C49C39C29B2A}"/>
    <cellStyle name="Normal 13 10" xfId="1098" xr:uid="{38FBB193-C61C-45C1-B60F-364791D50633}"/>
    <cellStyle name="Normal 13 11" xfId="1099" xr:uid="{9938CD57-3050-4BAD-85EE-E40A261FC231}"/>
    <cellStyle name="Normal 13 12" xfId="3593" xr:uid="{329EAC89-B300-4D1A-9067-133AFB141D4D}"/>
    <cellStyle name="Normal 13 2" xfId="1100" xr:uid="{E8D39A8F-C1C2-4919-92B8-08921E000BCD}"/>
    <cellStyle name="Normal 13 2 2" xfId="1101" xr:uid="{600687D0-1DDD-446B-B030-14E7C0577974}"/>
    <cellStyle name="Normal 13 2 3" xfId="1102" xr:uid="{E8A7EA32-A55E-4D06-B367-2D7B06D564A7}"/>
    <cellStyle name="Normal 13 2 4" xfId="1103" xr:uid="{2775EF59-5717-4FE2-A061-D22EF78CECE4}"/>
    <cellStyle name="Normal 13 2 5" xfId="1104" xr:uid="{35FD057F-269C-4F4A-A6CD-A939D8FA0A73}"/>
    <cellStyle name="Normal 13 2 6" xfId="1105" xr:uid="{29B1D9FE-DE43-4F00-A1C3-5A653153FA02}"/>
    <cellStyle name="Normal 13 2 7" xfId="1106" xr:uid="{B303D075-17A0-480E-81AE-0D55EB226F67}"/>
    <cellStyle name="Normal 13 2 8" xfId="1107" xr:uid="{F6A7E372-2638-470B-BA50-36FE76A90194}"/>
    <cellStyle name="Normal 13 3" xfId="1108" xr:uid="{65C09773-DBAE-42BA-8E9C-062D70954B96}"/>
    <cellStyle name="Normal 13 3 2" xfId="1109" xr:uid="{0F63676E-52BA-4694-9139-00573ED76FB1}"/>
    <cellStyle name="Normal 13 3 3" xfId="1110" xr:uid="{DB617E7A-5BF3-45F1-9BB8-D13F8D15FBA9}"/>
    <cellStyle name="Normal 13 3 4" xfId="1111" xr:uid="{EFD23B6B-55F3-4C03-83D5-745C55D60C4E}"/>
    <cellStyle name="Normal 13 3 5" xfId="1112" xr:uid="{B145FFF8-6AF6-405B-9C54-07B31638F796}"/>
    <cellStyle name="Normal 13 3 6" xfId="1113" xr:uid="{E667BF37-F272-4417-B7B7-C254F8622893}"/>
    <cellStyle name="Normal 13 3 7" xfId="1114" xr:uid="{9E739A9C-EB0A-4083-B7A7-4401E6D04F1B}"/>
    <cellStyle name="Normal 13 3 8" xfId="1115" xr:uid="{2EE79BA7-B2FE-4732-A890-5A758ADA43C2}"/>
    <cellStyle name="Normal 13 4" xfId="1116" xr:uid="{32C5A486-544B-40B1-AB71-4A2A728E7CAB}"/>
    <cellStyle name="Normal 13 4 2" xfId="1117" xr:uid="{62C6C4F6-6A82-43D5-9E6E-34ACCFE706CF}"/>
    <cellStyle name="Normal 13 4 3" xfId="1118" xr:uid="{967D8751-BA1D-4F9A-AFC9-CC37EBEFDCC1}"/>
    <cellStyle name="Normal 13 4 4" xfId="1119" xr:uid="{58AB9C26-5C51-4CDF-AB24-C839A64018F9}"/>
    <cellStyle name="Normal 13 4 5" xfId="1120" xr:uid="{D294716F-7E41-49D9-BDC0-D789E62B1AE0}"/>
    <cellStyle name="Normal 13 4 6" xfId="1121" xr:uid="{879183F7-46E8-4129-8DAB-48A7FA14BFB3}"/>
    <cellStyle name="Normal 13 4 7" xfId="1122" xr:uid="{1C184D0E-DB72-454D-BB1B-9D1229059F49}"/>
    <cellStyle name="Normal 13 4 8" xfId="1123" xr:uid="{9463B3AD-9E66-4D5F-9A19-2CB8347C7772}"/>
    <cellStyle name="Normal 13 5" xfId="1124" xr:uid="{1A71D0DA-B6A9-4064-AEA2-3ACDACADD03D}"/>
    <cellStyle name="Normal 13 5 2" xfId="1125" xr:uid="{06CA3A9F-1DFD-4013-923C-9F1A7CE24EDC}"/>
    <cellStyle name="Normal 13 5 3" xfId="1126" xr:uid="{CFB9526E-8AE0-43CF-B253-C7EE0D2D1444}"/>
    <cellStyle name="Normal 13 5 4" xfId="1127" xr:uid="{7F5400C6-0223-4613-B021-512C5029B7A5}"/>
    <cellStyle name="Normal 13 5 5" xfId="1128" xr:uid="{C34323D1-371B-4A61-ACF8-94BB2323A189}"/>
    <cellStyle name="Normal 13 5 6" xfId="1129" xr:uid="{0C895B72-F0D6-49DB-BECA-B8EA79FBF329}"/>
    <cellStyle name="Normal 13 5 7" xfId="1130" xr:uid="{94F498E7-2BFD-49F4-BC93-0245AD570615}"/>
    <cellStyle name="Normal 13 5 8" xfId="1131" xr:uid="{6B7C92B4-8354-4513-87E9-DC7C4A579C38}"/>
    <cellStyle name="Normal 13 6" xfId="1132" xr:uid="{184888C8-750B-47E7-BCB0-33402F89AD27}"/>
    <cellStyle name="Normal 13 6 2" xfId="1133" xr:uid="{FBFECE78-9AC3-4CC6-91DC-03CEDCF941E1}"/>
    <cellStyle name="Normal 13 6 3" xfId="1134" xr:uid="{E8F2A96E-4264-4224-ADEC-ECFEB5F74886}"/>
    <cellStyle name="Normal 13 6 4" xfId="1135" xr:uid="{9D44A2AC-7C10-4508-9A1A-7B779824CA50}"/>
    <cellStyle name="Normal 13 6 5" xfId="1136" xr:uid="{1F3538B5-41E9-4563-B47E-C641BA81D4FE}"/>
    <cellStyle name="Normal 13 6 6" xfId="1137" xr:uid="{3CAED810-9DC3-47EB-ADDC-D9EC7BA41418}"/>
    <cellStyle name="Normal 13 6 7" xfId="1138" xr:uid="{48C442CF-D07A-4E54-B8AD-4CD949BA22A7}"/>
    <cellStyle name="Normal 13 6 8" xfId="1139" xr:uid="{EB8ADC83-2DCB-4B96-AD66-4869E89419EF}"/>
    <cellStyle name="Normal 13 7" xfId="1140" xr:uid="{08D74FC8-8B66-45E7-88F0-A224F5E84CE3}"/>
    <cellStyle name="Normal 13 7 2" xfId="1141" xr:uid="{0EA9AC12-733E-48D9-A2DD-AF2BAE045E37}"/>
    <cellStyle name="Normal 13 7 3" xfId="1142" xr:uid="{038FB613-B98B-4F2D-AD27-417D0214A8E5}"/>
    <cellStyle name="Normal 13 7 4" xfId="1143" xr:uid="{5C0F71AF-44C1-4A52-8696-5289CE430AA7}"/>
    <cellStyle name="Normal 13 7 5" xfId="1144" xr:uid="{9133149A-4B67-4B33-8EC9-85E7E729D15C}"/>
    <cellStyle name="Normal 13 7 6" xfId="1145" xr:uid="{069632C1-4578-47F9-8D0B-4C88EA060FC3}"/>
    <cellStyle name="Normal 13 7 7" xfId="1146" xr:uid="{3836AC0C-F9B2-422D-8008-1091134538A9}"/>
    <cellStyle name="Normal 13 7 8" xfId="1147" xr:uid="{1DAA260C-3EA3-4666-8279-05093077B737}"/>
    <cellStyle name="Normal 13 8" xfId="1148" xr:uid="{13633D86-C6A8-4ED7-97F2-0AEE63824167}"/>
    <cellStyle name="Normal 13 9" xfId="1149" xr:uid="{343CBB19-B4C0-490F-80F1-36A3275C4F2B}"/>
    <cellStyle name="Normal 14" xfId="427" xr:uid="{111A9EEE-4D82-4BEB-8B91-91E6EA4D9BC3}"/>
    <cellStyle name="Normal 14 10" xfId="1150" xr:uid="{736C4C8D-D6D3-47A8-BA0E-B01D211ACF7A}"/>
    <cellStyle name="Normal 14 11" xfId="1151" xr:uid="{4D75F55B-6948-4312-9548-F98ED7035CF0}"/>
    <cellStyle name="Normal 14 12" xfId="3592" xr:uid="{9E5428A1-A371-49D4-82C1-E18F8C2C4A10}"/>
    <cellStyle name="Normal 14 2" xfId="1152" xr:uid="{E9187618-EE57-4FF3-87BB-201BE5E0F713}"/>
    <cellStyle name="Normal 14 2 2" xfId="1153" xr:uid="{BA591E5F-BF2A-45C7-B78C-37FFAAAE21BB}"/>
    <cellStyle name="Normal 14 2 3" xfId="1154" xr:uid="{F815F68F-BEEB-454E-857F-8CEA56926B57}"/>
    <cellStyle name="Normal 14 2 4" xfId="1155" xr:uid="{9C930BD6-C11B-4630-ADAB-1BCAE6BFE1D4}"/>
    <cellStyle name="Normal 14 2 5" xfId="1156" xr:uid="{5F94F9BF-53B7-4947-8E6D-C986C85A8A5A}"/>
    <cellStyle name="Normal 14 2 6" xfId="1157" xr:uid="{5FA175A9-D33D-4109-A7E4-C28081738462}"/>
    <cellStyle name="Normal 14 2 7" xfId="1158" xr:uid="{EBE47D18-DD11-4AA8-8251-15AC4A2EC9FC}"/>
    <cellStyle name="Normal 14 2 8" xfId="1159" xr:uid="{C9674BE1-2B99-4210-A647-C20CACDF4D34}"/>
    <cellStyle name="Normal 14 3" xfId="1160" xr:uid="{91A5FA6F-AA91-48E5-ACFD-0BBDA109CB29}"/>
    <cellStyle name="Normal 14 3 2" xfId="1161" xr:uid="{F0EDF56D-2874-4872-B0EA-F46DC3E94C1F}"/>
    <cellStyle name="Normal 14 3 3" xfId="1162" xr:uid="{3D8B8B86-49F0-4FA7-B610-87B26A74B4FE}"/>
    <cellStyle name="Normal 14 3 4" xfId="1163" xr:uid="{AB2E90B6-011A-440F-B146-F927D5FC2F5E}"/>
    <cellStyle name="Normal 14 3 5" xfId="1164" xr:uid="{E907DA9E-347F-4292-A12E-10A7F9748875}"/>
    <cellStyle name="Normal 14 3 6" xfId="1165" xr:uid="{F2254AA7-F32F-49F0-B174-773ABEB99E35}"/>
    <cellStyle name="Normal 14 3 7" xfId="1166" xr:uid="{53C18438-11ED-4E2D-807A-A56192446135}"/>
    <cellStyle name="Normal 14 3 8" xfId="1167" xr:uid="{5AD8963E-3F9D-42FA-A0A2-5334C3013E7F}"/>
    <cellStyle name="Normal 14 4" xfId="1168" xr:uid="{7CC8ED4E-90D0-4876-8114-FFFD5D003F0B}"/>
    <cellStyle name="Normal 14 4 2" xfId="1169" xr:uid="{BB525836-3DA1-4AE6-8EE1-313813C65ECA}"/>
    <cellStyle name="Normal 14 4 3" xfId="1170" xr:uid="{0AD9D177-8344-445D-9A8B-70AFB5091A6F}"/>
    <cellStyle name="Normal 14 4 4" xfId="1171" xr:uid="{C3E204F1-CF05-49DA-B2FC-1FB0AE197BC7}"/>
    <cellStyle name="Normal 14 4 5" xfId="1172" xr:uid="{197C4333-363F-48E4-A26E-A0F667D330F3}"/>
    <cellStyle name="Normal 14 4 6" xfId="1173" xr:uid="{62324559-7F35-4583-919C-4AD9AE31B3B9}"/>
    <cellStyle name="Normal 14 4 7" xfId="1174" xr:uid="{2E8E7031-C81C-4812-8216-C4C4C7734CE2}"/>
    <cellStyle name="Normal 14 4 8" xfId="1175" xr:uid="{8E127CD2-678F-4EAB-9C9B-7BF5CEBE4CBE}"/>
    <cellStyle name="Normal 14 5" xfId="1176" xr:uid="{7646B692-1AE1-4042-BA1D-7ED7CFF8AE95}"/>
    <cellStyle name="Normal 14 5 2" xfId="1177" xr:uid="{C93EEF80-0D45-4356-B238-54AEB9758968}"/>
    <cellStyle name="Normal 14 5 3" xfId="1178" xr:uid="{227F9CE3-F3B1-4821-BE76-09A45A2164E5}"/>
    <cellStyle name="Normal 14 5 4" xfId="1179" xr:uid="{9AF130EC-740E-4A87-A858-8C5A68272DCE}"/>
    <cellStyle name="Normal 14 5 5" xfId="1180" xr:uid="{B05A1811-C3D3-4634-8C6E-06D6303897A8}"/>
    <cellStyle name="Normal 14 5 6" xfId="1181" xr:uid="{3FFC0ED3-66CD-4DA3-B0E7-EFFB9DDF26B9}"/>
    <cellStyle name="Normal 14 5 7" xfId="1182" xr:uid="{900F4931-4336-4EE2-A6B4-BE724DC484F6}"/>
    <cellStyle name="Normal 14 5 8" xfId="1183" xr:uid="{31886F20-FF83-43D6-A6C6-D5B980AB5C65}"/>
    <cellStyle name="Normal 14 6" xfId="1184" xr:uid="{F2DF626B-1F73-466F-9ED6-8DA8986192A1}"/>
    <cellStyle name="Normal 14 6 2" xfId="1185" xr:uid="{6F3E7C02-D5E6-43FA-8130-D4F79D3D1D1E}"/>
    <cellStyle name="Normal 14 6 3" xfId="1186" xr:uid="{B648C0A0-0945-4EB0-82C9-7949AE48F365}"/>
    <cellStyle name="Normal 14 6 4" xfId="1187" xr:uid="{3E542EAF-B412-461A-9F70-B3F0614ED56B}"/>
    <cellStyle name="Normal 14 6 5" xfId="1188" xr:uid="{94D7558D-1BD8-4FD4-9CDE-3D577387E3AA}"/>
    <cellStyle name="Normal 14 6 6" xfId="1189" xr:uid="{6A39086A-6810-4F01-AA4E-4A06AE68E74A}"/>
    <cellStyle name="Normal 14 6 7" xfId="1190" xr:uid="{24EE227F-FA5C-45F0-A33A-E8FD7B3489F6}"/>
    <cellStyle name="Normal 14 6 8" xfId="1191" xr:uid="{47A41177-B02A-4237-B627-A79DDD4ADEA0}"/>
    <cellStyle name="Normal 14 7" xfId="1192" xr:uid="{8E2AB543-51C0-4427-B41E-C1D653AD7BC1}"/>
    <cellStyle name="Normal 14 7 2" xfId="1193" xr:uid="{EF2EEA41-9A7F-4699-9923-D68610967AC2}"/>
    <cellStyle name="Normal 14 7 3" xfId="1194" xr:uid="{E58E1695-C8D5-4D7F-94C6-83817B0DEBFA}"/>
    <cellStyle name="Normal 14 7 4" xfId="1195" xr:uid="{BC8D42B6-6F10-4526-9AA5-3F7A734F42B0}"/>
    <cellStyle name="Normal 14 7 5" xfId="1196" xr:uid="{25EABE3C-C5D3-49C0-A674-F9C7BEF08239}"/>
    <cellStyle name="Normal 14 7 6" xfId="1197" xr:uid="{6A117A0E-88B4-42F6-BFE0-B3ED55F092AA}"/>
    <cellStyle name="Normal 14 7 7" xfId="1198" xr:uid="{4C9351F8-51EC-49E6-8386-18CC5FC73876}"/>
    <cellStyle name="Normal 14 7 8" xfId="1199" xr:uid="{40554500-480E-4B6F-9EB0-AA22B102C0B2}"/>
    <cellStyle name="Normal 14 8" xfId="1200" xr:uid="{35ACB8E6-C28A-4412-9E69-AD66ACBE574E}"/>
    <cellStyle name="Normal 14 9" xfId="1201" xr:uid="{419AB095-02C0-42EE-A351-D0771CDC0AB5}"/>
    <cellStyle name="Normal 15" xfId="47" xr:uid="{00000000-0005-0000-0000-0000C2000000}"/>
    <cellStyle name="Normal 16" xfId="428" xr:uid="{AFEA3591-7C55-43DA-8774-498CC47C462C}"/>
    <cellStyle name="Normal 16 10" xfId="1202" xr:uid="{8A43B9B8-2586-433D-AE1C-D5B293A11CF0}"/>
    <cellStyle name="Normal 16 11" xfId="2030" xr:uid="{F80EE4B7-436C-4D27-98DC-36FCB241FFC9}"/>
    <cellStyle name="Normal 16 2" xfId="1203" xr:uid="{6BB0B0D0-F59E-49A1-8D93-8300DC7DBB9B}"/>
    <cellStyle name="Normal 16 2 2" xfId="1204" xr:uid="{717A02B9-4FD8-4F8A-A911-0B3CEC30B602}"/>
    <cellStyle name="Normal 16 2 3" xfId="1205" xr:uid="{27A688B2-4EF7-44B7-ACD5-9121533F40B9}"/>
    <cellStyle name="Normal 16 2 4" xfId="1206" xr:uid="{AF2F84C6-EC20-47AF-AE51-BA2E5BC24625}"/>
    <cellStyle name="Normal 16 2 5" xfId="1207" xr:uid="{D256D9E1-A27D-4F42-887C-0D092CD60096}"/>
    <cellStyle name="Normal 16 2 6" xfId="1208" xr:uid="{AFD58C40-C57B-4CBD-825B-6D56D1EA8BCD}"/>
    <cellStyle name="Normal 16 2 7" xfId="1209" xr:uid="{70CDFF9E-7050-4FA4-A090-7B294CE430AD}"/>
    <cellStyle name="Normal 16 2 8" xfId="1210" xr:uid="{53C1EEDD-2CF8-47B9-9D61-72F1E2C5DACF}"/>
    <cellStyle name="Normal 16 3" xfId="1211" xr:uid="{AD630624-946B-4515-827D-470D0F002C89}"/>
    <cellStyle name="Normal 16 3 2" xfId="1212" xr:uid="{E269852A-2B08-400F-8A9F-CBAD5F1082D0}"/>
    <cellStyle name="Normal 16 3 3" xfId="1213" xr:uid="{2BC7C437-7574-4918-8B28-DE29BD10D613}"/>
    <cellStyle name="Normal 16 3 4" xfId="1214" xr:uid="{1613CE81-6145-471A-974A-106A2773099A}"/>
    <cellStyle name="Normal 16 4" xfId="1215" xr:uid="{CE03899A-D49E-479D-96A9-57CAFB8B0431}"/>
    <cellStyle name="Normal 16 5" xfId="1216" xr:uid="{FE6D3691-B100-4FD1-B035-E7AF8CE5C307}"/>
    <cellStyle name="Normal 16 6" xfId="1217" xr:uid="{83DD8742-9C5C-4B54-9C8E-52FE35BF8458}"/>
    <cellStyle name="Normal 16 7" xfId="1218" xr:uid="{265121B1-3FD4-4246-AA40-1C6CAB066E74}"/>
    <cellStyle name="Normal 16 8" xfId="1219" xr:uid="{1EA39CB1-256A-4440-9E9B-53AC795110E9}"/>
    <cellStyle name="Normal 16 9" xfId="1220" xr:uid="{B020991D-2C24-4DC2-9A6D-2ADB3A345380}"/>
    <cellStyle name="Normal 17" xfId="429" xr:uid="{AC8410BE-226D-4154-B2E0-8419D4232CBE}"/>
    <cellStyle name="Normal 17 10" xfId="1221" xr:uid="{30534C89-A100-4807-AFFE-E04A6A914151}"/>
    <cellStyle name="Normal 17 11" xfId="2031" xr:uid="{EF857092-39B1-4DF9-B266-A0E384132388}"/>
    <cellStyle name="Normal 17 2" xfId="1222" xr:uid="{AD2A6A69-BA8B-4421-92BF-94CA4F659B27}"/>
    <cellStyle name="Normal 17 2 2" xfId="1223" xr:uid="{35B67D7A-8EBC-4342-9002-AA7DC9EFA466}"/>
    <cellStyle name="Normal 17 2 3" xfId="1224" xr:uid="{701569C0-0298-46A2-84AC-808DB6A44A8C}"/>
    <cellStyle name="Normal 17 2 4" xfId="1225" xr:uid="{09051E28-1D0E-4D9A-8276-84577957E3A3}"/>
    <cellStyle name="Normal 17 2 5" xfId="1226" xr:uid="{F2BFD7EC-E415-4698-A555-5C48F44525E9}"/>
    <cellStyle name="Normal 17 2 6" xfId="1227" xr:uid="{9F3709BC-3CCD-403D-A492-081C219DDA79}"/>
    <cellStyle name="Normal 17 2 7" xfId="1228" xr:uid="{A7225F5A-D902-4281-8B35-A7C061F165EB}"/>
    <cellStyle name="Normal 17 2 8" xfId="1229" xr:uid="{198D2E32-2DD0-450F-92BC-6077D632C43D}"/>
    <cellStyle name="Normal 17 3" xfId="1230" xr:uid="{1356B9CC-EA2B-41B6-B6FC-3271DC94B240}"/>
    <cellStyle name="Normal 17 3 2" xfId="1231" xr:uid="{BCB46415-DA57-45FC-BAE4-05484386959B}"/>
    <cellStyle name="Normal 17 3 3" xfId="1232" xr:uid="{60C54A95-BB95-4747-B8DD-43B2FA545B75}"/>
    <cellStyle name="Normal 17 3 4" xfId="1233" xr:uid="{74314F12-9E4C-4431-BFC4-24FC0996E424}"/>
    <cellStyle name="Normal 17 4" xfId="1234" xr:uid="{A825D90B-B75A-4EA2-A272-3F5FBEE2A228}"/>
    <cellStyle name="Normal 17 5" xfId="1235" xr:uid="{AF3A9235-8214-4DE2-B4D5-F4EAB922122A}"/>
    <cellStyle name="Normal 17 6" xfId="1236" xr:uid="{3D84BCC3-432E-416C-A4A9-AB65D67C3790}"/>
    <cellStyle name="Normal 17 7" xfId="1237" xr:uid="{2F47E381-798C-49A8-A2DD-EB8189EC4ADA}"/>
    <cellStyle name="Normal 17 8" xfId="1238" xr:uid="{4648E2B8-B6A1-4DF1-8F4F-2F531BEA6A30}"/>
    <cellStyle name="Normal 17 9" xfId="1239" xr:uid="{C07F670F-8301-45D5-9925-A5502E70F2DB}"/>
    <cellStyle name="Normal 18" xfId="431" xr:uid="{5D7FBB8F-4D84-438E-A3A1-7016B4520233}"/>
    <cellStyle name="Normal 18 2" xfId="5711" xr:uid="{EA9CD99A-861A-4D65-AE2D-863ED7D7199F}"/>
    <cellStyle name="Normal 18 2 2" xfId="5820" xr:uid="{15200CF3-9992-4AA1-84DC-D4B47C5E630B}"/>
    <cellStyle name="Normal 18 3" xfId="5768" xr:uid="{7C888EEF-30DA-48DC-A515-2BAF74D99BA5}"/>
    <cellStyle name="Normal 18 4" xfId="5802" xr:uid="{DE0C124A-D9A1-48C2-8130-50903862E55B}"/>
    <cellStyle name="Normal 18 5" xfId="5698" xr:uid="{785FABA9-F167-4FB4-9FB4-7929C4759CE3}"/>
    <cellStyle name="Normal 19" xfId="432" xr:uid="{6CE88A1E-4662-4CA4-A871-092B53250431}"/>
    <cellStyle name="Normal 199 2 2" xfId="2144" xr:uid="{8B3AB74D-645F-4B11-B547-93A89CCB06FD}"/>
    <cellStyle name="Normal 2" xfId="49" xr:uid="{00000000-0005-0000-0000-0000C3000000}"/>
    <cellStyle name="Normal 2 10" xfId="92" xr:uid="{00000000-0005-0000-0000-0000C4000000}"/>
    <cellStyle name="Normal 2 10 2" xfId="1240" xr:uid="{F41B2584-B28C-4B27-AA75-15A221D88EC9}"/>
    <cellStyle name="Normal 2 10 2 2 2" xfId="2148" xr:uid="{A110A470-010F-4929-A66D-F6537046BE92}"/>
    <cellStyle name="Normal 2 11" xfId="1241" xr:uid="{E2F805BE-7E3F-42AD-80CC-7602D76C4726}"/>
    <cellStyle name="Normal 2 12" xfId="1242" xr:uid="{33AA6D6F-E068-4039-9196-19E24D39730D}"/>
    <cellStyle name="Normal 2 12 2" xfId="1243" xr:uid="{3C3727BF-2889-4FF4-A83B-75F448A7F4AC}"/>
    <cellStyle name="Normal 2 13" xfId="1244" xr:uid="{9B192BDD-9497-48D4-833E-F616C1DB419F}"/>
    <cellStyle name="Normal 2 13 2" xfId="1245" xr:uid="{C12EBB8B-1FDF-4A86-AF67-51844593F9C1}"/>
    <cellStyle name="Normal 2 14" xfId="532" xr:uid="{92EBC441-4CE1-4B6A-B2FB-6DDFEFDA901B}"/>
    <cellStyle name="Normal 2 14 2" xfId="1246" xr:uid="{BA4C3C1D-F497-499B-819F-48904C27FB03}"/>
    <cellStyle name="Normal 2 15" xfId="1247" xr:uid="{5AE59FF6-E13D-44FB-AB6C-A35D8139FDD6}"/>
    <cellStyle name="Normal 2 15 2" xfId="2033" xr:uid="{A41D519C-F055-4F06-B58A-0F8D1441956F}"/>
    <cellStyle name="Normal 2 15 3" xfId="2032" xr:uid="{5187E9FB-AEB6-47DB-8B90-C836F9FC7D40}"/>
    <cellStyle name="Normal 2 16" xfId="1248" xr:uid="{031947BA-1731-4A14-8948-3CB39718D024}"/>
    <cellStyle name="Normal 2 16 2" xfId="2034" xr:uid="{0E6196E4-CC77-4B78-A6A9-002B4A7E6ACD}"/>
    <cellStyle name="Normal 2 17" xfId="2069" xr:uid="{BD6794E7-359B-425A-9092-452390107547}"/>
    <cellStyle name="Normal 2 2" xfId="78" xr:uid="{00000000-0005-0000-0000-0000C5000000}"/>
    <cellStyle name="Normal 2 2 10" xfId="2158" xr:uid="{02FBE075-1B28-4766-9357-79D090DE55AB}"/>
    <cellStyle name="Normal 2 2 11" xfId="3627" xr:uid="{F5DDB6C1-7FB3-4CB0-ABCF-1C01E70A99E1}"/>
    <cellStyle name="Normal 2 2 2" xfId="98" xr:uid="{00000000-0005-0000-0000-0000C6000000}"/>
    <cellStyle name="Normal 2 2 2 2" xfId="355" xr:uid="{FE4AE12E-CEE3-4038-BDBC-148CB4528AD5}"/>
    <cellStyle name="Normal 2 2 2 2 2" xfId="1250" xr:uid="{A95564E5-7EA3-41D5-ABE8-F987ECBD1D07}"/>
    <cellStyle name="Normal 2 2 2 3" xfId="2071" xr:uid="{31CEC720-4D33-453D-A4C0-C3F6E332A1C4}"/>
    <cellStyle name="Normal 2 2 2 4" xfId="3649" xr:uid="{DBAF1CC8-211E-4EA5-90E6-3919FAE7A13B}"/>
    <cellStyle name="Normal 2 2 3" xfId="351" xr:uid="{D3D060E6-ECFA-44F5-8BEB-95B247E1E843}"/>
    <cellStyle name="Normal 2 2 3 2" xfId="1251" xr:uid="{B7F38DCF-7592-47DB-8C3A-BB1B8D77EC93}"/>
    <cellStyle name="Normal 2 2 3 2 2" xfId="5826" xr:uid="{DCDDD4B8-A5EB-4809-A613-8F2786CB5CFC}"/>
    <cellStyle name="Normal 2 2 3 3" xfId="5717" xr:uid="{E6D5424A-DC54-4511-A99D-6408B2475B71}"/>
    <cellStyle name="Normal 2 2 4" xfId="1252" xr:uid="{177D9D7A-8113-4CA0-9848-B05F4BAA5074}"/>
    <cellStyle name="Normal 2 2 4 2" xfId="5784" xr:uid="{2E2C940A-B270-43F2-8ACB-8FE99819492E}"/>
    <cellStyle name="Normal 2 2 5" xfId="1253" xr:uid="{792A52CF-B17E-449E-96DC-F91A76C5B087}"/>
    <cellStyle name="Normal 2 2 5 2" xfId="5804" xr:uid="{E1096AC3-CFF0-440E-8DEB-543E3403AD5B}"/>
    <cellStyle name="Normal 2 2 6" xfId="1254" xr:uid="{DCACE660-3B7F-4F7E-9BFC-8E0241739107}"/>
    <cellStyle name="Normal 2 2 7" xfId="1255" xr:uid="{0AE4DAEE-14B5-4868-9FC0-92D1BF26970A}"/>
    <cellStyle name="Normal 2 2 8" xfId="1256" xr:uid="{94358D17-FEA0-4289-B664-209B74E38CF0}"/>
    <cellStyle name="Normal 2 2 9" xfId="1249" xr:uid="{CC72D97D-5FF7-4728-8369-4AC1375518E2}"/>
    <cellStyle name="Normal 2 3" xfId="97" xr:uid="{00000000-0005-0000-0000-0000C7000000}"/>
    <cellStyle name="Normal 2 3 10" xfId="2201" xr:uid="{1E455E7A-0CC2-46F0-93B3-3B251E642145}"/>
    <cellStyle name="Normal 2 3 11" xfId="5729" xr:uid="{C4938907-6CF6-4E80-AC98-29D618262FA0}"/>
    <cellStyle name="Normal 2 3 2" xfId="390" xr:uid="{DFB9B315-63F2-4EE7-A56E-4CF3369BABBC}"/>
    <cellStyle name="Normal 2 3 2 2" xfId="2202" xr:uid="{ECB03206-529E-48B8-9264-AABAAA9DE40D}"/>
    <cellStyle name="Normal 2 3 2 3" xfId="1258" xr:uid="{92856ECB-DBA1-4E4B-88D4-C89D79C57EDD}"/>
    <cellStyle name="Normal 2 3 3" xfId="358" xr:uid="{AA2F2929-2F1E-41B3-8BCC-71F3972849E2}"/>
    <cellStyle name="Normal 2 3 3 2" xfId="1259" xr:uid="{CC263A13-F9D6-4789-B119-017E7E0223DA}"/>
    <cellStyle name="Normal 2 3 4" xfId="1260" xr:uid="{49165CB5-3894-4019-9079-756DBA622E07}"/>
    <cellStyle name="Normal 2 3 5" xfId="1261" xr:uid="{D83E8114-E76C-446A-A49D-AD2CAAE6A64B}"/>
    <cellStyle name="Normal 2 3 6" xfId="1262" xr:uid="{B372A00D-41FC-4B49-8DDE-43D489F29106}"/>
    <cellStyle name="Normal 2 3 7" xfId="1263" xr:uid="{F98B37B7-A70F-4E84-9156-0B3E497F1509}"/>
    <cellStyle name="Normal 2 3 8" xfId="1264" xr:uid="{4B5EC6DA-DF67-4DBD-9B70-039F4123D598}"/>
    <cellStyle name="Normal 2 3 9" xfId="1257" xr:uid="{F0F79DF0-050E-4DBE-AAF4-63B18326F34F}"/>
    <cellStyle name="Normal 2 4" xfId="48" xr:uid="{00000000-0005-0000-0000-0000C8000000}"/>
    <cellStyle name="Normal 2 4 10" xfId="2200" xr:uid="{A5760EBD-8EEF-4114-AD96-76E1E993ACD5}"/>
    <cellStyle name="Normal 2 4 2" xfId="352" xr:uid="{57C8140A-E2E0-472D-8686-D820180AA68E}"/>
    <cellStyle name="Normal 2 4 2 2" xfId="1266" xr:uid="{BF668FE7-8E34-4407-91F6-0CA8A9EA4E51}"/>
    <cellStyle name="Normal 2 4 3" xfId="1267" xr:uid="{2AAFF97A-C9FF-4692-9BE8-2D8606646122}"/>
    <cellStyle name="Normal 2 4 4" xfId="1268" xr:uid="{F8AABFFE-106B-4333-ADEA-E33E84977C41}"/>
    <cellStyle name="Normal 2 4 5" xfId="1269" xr:uid="{4A3204F3-80D5-4C61-B2B5-46B9E0A8589E}"/>
    <cellStyle name="Normal 2 4 6" xfId="1270" xr:uid="{5173AAAF-BB69-4A8C-8C90-A50E208A4569}"/>
    <cellStyle name="Normal 2 4 7" xfId="1271" xr:uid="{E4B42CEA-A641-4FBE-A57E-421B402CC2F8}"/>
    <cellStyle name="Normal 2 4 8" xfId="1272" xr:uid="{A6E68DF1-AD70-461D-BB90-9E98564049BB}"/>
    <cellStyle name="Normal 2 4 9" xfId="1265" xr:uid="{5E6E85A5-AD8E-4586-A38B-A3C2C7476C1D}"/>
    <cellStyle name="Normal 2 5" xfId="632" xr:uid="{13359B7E-04DC-46E0-A5F9-4A6A46527A95}"/>
    <cellStyle name="Normal 2 5 2" xfId="1274" xr:uid="{F5DFF65C-CF75-43D2-A229-821B8753829D}"/>
    <cellStyle name="Normal 2 5 3" xfId="1275" xr:uid="{7C006D1D-8511-4DB8-9D3B-4490D2D78A5A}"/>
    <cellStyle name="Normal 2 5 4" xfId="1276" xr:uid="{020057CC-378D-405E-A0FC-3551A03EE099}"/>
    <cellStyle name="Normal 2 5 5" xfId="1277" xr:uid="{CB9A1D1C-B85B-4C2A-AE47-19CB440466DD}"/>
    <cellStyle name="Normal 2 5 6" xfId="1278" xr:uid="{B396DFB9-352E-4A5C-8ED0-F1EB787A4D12}"/>
    <cellStyle name="Normal 2 5 7" xfId="1279" xr:uid="{3EF257CB-B39F-4F3E-8313-DD4FF031DA7B}"/>
    <cellStyle name="Normal 2 5 8" xfId="1280" xr:uid="{47E32F8A-A4AB-46F6-A137-C6D67D6EAF55}"/>
    <cellStyle name="Normal 2 5 9" xfId="1273" xr:uid="{44A6F524-2C10-4F43-A88E-E684DDC3D1D3}"/>
    <cellStyle name="Normal 2 6" xfId="1281" xr:uid="{4B4C8090-715E-4C92-A62C-00A3E054B41B}"/>
    <cellStyle name="Normal 2 6 2" xfId="1282" xr:uid="{45B9098C-73FD-4B51-9A63-6FA7D98489C2}"/>
    <cellStyle name="Normal 2 6 3" xfId="1283" xr:uid="{073B4117-1C9F-4265-A289-A73A5F694BD6}"/>
    <cellStyle name="Normal 2 6 4" xfId="1284" xr:uid="{04D4D6FF-F669-4015-9C5C-25DA5F014565}"/>
    <cellStyle name="Normal 2 7" xfId="1285" xr:uid="{41DB1C00-71E8-4951-B46D-11E44FD433FE}"/>
    <cellStyle name="Normal 2 7 2" xfId="1286" xr:uid="{B246B41F-142C-49E3-9C8E-F1E3E6F2CFD6}"/>
    <cellStyle name="Normal 2 7 3" xfId="1287" xr:uid="{0E88FB1D-B132-4AEE-ABDA-6779A21002C7}"/>
    <cellStyle name="Normal 2 7 4" xfId="1288" xr:uid="{BC60C34B-EA8F-4FF7-84FE-37CA2AF726F8}"/>
    <cellStyle name="Normal 2 8" xfId="1289" xr:uid="{227D6F6A-E3CB-4612-BD8B-AC8261DEBB81}"/>
    <cellStyle name="Normal 2 9" xfId="1290" xr:uid="{73E414F7-B971-4703-B11D-FE208EC3E378}"/>
    <cellStyle name="Normal 20" xfId="433" xr:uid="{6DA3D10F-FFC1-4584-82C5-FA56CAF806D8}"/>
    <cellStyle name="Normal 21" xfId="434" xr:uid="{B307BD55-0210-4911-B968-0540050E0DFC}"/>
    <cellStyle name="Normal 22" xfId="5649" xr:uid="{40D70F7F-231D-4323-A32F-5E68AA906C79}"/>
    <cellStyle name="Normal 23" xfId="2035" xr:uid="{AD1B2636-0F2A-498E-9954-204E2529967C}"/>
    <cellStyle name="Normal 23 2" xfId="1291" xr:uid="{AC6909ED-3BF5-4936-960C-121B559BF1DC}"/>
    <cellStyle name="Normal 23 2 2" xfId="1292" xr:uid="{AA3491B5-E015-4EBE-B39D-19E5C6EF7B2E}"/>
    <cellStyle name="Normal 23 2 3" xfId="1293" xr:uid="{36731D3D-0318-4BCF-A65A-0A690DA93664}"/>
    <cellStyle name="Normal 23 2 4" xfId="1294" xr:uid="{58E49A4C-A33D-4A81-BD5C-B1DF23544758}"/>
    <cellStyle name="Normal 23 3" xfId="1295" xr:uid="{19ECCE6A-C08E-4377-BE46-B8477B818F70}"/>
    <cellStyle name="Normal 23 4" xfId="1296" xr:uid="{5D6C2B8B-EF91-4A39-882A-AA819F571A5B}"/>
    <cellStyle name="Normal 23 5" xfId="1297" xr:uid="{F1ECB9BD-3B3D-4647-9973-C876F3FCB61C}"/>
    <cellStyle name="Normal 23 6" xfId="1298" xr:uid="{9AB8DE19-1542-4B7C-93EA-388231542DAA}"/>
    <cellStyle name="Normal 23 7" xfId="1299" xr:uid="{0FB85E7A-8739-4D41-9D5B-407DC747C292}"/>
    <cellStyle name="Normal 23 8" xfId="1300" xr:uid="{36C3293F-0FC9-433E-B6D3-34005049CC57}"/>
    <cellStyle name="Normal 23 9" xfId="1301" xr:uid="{2E79A260-49A9-4B14-827B-72DAD3B95221}"/>
    <cellStyle name="Normal 24" xfId="2036" xr:uid="{862F3513-8E4D-4D67-85EC-B0B3FD43549E}"/>
    <cellStyle name="Normal 24 2" xfId="1302" xr:uid="{AAC1F8B4-C368-47AE-8659-7F489F096B8C}"/>
    <cellStyle name="Normal 24 2 2" xfId="1303" xr:uid="{52425E26-81E1-401F-B96E-C59D09F0CCD1}"/>
    <cellStyle name="Normal 24 2 3" xfId="1304" xr:uid="{A41815DD-97AF-4CB6-B208-E2A49A9D0AAC}"/>
    <cellStyle name="Normal 24 2 4" xfId="1305" xr:uid="{54DF69F9-935E-4A61-9796-405B3E9C1BF3}"/>
    <cellStyle name="Normal 24 3" xfId="1306" xr:uid="{B5037BBE-DD48-4ED5-95FB-544BB82F1D0D}"/>
    <cellStyle name="Normal 24 4" xfId="1307" xr:uid="{CE2CD219-9471-43C0-87EA-941C8C16E51A}"/>
    <cellStyle name="Normal 24 5" xfId="1308" xr:uid="{10382A93-C36B-443E-816A-4724F7096D47}"/>
    <cellStyle name="Normal 24 6" xfId="1309" xr:uid="{6CF0F941-023F-4262-8521-3149F2B6C66C}"/>
    <cellStyle name="Normal 24 7" xfId="1310" xr:uid="{80132A52-39B0-4E95-816C-47EDE9DF16CB}"/>
    <cellStyle name="Normal 24 8" xfId="1311" xr:uid="{2B76563F-981B-43AF-AF58-E8A6C2D0CAB3}"/>
    <cellStyle name="Normal 24 9" xfId="1312" xr:uid="{4A980E89-7017-4BD6-A68E-8664CE474745}"/>
    <cellStyle name="Normal 25" xfId="2037" xr:uid="{9FFF9FB1-5DC0-4DE3-AB26-4348350B9134}"/>
    <cellStyle name="Normal 25 2" xfId="1313" xr:uid="{5BE30133-C1DB-48F5-A570-3D85017E5241}"/>
    <cellStyle name="Normal 25 2 2" xfId="1314" xr:uid="{60BE8A08-AF04-4B68-9E56-9CB609C749C4}"/>
    <cellStyle name="Normal 25 2 3" xfId="1315" xr:uid="{451CAD43-BC6E-4267-9A8D-941F2FC2E1E5}"/>
    <cellStyle name="Normal 25 2 4" xfId="1316" xr:uid="{286B52A7-66CD-4F77-A8B6-1A150336EC47}"/>
    <cellStyle name="Normal 25 3" xfId="1317" xr:uid="{28582D88-F333-494F-B9BC-E024FEFB110C}"/>
    <cellStyle name="Normal 25 4" xfId="1318" xr:uid="{B0D924EF-8676-4585-A92E-48E64FA2224E}"/>
    <cellStyle name="Normal 25 5" xfId="1319" xr:uid="{C118BDDB-D8CB-4160-89B0-CF4C5F42D810}"/>
    <cellStyle name="Normal 25 6" xfId="1320" xr:uid="{FA3DE5AA-0416-4EEF-BC48-A3DEF7C5C629}"/>
    <cellStyle name="Normal 25 7" xfId="1321" xr:uid="{C6C9C0E9-54C2-4470-85B8-1A34381AD14B}"/>
    <cellStyle name="Normal 25 8" xfId="1322" xr:uid="{105DF451-999D-4F43-9721-0F81B24B3B6F}"/>
    <cellStyle name="Normal 25 9" xfId="1323" xr:uid="{3C8E1B69-64E5-45A7-8B32-26E7615195E0}"/>
    <cellStyle name="Normal 26" xfId="2038" xr:uid="{36EEF21E-1AB2-42DA-A683-6BD4FF4D1A0C}"/>
    <cellStyle name="Normal 26 2" xfId="1324" xr:uid="{7D19D3EF-BAC8-4F37-A68D-0A5D395C9597}"/>
    <cellStyle name="Normal 26 2 2" xfId="1325" xr:uid="{36F4787A-DDAE-4EFF-94EF-B1725BCFC8BB}"/>
    <cellStyle name="Normal 26 2 3" xfId="1326" xr:uid="{59D3FB47-0998-48F9-BBD0-CA84A0FDD924}"/>
    <cellStyle name="Normal 26 2 4" xfId="1327" xr:uid="{C8F03FC6-3DB0-4CE9-9BF9-2F91A4A85595}"/>
    <cellStyle name="Normal 26 3" xfId="1328" xr:uid="{430839F4-82E7-4857-BC63-0397AF926EB3}"/>
    <cellStyle name="Normal 26 4" xfId="1329" xr:uid="{69C27EDD-BE62-4BFF-BAF2-D32219730CC1}"/>
    <cellStyle name="Normal 26 5" xfId="1330" xr:uid="{5434E572-F732-4863-B481-55969EB36B57}"/>
    <cellStyle name="Normal 26 6" xfId="1331" xr:uid="{FA316915-30E0-4818-9BEF-B204BA916CAA}"/>
    <cellStyle name="Normal 26 7" xfId="1332" xr:uid="{F99D7388-1429-4D1B-81D0-19D30D533CAA}"/>
    <cellStyle name="Normal 27" xfId="2039" xr:uid="{5A087C2D-4D0B-40B6-9521-0E7250E6BD71}"/>
    <cellStyle name="Normal 27 2" xfId="1333" xr:uid="{E96FD4FA-ECAC-4284-A7DB-4EDC3F0B51F3}"/>
    <cellStyle name="Normal 27 2 2" xfId="1334" xr:uid="{505B520B-3DB1-4C7D-9824-4AEF9EEEBBAE}"/>
    <cellStyle name="Normal 27 2 3" xfId="1335" xr:uid="{9FA016E1-CB48-436C-89D8-4196084EE373}"/>
    <cellStyle name="Normal 27 2 4" xfId="1336" xr:uid="{3A4DAB7A-29BD-42F3-9B22-63171A8C7873}"/>
    <cellStyle name="Normal 27 3" xfId="1337" xr:uid="{61367BA0-7040-489C-803C-ABA06F51A741}"/>
    <cellStyle name="Normal 27 4" xfId="1338" xr:uid="{E5B36438-05C9-4602-95A4-FB375776932C}"/>
    <cellStyle name="Normal 27 5" xfId="1339" xr:uid="{B30DE187-8C7F-4FC2-9A91-DCEBDD17B443}"/>
    <cellStyle name="Normal 27 6" xfId="1340" xr:uid="{84FB736D-7BDE-448A-9E63-25BF869A3FEE}"/>
    <cellStyle name="Normal 27 7" xfId="1341" xr:uid="{90013AF2-76D8-4677-90BE-70C922DFF7B1}"/>
    <cellStyle name="Normal 27 8" xfId="1342" xr:uid="{CC4D794B-97AC-4B3B-8A3B-2F8953B257D3}"/>
    <cellStyle name="Normal 27 9" xfId="1343" xr:uid="{4FC4D020-F8C3-43B9-97E5-E47910F38C56}"/>
    <cellStyle name="Normal 28" xfId="2040" xr:uid="{26E7B326-99FD-4FA6-81ED-0DFCB8B105CB}"/>
    <cellStyle name="Normal 28 2" xfId="1344" xr:uid="{A1A863FB-0AC0-431D-82C7-3FBD31937F11}"/>
    <cellStyle name="Normal 28 2 2" xfId="1345" xr:uid="{58F04752-F0A0-4D80-A9C3-16F2F94CDF0D}"/>
    <cellStyle name="Normal 28 2 3" xfId="1346" xr:uid="{6F299E25-5735-4161-919A-4142BA4D7B8E}"/>
    <cellStyle name="Normal 28 2 4" xfId="1347" xr:uid="{1CDCF6BA-78EC-4180-A86C-80764180D321}"/>
    <cellStyle name="Normal 28 3" xfId="1348" xr:uid="{C5DF7418-6F19-4C62-A9D0-AD6304B23403}"/>
    <cellStyle name="Normal 28 4" xfId="1349" xr:uid="{138867AE-F135-42B1-B70C-05B85ECE5892}"/>
    <cellStyle name="Normal 28 5" xfId="1350" xr:uid="{42A6CAB3-8D15-420E-B4A8-D3F8C225D95A}"/>
    <cellStyle name="Normal 28 6" xfId="1351" xr:uid="{D482B98A-BA41-4BAE-83D5-861AE5EDB196}"/>
    <cellStyle name="Normal 28 7" xfId="1352" xr:uid="{CF9FFE50-A41C-4214-B97D-D3EB0DFBEB88}"/>
    <cellStyle name="Normal 28 8" xfId="1353" xr:uid="{B0C1ABFE-2BD3-4A09-975A-4DB6AEBB8573}"/>
    <cellStyle name="Normal 28 9" xfId="1354" xr:uid="{711DCE00-A538-4239-BFF7-EB31493CD1D0}"/>
    <cellStyle name="Normal 29" xfId="2041" xr:uid="{EA547A63-AABA-4340-A3C4-CC3634826798}"/>
    <cellStyle name="Normal 29 2" xfId="1355" xr:uid="{9AB72C3D-8D3D-4B26-8FF1-2657798C7F3E}"/>
    <cellStyle name="Normal 29 2 2" xfId="1356" xr:uid="{0E94248D-27CC-4E40-8B83-123D490095DD}"/>
    <cellStyle name="Normal 29 2 3" xfId="1357" xr:uid="{053FF090-E13D-4B59-B6D8-5A48521278B2}"/>
    <cellStyle name="Normal 29 2 4" xfId="1358" xr:uid="{6AC46BC2-22A7-4A71-820D-D731CF2C80DF}"/>
    <cellStyle name="Normal 29 3" xfId="1359" xr:uid="{91AFA31F-BF7B-4CCE-A632-4832D614C7EC}"/>
    <cellStyle name="Normal 29 4" xfId="1360" xr:uid="{8D5AB917-119C-4876-8359-88662C1D1812}"/>
    <cellStyle name="Normal 29 5" xfId="1361" xr:uid="{E96441EF-D608-442D-BD0F-620C371093B9}"/>
    <cellStyle name="Normal 29 6" xfId="1362" xr:uid="{42BC68A0-7526-44B4-BB3E-C68326E82DB7}"/>
    <cellStyle name="Normal 29 7" xfId="1363" xr:uid="{AC99E770-2E92-4E33-841D-7728640FE6C3}"/>
    <cellStyle name="Normal 29 8" xfId="1364" xr:uid="{29F01224-429C-4640-B977-84C6B4F47F88}"/>
    <cellStyle name="Normal 29 9" xfId="1365" xr:uid="{82BA5294-3577-4C3F-B95C-D1AF996EDF2E}"/>
    <cellStyle name="Normal 3" xfId="53" xr:uid="{00000000-0005-0000-0000-0000C9000000}"/>
    <cellStyle name="Normal 3 10" xfId="1366" xr:uid="{2A4E5576-F30F-4C72-B872-54668A1FDE4F}"/>
    <cellStyle name="Normal 3 11" xfId="1367" xr:uid="{21B7E3E8-D864-433F-874F-D81B4A5E74A3}"/>
    <cellStyle name="Normal 3 12" xfId="1368" xr:uid="{7C39B970-78F5-41C3-B535-3CDCD913AC4D}"/>
    <cellStyle name="Normal 3 13" xfId="2042" xr:uid="{A652135A-A58E-41AA-B3AB-9629C3FA4AE6}"/>
    <cellStyle name="Normal 3 14" xfId="5862" xr:uid="{95817BF1-297F-46D8-B17F-46A974E2A980}"/>
    <cellStyle name="Normal 3 2" xfId="80" xr:uid="{00000000-0005-0000-0000-0000CA000000}"/>
    <cellStyle name="Normal 3 2 10" xfId="2171" xr:uid="{6A1382D5-6C34-40E1-9E60-79EB8404539C}"/>
    <cellStyle name="Normal 3 2 2" xfId="1370" xr:uid="{2AB61BAF-CD07-40F5-9BEC-C364AD86F4A5}"/>
    <cellStyle name="Normal 3 2 2 2" xfId="2175" xr:uid="{A525C788-2834-47F0-948A-49D580E74CAF}"/>
    <cellStyle name="Normal 3 2 2 2 2" xfId="5845" xr:uid="{8577B870-C612-4A6C-B0C3-E1750EAF1677}"/>
    <cellStyle name="Normal 3 2 2 2 3" xfId="5736" xr:uid="{69320F89-CC8E-41D4-845D-C9F55BDDF692}"/>
    <cellStyle name="Normal 3 2 2 3" xfId="5739" xr:uid="{4DFD6A84-87D4-41E3-9E87-7B7964611516}"/>
    <cellStyle name="Normal 3 2 2 4" xfId="5836" xr:uid="{7BB29C9F-94EE-4F12-8FB8-40F6D8EBDF5F}"/>
    <cellStyle name="Normal 3 2 2 5" xfId="5727" xr:uid="{722B3BC4-B92D-4A2C-B69B-6C8BC395055A}"/>
    <cellStyle name="Normal 3 2 3" xfId="1371" xr:uid="{BFCCE779-EDCC-4335-A1CD-18B4C1182E28}"/>
    <cellStyle name="Normal 3 2 3 2" xfId="5844" xr:uid="{B7144F11-F7E3-48A8-9031-B2726B549D6C}"/>
    <cellStyle name="Normal 3 2 3 3" xfId="5734" xr:uid="{FE661493-2595-464B-875B-D8F70075DE66}"/>
    <cellStyle name="Normal 3 2 4" xfId="1372" xr:uid="{1811A23B-DB13-4FD6-A3B5-340D30026BD8}"/>
    <cellStyle name="Normal 3 2 4 2" xfId="5771" xr:uid="{A97C3781-B0AC-4F76-9045-D27423DF0F9C}"/>
    <cellStyle name="Normal 3 2 5" xfId="1373" xr:uid="{277BED17-6B9F-4856-B368-CBA244987C9A}"/>
    <cellStyle name="Normal 3 2 6" xfId="1374" xr:uid="{6DD7C569-C407-4742-A2C6-A7F1BDFDC236}"/>
    <cellStyle name="Normal 3 2 7" xfId="1375" xr:uid="{649AA1AE-5234-415E-BB2C-70B8E4F724BC}"/>
    <cellStyle name="Normal 3 2 8" xfId="1376" xr:uid="{0D084E05-0E6B-4AA9-9790-88081A0CAAA6}"/>
    <cellStyle name="Normal 3 2 9" xfId="1369" xr:uid="{90A4A0D2-14F8-49E7-A658-24D629203924}"/>
    <cellStyle name="Normal 3 3" xfId="43" xr:uid="{00000000-0005-0000-0000-0000CB000000}"/>
    <cellStyle name="Normal 3 3 10" xfId="2190" xr:uid="{EF6D3990-131A-4D02-A52E-B1E720807542}"/>
    <cellStyle name="Normal 3 3 11" xfId="5704" xr:uid="{8D758E23-EDE7-4142-A3F9-0895AE67F879}"/>
    <cellStyle name="Normal 3 3 2" xfId="444" xr:uid="{230BAF88-713C-4A05-B32F-3C10E109DEAA}"/>
    <cellStyle name="Normal 3 3 2 2" xfId="1378" xr:uid="{DFE7685E-2D1E-4B9B-BAB8-9B20842AC23B}"/>
    <cellStyle name="Normal 3 3 2 3" xfId="5813" xr:uid="{6661C72C-290D-466B-BEAF-04F2EDCD021C}"/>
    <cellStyle name="Normal 3 3 3" xfId="1379" xr:uid="{95595B60-86BF-4AA1-8766-6A4B6ACAEBAD}"/>
    <cellStyle name="Normal 3 3 4" xfId="1380" xr:uid="{6EB2102E-0438-4969-9AE3-C84E93D5720B}"/>
    <cellStyle name="Normal 3 3 5" xfId="1381" xr:uid="{7F30F3CE-6E4B-4B05-928F-88B8F135E0BD}"/>
    <cellStyle name="Normal 3 3 6" xfId="1382" xr:uid="{1D840D9C-DCD5-4FAD-8BFF-0D33FD2842B8}"/>
    <cellStyle name="Normal 3 3 7" xfId="1383" xr:uid="{1B97DEB3-5036-445E-B2F2-9C503BC1ECB7}"/>
    <cellStyle name="Normal 3 3 8" xfId="1384" xr:uid="{FB3BCBED-1BCD-4A9B-AB33-CC41867C9D67}"/>
    <cellStyle name="Normal 3 3 9" xfId="1377" xr:uid="{33A0BD14-79BC-44C2-A479-DC69695C8AFA}"/>
    <cellStyle name="Normal 3 4" xfId="79" xr:uid="{00000000-0005-0000-0000-0000CC000000}"/>
    <cellStyle name="Normal 3 4 10" xfId="5735" xr:uid="{1603063F-C4FB-4BBC-8D86-7883069C805F}"/>
    <cellStyle name="Normal 3 4 2" xfId="359" xr:uid="{588C570C-B1FF-44BC-8400-EDFB31855E49}"/>
    <cellStyle name="Normal 3 4 2 2" xfId="1386" xr:uid="{DAD8687B-3291-48C7-84DE-36AB1EEDF92F}"/>
    <cellStyle name="Normal 3 4 3" xfId="1387" xr:uid="{9B94090A-F6DE-414C-8945-C6A1F3F01226}"/>
    <cellStyle name="Normal 3 4 4" xfId="1388" xr:uid="{6CC5DE40-D2E4-4262-8EC0-555DBA9A06AF}"/>
    <cellStyle name="Normal 3 4 5" xfId="1389" xr:uid="{1E201BC7-B904-4127-98B7-5F37E6B73F43}"/>
    <cellStyle name="Normal 3 4 6" xfId="1390" xr:uid="{5493ECC5-BE2A-401C-8994-7EC1E9DCAABD}"/>
    <cellStyle name="Normal 3 4 7" xfId="1391" xr:uid="{6EC4BF3D-3CDD-4E76-B9CC-9593FDD295C3}"/>
    <cellStyle name="Normal 3 4 8" xfId="1392" xr:uid="{408BBC64-D184-4197-8839-D7EAEEF0F00D}"/>
    <cellStyle name="Normal 3 4 9" xfId="1385" xr:uid="{849D3A7D-95BB-44D0-9433-0DB098D550C7}"/>
    <cellStyle name="Normal 3 5" xfId="1393" xr:uid="{F5A4A00F-F627-4BBB-8B73-62CB6A666FD5}"/>
    <cellStyle name="Normal 3 5 2" xfId="1394" xr:uid="{9B1F60DE-E036-4F41-853C-D72C4656C589}"/>
    <cellStyle name="Normal 3 5 3" xfId="1395" xr:uid="{7F406F0F-62F9-4AA0-9293-4056047D87D1}"/>
    <cellStyle name="Normal 3 5 4" xfId="1396" xr:uid="{60135821-9E33-4FE0-80F1-EFE5AC7C5C89}"/>
    <cellStyle name="Normal 3 5 5" xfId="1397" xr:uid="{02018FD4-2D79-4A0A-A2EB-332FA1C232A7}"/>
    <cellStyle name="Normal 3 5 6" xfId="1398" xr:uid="{80FE682C-A393-4F7A-808A-DD6A612E8D78}"/>
    <cellStyle name="Normal 3 5 7" xfId="1399" xr:uid="{30F505AC-BD13-4CE0-9EFE-F177BA4955A1}"/>
    <cellStyle name="Normal 3 5 8" xfId="1400" xr:uid="{333D559F-103F-4365-9441-F5FE378438B2}"/>
    <cellStyle name="Normal 3 5 9" xfId="5795" xr:uid="{6497F34F-050E-4A6C-8B9F-24B477391394}"/>
    <cellStyle name="Normal 3 6" xfId="1401" xr:uid="{9F3BEC47-6B11-4CEE-8E9B-A9AD7CB54E97}"/>
    <cellStyle name="Normal 3 6 2" xfId="1402" xr:uid="{23A29DDA-7676-46AB-9A22-9A32A9E657C9}"/>
    <cellStyle name="Normal 3 6 3" xfId="1403" xr:uid="{A6F23B7A-B646-4B1C-84AB-99D31A9F9773}"/>
    <cellStyle name="Normal 3 6 4" xfId="1404" xr:uid="{27E34721-EAA4-48A4-B047-6A6EB046BF65}"/>
    <cellStyle name="Normal 3 6 5" xfId="1405" xr:uid="{B7774393-5CCD-4CBB-B448-A37A17BC7343}"/>
    <cellStyle name="Normal 3 6 6" xfId="1406" xr:uid="{2A41C635-3CA6-45BD-AA9B-F5BB639620A3}"/>
    <cellStyle name="Normal 3 6 7" xfId="1407" xr:uid="{417A6D85-48F5-4D03-AE1E-1F8AEE3341C2}"/>
    <cellStyle name="Normal 3 6 8" xfId="1408" xr:uid="{4EB6C4A4-C84F-462B-AF1D-C4FD05CC2446}"/>
    <cellStyle name="Normal 3 7" xfId="1409" xr:uid="{881B05C9-55E7-4E09-9D98-1BA317D002EC}"/>
    <cellStyle name="Normal 3 7 2" xfId="1410" xr:uid="{C7988E0F-44C9-434C-850B-C58F49830F30}"/>
    <cellStyle name="Normal 3 7 3" xfId="1411" xr:uid="{E4223D0D-7929-4AE3-BB7A-1F0CC96252DC}"/>
    <cellStyle name="Normal 3 7 4" xfId="1412" xr:uid="{4897430C-E4AC-44F0-8F30-E7C8C2257F9A}"/>
    <cellStyle name="Normal 3 7 5" xfId="1413" xr:uid="{A97544B2-9D85-4AA4-B3C0-955B835CE239}"/>
    <cellStyle name="Normal 3 7 6" xfId="1414" xr:uid="{3DA6FBA0-C6D1-4433-9A1E-218769F0C484}"/>
    <cellStyle name="Normal 3 7 7" xfId="1415" xr:uid="{43465D02-1980-4E5D-86D4-6937E585D3FF}"/>
    <cellStyle name="Normal 3 7 8" xfId="1416" xr:uid="{64D79B4C-C929-4435-A479-C3FD1F6F725F}"/>
    <cellStyle name="Normal 3 8" xfId="1417" xr:uid="{1541B0F1-4488-4676-AF8B-7AE6DF614ABB}"/>
    <cellStyle name="Normal 3 8 2" xfId="1418" xr:uid="{15FF108F-763B-452A-8BA4-5E201F3A63EA}"/>
    <cellStyle name="Normal 3 8 3" xfId="1419" xr:uid="{2D0E689B-C5B2-4189-9084-373CD5912CCF}"/>
    <cellStyle name="Normal 3 8 4" xfId="1420" xr:uid="{980D2B20-5150-4524-8CB0-06527D85F351}"/>
    <cellStyle name="Normal 3 8 5" xfId="1421" xr:uid="{D73C7A38-2B31-4EC8-B153-346290FEDD59}"/>
    <cellStyle name="Normal 3 8 6" xfId="1422" xr:uid="{E5D349AB-B9A2-4633-B9B5-5DDA5C7EA46E}"/>
    <cellStyle name="Normal 3 9" xfId="1423" xr:uid="{777D29AE-06BC-41E9-9110-4F1C3BD74F9E}"/>
    <cellStyle name="Normal 30" xfId="2043" xr:uid="{68101E22-9917-43ED-B39C-9488AE0F5838}"/>
    <cellStyle name="Normal 30 2" xfId="1424" xr:uid="{A9163EBC-CEC6-4E26-97A4-6291D278DA10}"/>
    <cellStyle name="Normal 30 2 2" xfId="1425" xr:uid="{55BC6FA8-66A6-47FB-88F7-792E0EB43466}"/>
    <cellStyle name="Normal 30 2 3" xfId="1426" xr:uid="{72B38D8F-0138-44EA-B30A-83A73F24E38D}"/>
    <cellStyle name="Normal 30 2 4" xfId="1427" xr:uid="{3ECA8E91-41A0-47C2-92FA-6759BEE52F60}"/>
    <cellStyle name="Normal 30 3" xfId="1428" xr:uid="{F79A9ED2-98A7-4F79-99EC-4312E9FC8AEF}"/>
    <cellStyle name="Normal 30 4" xfId="1429" xr:uid="{F82B8985-BD63-403F-BC67-87F9E9778DED}"/>
    <cellStyle name="Normal 30 5" xfId="1430" xr:uid="{22C14557-D0B3-4435-9FE2-FCFB35288163}"/>
    <cellStyle name="Normal 30 6" xfId="1431" xr:uid="{01B22BAD-7CF2-4808-9770-14960096E28A}"/>
    <cellStyle name="Normal 30 7" xfId="1432" xr:uid="{54FF1565-6ABE-4595-B585-F9CCC0455154}"/>
    <cellStyle name="Normal 30 8" xfId="1433" xr:uid="{4A8ADCC9-09C8-4E90-AE25-48BB4FEA92F5}"/>
    <cellStyle name="Normal 30 9" xfId="1434" xr:uid="{B319F6C7-9133-4545-BFC2-93A7E692F577}"/>
    <cellStyle name="Normal 31" xfId="2044" xr:uid="{838D25D9-BB77-4710-AE39-B49607A28F7E}"/>
    <cellStyle name="Normal 31 2" xfId="1435" xr:uid="{3EE78A64-4F28-478C-AFD4-2A0015C6AC29}"/>
    <cellStyle name="Normal 31 2 2" xfId="1436" xr:uid="{5668BE68-1A6B-4E2C-86ED-D6EAB4408D47}"/>
    <cellStyle name="Normal 31 2 3" xfId="1437" xr:uid="{242157B7-E7BD-4882-A4FD-7AEA73B679F3}"/>
    <cellStyle name="Normal 31 2 4" xfId="1438" xr:uid="{2F91B419-096C-4A8E-8B26-66D08C4D8778}"/>
    <cellStyle name="Normal 31 3" xfId="1439" xr:uid="{0EB973D8-5464-4236-BE51-C6D9A2CFA003}"/>
    <cellStyle name="Normal 31 4" xfId="1440" xr:uid="{B60B1520-46FE-49D8-B18E-1A436ADCD9C1}"/>
    <cellStyle name="Normal 31 5" xfId="1441" xr:uid="{D1A363D7-302D-40AC-86A3-3D7984508F18}"/>
    <cellStyle name="Normal 31 6" xfId="1442" xr:uid="{44D6937B-3ECB-4919-B112-AEE46DDC17D9}"/>
    <cellStyle name="Normal 31 7" xfId="1443" xr:uid="{CDF42E77-ED5E-4A0F-9108-7D61BDBF9611}"/>
    <cellStyle name="Normal 31 8" xfId="1444" xr:uid="{E669DFDF-DCB6-4A54-B38A-3DEA49136038}"/>
    <cellStyle name="Normal 31 9" xfId="1445" xr:uid="{A4F1DBF6-5E33-4273-BD16-BE31FD99B89D}"/>
    <cellStyle name="Normal 32" xfId="2045" xr:uid="{027972B3-4F2F-45B2-A020-DE9A1F33B77D}"/>
    <cellStyle name="Normal 32 2" xfId="1446" xr:uid="{2DC7C844-2908-494A-AF30-FA1D0E4E1054}"/>
    <cellStyle name="Normal 32 2 2" xfId="1447" xr:uid="{244938D8-E6B7-4BC5-B65A-6D8643329832}"/>
    <cellStyle name="Normal 32 2 3" xfId="1448" xr:uid="{1299535E-D08F-4B5A-B6A4-A8957B69E54F}"/>
    <cellStyle name="Normal 32 2 4" xfId="1449" xr:uid="{DD999F1E-C08A-47B6-82AE-CA8996DEC2E4}"/>
    <cellStyle name="Normal 32 3" xfId="1450" xr:uid="{EA27D6A5-F632-484F-BAE1-FB08AB9FDC64}"/>
    <cellStyle name="Normal 32 4" xfId="1451" xr:uid="{937C8096-28E1-4BAE-B492-92C9A9C64602}"/>
    <cellStyle name="Normal 32 5" xfId="1452" xr:uid="{86703C95-3357-4263-91EA-F89E6845C032}"/>
    <cellStyle name="Normal 32 6" xfId="1453" xr:uid="{AB54F019-B447-4E58-BCF6-5D062BC34962}"/>
    <cellStyle name="Normal 32 7" xfId="1454" xr:uid="{6AE099A9-4626-485C-A9D1-AEEA245882A7}"/>
    <cellStyle name="Normal 32 8" xfId="1455" xr:uid="{6C879A34-D8A9-4B81-BD52-5347EEEB1442}"/>
    <cellStyle name="Normal 32 9" xfId="1456" xr:uid="{9A237AA8-02BD-4EA6-820C-E3EBF5177A90}"/>
    <cellStyle name="Normal 33" xfId="5746" xr:uid="{FC7ADD2A-55B4-41E0-B7D3-47C5E1D13BB0}"/>
    <cellStyle name="Normal 34" xfId="5750" xr:uid="{FC1DAD9D-C051-4D74-BF47-723832176E4B}"/>
    <cellStyle name="Normal 4" xfId="215" xr:uid="{E5E81AFE-87E3-4F31-BE7A-EC914E991975}"/>
    <cellStyle name="Normal 4 10" xfId="1457" xr:uid="{24733A58-B700-4D1E-86F7-07E040A48490}"/>
    <cellStyle name="Normal 4 10 2" xfId="1458" xr:uid="{A702CD7B-1552-4093-B06F-DBCC9C2883F3}"/>
    <cellStyle name="Normal 4 10 3" xfId="1459" xr:uid="{26289AEA-F5EA-463F-99EC-676A14289F1B}"/>
    <cellStyle name="Normal 4 10 4" xfId="1460" xr:uid="{DB44F5A2-1B9A-4C46-8E2B-20522FD34A77}"/>
    <cellStyle name="Normal 4 10 5" xfId="1461" xr:uid="{FE157807-660C-453A-9DCA-E6F2A9F03BD9}"/>
    <cellStyle name="Normal 4 10 6" xfId="1462" xr:uid="{C5FB75BE-0C72-42C6-BC3F-A1F7F22B6E7F}"/>
    <cellStyle name="Normal 4 10 7" xfId="1463" xr:uid="{262F69B2-7925-4A8D-B289-63DC7AF99812}"/>
    <cellStyle name="Normal 4 10 8" xfId="1464" xr:uid="{E48C6E61-6294-451C-8EA7-0DD6BF8075D5}"/>
    <cellStyle name="Normal 4 11" xfId="1465" xr:uid="{3B9A69DF-372F-40F6-A387-3BD129F10E3E}"/>
    <cellStyle name="Normal 4 11 2" xfId="1466" xr:uid="{D86D0701-C32E-4EC5-A3E7-A79F26E9FDFF}"/>
    <cellStyle name="Normal 4 11 3" xfId="1467" xr:uid="{AEBA3C90-1EE9-47F4-8FE7-B7DFB0078488}"/>
    <cellStyle name="Normal 4 11 4" xfId="1468" xr:uid="{384B45AB-BC8E-45FF-B389-9200F98D9B82}"/>
    <cellStyle name="Normal 4 11 5" xfId="1469" xr:uid="{9D54450B-CAC3-4823-AA88-93BDB345D23C}"/>
    <cellStyle name="Normal 4 11 6" xfId="1470" xr:uid="{718B2B64-1BEB-45FA-BFA5-22C221D0A504}"/>
    <cellStyle name="Normal 4 11 7" xfId="1471" xr:uid="{BA4F7884-F83F-41EB-9CDA-7F0E20A5CA40}"/>
    <cellStyle name="Normal 4 11 8" xfId="1472" xr:uid="{8E061BB8-951A-472D-BCB1-00315DB9ACA3}"/>
    <cellStyle name="Normal 4 12" xfId="1473" xr:uid="{D19A491B-6A64-48B9-9A27-9D2D9E945D35}"/>
    <cellStyle name="Normal 4 12 2" xfId="1474" xr:uid="{1268F963-6CE0-47EC-8C97-7CB0F67BD72F}"/>
    <cellStyle name="Normal 4 12 3" xfId="1475" xr:uid="{1F156375-44E6-49E3-B72A-FAC925BB5847}"/>
    <cellStyle name="Normal 4 12 4" xfId="1476" xr:uid="{65D0FF62-B77B-45A4-BFAD-8BB8AC471382}"/>
    <cellStyle name="Normal 4 12 5" xfId="1477" xr:uid="{EF0F9C3A-0307-4E99-B8CE-183D381E9BDF}"/>
    <cellStyle name="Normal 4 12 6" xfId="1478" xr:uid="{1ADA5C5A-2EFE-4879-BEB7-45606F2A7F8D}"/>
    <cellStyle name="Normal 4 12 7" xfId="1479" xr:uid="{31C481BE-B237-4956-8004-20D5CB1C21F2}"/>
    <cellStyle name="Normal 4 12 8" xfId="1480" xr:uid="{6BA7AD1E-FD09-483F-B97A-A7BC767AFFC2}"/>
    <cellStyle name="Normal 4 13" xfId="1481" xr:uid="{69E0C7C1-5207-4933-BDD7-D949A5DA247B}"/>
    <cellStyle name="Normal 4 13 2" xfId="1482" xr:uid="{659150B5-2F0C-47AF-B58A-381DAD7B5EF6}"/>
    <cellStyle name="Normal 4 13 3" xfId="1483" xr:uid="{676F0572-2B3D-40B7-BB0C-031DDBAF4575}"/>
    <cellStyle name="Normal 4 13 4" xfId="1484" xr:uid="{9BB9F847-F763-42DA-AC67-637B7E5BF3D3}"/>
    <cellStyle name="Normal 4 13 5" xfId="1485" xr:uid="{8693EDE8-8449-4B6E-9348-2D929076B510}"/>
    <cellStyle name="Normal 4 13 6" xfId="1486" xr:uid="{AA2AB77D-907D-4A36-9399-1DD4DB473A15}"/>
    <cellStyle name="Normal 4 13 7" xfId="1487" xr:uid="{849E15E5-2AFB-4A7D-9261-4C7E1FE13099}"/>
    <cellStyle name="Normal 4 13 8" xfId="1488" xr:uid="{6A2FD038-22BF-48CF-9419-E1809C9667E5}"/>
    <cellStyle name="Normal 4 14" xfId="1489" xr:uid="{045A0081-1C71-4234-9FF5-9268D8297FB4}"/>
    <cellStyle name="Normal 4 14 2" xfId="1490" xr:uid="{E8201519-4A1E-46CA-8CD3-01F8C612F35E}"/>
    <cellStyle name="Normal 4 14 3" xfId="1491" xr:uid="{77C9B820-A49F-4CD1-8D4D-D14745AF2FA6}"/>
    <cellStyle name="Normal 4 14 4" xfId="1492" xr:uid="{0A5D5155-A653-431C-967F-47A441C7CBC9}"/>
    <cellStyle name="Normal 4 14 5" xfId="1493" xr:uid="{934874C1-21E9-46A8-83C1-62528041D36C}"/>
    <cellStyle name="Normal 4 14 6" xfId="1494" xr:uid="{0F41D84C-3DEA-48D5-AE3D-795A36024808}"/>
    <cellStyle name="Normal 4 14 7" xfId="1495" xr:uid="{9034B11B-4322-425A-9847-730D74789177}"/>
    <cellStyle name="Normal 4 14 8" xfId="1496" xr:uid="{CABA5C75-D5EE-406A-9A48-2D7B19A87DE2}"/>
    <cellStyle name="Normal 4 15" xfId="1497" xr:uid="{A01C39EA-8665-4544-832E-256DA72BFC30}"/>
    <cellStyle name="Normal 4 15 2" xfId="1498" xr:uid="{10BAFBBF-D3A5-4565-B5E5-518CB7CAFB22}"/>
    <cellStyle name="Normal 4 15 3" xfId="1499" xr:uid="{36A50167-2B8C-43B5-B854-98ECE30DFBCD}"/>
    <cellStyle name="Normal 4 15 4" xfId="1500" xr:uid="{69E8FEE1-EF09-4302-9031-33EF1F6D92A8}"/>
    <cellStyle name="Normal 4 15 5" xfId="1501" xr:uid="{A4697FAC-0634-4185-BCF7-846DFBC3369B}"/>
    <cellStyle name="Normal 4 15 6" xfId="1502" xr:uid="{4EF230EA-557F-453E-8FBB-A8BA86FC78FD}"/>
    <cellStyle name="Normal 4 15 7" xfId="1503" xr:uid="{6C7559B1-F30F-4883-86FD-4BCB42B61509}"/>
    <cellStyle name="Normal 4 15 8" xfId="1504" xr:uid="{9C502636-4BFC-4380-A5D9-38768D126075}"/>
    <cellStyle name="Normal 4 16" xfId="1505" xr:uid="{80345BA9-D939-466D-BD7F-691C98EA733A}"/>
    <cellStyle name="Normal 4 16 2" xfId="1506" xr:uid="{31D395EC-89C2-4AA4-B5C5-42F8D2D6ED00}"/>
    <cellStyle name="Normal 4 16 3" xfId="1507" xr:uid="{98094D57-89A1-49E6-9A29-0FCD26941899}"/>
    <cellStyle name="Normal 4 16 4" xfId="1508" xr:uid="{7C125A3D-5FE9-4CFB-B32D-55A961C0B804}"/>
    <cellStyle name="Normal 4 16 5" xfId="1509" xr:uid="{79CD6CD7-7EB5-4F5D-B1DF-7F12E491BF63}"/>
    <cellStyle name="Normal 4 16 6" xfId="1510" xr:uid="{BF2AE6BE-69D1-4B4D-B9AD-F42D3AE3075C}"/>
    <cellStyle name="Normal 4 16 7" xfId="1511" xr:uid="{34C483C7-2510-41C8-B6E6-742D9B6B7E85}"/>
    <cellStyle name="Normal 4 16 8" xfId="1512" xr:uid="{0C20386D-7E39-4130-BD2E-8E9ED8922223}"/>
    <cellStyle name="Normal 4 17" xfId="1513" xr:uid="{C86CABCD-016E-4C99-BCF8-1744B74A5F1D}"/>
    <cellStyle name="Normal 4 17 2" xfId="1514" xr:uid="{289E7931-28CA-4240-B493-55E598EC86C3}"/>
    <cellStyle name="Normal 4 17 3" xfId="1515" xr:uid="{A2C41BB6-6554-4BD4-85AC-C8B655DE21C1}"/>
    <cellStyle name="Normal 4 17 4" xfId="1516" xr:uid="{B7A8CCFD-CCB6-425B-9ECA-43652992D81B}"/>
    <cellStyle name="Normal 4 17 5" xfId="1517" xr:uid="{B4DD8A72-93D6-4C60-AB3E-0E98D35CC719}"/>
    <cellStyle name="Normal 4 17 6" xfId="1518" xr:uid="{FD12C543-62A0-47C4-B9B5-1DE3F0968829}"/>
    <cellStyle name="Normal 4 17 7" xfId="1519" xr:uid="{66A47A99-BAA9-46F7-AAFE-648E062A7755}"/>
    <cellStyle name="Normal 4 17 8" xfId="1520" xr:uid="{4AAD8C59-72A1-4198-BE8C-1951E9CFEA6F}"/>
    <cellStyle name="Normal 4 18" xfId="1521" xr:uid="{8F3DB54A-35D0-4F62-9EA9-35204EFC0961}"/>
    <cellStyle name="Normal 4 18 2" xfId="1522" xr:uid="{D706366B-8E6C-4557-868A-4D44D3CD452C}"/>
    <cellStyle name="Normal 4 18 3" xfId="1523" xr:uid="{9735FEA8-4827-49CA-B141-9651E4C189B4}"/>
    <cellStyle name="Normal 4 18 4" xfId="1524" xr:uid="{EC9D120E-13FB-4BF5-A5EC-7363B72395FC}"/>
    <cellStyle name="Normal 4 18 5" xfId="1525" xr:uid="{BA46A5BE-49B6-40FA-B7E3-9D023FEFA215}"/>
    <cellStyle name="Normal 4 18 6" xfId="1526" xr:uid="{71D1ED1C-E157-4EBE-9CCF-986340162D7C}"/>
    <cellStyle name="Normal 4 18 7" xfId="1527" xr:uid="{669B430E-5D44-4714-AE07-42E2027EA60C}"/>
    <cellStyle name="Normal 4 18 8" xfId="1528" xr:uid="{C29DBE99-8B2A-4A3A-9751-77CE788B084D}"/>
    <cellStyle name="Normal 4 19" xfId="1529" xr:uid="{715225FC-7878-482A-8C32-4A205512AF92}"/>
    <cellStyle name="Normal 4 19 2" xfId="1530" xr:uid="{C02AC2E9-32A6-4012-9545-16429924E7AC}"/>
    <cellStyle name="Normal 4 19 3" xfId="1531" xr:uid="{0384D8D1-05F7-43F9-A355-DA5ADBFF9C8A}"/>
    <cellStyle name="Normal 4 19 4" xfId="1532" xr:uid="{76AEFEB5-1AA2-4F1C-B7CA-2CCD9080A40F}"/>
    <cellStyle name="Normal 4 19 5" xfId="1533" xr:uid="{9624F823-96F9-4CA3-B2E2-1D9F1381216E}"/>
    <cellStyle name="Normal 4 19 6" xfId="1534" xr:uid="{FADD1039-BB14-4A13-81F1-71963A997CFC}"/>
    <cellStyle name="Normal 4 19 7" xfId="1535" xr:uid="{E6ADB095-438B-440F-AF50-2D446562E37C}"/>
    <cellStyle name="Normal 4 19 8" xfId="1536" xr:uid="{3DBC4807-A948-470A-A25E-BF2C27CD28CA}"/>
    <cellStyle name="Normal 4 2" xfId="321" xr:uid="{DEDE2EAF-4059-477E-B665-1C821F45AFF5}"/>
    <cellStyle name="Normal 4 2 10" xfId="1537" xr:uid="{4E2D95D6-754E-40F7-99F5-F8340A30712F}"/>
    <cellStyle name="Normal 4 2 11" xfId="5697" xr:uid="{782BBB6B-1B72-42A9-AA27-6E871B22E1C6}"/>
    <cellStyle name="Normal 4 2 2" xfId="1538" xr:uid="{0AC3CB3C-F1F0-48DD-BC98-4B6695A87246}"/>
    <cellStyle name="Normal 4 2 2 2" xfId="5818" xr:uid="{B0A5F4FB-A686-4967-BF39-403062AE2946}"/>
    <cellStyle name="Normal 4 2 2 3" xfId="5709" xr:uid="{1BEBB0E1-CB3A-4D44-AAEB-8E2F44B03B7A}"/>
    <cellStyle name="Normal 4 2 3" xfId="1539" xr:uid="{5BF311CA-1EAB-41ED-A6B3-D6BC8B9362E7}"/>
    <cellStyle name="Normal 4 2 3 2" xfId="5763" xr:uid="{2D0A00BB-2CC8-4E54-AA93-68EEDAAFCD28}"/>
    <cellStyle name="Normal 4 2 4" xfId="1540" xr:uid="{2BF7EBB0-DE8B-4DE4-8DAC-A50088E13092}"/>
    <cellStyle name="Normal 4 2 4 2" xfId="5800" xr:uid="{15FD0D35-B2CD-4B54-844B-ADC1B77AEEC9}"/>
    <cellStyle name="Normal 4 2 5" xfId="1541" xr:uid="{F737314C-4D0D-4FF8-8A2E-71B046B3E299}"/>
    <cellStyle name="Normal 4 2 6" xfId="1542" xr:uid="{CF81408A-E811-4B79-948E-746F7E9CB4AD}"/>
    <cellStyle name="Normal 4 2 7" xfId="1543" xr:uid="{6562976F-4325-4B02-8B23-C5CAD1743445}"/>
    <cellStyle name="Normal 4 2 8" xfId="1544" xr:uid="{8AD495B4-44BA-4C1E-8E81-CD48CCD91444}"/>
    <cellStyle name="Normal 4 2 9" xfId="2163" xr:uid="{5B9E50DF-E385-4D5E-912F-359EA9C4E0AD}"/>
    <cellStyle name="Normal 4 20" xfId="1545" xr:uid="{7EF27CA9-9654-42B8-BE2C-049F2D25310D}"/>
    <cellStyle name="Normal 4 20 2" xfId="1546" xr:uid="{AFAD81B5-BCF3-4945-BFBD-84A2786882B4}"/>
    <cellStyle name="Normal 4 20 3" xfId="1547" xr:uid="{48358ADE-8A3B-4FEA-9E8A-F68BE467EA35}"/>
    <cellStyle name="Normal 4 20 4" xfId="1548" xr:uid="{756D2EF7-05B8-4455-A704-89B6F6E0C47B}"/>
    <cellStyle name="Normal 4 20 5" xfId="1549" xr:uid="{EB864534-5423-4F4A-AEC6-7D8DE93233A6}"/>
    <cellStyle name="Normal 4 20 6" xfId="1550" xr:uid="{C9A67AC9-FB55-4B39-91BF-D26CCC5CEE35}"/>
    <cellStyle name="Normal 4 20 7" xfId="1551" xr:uid="{4B417ECF-70FB-4F87-BC82-33EB53560B7E}"/>
    <cellStyle name="Normal 4 20 8" xfId="1552" xr:uid="{0DE6E1F9-D91B-4BC4-8D29-5D5E4063A8C3}"/>
    <cellStyle name="Normal 4 21" xfId="1553" xr:uid="{2BC52AF6-645D-4B66-A1EA-AC083774934E}"/>
    <cellStyle name="Normal 4 21 2" xfId="1554" xr:uid="{A3CD60E4-639E-4FB1-8E3F-8F181139DFBD}"/>
    <cellStyle name="Normal 4 21 3" xfId="1555" xr:uid="{5B295C6A-49DE-49AE-8155-62469E6DFD00}"/>
    <cellStyle name="Normal 4 21 4" xfId="1556" xr:uid="{3AEDD40F-163B-48F9-A6C2-71CC8F31FB55}"/>
    <cellStyle name="Normal 4 21 5" xfId="1557" xr:uid="{CBBE20B2-046F-477E-B712-A763E400295D}"/>
    <cellStyle name="Normal 4 21 6" xfId="1558" xr:uid="{8A67E358-2A00-4482-8290-13C2C471C465}"/>
    <cellStyle name="Normal 4 21 7" xfId="1559" xr:uid="{3DE2F659-FD1E-453A-A9A8-2F266D908B21}"/>
    <cellStyle name="Normal 4 21 8" xfId="1560" xr:uid="{8C901A3C-9853-448D-8FDA-40E9FB5B993E}"/>
    <cellStyle name="Normal 4 22" xfId="1561" xr:uid="{4D41B5D4-63C0-4F9C-932F-6CB80AFE093B}"/>
    <cellStyle name="Normal 4 22 2" xfId="1562" xr:uid="{E58CDC86-61E7-491D-8B6F-8CC1110AD0FB}"/>
    <cellStyle name="Normal 4 22 3" xfId="1563" xr:uid="{9D138A39-2661-4C63-B0FC-CE7076EBD2A0}"/>
    <cellStyle name="Normal 4 22 4" xfId="1564" xr:uid="{9E747F09-BE7A-4775-BA23-F176194ECC1F}"/>
    <cellStyle name="Normal 4 22 5" xfId="1565" xr:uid="{A80B7C05-627F-42BB-AD31-8614E94C2D4F}"/>
    <cellStyle name="Normal 4 22 6" xfId="1566" xr:uid="{7A2A6959-ACB7-4CF7-AAFD-3370AC5A592E}"/>
    <cellStyle name="Normal 4 22 7" xfId="1567" xr:uid="{3B0260E8-354E-4284-9F9E-CFDE81128E4E}"/>
    <cellStyle name="Normal 4 22 8" xfId="1568" xr:uid="{25274D2C-82BD-4A45-908D-384D648EAB56}"/>
    <cellStyle name="Normal 4 23" xfId="1569" xr:uid="{0CF68FCE-D5B6-4F93-BF4D-C5542F1C2C2E}"/>
    <cellStyle name="Normal 4 23 2" xfId="1570" xr:uid="{6A69FF9F-CBE4-483E-8F20-9A209B7E5609}"/>
    <cellStyle name="Normal 4 23 3" xfId="1571" xr:uid="{F231B4EC-9786-4704-BA5C-F6A8E0754F4A}"/>
    <cellStyle name="Normal 4 23 4" xfId="1572" xr:uid="{7FB6072C-2A8D-475F-97A9-2F5B337A55D6}"/>
    <cellStyle name="Normal 4 23 5" xfId="1573" xr:uid="{DFFE0205-B432-4B53-9452-38A0A8ACD071}"/>
    <cellStyle name="Normal 4 23 6" xfId="1574" xr:uid="{0822835F-E627-41FC-8FDD-4FB0BBFB479C}"/>
    <cellStyle name="Normal 4 23 7" xfId="1575" xr:uid="{33AF92CA-A8EB-4CD9-AAF9-CA47C935C5D6}"/>
    <cellStyle name="Normal 4 23 8" xfId="1576" xr:uid="{95DF9DE0-B2D9-4845-BA6D-D65CBDFE6583}"/>
    <cellStyle name="Normal 4 24" xfId="1577" xr:uid="{DC2C3296-175E-4B2F-BAFE-2592879CAF18}"/>
    <cellStyle name="Normal 4 24 2" xfId="1578" xr:uid="{E268E678-B51B-4CBD-828D-725D1FB4FB31}"/>
    <cellStyle name="Normal 4 24 3" xfId="1579" xr:uid="{ABD083E0-D355-4C6D-8F89-666DDAC021A0}"/>
    <cellStyle name="Normal 4 24 4" xfId="1580" xr:uid="{9DBE4FEB-1C4F-4D3C-ACB1-1C232E0430B2}"/>
    <cellStyle name="Normal 4 24 5" xfId="1581" xr:uid="{E398230A-696F-414E-BC47-B933AFBED488}"/>
    <cellStyle name="Normal 4 24 6" xfId="1582" xr:uid="{3128ACB9-8E7D-4DD2-A359-438BED06DBE2}"/>
    <cellStyle name="Normal 4 24 7" xfId="1583" xr:uid="{C38B5BEF-EC16-4B0C-8EFB-8EF2E4C0130A}"/>
    <cellStyle name="Normal 4 24 8" xfId="1584" xr:uid="{BC3C482E-A4C8-4078-AEE9-CCCBD1A7C9F6}"/>
    <cellStyle name="Normal 4 25" xfId="1585" xr:uid="{5CCF3EC4-D6C7-408F-8F4B-C862CA8C6AB3}"/>
    <cellStyle name="Normal 4 25 2" xfId="1586" xr:uid="{0C2DA9A2-4259-4025-94B1-209DF4E29399}"/>
    <cellStyle name="Normal 4 25 3" xfId="1587" xr:uid="{19F344FD-0A93-4B3F-A79C-ED92B3C292D9}"/>
    <cellStyle name="Normal 4 25 4" xfId="1588" xr:uid="{904C8387-5D18-449C-81EA-4CD6D5946453}"/>
    <cellStyle name="Normal 4 26" xfId="1589" xr:uid="{7A41B90F-9668-443A-98B3-241586096188}"/>
    <cellStyle name="Normal 4 27" xfId="1590" xr:uid="{B2600B7C-73B1-4F69-8CBA-DEAF09B33D55}"/>
    <cellStyle name="Normal 4 28" xfId="1591" xr:uid="{46CDE2D5-E4C8-4A59-B4A7-48D5B2C23ED0}"/>
    <cellStyle name="Normal 4 29" xfId="1592" xr:uid="{23D7817D-ABAB-4155-BACA-00CE90747F6E}"/>
    <cellStyle name="Normal 4 3" xfId="438" xr:uid="{60021FD9-97C8-499E-A02B-14E46899CA3B}"/>
    <cellStyle name="Normal 4 3 10" xfId="1593" xr:uid="{11E7EC40-35A7-428D-9ABF-83E8186FD55B}"/>
    <cellStyle name="Normal 4 3 11" xfId="5707" xr:uid="{517DC037-918A-45AB-8B5D-9DFBA5F6A3CB}"/>
    <cellStyle name="Normal 4 3 2" xfId="1594" xr:uid="{487E9734-C476-4885-B033-E4BDC72D07C2}"/>
    <cellStyle name="Normal 4 3 2 2" xfId="5816" xr:uid="{4E8D3538-6B43-4591-B20B-8CF6C36C2C75}"/>
    <cellStyle name="Normal 4 3 3" xfId="1595" xr:uid="{08B9ED1F-BD11-4E59-BC56-AE50C5612302}"/>
    <cellStyle name="Normal 4 3 4" xfId="1596" xr:uid="{772A81E3-7E14-46DD-BAAD-7591E4736FB2}"/>
    <cellStyle name="Normal 4 3 5" xfId="1597" xr:uid="{F7B3F2EC-1A82-459D-82C9-635DFA91BD7F}"/>
    <cellStyle name="Normal 4 3 6" xfId="1598" xr:uid="{8CB5AA0F-B918-41E2-AC5D-5A4414540D7F}"/>
    <cellStyle name="Normal 4 3 7" xfId="1599" xr:uid="{7218C8B2-72C3-461C-8564-B654FDD7D910}"/>
    <cellStyle name="Normal 4 3 8" xfId="1600" xr:uid="{571D59D8-ED56-4249-BB0D-A09D263AB1F0}"/>
    <cellStyle name="Normal 4 3 9" xfId="2203" xr:uid="{AFB30D6F-4DCD-4DB9-AFE4-3C0EC1FA3C90}"/>
    <cellStyle name="Normal 4 30" xfId="1601" xr:uid="{5B7654AA-86AA-4C5C-AD5F-88540BA520DC}"/>
    <cellStyle name="Normal 4 31" xfId="1602" xr:uid="{3032049D-FF3E-44F5-BCE7-8BB96F5C66C0}"/>
    <cellStyle name="Normal 4 32" xfId="2047" xr:uid="{8A984B8C-9A4C-4131-A3E4-D573284D96CC}"/>
    <cellStyle name="Normal 4 33" xfId="5695" xr:uid="{C7F8400F-8C0A-474E-96E2-760BE91BA752}"/>
    <cellStyle name="Normal 4 4" xfId="391" xr:uid="{1F3E7E31-5347-4EA3-9E97-6143AA51B878}"/>
    <cellStyle name="Normal 4 4 10" xfId="5733" xr:uid="{1EB2D822-6FD8-42B3-84B1-E4DF558CAE3C}"/>
    <cellStyle name="Normal 4 4 2" xfId="1604" xr:uid="{0F0ED6C3-7D7F-43D3-8A40-F31B50989B54}"/>
    <cellStyle name="Normal 4 4 2 2" xfId="5843" xr:uid="{FC52D2D0-04C9-4588-84E6-692F25EBC6CA}"/>
    <cellStyle name="Normal 4 4 3" xfId="1605" xr:uid="{F22D56CF-48A5-46E3-BAA5-CE93A56DB982}"/>
    <cellStyle name="Normal 4 4 4" xfId="1606" xr:uid="{83E732E4-F6CC-4627-BB90-62577B88CF67}"/>
    <cellStyle name="Normal 4 4 5" xfId="1607" xr:uid="{3F03FEBD-B385-4BAF-93EE-2E1D4F3D901F}"/>
    <cellStyle name="Normal 4 4 6" xfId="1608" xr:uid="{92FC3212-01F8-455B-A086-B70A28F6F48A}"/>
    <cellStyle name="Normal 4 4 7" xfId="1609" xr:uid="{A29AA687-097B-4F99-B3F4-1F1FBF7F503C}"/>
    <cellStyle name="Normal 4 4 8" xfId="1610" xr:uid="{63D82DBE-3D53-446F-8462-E5FC336F4A02}"/>
    <cellStyle name="Normal 4 4 9" xfId="1603" xr:uid="{2ABBB0DD-02E8-49A0-A35E-48A07431F992}"/>
    <cellStyle name="Normal 4 5" xfId="1611" xr:uid="{49671AAF-5920-4F35-B733-698E95BFEDB6}"/>
    <cellStyle name="Normal 4 5 2" xfId="1612" xr:uid="{E1D29C72-D600-4584-99AE-79410B1AB998}"/>
    <cellStyle name="Normal 4 5 3" xfId="1613" xr:uid="{4406FDFD-26BD-448A-9A18-9E89AD8E26D1}"/>
    <cellStyle name="Normal 4 5 4" xfId="1614" xr:uid="{20BE1129-3BFF-41FB-A337-9A4E6D49F526}"/>
    <cellStyle name="Normal 4 5 5" xfId="1615" xr:uid="{F3476E18-A619-4617-BDD7-74A538E1A324}"/>
    <cellStyle name="Normal 4 5 6" xfId="1616" xr:uid="{82888B9B-F4B8-48CC-B1B0-13CCF00AEA91}"/>
    <cellStyle name="Normal 4 5 7" xfId="1617" xr:uid="{666EB228-37AB-467E-AA5F-30FEE928FBC3}"/>
    <cellStyle name="Normal 4 5 8" xfId="1618" xr:uid="{1B9E570A-16BD-40CF-A0F2-1BBDAB01791D}"/>
    <cellStyle name="Normal 4 5 9" xfId="5766" xr:uid="{B4BCC2F0-0554-4BE2-9D06-882406DB8744}"/>
    <cellStyle name="Normal 4 6" xfId="1619" xr:uid="{99EF6733-C472-4F2F-9DD6-486520B31554}"/>
    <cellStyle name="Normal 4 6 2" xfId="1620" xr:uid="{A5FD1469-BB95-4A26-81BC-4897AF5AC629}"/>
    <cellStyle name="Normal 4 6 3" xfId="1621" xr:uid="{EF256B33-8532-43A2-A849-F8177266DE17}"/>
    <cellStyle name="Normal 4 6 4" xfId="1622" xr:uid="{8D3C1F1B-444E-4848-9604-D5EA1EB7B17A}"/>
    <cellStyle name="Normal 4 6 5" xfId="1623" xr:uid="{41A43EA4-CE90-43B2-811C-4EB10F290A7B}"/>
    <cellStyle name="Normal 4 6 6" xfId="1624" xr:uid="{386F8D04-B52B-46FF-A630-0C271A05C378}"/>
    <cellStyle name="Normal 4 6 7" xfId="1625" xr:uid="{89D6437D-1EE3-45FB-8746-ACD2C9C41154}"/>
    <cellStyle name="Normal 4 6 8" xfId="1626" xr:uid="{5BBED843-1EE2-465B-AD76-35F6A05046EF}"/>
    <cellStyle name="Normal 4 6 9" xfId="5798" xr:uid="{B8F4F26E-D1EF-4D33-AF03-10F19B63AECC}"/>
    <cellStyle name="Normal 4 7" xfId="1627" xr:uid="{24E27B22-F4BB-461A-A331-7C05F6D88006}"/>
    <cellStyle name="Normal 4 7 2" xfId="1628" xr:uid="{DA704513-6D27-4DC7-8DF3-9AE7CC4DE0F4}"/>
    <cellStyle name="Normal 4 7 3" xfId="1629" xr:uid="{FD7F97FD-7DE3-427F-95A1-5ED9FB5FD930}"/>
    <cellStyle name="Normal 4 7 4" xfId="1630" xr:uid="{87DBFEB6-086F-4428-B7C6-F6F676604A14}"/>
    <cellStyle name="Normal 4 7 5" xfId="1631" xr:uid="{DD1A0E7F-1640-41B6-BB06-5BD8C3F03F8E}"/>
    <cellStyle name="Normal 4 7 6" xfId="1632" xr:uid="{5AF38244-F510-418C-98BD-4B11EA25246F}"/>
    <cellStyle name="Normal 4 7 7" xfId="1633" xr:uid="{7BEAF946-35D8-4933-829C-1486B9124A61}"/>
    <cellStyle name="Normal 4 7 8" xfId="1634" xr:uid="{35F6DA0D-EABB-4E63-8256-BC89727931C1}"/>
    <cellStyle name="Normal 4 8" xfId="1635" xr:uid="{5BECF18F-FB19-4D09-81A8-FD5195A3FB06}"/>
    <cellStyle name="Normal 4 8 2" xfId="1636" xr:uid="{C3FAF864-86CD-41CE-9599-27B2D069DA60}"/>
    <cellStyle name="Normal 4 8 3" xfId="1637" xr:uid="{CC887E37-4ED6-425F-94BF-AE40E8F971BA}"/>
    <cellStyle name="Normal 4 8 4" xfId="1638" xr:uid="{25BB15FB-3264-4844-9403-80834F3978F2}"/>
    <cellStyle name="Normal 4 8 5" xfId="1639" xr:uid="{6D9C1DAF-CCEB-4967-BCD3-219565F265A3}"/>
    <cellStyle name="Normal 4 8 6" xfId="1640" xr:uid="{721152CB-4DEA-4F1F-B85B-4CFD86637272}"/>
    <cellStyle name="Normal 4 8 7" xfId="1641" xr:uid="{38BA1C56-56E8-40C7-A845-C298E1CA376B}"/>
    <cellStyle name="Normal 4 8 8" xfId="1642" xr:uid="{CB6195C8-BAA4-4D68-B4B2-68371D3F768F}"/>
    <cellStyle name="Normal 4 9" xfId="1643" xr:uid="{AD65A6A2-8A99-4578-812B-8F38490023D4}"/>
    <cellStyle name="Normal 4 9 2" xfId="1644" xr:uid="{5A21E69F-0EE5-4372-B129-1FADD12B3948}"/>
    <cellStyle name="Normal 4 9 3" xfId="1645" xr:uid="{AFC6E5D1-3C37-4F05-8C44-3C78F216D4EB}"/>
    <cellStyle name="Normal 4 9 4" xfId="1646" xr:uid="{206078B8-CC66-46A7-9A40-EDFA3504F30A}"/>
    <cellStyle name="Normal 4 9 5" xfId="1647" xr:uid="{6DE999B9-1604-4B6C-A2D7-F6EB7738712C}"/>
    <cellStyle name="Normal 4 9 6" xfId="1648" xr:uid="{029C7F79-9D02-483B-B4A9-BD8BDC6C8C9C}"/>
    <cellStyle name="Normal 4 9 7" xfId="1649" xr:uid="{6C042065-5412-4467-8FC4-DADD0611FE17}"/>
    <cellStyle name="Normal 4 9 8" xfId="1650" xr:uid="{E6B01BAE-B3B8-4C7E-8B5C-4965A2A7A138}"/>
    <cellStyle name="Normal 42" xfId="2048" xr:uid="{1D2A994D-3C75-4415-915C-88E5336A1D33}"/>
    <cellStyle name="Normal 43" xfId="2049" xr:uid="{ADDD9878-CBEA-4AFF-A51B-38213EDD5FE9}"/>
    <cellStyle name="Normal 43 2" xfId="1651" xr:uid="{35FD5B74-110F-4844-B2A4-4128C25F0E4D}"/>
    <cellStyle name="Normal 44" xfId="2050" xr:uid="{CC09048D-BFB1-4932-929C-134A4D4EDDE3}"/>
    <cellStyle name="Normal 44 2" xfId="1652" xr:uid="{040619E5-6D35-4C1D-AB2C-5AA608E031A8}"/>
    <cellStyle name="Normal 44 3" xfId="1653" xr:uid="{12049C79-6BA5-4CDD-B66A-8ADCE85B1A6B}"/>
    <cellStyle name="Normal 44 4" xfId="1654" xr:uid="{32D5FC4C-1DDA-4A9B-90EA-FB4A0D6CAE69}"/>
    <cellStyle name="Normal 44 5" xfId="1655" xr:uid="{C60DAE67-1CA8-4F45-A890-2F21F682DAF0}"/>
    <cellStyle name="Normal 44 6" xfId="1656" xr:uid="{6105EEC5-DF62-4A88-8CE0-B45D1F895FAF}"/>
    <cellStyle name="Normal 47" xfId="1657" xr:uid="{B0826490-4273-43C7-9949-E19905F621C2}"/>
    <cellStyle name="Normal 48" xfId="1658" xr:uid="{52828BFF-BA13-4256-8428-F7930751E674}"/>
    <cellStyle name="Normal 49" xfId="1659" xr:uid="{477593F3-BF33-40AE-8EB5-39DEF87A3BB0}"/>
    <cellStyle name="Normal 5" xfId="83" xr:uid="{00000000-0005-0000-0000-0000CD000000}"/>
    <cellStyle name="Normal 5 10" xfId="1660" xr:uid="{AFA7A959-A8F0-44DE-85AF-36CD563D3CB4}"/>
    <cellStyle name="Normal 5 11" xfId="1661" xr:uid="{CB0E37F3-644D-47B8-A788-B921FDDC3846}"/>
    <cellStyle name="Normal 5 12" xfId="1662" xr:uid="{D8D0B0CF-5C61-4E77-B7B0-7AF26B128641}"/>
    <cellStyle name="Normal 5 13" xfId="2051" xr:uid="{BD65342C-E8AE-494D-B649-7A75E2C7F2D5}"/>
    <cellStyle name="Normal 5 14" xfId="2159" xr:uid="{58909EB0-FFF2-4F65-ADCA-FFC37B888207}"/>
    <cellStyle name="Normal 5 15" xfId="3633" xr:uid="{87C07DDA-7D5D-4D2B-9116-488C4F0ACC90}"/>
    <cellStyle name="Normal 5 16" xfId="3611" xr:uid="{285A4062-EE0A-4670-8906-421C490CF494}"/>
    <cellStyle name="Normal 5 2" xfId="396" xr:uid="{594E84E3-159D-4665-B75A-51814FF3D412}"/>
    <cellStyle name="Normal 5 2 10" xfId="3648" xr:uid="{5A0D082B-92E6-4A20-9D12-803F63932BD8}"/>
    <cellStyle name="Normal 5 2 11" xfId="1663" xr:uid="{BD9BE9A3-32D1-4F3F-8BBC-45E6C61A4C7F}"/>
    <cellStyle name="Normal 5 2 2" xfId="1664" xr:uid="{B101C226-2370-4EBC-A994-E772419BB794}"/>
    <cellStyle name="Normal 5 2 3" xfId="1665" xr:uid="{30BD0510-9B3D-41D5-B2FA-3B6907D6EF69}"/>
    <cellStyle name="Normal 5 2 4" xfId="1666" xr:uid="{E790BF8E-EEFF-48BA-8014-B14987CB8531}"/>
    <cellStyle name="Normal 5 2 5" xfId="1667" xr:uid="{C59646BD-82BE-4BAE-A42D-73266868BB7D}"/>
    <cellStyle name="Normal 5 2 6" xfId="1668" xr:uid="{DAF958BB-38DC-4FF2-960A-325295EDAD77}"/>
    <cellStyle name="Normal 5 2 7" xfId="1669" xr:uid="{121829CF-9457-4F15-AF55-834BDB51AEDE}"/>
    <cellStyle name="Normal 5 2 8" xfId="1670" xr:uid="{66560D8E-A0E1-423F-B7C3-06FEF4519DF3}"/>
    <cellStyle name="Normal 5 2 9" xfId="2204" xr:uid="{6FCA81C2-9B56-4F0C-9F37-EB93AC22D373}"/>
    <cellStyle name="Normal 5 3" xfId="365" xr:uid="{BEE9229D-3162-4D8D-AB7A-53FCEF3F4E0E}"/>
    <cellStyle name="Normal 5 3 10" xfId="5769" xr:uid="{4D57130C-D57B-4944-ABC4-B56F699A7B1C}"/>
    <cellStyle name="Normal 5 3 2" xfId="1672" xr:uid="{F0B95414-FDC0-43A2-B54C-8CDD7B72FE9F}"/>
    <cellStyle name="Normal 5 3 3" xfId="1673" xr:uid="{A5C1F761-E790-4A7D-A57A-C3762B6793ED}"/>
    <cellStyle name="Normal 5 3 4" xfId="1674" xr:uid="{B92CAF0D-65BF-4ACC-A737-AC239D7E8DEC}"/>
    <cellStyle name="Normal 5 3 5" xfId="1675" xr:uid="{2A351064-DD11-4ABE-8D3B-5912331D872B}"/>
    <cellStyle name="Normal 5 3 6" xfId="1676" xr:uid="{F59094A0-58D7-4B9F-9268-1C518963F7B0}"/>
    <cellStyle name="Normal 5 3 7" xfId="1677" xr:uid="{CA3A5C6E-D556-4933-B36E-308886FFD473}"/>
    <cellStyle name="Normal 5 3 8" xfId="1678" xr:uid="{2957CA73-2AF3-4D65-8606-81DE98A3EFC9}"/>
    <cellStyle name="Normal 5 3 9" xfId="1671" xr:uid="{8CD97030-5165-499B-B412-2CC5561E3DE9}"/>
    <cellStyle name="Normal 5 4" xfId="1679" xr:uid="{34D7A569-51BF-4E1A-8103-BFC3AD5C5429}"/>
    <cellStyle name="Normal 5 4 2" xfId="1680" xr:uid="{0240414C-6B92-42E7-83C4-11378660DC65}"/>
    <cellStyle name="Normal 5 4 3" xfId="1681" xr:uid="{FF9DBCA3-0AAD-4DE6-8E5D-D168812BEF9C}"/>
    <cellStyle name="Normal 5 4 4" xfId="1682" xr:uid="{23B1107E-B6D4-431D-9E4B-396DCCD37FC7}"/>
    <cellStyle name="Normal 5 4 5" xfId="1683" xr:uid="{D09E2364-6E2D-4183-9029-93E60FBF980E}"/>
    <cellStyle name="Normal 5 4 6" xfId="1684" xr:uid="{54838B72-8E88-4ED5-8C7F-928D9EAFB212}"/>
    <cellStyle name="Normal 5 4 7" xfId="1685" xr:uid="{C8F299E2-DFBC-428F-9B02-46C370815C28}"/>
    <cellStyle name="Normal 5 4 8" xfId="1686" xr:uid="{6CB601B1-294C-413A-88A0-55793D3AB24C}"/>
    <cellStyle name="Normal 5 4 9" xfId="5807" xr:uid="{E69BAA74-B2A2-4E41-9FF2-93B014895400}"/>
    <cellStyle name="Normal 5 5" xfId="1687" xr:uid="{5994155D-B044-4180-8D4E-998B7A5EEFCB}"/>
    <cellStyle name="Normal 5 5 2" xfId="1688" xr:uid="{EF98DB82-268D-4641-BB96-1A94AC59DB6F}"/>
    <cellStyle name="Normal 5 5 3" xfId="1689" xr:uid="{9E21DB40-7403-46A5-9F04-2A4B1AC3EF33}"/>
    <cellStyle name="Normal 5 5 4" xfId="1690" xr:uid="{8B877326-101A-4B51-976A-F9264D8F0E32}"/>
    <cellStyle name="Normal 5 5 5" xfId="1691" xr:uid="{E1206F11-BC7D-4A98-805B-4BA041EF4402}"/>
    <cellStyle name="Normal 5 5 6" xfId="1692" xr:uid="{3B15CC9C-68E5-43FE-BEDE-2AD140FC4964}"/>
    <cellStyle name="Normal 5 5 7" xfId="1693" xr:uid="{14C8DBB4-28D5-4305-9104-0E931E4B2E64}"/>
    <cellStyle name="Normal 5 5 8" xfId="1694" xr:uid="{1D2D0214-C144-4A0B-ADF3-96A297B930F3}"/>
    <cellStyle name="Normal 5 6" xfId="1695" xr:uid="{43BE8FA9-17B8-43F8-A3B3-75FB2850F629}"/>
    <cellStyle name="Normal 5 6 2" xfId="1696" xr:uid="{664DEFBD-4A47-4269-AF2D-B42E9EB2EA19}"/>
    <cellStyle name="Normal 5 6 3" xfId="1697" xr:uid="{F37DD3C3-7B02-48C9-8BF9-067C2FC64A27}"/>
    <cellStyle name="Normal 5 6 4" xfId="1698" xr:uid="{0BB384A3-A51C-4279-8AF8-8CAD9FB86459}"/>
    <cellStyle name="Normal 5 6 5" xfId="1699" xr:uid="{9AE3A278-DD54-4D56-A501-72E35C2EC875}"/>
    <cellStyle name="Normal 5 6 6" xfId="1700" xr:uid="{D0C40F8A-BF45-4AB7-B1AB-4E0F10C09349}"/>
    <cellStyle name="Normal 5 6 7" xfId="1701" xr:uid="{3C80ABC3-66DB-4D22-A5F1-26E3E193C8EE}"/>
    <cellStyle name="Normal 5 6 8" xfId="1702" xr:uid="{A67F7A94-9DE6-4741-A109-01C4DAE96838}"/>
    <cellStyle name="Normal 5 7" xfId="1703" xr:uid="{48CF6383-E1F5-41A9-A115-4B964AD2A090}"/>
    <cellStyle name="Normal 5 7 2" xfId="1704" xr:uid="{D51375F7-6E2C-46E1-B334-09AAD0311C0E}"/>
    <cellStyle name="Normal 5 7 3" xfId="1705" xr:uid="{25660D08-7E45-4D03-B3E7-12C11563F32A}"/>
    <cellStyle name="Normal 5 7 4" xfId="1706" xr:uid="{FDF079E6-B962-4311-B421-507B278B3F91}"/>
    <cellStyle name="Normal 5 7 5" xfId="1707" xr:uid="{45CBDC4F-A540-470F-9BA4-BA7E39B6DBD5}"/>
    <cellStyle name="Normal 5 7 6" xfId="1708" xr:uid="{AD03DA49-7EE0-4306-BCE8-BA3DEB77B942}"/>
    <cellStyle name="Normal 5 7 7" xfId="1709" xr:uid="{B6326246-A18D-401A-8496-89CDB29B8EC1}"/>
    <cellStyle name="Normal 5 7 8" xfId="1710" xr:uid="{CA3FE771-9073-4872-B26E-C9022B4A32B4}"/>
    <cellStyle name="Normal 5 8" xfId="1711" xr:uid="{739276C0-03DC-4E77-829E-2E661430ED4D}"/>
    <cellStyle name="Normal 5 8 2" xfId="1712" xr:uid="{FBAEA51B-D6CB-4D97-BB05-7EE5D1EF4455}"/>
    <cellStyle name="Normal 5 8 3" xfId="1713" xr:uid="{1E522153-9C76-489C-A99B-9632D990575A}"/>
    <cellStyle name="Normal 5 8 4" xfId="1714" xr:uid="{F3546C75-A8F2-45A9-A212-268E063E9A9D}"/>
    <cellStyle name="Normal 5 9" xfId="1715" xr:uid="{55466486-9EDD-4E12-A407-C7E0F0884794}"/>
    <cellStyle name="Normal 50" xfId="1716" xr:uid="{093161DE-143C-4A29-9854-137371184C66}"/>
    <cellStyle name="Normal 51" xfId="1717" xr:uid="{179B8DBE-4CF4-4F47-8F58-106FE1BAFFA2}"/>
    <cellStyle name="Normal 52" xfId="1718" xr:uid="{AE5A8CCF-8778-45CC-A379-96F1C411061C}"/>
    <cellStyle name="Normal 53" xfId="1719" xr:uid="{F00F4865-95EF-42CB-B68F-03165F9AEDDC}"/>
    <cellStyle name="Normal 54" xfId="1720" xr:uid="{DB830908-DDE4-495A-9F3C-E7DF3A1906B0}"/>
    <cellStyle name="Normal 55" xfId="1721" xr:uid="{7CF75C6C-DC92-4AA2-85F8-9DEF133F4246}"/>
    <cellStyle name="Normal 56" xfId="1722" xr:uid="{D88A7605-A3FD-4C02-87A9-6067C0309595}"/>
    <cellStyle name="Normal 57" xfId="1723" xr:uid="{856640E8-42D4-42A6-8C76-D5F428088827}"/>
    <cellStyle name="Normal 58" xfId="1724" xr:uid="{BCE176B4-E8BF-4879-8C63-734E07F98B2B}"/>
    <cellStyle name="Normal 6" xfId="392" xr:uid="{1AF32D71-6443-4B02-96D8-5B548CC3D89E}"/>
    <cellStyle name="Normal 6 10" xfId="1725" xr:uid="{7B4DD350-4B35-4234-8456-0EADFD4A4FC6}"/>
    <cellStyle name="Normal 6 11" xfId="1726" xr:uid="{CD6D74D7-BFAE-4510-A750-DFA202D664A5}"/>
    <cellStyle name="Normal 6 12" xfId="1727" xr:uid="{9AC14E9A-1A25-40D9-90C3-0577B5BAE307}"/>
    <cellStyle name="Normal 6 13" xfId="2052" xr:uid="{B732B5FE-892F-4A06-8EC4-0D3B7D54D015}"/>
    <cellStyle name="Normal 6 14" xfId="2154" xr:uid="{6B83061E-4123-4326-9DEB-8237159A92BC}"/>
    <cellStyle name="Normal 6 15" xfId="3634" xr:uid="{9A1F00CB-FE51-4E97-B07B-CF9075562EA9}"/>
    <cellStyle name="Normal 6 16" xfId="925" xr:uid="{F9B116E1-AA65-4349-AF0A-D0BCE71488E6}"/>
    <cellStyle name="Normal 6 2" xfId="397" xr:uid="{50B6068B-BDA6-486A-B58F-5C692D992188}"/>
    <cellStyle name="Normal 6 2 10" xfId="1728" xr:uid="{21F42111-F76F-4879-9E32-CC813100646A}"/>
    <cellStyle name="Normal 6 2 2" xfId="1729" xr:uid="{6F1E2C46-BDD6-463C-91BD-087C93ADD45D}"/>
    <cellStyle name="Normal 6 2 3" xfId="1730" xr:uid="{D608CDB1-DF59-483B-9989-2DA8056860AB}"/>
    <cellStyle name="Normal 6 2 4" xfId="1731" xr:uid="{CAE6DE43-B4EE-4882-9469-846A1A33A745}"/>
    <cellStyle name="Normal 6 2 5" xfId="1732" xr:uid="{D29F32FD-B1F4-47EC-BDF3-1246743AC58C}"/>
    <cellStyle name="Normal 6 2 6" xfId="1733" xr:uid="{FBD00667-BA90-45E2-8A07-C7F13F4A5579}"/>
    <cellStyle name="Normal 6 2 7" xfId="1734" xr:uid="{2C520EB9-A37C-405F-8EF1-AFD38698A873}"/>
    <cellStyle name="Normal 6 2 8" xfId="1735" xr:uid="{9E156D51-D25D-456F-ABD0-589FA448E033}"/>
    <cellStyle name="Normal 6 2 9" xfId="2176" xr:uid="{25C7B8ED-95DB-4DBC-9BED-A49B8FDFBBF0}"/>
    <cellStyle name="Normal 6 3" xfId="1736" xr:uid="{626C3F2D-53DD-49E2-8AF8-C7C1693B4436}"/>
    <cellStyle name="Normal 6 3 2" xfId="1737" xr:uid="{9923DE9B-90A1-40A1-AF63-37D8734BE694}"/>
    <cellStyle name="Normal 6 3 3" xfId="1738" xr:uid="{91118F6B-199F-4A00-ADB7-C6F7311EA6CD}"/>
    <cellStyle name="Normal 6 3 4" xfId="1739" xr:uid="{32EA8AFF-5CDC-426E-B45C-BB91C748A039}"/>
    <cellStyle name="Normal 6 3 5" xfId="1740" xr:uid="{FC59667A-E1C6-4689-94E9-EB6DC027381A}"/>
    <cellStyle name="Normal 6 3 6" xfId="1741" xr:uid="{4C961825-48BC-4A58-A512-4951E0F43395}"/>
    <cellStyle name="Normal 6 3 7" xfId="1742" xr:uid="{B061D4D7-CC0E-42EB-A91A-D7593FAECC9A}"/>
    <cellStyle name="Normal 6 3 8" xfId="1743" xr:uid="{91D3EF7A-D913-467A-B68C-A997B55DE7BB}"/>
    <cellStyle name="Normal 6 3 9" xfId="5832" xr:uid="{0A645876-D698-42BD-88CA-F09AD2123793}"/>
    <cellStyle name="Normal 6 4" xfId="1744" xr:uid="{70205CBC-B5B9-46DA-89F1-B0D3CD1D2386}"/>
    <cellStyle name="Normal 6 4 2" xfId="1745" xr:uid="{B1CDADB1-8B12-4559-8232-0443AFA78A34}"/>
    <cellStyle name="Normal 6 4 3" xfId="1746" xr:uid="{8030F79F-4279-493F-9E01-FA4A779431C0}"/>
    <cellStyle name="Normal 6 4 4" xfId="1747" xr:uid="{B972F428-B967-45EF-B79C-FDC43C072D4B}"/>
    <cellStyle name="Normal 6 4 5" xfId="1748" xr:uid="{2CE6F1D4-5E24-4EA2-BD4B-9590A5A418A4}"/>
    <cellStyle name="Normal 6 4 6" xfId="1749" xr:uid="{F9282545-F6BE-4383-A143-F15D5027DEE9}"/>
    <cellStyle name="Normal 6 4 7" xfId="1750" xr:uid="{E9B23BA4-29F8-438D-AA74-B71FD32680AD}"/>
    <cellStyle name="Normal 6 4 8" xfId="1751" xr:uid="{5070B35F-0965-4325-829F-B94D27F85530}"/>
    <cellStyle name="Normal 6 4 9" xfId="5851" xr:uid="{B8FC8762-4ECB-4271-8D31-29294ED14BED}"/>
    <cellStyle name="Normal 6 5" xfId="1752" xr:uid="{31BC8679-47C1-46B7-9459-11E4136ABFC2}"/>
    <cellStyle name="Normal 6 5 2" xfId="1753" xr:uid="{3821E151-13D4-4F76-8A0F-B3290F996BEB}"/>
    <cellStyle name="Normal 6 5 3" xfId="1754" xr:uid="{6EFE4AE3-F7E2-4FF9-A310-CE14B9F3CDA5}"/>
    <cellStyle name="Normal 6 5 4" xfId="1755" xr:uid="{B89ED2C7-84B8-4F73-B362-1ACC68C2AA86}"/>
    <cellStyle name="Normal 6 5 5" xfId="1756" xr:uid="{F91ED287-626B-4848-99A5-6B4B145DA454}"/>
    <cellStyle name="Normal 6 5 6" xfId="1757" xr:uid="{620320D3-7430-4734-AD34-9EFE4AE9F825}"/>
    <cellStyle name="Normal 6 5 7" xfId="1758" xr:uid="{8B2B3D75-8856-4FF5-8BBE-23709671E3CE}"/>
    <cellStyle name="Normal 6 5 8" xfId="1759" xr:uid="{9AD47A3A-6C64-4650-B857-104E3E13740F}"/>
    <cellStyle name="Normal 6 6" xfId="1760" xr:uid="{27993C84-EACB-4318-A46F-A47A868AE991}"/>
    <cellStyle name="Normal 6 6 2" xfId="1761" xr:uid="{1643436E-D1CE-4BF2-B762-CD97E84E67B9}"/>
    <cellStyle name="Normal 6 6 3" xfId="1762" xr:uid="{48D2D8C1-8E25-4831-814A-A3405F8915AD}"/>
    <cellStyle name="Normal 6 6 4" xfId="1763" xr:uid="{C048559A-C20B-4971-872A-271F1C40ECEF}"/>
    <cellStyle name="Normal 6 6 5" xfId="1764" xr:uid="{7A10756F-3AEC-49B7-98EF-3C91CA557EEC}"/>
    <cellStyle name="Normal 6 6 6" xfId="1765" xr:uid="{3DE9FFE2-35F0-4DD6-A88B-48A81FFFBB91}"/>
    <cellStyle name="Normal 6 6 7" xfId="1766" xr:uid="{8554F818-3AAE-4A2F-8ED4-B406735168C2}"/>
    <cellStyle name="Normal 6 6 8" xfId="1767" xr:uid="{9E84F703-B304-4260-B143-9D498AE9E7B0}"/>
    <cellStyle name="Normal 6 7" xfId="1768" xr:uid="{0063F6CB-3DB9-4991-A787-F6C20C44AFC3}"/>
    <cellStyle name="Normal 6 7 2" xfId="1769" xr:uid="{F1D1312A-17B9-4021-98AD-6D10C45B0ACC}"/>
    <cellStyle name="Normal 6 7 3" xfId="1770" xr:uid="{ED06BCC7-0DDA-479E-8263-946C09B4795E}"/>
    <cellStyle name="Normal 6 7 4" xfId="1771" xr:uid="{7A52408F-4957-4B9A-B0CB-C3FCB118CD08}"/>
    <cellStyle name="Normal 6 7 5" xfId="1772" xr:uid="{B16452C6-8BD1-4028-9A90-36EF4F2970AE}"/>
    <cellStyle name="Normal 6 7 6" xfId="1773" xr:uid="{5A9E2471-A1C0-4D3E-AAA0-D35772434665}"/>
    <cellStyle name="Normal 6 7 7" xfId="1774" xr:uid="{49042D4A-76DC-46CA-AEF0-5AECA6332D89}"/>
    <cellStyle name="Normal 6 7 8" xfId="1775" xr:uid="{5DA1FF37-DDB2-40EF-BF77-16224E41BC7C}"/>
    <cellStyle name="Normal 6 8" xfId="1776" xr:uid="{52750948-7D98-400E-BE9C-FB09E1DDDE8A}"/>
    <cellStyle name="Normal 6 8 2" xfId="1777" xr:uid="{8CB9E6F7-4446-482D-8534-F0A67536350F}"/>
    <cellStyle name="Normal 6 8 3" xfId="1778" xr:uid="{9FBC56FB-4957-4AD4-9BD3-9043B23EE199}"/>
    <cellStyle name="Normal 6 8 4" xfId="1779" xr:uid="{4CBCE9CE-E0E9-440D-B22B-BF03B8FA6494}"/>
    <cellStyle name="Normal 6 9" xfId="1780" xr:uid="{7AC00A7B-E8C8-47D7-AC4F-420C3C63EE72}"/>
    <cellStyle name="Normal 601" xfId="2128" xr:uid="{7BB17844-BDD1-4407-BCAE-28559BD87175}"/>
    <cellStyle name="Normal 605" xfId="2084" xr:uid="{16C387E1-970B-4C23-8E54-E0A4CF0BB898}"/>
    <cellStyle name="Normal 606" xfId="2083" xr:uid="{FF01A2C5-B628-44E3-9783-24AD2D654409}"/>
    <cellStyle name="Normal 62 3" xfId="5720" xr:uid="{F7C98D6B-ADE3-40C1-9390-1A18807B1261}"/>
    <cellStyle name="Normal 62 3 2" xfId="5829" xr:uid="{0001F820-5030-4A9E-A1E4-2099B400713E}"/>
    <cellStyle name="Normal 636" xfId="2081" xr:uid="{3C4785F6-64F1-46C1-8D8F-1DB6F14C4C5F}"/>
    <cellStyle name="Normal 640" xfId="2082" xr:uid="{3CC73969-80A9-497F-BC66-43458BD97E0C}"/>
    <cellStyle name="Normal 643" xfId="2085" xr:uid="{7E7450BF-4D5D-41D1-8881-69B8CEAA3D89}"/>
    <cellStyle name="Normal 646" xfId="2087" xr:uid="{DCD52667-9B29-418B-AD31-22086C3EEE00}"/>
    <cellStyle name="Normal 647" xfId="2088" xr:uid="{53EFB0D2-E839-4D40-A313-B7B6B6704213}"/>
    <cellStyle name="Normal 649" xfId="2089" xr:uid="{97F9A8F2-E26B-4081-9B2F-B766DBB773E2}"/>
    <cellStyle name="Normal 650" xfId="2090" xr:uid="{A94DFB2B-3F82-4F52-8C8B-F6BC656DAA55}"/>
    <cellStyle name="Normal 651" xfId="2091" xr:uid="{65124423-DF0E-48F7-8A0C-CB54661B348F}"/>
    <cellStyle name="Normal 652" xfId="2092" xr:uid="{A488C0D0-AF0D-4C2C-A33D-0A3ABAEC53EE}"/>
    <cellStyle name="Normal 653" xfId="2093" xr:uid="{101A0939-7B31-4704-88C4-BDAF5CCD2DFA}"/>
    <cellStyle name="Normal 654" xfId="2094" xr:uid="{2A2BE77C-9AE6-4CDA-9B72-C5BB734D7609}"/>
    <cellStyle name="Normal 655" xfId="2095" xr:uid="{78369FA7-E0D5-4D7D-8EB7-260C3BF2FEA9}"/>
    <cellStyle name="Normal 656" xfId="2096" xr:uid="{802BE7B9-BD10-46EC-B2ED-35273BC33449}"/>
    <cellStyle name="Normal 657" xfId="2097" xr:uid="{47E74257-F2C7-47A9-864B-334969ECB59D}"/>
    <cellStyle name="Normal 658" xfId="2099" xr:uid="{F18A0759-43BA-41EA-A0E2-4C932811806F}"/>
    <cellStyle name="Normal 659" xfId="2100" xr:uid="{8E19A67A-0D27-4544-A448-5778E045E41E}"/>
    <cellStyle name="Normal 66 2 2 2" xfId="5721" xr:uid="{63675149-0A24-42B6-8A4B-5575913D85EA}"/>
    <cellStyle name="Normal 66 2 2 2 2" xfId="5831" xr:uid="{5D3853DB-1C87-4576-8802-B4524E07C5CF}"/>
    <cellStyle name="Normal 660" xfId="2102" xr:uid="{35B02DBD-8E61-4A9E-8843-995E47B7ACD6}"/>
    <cellStyle name="Normal 662" xfId="2103" xr:uid="{57563048-0C6C-47FD-9AA8-614FF6B9DE66}"/>
    <cellStyle name="Normal 663" xfId="2104" xr:uid="{2B1A40C9-06DE-45DE-A609-71A74137DAB7}"/>
    <cellStyle name="Normal 664" xfId="2105" xr:uid="{9BBF02B7-FD63-4180-BEA0-1C7600886A0B}"/>
    <cellStyle name="Normal 665" xfId="2106" xr:uid="{B791F0C8-860E-47F0-872E-1C7AE326195E}"/>
    <cellStyle name="Normal 667" xfId="2107" xr:uid="{B99CCA8D-6126-4749-A2C8-944254FAB9C7}"/>
    <cellStyle name="Normal 673" xfId="2110" xr:uid="{FDA39612-C08B-473B-82FF-BB8CD7A5CCF6}"/>
    <cellStyle name="Normal 674" xfId="2111" xr:uid="{C9F75935-7341-4820-8599-D32D46D60985}"/>
    <cellStyle name="Normal 675" xfId="2112" xr:uid="{A64A3C1C-9B6E-42F8-9C6F-FD3A9568853F}"/>
    <cellStyle name="Normal 676" xfId="2113" xr:uid="{CDFC8E5A-926C-431F-AD0C-C6B7257EAB01}"/>
    <cellStyle name="Normal 677" xfId="2117" xr:uid="{66EF4315-263B-4941-9AA8-28D7EB835B00}"/>
    <cellStyle name="Normal 678" xfId="2118" xr:uid="{BCEFCCC6-DC65-4107-8FE2-C7B7BF092638}"/>
    <cellStyle name="Normal 679" xfId="2119" xr:uid="{EA4761AC-30D4-4FCE-9A98-FCCB17F2E712}"/>
    <cellStyle name="Normal 684" xfId="2124" xr:uid="{3F269641-0F9A-428D-8451-41E3180849F5}"/>
    <cellStyle name="Normal 7" xfId="393" xr:uid="{E1945CE8-AB78-40AD-A085-5F340EF92AC9}"/>
    <cellStyle name="Normal 7 10" xfId="1781" xr:uid="{D5FCA2FF-B138-4D14-BBA6-1E04A4F35716}"/>
    <cellStyle name="Normal 7 11" xfId="1782" xr:uid="{C52FCE34-EE68-434E-8ED6-B65E874B0A6F}"/>
    <cellStyle name="Normal 7 12" xfId="1783" xr:uid="{B26A9818-9C9F-48A6-B38C-0609591FD0FD}"/>
    <cellStyle name="Normal 7 13" xfId="2053" xr:uid="{5B35FAE0-167D-42FB-8755-9EE5EE9DEE21}"/>
    <cellStyle name="Normal 7 14" xfId="5742" xr:uid="{5F078179-7ED6-4A7D-99E0-289D37D27F3A}"/>
    <cellStyle name="Normal 7 2" xfId="1784" xr:uid="{C17AAB42-83A0-44E8-B7AC-3AFAB4E5C939}"/>
    <cellStyle name="Normal 7 2 2" xfId="1785" xr:uid="{F8D9D88D-D1C4-4E60-8D50-3ADC9C8EDCD0}"/>
    <cellStyle name="Normal 7 2 3" xfId="1786" xr:uid="{878E1BAB-0340-4320-BC53-0C6B2FDB67B2}"/>
    <cellStyle name="Normal 7 2 4" xfId="1787" xr:uid="{027ABFC5-74BB-42A7-AD0D-10C170825631}"/>
    <cellStyle name="Normal 7 2 5" xfId="1788" xr:uid="{912B4C56-18B9-485E-9866-9C24C2AE819A}"/>
    <cellStyle name="Normal 7 2 6" xfId="1789" xr:uid="{DD71658C-B339-4E2B-A189-7B12607BE01E}"/>
    <cellStyle name="Normal 7 2 7" xfId="1790" xr:uid="{599E2A21-22D2-441D-979E-7E06F33A4855}"/>
    <cellStyle name="Normal 7 2 8" xfId="1791" xr:uid="{57ED9C73-4770-4795-AE9F-ED07DFA039D6}"/>
    <cellStyle name="Normal 7 3" xfId="1792" xr:uid="{5E6E08FE-92A5-49C5-8E33-62A18ACD8C3C}"/>
    <cellStyle name="Normal 7 3 2" xfId="1793" xr:uid="{A2284F19-A465-41EF-9575-F3CD99664B5D}"/>
    <cellStyle name="Normal 7 3 3" xfId="1794" xr:uid="{339258FB-E894-4EA1-8EE3-2F068D05B3E5}"/>
    <cellStyle name="Normal 7 3 4" xfId="1795" xr:uid="{73710207-C4D7-4E3F-B58C-EEC1F877F14F}"/>
    <cellStyle name="Normal 7 3 5" xfId="1796" xr:uid="{0738A8D1-A2C6-455C-B695-3CB5CF98D9C7}"/>
    <cellStyle name="Normal 7 3 6" xfId="1797" xr:uid="{833B24A6-02AA-4487-ABE4-B3894FFE4D9F}"/>
    <cellStyle name="Normal 7 3 7" xfId="1798" xr:uid="{9A6BFF48-45C2-46E5-9224-A820BFF58FD7}"/>
    <cellStyle name="Normal 7 3 8" xfId="1799" xr:uid="{28C51344-C8F8-4A0B-9927-565695E60212}"/>
    <cellStyle name="Normal 7 4" xfId="1800" xr:uid="{1F67BDD5-C305-45EA-8A63-CAAD724F820C}"/>
    <cellStyle name="Normal 7 4 2" xfId="1801" xr:uid="{91B2B674-4C41-47E3-9737-27FE658DDF06}"/>
    <cellStyle name="Normal 7 4 3" xfId="1802" xr:uid="{BB81E57F-5EA5-4E92-B1A2-21357B3757D8}"/>
    <cellStyle name="Normal 7 4 4" xfId="1803" xr:uid="{55B0C4FE-F4B8-4B01-9180-54ED4FB72D5A}"/>
    <cellStyle name="Normal 7 4 5" xfId="1804" xr:uid="{9F26CEA0-A37C-4EAB-8989-67C8AEEE8008}"/>
    <cellStyle name="Normal 7 4 6" xfId="1805" xr:uid="{D9821724-21FC-4973-BE41-EE5C25DD6146}"/>
    <cellStyle name="Normal 7 4 7" xfId="1806" xr:uid="{7EFFE69A-D9D8-4F3D-B9D3-8600C844A04E}"/>
    <cellStyle name="Normal 7 4 8" xfId="1807" xr:uid="{ED0159A3-548D-4D82-BD6F-0AA56D7B92BD}"/>
    <cellStyle name="Normal 7 5" xfId="1808" xr:uid="{89D8E494-84BB-4BCB-B423-AC3E2854057A}"/>
    <cellStyle name="Normal 7 5 2" xfId="1809" xr:uid="{A4C1F794-9AAF-4909-9FE5-D45C9797E10F}"/>
    <cellStyle name="Normal 7 5 3" xfId="1810" xr:uid="{E415203F-535A-4C14-94E2-6F1222C85CA7}"/>
    <cellStyle name="Normal 7 5 4" xfId="1811" xr:uid="{DCF676DF-4A9E-4DD4-A996-9DFB846D5CC6}"/>
    <cellStyle name="Normal 7 5 5" xfId="1812" xr:uid="{370839C1-26CA-4858-8C49-0BA9B1B730C7}"/>
    <cellStyle name="Normal 7 5 6" xfId="1813" xr:uid="{4DD8A721-69CB-488A-AF49-54C649FD2F8C}"/>
    <cellStyle name="Normal 7 5 7" xfId="1814" xr:uid="{F9CDBDA6-1BA7-4C9C-80E4-C4D7B85EA6EE}"/>
    <cellStyle name="Normal 7 5 8" xfId="1815" xr:uid="{1A90DC9A-F5F9-46F5-821F-12F492963864}"/>
    <cellStyle name="Normal 7 6" xfId="1816" xr:uid="{1DC63010-8661-4ECF-AE80-665AE5B66315}"/>
    <cellStyle name="Normal 7 6 2" xfId="1817" xr:uid="{11AC4B36-7253-4198-B9DA-4A7083B16926}"/>
    <cellStyle name="Normal 7 6 3" xfId="1818" xr:uid="{BA3B12B5-FD5C-4D5D-8566-3998D4721C30}"/>
    <cellStyle name="Normal 7 6 4" xfId="1819" xr:uid="{B728E09B-7677-42C3-966B-C4645D63134A}"/>
    <cellStyle name="Normal 7 6 5" xfId="1820" xr:uid="{5B691FD8-EBF2-43B2-AC97-3D6249CEC25D}"/>
    <cellStyle name="Normal 7 6 6" xfId="1821" xr:uid="{B5B4F5F7-FADB-4C66-A39F-6D874B2527BC}"/>
    <cellStyle name="Normal 7 6 7" xfId="1822" xr:uid="{38A2113E-1941-4B83-A5D9-7DA8859FA199}"/>
    <cellStyle name="Normal 7 6 8" xfId="1823" xr:uid="{78DEE4A7-69AA-459C-8F45-1D7A300F99C5}"/>
    <cellStyle name="Normal 7 7" xfId="1824" xr:uid="{A4E9D933-1DB2-461F-B957-DC4B254DF3C6}"/>
    <cellStyle name="Normal 7 7 2" xfId="1825" xr:uid="{CAE981C3-54D2-4C07-AB42-9AE7ACA3099F}"/>
    <cellStyle name="Normal 7 7 3" xfId="1826" xr:uid="{EA400794-879A-4B9E-BE98-0BEF632B60CC}"/>
    <cellStyle name="Normal 7 7 4" xfId="1827" xr:uid="{C4E762A1-045E-4A38-9DBB-17EA028EE2ED}"/>
    <cellStyle name="Normal 7 7 5" xfId="1828" xr:uid="{E9C8B22D-A917-4138-A3B4-3272A7C405B4}"/>
    <cellStyle name="Normal 7 7 6" xfId="1829" xr:uid="{C8CE7417-9B82-4CE2-97D4-688A855DCA76}"/>
    <cellStyle name="Normal 7 7 7" xfId="1830" xr:uid="{6C12AAA2-EA1A-4581-8E07-17519A971A78}"/>
    <cellStyle name="Normal 7 7 8" xfId="1831" xr:uid="{6B4C54D2-9C88-47FC-8E65-07CA609A0C8C}"/>
    <cellStyle name="Normal 7 8" xfId="1832" xr:uid="{03FC042E-0835-44F1-BB76-9E4E226BF3BA}"/>
    <cellStyle name="Normal 7 8 2" xfId="1833" xr:uid="{3A3EA4F8-B438-4D65-8FF3-DA7EEFA17F99}"/>
    <cellStyle name="Normal 7 8 3" xfId="1834" xr:uid="{05398F77-A5E3-41DD-9547-CC43AD24EA76}"/>
    <cellStyle name="Normal 7 8 4" xfId="1835" xr:uid="{2DC69936-C420-443F-9228-DE4D46AA8E57}"/>
    <cellStyle name="Normal 7 9" xfId="1836" xr:uid="{16276A7B-C5AB-4CA2-BC43-FEA68C18CB67}"/>
    <cellStyle name="Normal 713" xfId="2114" xr:uid="{A4398426-82EA-4BD1-8E5D-725F4A7DA99E}"/>
    <cellStyle name="Normal 714" xfId="2115" xr:uid="{01D2EC86-E6CA-4674-A2E2-F4613634D058}"/>
    <cellStyle name="Normal 715" xfId="2116" xr:uid="{86909D60-AAB3-4487-84D2-BC6F7F75CC7C}"/>
    <cellStyle name="Normal 744" xfId="2134" xr:uid="{35EFB97F-D87D-4C85-9B5A-2A02A965F7EC}"/>
    <cellStyle name="Normal 8" xfId="394" xr:uid="{EBA9F31F-8884-4559-A10A-0A81D16A32A5}"/>
    <cellStyle name="Normal 8 10" xfId="1837" xr:uid="{79C6B1FE-4B98-41FE-A18C-CD651570AF93}"/>
    <cellStyle name="Normal 8 11" xfId="1838" xr:uid="{A35BA104-EE80-419B-B7E5-8541F3AF2146}"/>
    <cellStyle name="Normal 8 12" xfId="1839" xr:uid="{F0585DFF-9BAD-44F9-B6C3-6B7497BB0ACB}"/>
    <cellStyle name="Normal 8 13" xfId="2054" xr:uid="{55EABE9D-FEBB-4396-936F-D09E051CB5B6}"/>
    <cellStyle name="Normal 8 14" xfId="5848" xr:uid="{8AD7E2C7-FF14-49DF-AFBA-737D6BA7BD64}"/>
    <cellStyle name="Normal 8 2" xfId="398" xr:uid="{00047948-D3B2-4DC5-9A53-74747562C02C}"/>
    <cellStyle name="Normal 8 2 2" xfId="1841" xr:uid="{CA346733-E684-4C02-9066-A883BAC95CCC}"/>
    <cellStyle name="Normal 8 2 3" xfId="1842" xr:uid="{D09B4B5F-4934-4F6E-8FB7-4DA6B1E33D18}"/>
    <cellStyle name="Normal 8 2 4" xfId="1843" xr:uid="{953E0178-10E5-45B4-8C60-67A524C9480F}"/>
    <cellStyle name="Normal 8 2 5" xfId="1844" xr:uid="{11B76ADC-C7D0-49FD-B567-B732075FCF2A}"/>
    <cellStyle name="Normal 8 2 6" xfId="1845" xr:uid="{A8415CFB-F82C-416C-8D18-D3B8AC1B82D1}"/>
    <cellStyle name="Normal 8 2 7" xfId="1846" xr:uid="{8863EC18-70DE-497E-A4C3-40ABD30F47E7}"/>
    <cellStyle name="Normal 8 2 8" xfId="1847" xr:uid="{C632883A-C4D4-484A-8134-78E13EC19EFA}"/>
    <cellStyle name="Normal 8 2 9" xfId="1840" xr:uid="{83DE305E-1A73-483F-8C31-A8348B7A086D}"/>
    <cellStyle name="Normal 8 3" xfId="1848" xr:uid="{2DD18E11-F723-46F5-8379-4892B6E0E487}"/>
    <cellStyle name="Normal 8 3 2" xfId="1849" xr:uid="{18BE9076-1D15-4FE2-B4C5-E865ABCE03B5}"/>
    <cellStyle name="Normal 8 3 3" xfId="1850" xr:uid="{6338C50D-8EDF-4CF4-BC34-E238B2F7FC76}"/>
    <cellStyle name="Normal 8 3 4" xfId="1851" xr:uid="{E1E0CDC3-581D-4209-B676-BCE93FB66C07}"/>
    <cellStyle name="Normal 8 3 5" xfId="1852" xr:uid="{B01FD095-B612-4DB8-91E2-A2144D8D7609}"/>
    <cellStyle name="Normal 8 3 6" xfId="1853" xr:uid="{A26B35B5-77CF-4541-9051-D38FCE037630}"/>
    <cellStyle name="Normal 8 3 7" xfId="1854" xr:uid="{74B503E3-FE84-497F-B60D-B824173B0116}"/>
    <cellStyle name="Normal 8 3 8" xfId="1855" xr:uid="{3CC444C4-4769-4D9C-A70C-81186983B257}"/>
    <cellStyle name="Normal 8 4" xfId="1856" xr:uid="{35724214-8614-4278-8F28-F37B9C5EEC26}"/>
    <cellStyle name="Normal 8 4 2" xfId="1857" xr:uid="{AC83CA6B-D6E5-4A39-A3F1-B67194FAEE6D}"/>
    <cellStyle name="Normal 8 4 3" xfId="1858" xr:uid="{67B8A324-7C64-4E7B-9BBC-4C7CB0964436}"/>
    <cellStyle name="Normal 8 4 4" xfId="1859" xr:uid="{5A00F6B2-F55D-4C98-B6BA-02A9E0E1DB90}"/>
    <cellStyle name="Normal 8 4 5" xfId="1860" xr:uid="{BB1D8760-7CAC-4619-BC4D-C93C0B5FAD1A}"/>
    <cellStyle name="Normal 8 4 6" xfId="1861" xr:uid="{8DF69E3C-77CC-4F27-95EF-AC6034431856}"/>
    <cellStyle name="Normal 8 4 7" xfId="1862" xr:uid="{18E87435-7D30-43C5-A0D7-E29AF1B2F0AB}"/>
    <cellStyle name="Normal 8 4 8" xfId="1863" xr:uid="{D2E863AB-7A75-401A-B0C6-8B1E778B94F0}"/>
    <cellStyle name="Normal 8 5" xfId="1864" xr:uid="{51B66062-437E-4884-B055-39A91F7AC66B}"/>
    <cellStyle name="Normal 8 5 2" xfId="1865" xr:uid="{F44222C0-1B23-460B-A1CE-127BB6BB7DA0}"/>
    <cellStyle name="Normal 8 5 3" xfId="1866" xr:uid="{A994E1DA-F8FE-41B0-A419-91316B91FACE}"/>
    <cellStyle name="Normal 8 5 4" xfId="1867" xr:uid="{D655E0A8-7F7A-4E07-A8A1-E5FDFB22340F}"/>
    <cellStyle name="Normal 8 5 5" xfId="1868" xr:uid="{4919D874-CCC6-4598-8133-456F594BCD7D}"/>
    <cellStyle name="Normal 8 5 6" xfId="1869" xr:uid="{3D8EA8B4-DAF7-4CCD-9855-D8799CE8038B}"/>
    <cellStyle name="Normal 8 5 7" xfId="1870" xr:uid="{7EE15953-BB3F-41AC-8DFB-F34700DF1CCE}"/>
    <cellStyle name="Normal 8 5 8" xfId="1871" xr:uid="{CC27FF7C-4CC4-4A91-8FE1-B451FEAA8758}"/>
    <cellStyle name="Normal 8 6" xfId="1872" xr:uid="{6338CE67-FE80-4D19-9E76-662954203496}"/>
    <cellStyle name="Normal 8 6 2" xfId="1873" xr:uid="{AD278CD7-CACC-4DE8-8706-6CDD49784085}"/>
    <cellStyle name="Normal 8 6 3" xfId="1874" xr:uid="{52BA4914-93D3-49A4-B07C-479F07EA1304}"/>
    <cellStyle name="Normal 8 6 4" xfId="1875" xr:uid="{E4564598-3EBD-4CA2-B688-359CA89F1D7F}"/>
    <cellStyle name="Normal 8 6 5" xfId="1876" xr:uid="{FC5D2E91-EEDA-441C-B21F-A5D1C3766B9E}"/>
    <cellStyle name="Normal 8 6 6" xfId="1877" xr:uid="{31FBC870-B6D1-49B5-BA22-F1BC7DD40255}"/>
    <cellStyle name="Normal 8 6 7" xfId="1878" xr:uid="{D6C0C60B-1A1F-406C-803A-6255893D1FD0}"/>
    <cellStyle name="Normal 8 6 8" xfId="1879" xr:uid="{14AE9848-51A7-4099-A975-BF39C86CFAD9}"/>
    <cellStyle name="Normal 8 7" xfId="1880" xr:uid="{9EEE62E5-6359-4C98-B754-A4B7EDBBD691}"/>
    <cellStyle name="Normal 8 7 2" xfId="1881" xr:uid="{9449C16C-A3EE-4DCC-89E3-72EC0C352139}"/>
    <cellStyle name="Normal 8 7 3" xfId="1882" xr:uid="{F3E925E2-6AB3-4A60-B4C6-B3B6E84B1D9E}"/>
    <cellStyle name="Normal 8 7 4" xfId="1883" xr:uid="{95268B6B-3F17-4A5C-9C41-6A1850BCFCD2}"/>
    <cellStyle name="Normal 8 7 5" xfId="1884" xr:uid="{0FAC9777-BAF9-4D19-9C76-C999D0508B0C}"/>
    <cellStyle name="Normal 8 7 6" xfId="1885" xr:uid="{EB0F7C30-3E20-4B8A-A74A-2E137AA7A489}"/>
    <cellStyle name="Normal 8 7 7" xfId="1886" xr:uid="{DBD938AD-82D7-4BE4-A850-5287A4774965}"/>
    <cellStyle name="Normal 8 7 8" xfId="1887" xr:uid="{AF525F14-4114-4D55-BE2A-F10CC35BCEC4}"/>
    <cellStyle name="Normal 8 8" xfId="1888" xr:uid="{B12EF950-2840-452F-AD3B-08DCA16E6E34}"/>
    <cellStyle name="Normal 8 8 2" xfId="1889" xr:uid="{09A12721-25CC-4F0D-AB55-68BFB688815D}"/>
    <cellStyle name="Normal 8 8 3" xfId="1890" xr:uid="{C29C986A-D05D-425D-B46B-A5515E017792}"/>
    <cellStyle name="Normal 8 8 4" xfId="1891" xr:uid="{A023A981-B9BA-4BAF-A3A2-4888AAB9827E}"/>
    <cellStyle name="Normal 8 9" xfId="1892" xr:uid="{CD89E5D0-10D5-4090-A290-08C85B83D7B9}"/>
    <cellStyle name="Normal 802" xfId="2140" xr:uid="{539151A6-17C3-4B29-977C-F267A3EC69C0}"/>
    <cellStyle name="Normal 9" xfId="399" xr:uid="{4F1E263B-704A-403A-9B94-225B3362E4DC}"/>
    <cellStyle name="Normal 9 10" xfId="1893" xr:uid="{4B852584-0364-4BC1-AF92-894645D81E4A}"/>
    <cellStyle name="Normal 9 11" xfId="1894" xr:uid="{CF4EF0F3-7144-4AC3-B4BB-9FEF87860C24}"/>
    <cellStyle name="Normal 9 12" xfId="1895" xr:uid="{8E02AB43-A4BA-449D-B192-C47982F4FD2C}"/>
    <cellStyle name="Normal 9 2" xfId="1896" xr:uid="{6A9F30C9-D2E1-4F98-A4A0-34B95BE13875}"/>
    <cellStyle name="Normal 9 2 2" xfId="1897" xr:uid="{561E22EC-A106-403D-B7FB-6C947F3BFC48}"/>
    <cellStyle name="Normal 9 2 3" xfId="1898" xr:uid="{1C778016-7F6F-4C33-B680-3AE7637570E0}"/>
    <cellStyle name="Normal 9 2 4" xfId="1899" xr:uid="{1BFF34EE-BC7C-42D7-BC56-BF677F63E9AC}"/>
    <cellStyle name="Normal 9 2 5" xfId="1900" xr:uid="{58F84510-D7F8-4C2A-A0AD-5921EE8A2AA4}"/>
    <cellStyle name="Normal 9 2 6" xfId="1901" xr:uid="{61386CA2-B2E4-4788-A6F5-8DCE66572200}"/>
    <cellStyle name="Normal 9 2 7" xfId="1902" xr:uid="{C9457937-1D39-4422-B52D-9514CDD0F74C}"/>
    <cellStyle name="Normal 9 2 8" xfId="1903" xr:uid="{38D5032B-2754-40A6-A805-7F20EB73CE89}"/>
    <cellStyle name="Normal 9 3" xfId="1904" xr:uid="{D91F417E-5E54-4065-AA81-C8D0085A9097}"/>
    <cellStyle name="Normal 9 3 2" xfId="1905" xr:uid="{1EE2AF92-FCB1-4A4E-ABA4-650BB1184826}"/>
    <cellStyle name="Normal 9 3 3" xfId="1906" xr:uid="{91B12C60-AAB9-4260-AF2D-40F9C1C23CA0}"/>
    <cellStyle name="Normal 9 3 4" xfId="1907" xr:uid="{0F58DD29-AB67-48F9-B8AD-CD32CACB34F5}"/>
    <cellStyle name="Normal 9 3 5" xfId="1908" xr:uid="{038D6441-0735-454E-A7E5-45D39AC5A960}"/>
    <cellStyle name="Normal 9 3 6" xfId="1909" xr:uid="{677F1A5B-39EB-454E-887D-EFE03CC94EF1}"/>
    <cellStyle name="Normal 9 3 7" xfId="1910" xr:uid="{2CD4DC15-FACC-4F2F-8A80-C188A78B70BE}"/>
    <cellStyle name="Normal 9 3 8" xfId="1911" xr:uid="{52A47841-E08D-4850-892A-7CD0743D0BCC}"/>
    <cellStyle name="Normal 9 4" xfId="1912" xr:uid="{509EE16B-33A7-4CBB-9961-FD1EE17F74A5}"/>
    <cellStyle name="Normal 9 4 2" xfId="1913" xr:uid="{18D37837-C69B-4F79-8C48-171C8EB141F0}"/>
    <cellStyle name="Normal 9 4 3" xfId="1914" xr:uid="{D4DB91F4-0DDD-4E08-B648-9DAAC4268CA7}"/>
    <cellStyle name="Normal 9 4 4" xfId="1915" xr:uid="{99B33B18-A114-43F5-A71A-D71CB382C3DE}"/>
    <cellStyle name="Normal 9 4 5" xfId="1916" xr:uid="{2D43A188-DC8D-4826-9FEF-E14C325399AF}"/>
    <cellStyle name="Normal 9 4 6" xfId="1917" xr:uid="{ED595710-20BC-4498-AF2D-BBB7D8F7F60F}"/>
    <cellStyle name="Normal 9 4 7" xfId="1918" xr:uid="{90A9C64B-863B-4E1E-AA27-4CEFBB1B287B}"/>
    <cellStyle name="Normal 9 4 8" xfId="1919" xr:uid="{13AAE701-11CC-444A-AD4C-40F9E63BFF20}"/>
    <cellStyle name="Normal 9 5" xfId="1920" xr:uid="{97765669-2CD1-4796-BB72-75B1D0035626}"/>
    <cellStyle name="Normal 9 5 2" xfId="1921" xr:uid="{E0EABBB4-649B-4B83-8115-70EC288F49D2}"/>
    <cellStyle name="Normal 9 5 3" xfId="1922" xr:uid="{8E9D829D-DB13-4209-B314-DC3D5FFB1743}"/>
    <cellStyle name="Normal 9 5 4" xfId="1923" xr:uid="{22C4C2BC-FB68-480B-8628-73F39F44DF03}"/>
    <cellStyle name="Normal 9 5 5" xfId="1924" xr:uid="{5B1BF0B3-9401-4AB6-BBC5-6987A5696F1C}"/>
    <cellStyle name="Normal 9 5 6" xfId="1925" xr:uid="{E59A4833-85E2-4543-A139-4C86C74220CF}"/>
    <cellStyle name="Normal 9 5 7" xfId="1926" xr:uid="{2CEDF69F-6E65-4001-9A23-852F1E1578D1}"/>
    <cellStyle name="Normal 9 5 8" xfId="1927" xr:uid="{62C90149-2035-451A-848A-4AFECC2D536B}"/>
    <cellStyle name="Normal 9 6" xfId="1928" xr:uid="{3BE972CD-41F2-441F-B710-BBA7A500D559}"/>
    <cellStyle name="Normal 9 6 2" xfId="1929" xr:uid="{D610157D-CAE5-4E40-9BB4-3C89CB798F7B}"/>
    <cellStyle name="Normal 9 6 3" xfId="1930" xr:uid="{78D78AA0-7757-47B3-93BE-7845A15D8889}"/>
    <cellStyle name="Normal 9 6 4" xfId="1931" xr:uid="{148DE912-E4B7-4659-9453-BCEF0D0C337A}"/>
    <cellStyle name="Normal 9 6 5" xfId="1932" xr:uid="{40E8F6D1-6953-4796-9491-6ACA3A6A8004}"/>
    <cellStyle name="Normal 9 6 6" xfId="1933" xr:uid="{51C0A42C-2919-4FB4-A357-81302D395935}"/>
    <cellStyle name="Normal 9 6 7" xfId="1934" xr:uid="{0963E2FA-5099-469E-95F9-0926F59385BF}"/>
    <cellStyle name="Normal 9 6 8" xfId="1935" xr:uid="{B1D66BF2-7AE0-440D-895F-BCE238B1876E}"/>
    <cellStyle name="Normal 9 7" xfId="1936" xr:uid="{A8CF5BDD-F080-4850-A28B-255683D1B627}"/>
    <cellStyle name="Normal 9 7 2" xfId="1937" xr:uid="{652B282F-3BFE-4EE6-AD06-A1F838353FD5}"/>
    <cellStyle name="Normal 9 7 3" xfId="1938" xr:uid="{A35CBC06-281D-4AEC-AEC9-2AF742635CF1}"/>
    <cellStyle name="Normal 9 7 4" xfId="1939" xr:uid="{44715156-4C28-4B22-A0C7-B0EA2552EF84}"/>
    <cellStyle name="Normal 9 7 5" xfId="1940" xr:uid="{A2AAFE12-B823-4DDF-897B-71FF313175F8}"/>
    <cellStyle name="Normal 9 7 6" xfId="1941" xr:uid="{48299506-B516-452C-81CE-85DCB3B1C6E2}"/>
    <cellStyle name="Normal 9 7 7" xfId="1942" xr:uid="{81563702-3B1A-481F-A9FF-566B1C767C96}"/>
    <cellStyle name="Normal 9 7 8" xfId="1943" xr:uid="{ABD1A65F-0C11-4204-95C3-2AA6F7AAAC0F}"/>
    <cellStyle name="Normal 9 8" xfId="1944" xr:uid="{333372FD-C958-431E-B01A-A1941A61A3D3}"/>
    <cellStyle name="Normal 9 8 2" xfId="1945" xr:uid="{EF69DD86-B55E-4853-BF8B-45C9212D7240}"/>
    <cellStyle name="Normal 9 8 3" xfId="1946" xr:uid="{3C85DF9B-4AEE-424D-8CDC-4C8B3F228C84}"/>
    <cellStyle name="Normal 9 8 4" xfId="1947" xr:uid="{A89F9EA7-C1B6-48B9-B301-D718894265D4}"/>
    <cellStyle name="Normal 9 8 5" xfId="1948" xr:uid="{42BB5D93-5578-4967-A0AF-86AA6ED2EB8F}"/>
    <cellStyle name="Normal 9 8 6" xfId="1949" xr:uid="{C07EB724-9165-401C-BFF2-C06ED6C8194D}"/>
    <cellStyle name="Normal 9 9" xfId="1950" xr:uid="{0F40C36F-B5DF-4DE8-BB02-1E373970810B}"/>
    <cellStyle name="Normal 944" xfId="2078" xr:uid="{EA4BECF8-CB30-45F3-A125-564BC1895569}"/>
    <cellStyle name="Normal 947" xfId="2080" xr:uid="{292887C9-F90F-4453-98FD-0E265F869BDF}"/>
    <cellStyle name="Normal 952" xfId="2108" xr:uid="{D1710B4C-CA43-4DF2-9144-53DBC8822F91}"/>
    <cellStyle name="Normal 957" xfId="2120" xr:uid="{525E9EF0-EE11-4C02-B2CF-14574FA7FA7E}"/>
    <cellStyle name="Normal 958" xfId="2121" xr:uid="{8708C6EF-2F1B-4A3F-A771-C2F11AB71465}"/>
    <cellStyle name="Normal 959" xfId="2122" xr:uid="{E8C945EC-C2D2-4C45-AEE7-C2BF9B8FC53A}"/>
    <cellStyle name="Normal 960" xfId="2123" xr:uid="{54FC7376-B5F9-4D81-AE71-E4CE2DFD22CA}"/>
    <cellStyle name="Normal 961" xfId="2125" xr:uid="{9C460865-41DA-4DDC-A65B-6371511F0028}"/>
    <cellStyle name="Normal 962" xfId="2126" xr:uid="{6B4950A6-C0F8-43B0-A807-63E65F780F03}"/>
    <cellStyle name="Normal 963" xfId="2127" xr:uid="{C123FF5B-FE7C-4CC4-BC2B-78E90841DF0A}"/>
    <cellStyle name="Normal 964" xfId="2129" xr:uid="{B5B9C4ED-C667-483A-826A-5A0286B263D5}"/>
    <cellStyle name="Normal 965" xfId="2130" xr:uid="{83F42904-2474-425E-B8EE-10A24ED7BA41}"/>
    <cellStyle name="Normal 966" xfId="2131" xr:uid="{31FA84B9-4C04-430F-B98D-23D7BCAD7B18}"/>
    <cellStyle name="Normal 967" xfId="2132" xr:uid="{D720D5F3-7ECB-475D-8045-D17A89341022}"/>
    <cellStyle name="Normal 971" xfId="2101" xr:uid="{3BF2F052-DD0A-4DA8-9E5F-2F590DBFA221}"/>
    <cellStyle name="Normal 986" xfId="2098" xr:uid="{4443E84B-1473-4CA6-9F8C-E59678F33972}"/>
    <cellStyle name="Normal_Estados Fiscal 1999" xfId="44" xr:uid="{00000000-0005-0000-0000-0000CE000000}"/>
    <cellStyle name="Notas" xfId="15" builtinId="10" customBuiltin="1"/>
    <cellStyle name="Notas 2" xfId="418" xr:uid="{07B70510-CF88-42A2-8D06-9818C09163AE}"/>
    <cellStyle name="Notas 2 2" xfId="1952" xr:uid="{77578A78-6AF3-4E0C-B0E4-CF3A52545C13}"/>
    <cellStyle name="Notas 2 3" xfId="1953" xr:uid="{1A0054A2-087A-468E-8C17-6BBFFA7B9188}"/>
    <cellStyle name="Notas 2 4" xfId="2055" xr:uid="{5BC15CCE-E9CD-4BB8-A606-EFF4CC5D274A}"/>
    <cellStyle name="Notas 2 5" xfId="1951" xr:uid="{CD845A06-D15C-4166-919B-CA4076851C3B}"/>
    <cellStyle name="Notas 3" xfId="5664" xr:uid="{0F53D490-4671-4916-8A95-83F5198A7559}"/>
    <cellStyle name="Porcentaje" xfId="57" builtinId="5"/>
    <cellStyle name="Porcentaje 2" xfId="319" xr:uid="{1CE59DF6-A467-4A1E-897A-B166F6E878AB}"/>
    <cellStyle name="Porcentaje 2 2" xfId="368" xr:uid="{FEDD8EC7-3DE7-43B8-B9B8-4CD9596C79CB}"/>
    <cellStyle name="Porcentaje 2 2 2" xfId="5847" xr:uid="{B3DCECA5-87FE-4CE7-9A06-CDFEE8300B17}"/>
    <cellStyle name="Porcentaje 2 3" xfId="369" xr:uid="{3EFAE780-23AD-42AB-8F56-852F3902DF54}"/>
    <cellStyle name="Porcentaje 2 3 2" xfId="5787" xr:uid="{839EE4F3-A58D-476F-9225-A0A650E8E1CD}"/>
    <cellStyle name="Porcentaje 2 4" xfId="403" xr:uid="{B6734C52-9972-4EA6-8A9A-203E88DB0DBD}"/>
    <cellStyle name="Porcentaje 2 4 2" xfId="5838" xr:uid="{E473DF27-270A-44EE-B31A-7B48026BC355}"/>
    <cellStyle name="Porcentaje 2 5" xfId="367" xr:uid="{4CE96CCA-D549-4361-91AB-A02C798510E7}"/>
    <cellStyle name="Porcentaje 2 6" xfId="5863" xr:uid="{5A97D333-D107-43B5-8FAC-6BB421776E64}"/>
    <cellStyle name="Porcentaje 3" xfId="366" xr:uid="{4729F7B2-AAD4-463B-B9A1-70CCE9415ED8}"/>
    <cellStyle name="Porcentaje 3 2" xfId="440" xr:uid="{CC44A9C7-2EC5-42A3-8FE7-FC01D758484A}"/>
    <cellStyle name="Porcentaje 3 2 2" xfId="2205" xr:uid="{B9035524-AD8D-44EF-A5EF-28A61672FF31}"/>
    <cellStyle name="Porcentaje 3 2 3" xfId="2056" xr:uid="{0632BFBF-FC19-413B-A4D9-E9F6E5172601}"/>
    <cellStyle name="Porcentaje 3 3" xfId="1955" xr:uid="{C5396F35-1DE0-4F56-9603-A1FD53BF1874}"/>
    <cellStyle name="Porcentaje 4" xfId="1954" xr:uid="{9ABC3122-590B-4F71-9C08-63566E101A35}"/>
    <cellStyle name="Porcentaje 4 2" xfId="5850" xr:uid="{E0FA9C49-22C3-49BF-8D1D-0F62CC84D056}"/>
    <cellStyle name="Porcentaje 5" xfId="5694" xr:uid="{F005A0CC-0FCA-4795-912B-35BB360FABD1}"/>
    <cellStyle name="Porcentual 2" xfId="82" xr:uid="{00000000-0005-0000-0000-0000D2000000}"/>
    <cellStyle name="Porcentual 2 2" xfId="1956" xr:uid="{2B8D4AF0-CF52-4F20-8D88-BBEDF32FA604}"/>
    <cellStyle name="Porcentual 2 2 2" xfId="1957" xr:uid="{9923B81A-5E7F-4D4C-B7DC-EFEFA54CED14}"/>
    <cellStyle name="Porcentual 2 2 3" xfId="1958" xr:uid="{0B105411-F147-42B3-A084-D358DAA8FEA5}"/>
    <cellStyle name="Porcentual 2 2 4" xfId="1959" xr:uid="{241B9424-F89D-423D-9934-5C289481DBC5}"/>
    <cellStyle name="Porcentual 2 2 5" xfId="1960" xr:uid="{214F052A-FDB6-46BF-95E9-41D0AF7E482E}"/>
    <cellStyle name="Porcentual 2 2 6" xfId="1961" xr:uid="{B9616FA6-1C6F-48E5-A3B9-E03113E84C0D}"/>
    <cellStyle name="Porcentual 2 2 7" xfId="1962" xr:uid="{1DC0DEB2-2FB8-4F98-9B3E-283D5908FF17}"/>
    <cellStyle name="Porcentual 2 2 8" xfId="1963" xr:uid="{55318C83-933F-4AFF-B4F0-9404057B7089}"/>
    <cellStyle name="Porcentual 2 2 9" xfId="2206" xr:uid="{3E0A326D-0A41-45E3-A13D-EB12D43C0982}"/>
    <cellStyle name="Porcentual 2 3" xfId="1964" xr:uid="{5F2059A4-B3D2-482E-A98C-E58FA291ED7A}"/>
    <cellStyle name="Porcentual 2 3 2" xfId="2207" xr:uid="{831794E2-10B8-4D44-BAE7-7BB326FF7B0C}"/>
    <cellStyle name="Porcentual 2 4" xfId="1965" xr:uid="{D1DC6C9A-DB77-4491-860A-7E8FE62246DE}"/>
    <cellStyle name="Porcentual 2 4 2" xfId="2208" xr:uid="{B4B38D11-3A00-418B-A096-2A149C0F89AC}"/>
    <cellStyle name="Porcentual 2 5" xfId="2191" xr:uid="{AFCCB796-AD43-4F30-8FA1-CD0C5D2C1578}"/>
    <cellStyle name="Porcentual 25" xfId="2057" xr:uid="{84940462-5594-41FB-BC97-0A647B4307C9}"/>
    <cellStyle name="Porcentual 25 10" xfId="1966" xr:uid="{F841228B-223A-45BD-8306-9991DFD6B619}"/>
    <cellStyle name="Porcentual 25 10 2" xfId="1967" xr:uid="{A6956ABA-9181-423E-80CD-B9F6B643679F}"/>
    <cellStyle name="Porcentual 25 10 3" xfId="1968" xr:uid="{18FD412E-1F2E-4802-BE61-0C3F770E8599}"/>
    <cellStyle name="Porcentual 25 10 4" xfId="1969" xr:uid="{B7D9BD94-6A2D-4924-A584-A7C4DFCB3F96}"/>
    <cellStyle name="Porcentual 25 10 5" xfId="1970" xr:uid="{B5A75303-C44A-4C49-8191-B71E24D37CC5}"/>
    <cellStyle name="Porcentual 25 10 6" xfId="1971" xr:uid="{59BF68C2-AB9B-409E-86CA-D66203603E8C}"/>
    <cellStyle name="Porcentual 25 11" xfId="1972" xr:uid="{D5C73FC1-BB92-4172-A198-A347915B1A19}"/>
    <cellStyle name="Porcentual 25 12" xfId="1973" xr:uid="{32DA6758-2C12-4191-8D9F-A65920CA5A87}"/>
    <cellStyle name="Porcentual 25 13" xfId="1974" xr:uid="{DC07CE59-7747-49B5-8E8D-78C566557FD3}"/>
    <cellStyle name="Porcentual 25 14" xfId="1975" xr:uid="{47F17012-52B4-4EF7-B771-2E08864D04DA}"/>
    <cellStyle name="Porcentual 25 15" xfId="1976" xr:uid="{33BFB9CC-2EA0-44F6-93C0-64F864A86DBF}"/>
    <cellStyle name="Porcentual 25 16" xfId="1977" xr:uid="{CF7FFE6C-C39D-40FD-BA11-FD686C500312}"/>
    <cellStyle name="Porcentual 25 16 2" xfId="1978" xr:uid="{07CBD071-DE86-438D-9AE6-F6CC97AE03ED}"/>
    <cellStyle name="Porcentual 25 17" xfId="1979" xr:uid="{B278616A-356E-402E-A9DA-22142B383874}"/>
    <cellStyle name="Porcentual 25 17 2" xfId="1980" xr:uid="{E3605C06-9272-4B58-A39A-861A54F2DE28}"/>
    <cellStyle name="Porcentual 25 18" xfId="1981" xr:uid="{54A5C7F2-E82D-4D1D-8AA4-7C687DD85A47}"/>
    <cellStyle name="Porcentual 25 18 2" xfId="1982" xr:uid="{0C89D3F8-797D-442D-A711-EE56F02945A4}"/>
    <cellStyle name="Porcentual 25 2" xfId="1983" xr:uid="{19D1ECCD-0381-4081-AEEE-1B2428E1B957}"/>
    <cellStyle name="Porcentual 25 2 10" xfId="1984" xr:uid="{D33396EA-51EC-4191-8EDE-EEE45DB6BD27}"/>
    <cellStyle name="Porcentual 25 2 11" xfId="1985" xr:uid="{2B9A755E-4A32-4926-90E0-DB2FE7684B7D}"/>
    <cellStyle name="Porcentual 25 2 2" xfId="1986" xr:uid="{B254C94D-9DD2-4EA5-9D80-D4CE3688CFDC}"/>
    <cellStyle name="Porcentual 25 2 3" xfId="1987" xr:uid="{3F1ADCCB-A9F9-42D3-B747-5ADA654B8A9D}"/>
    <cellStyle name="Porcentual 25 2 4" xfId="1988" xr:uid="{01B7CDC5-6A80-4AD9-A3AD-BA911A19A87D}"/>
    <cellStyle name="Porcentual 25 2 5" xfId="1989" xr:uid="{115313EF-61E5-4841-8377-1D2B14F1B750}"/>
    <cellStyle name="Porcentual 25 2 6" xfId="1990" xr:uid="{13973122-502D-4EF7-A972-CABCDC4FF4E5}"/>
    <cellStyle name="Porcentual 25 2 7" xfId="1991" xr:uid="{C5B84787-8859-4C35-AECE-191432099598}"/>
    <cellStyle name="Porcentual 25 2 8" xfId="1992" xr:uid="{62D862E0-697E-4499-A850-D6C52E250896}"/>
    <cellStyle name="Porcentual 25 2 9" xfId="1993" xr:uid="{735B8B7D-9D47-4BBF-8BBF-ACB7D23BE88A}"/>
    <cellStyle name="Porcentual 25 3" xfId="1994" xr:uid="{5985526F-43FF-4C69-8E14-66C520F44C97}"/>
    <cellStyle name="Porcentual 25 3 10" xfId="1995" xr:uid="{6621D766-2829-42B5-9F29-0491204B94E3}"/>
    <cellStyle name="Porcentual 25 3 11" xfId="1996" xr:uid="{1368F6ED-FE35-4AEB-B5AA-2EC87C9384C3}"/>
    <cellStyle name="Porcentual 25 3 2" xfId="1997" xr:uid="{CB5338BB-FB93-43CE-A6AF-FC2E9968FF1D}"/>
    <cellStyle name="Porcentual 25 3 3" xfId="1998" xr:uid="{439F60C6-89BA-4703-9A76-A520D681D114}"/>
    <cellStyle name="Porcentual 25 3 4" xfId="1999" xr:uid="{9B177F5B-567A-442F-B6C4-0689691E723E}"/>
    <cellStyle name="Porcentual 25 3 5" xfId="2000" xr:uid="{559BA9E6-EA7C-49EF-8911-867403650E49}"/>
    <cellStyle name="Porcentual 25 3 6" xfId="2001" xr:uid="{2DEA2D87-39BB-4AD0-8D0A-0C725F1B3DEA}"/>
    <cellStyle name="Porcentual 25 3 7" xfId="2002" xr:uid="{AFC8D782-9776-4E83-83F6-F04C08D0E130}"/>
    <cellStyle name="Porcentual 25 3 8" xfId="2003" xr:uid="{5D834830-DD7B-459C-846C-9A8F46D34E1E}"/>
    <cellStyle name="Porcentual 25 3 9" xfId="2004" xr:uid="{358A006C-3F28-4D5E-9E7A-F0A8CD826902}"/>
    <cellStyle name="Porcentual 25 4" xfId="2005" xr:uid="{31F3271B-402C-4719-97F2-B0E384173FEE}"/>
    <cellStyle name="Porcentual 25 4 2" xfId="2006" xr:uid="{A8E38C93-84D2-4342-B581-9EED901F939D}"/>
    <cellStyle name="Porcentual 25 4 2 2" xfId="2007" xr:uid="{B61BE59E-29DB-41B0-833B-4A75B60BE01B}"/>
    <cellStyle name="Porcentual 25 4 2 2 2" xfId="2008" xr:uid="{C7E1D108-0D68-4FDA-B031-50BFCAF8C6CF}"/>
    <cellStyle name="Porcentual 25 4 2 2 3" xfId="2009" xr:uid="{B48051CF-3DCB-43DE-9932-10583CBE7B28}"/>
    <cellStyle name="Porcentual 25 4 2 2 4" xfId="2010" xr:uid="{D3064619-7C2D-462B-BC74-38E9DA03DBAF}"/>
    <cellStyle name="Porcentual 25 4 2 2 5" xfId="2011" xr:uid="{B37FC829-F45B-4ECC-8A91-2AC6593A0E12}"/>
    <cellStyle name="Porcentual 25 4 2 2 6" xfId="2012" xr:uid="{CB4F8647-60BF-4FE6-A3C9-8E1750DCBDF5}"/>
    <cellStyle name="Porcentual 25 4 3" xfId="2013" xr:uid="{6D017B5F-3E05-455C-9CF9-DA3B5A596E4E}"/>
    <cellStyle name="Porcentual 25 4 4" xfId="2014" xr:uid="{8B189DDD-42B3-4307-B88B-BBCAA0815A1A}"/>
    <cellStyle name="Porcentual 25 4 5" xfId="2015" xr:uid="{FDFA0204-9728-461B-AD07-316100C40688}"/>
    <cellStyle name="Porcentual 25 4 6" xfId="2016" xr:uid="{51A1B594-81E8-4C70-BAE7-1060C85C3677}"/>
    <cellStyle name="Porcentual 25 4 7" xfId="2017" xr:uid="{D60B21DD-E9AE-4966-A28E-CD99B0006F43}"/>
    <cellStyle name="Porcentual 25 5" xfId="2018" xr:uid="{DEAC9A3B-75DC-484D-8B64-0C4BBFB487EC}"/>
    <cellStyle name="Porcentual 25 6" xfId="2019" xr:uid="{9CA9149E-DDB5-4221-95F7-BD465526841E}"/>
    <cellStyle name="Porcentual 25 7" xfId="2020" xr:uid="{ECF57D59-4060-455C-8E05-CC6878D3A26F}"/>
    <cellStyle name="Porcentual 25 8" xfId="2021" xr:uid="{49EEB36A-4F9F-4544-9148-2E9B0C88EF7D}"/>
    <cellStyle name="Porcentual 25 9" xfId="2022" xr:uid="{32CDB34F-1EA3-477D-A5CD-A9B4CA00B329}"/>
    <cellStyle name="Porcentual 3" xfId="2189" xr:uid="{4987D0FE-75B4-4C1D-9B70-0169A286EAD1}"/>
    <cellStyle name="Porcentual 3 2" xfId="2023" xr:uid="{DF482ADF-0597-417F-9E46-74E23EE09E9F}"/>
    <cellStyle name="Porcentual 4 2" xfId="2024" xr:uid="{99073ED5-E056-4196-9E88-AD33702781A9}"/>
    <cellStyle name="Salida" xfId="10" builtinId="21" customBuiltin="1"/>
    <cellStyle name="Salida 2" xfId="5659" xr:uid="{1BD62748-7824-43AA-891B-124B2BF3A7BC}"/>
    <cellStyle name="Table (Normal)" xfId="5755" xr:uid="{D27DE9C9-E3A8-4EAD-8D85-4E4F5C6EB773}"/>
    <cellStyle name="TableStyleLight1" xfId="5861" xr:uid="{3C3B7F3E-6DCE-4BD8-AC2C-63A6B64D387B}"/>
    <cellStyle name="Texto de advertencia" xfId="14" builtinId="11" customBuiltin="1"/>
    <cellStyle name="Texto de advertencia 2" xfId="5663" xr:uid="{30776072-84CC-40D1-AC51-035F4B028B30}"/>
    <cellStyle name="Texto explicativo" xfId="16" builtinId="53" customBuiltin="1"/>
    <cellStyle name="Texto explicativo 2" xfId="5665" xr:uid="{757CA484-2071-48E1-A6D5-CAA4D712C8A1}"/>
    <cellStyle name="Título" xfId="58" builtinId="15" customBuiltin="1"/>
    <cellStyle name="Título 2" xfId="3" builtinId="17" customBuiltin="1"/>
    <cellStyle name="Título 2 2" xfId="5652" xr:uid="{A650E954-ABB0-4427-9E12-F84C5553E579}"/>
    <cellStyle name="Título 3" xfId="4" builtinId="18" customBuiltin="1"/>
    <cellStyle name="Título 3 2" xfId="5653" xr:uid="{46CFF0F4-9A99-4178-B60D-3DCFF21ABC87}"/>
    <cellStyle name="Título 4" xfId="42" xr:uid="{00000000-0005-0000-0000-0000D4000000}"/>
    <cellStyle name="Título 5" xfId="5650" xr:uid="{8F0A41BD-CD44-4AA8-B2F6-45EB90A21D6F}"/>
    <cellStyle name="Total" xfId="17" builtinId="25" customBuiltin="1"/>
    <cellStyle name="Total 2" xfId="5666" xr:uid="{156C7762-08DD-4F83-B9BB-7744C599F778}"/>
  </cellStyles>
  <dxfs count="0"/>
  <tableStyles count="0" defaultTableStyle="TableStyleMedium2" defaultPivotStyle="PivotStyleLight16"/>
  <colors>
    <mruColors>
      <color rgb="FF66FFCC"/>
      <color rgb="FF006699"/>
      <color rgb="FF336699"/>
      <color rgb="FF000066"/>
      <color rgb="FF3333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3</xdr:row>
      <xdr:rowOff>1063</xdr:rowOff>
    </xdr:from>
    <xdr:to>
      <xdr:col>3</xdr:col>
      <xdr:colOff>190869</xdr:colOff>
      <xdr:row>9</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409575" y="54398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749061</xdr:colOff>
      <xdr:row>1</xdr:row>
      <xdr:rowOff>190378</xdr:rowOff>
    </xdr:from>
    <xdr:to>
      <xdr:col>6</xdr:col>
      <xdr:colOff>326347</xdr:colOff>
      <xdr:row>4</xdr:row>
      <xdr:rowOff>220978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985781" y="319918"/>
          <a:ext cx="1398466" cy="746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435426</xdr:colOff>
      <xdr:row>2</xdr:row>
      <xdr:rowOff>10886</xdr:rowOff>
    </xdr:from>
    <xdr:to>
      <xdr:col>7</xdr:col>
      <xdr:colOff>2104434</xdr:colOff>
      <xdr:row>5</xdr:row>
      <xdr:rowOff>206827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556169" y="402772"/>
          <a:ext cx="1669008" cy="881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587828</xdr:colOff>
      <xdr:row>2</xdr:row>
      <xdr:rowOff>21774</xdr:rowOff>
    </xdr:from>
    <xdr:to>
      <xdr:col>7</xdr:col>
      <xdr:colOff>968829</xdr:colOff>
      <xdr:row>5</xdr:row>
      <xdr:rowOff>211090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882742" y="337460"/>
          <a:ext cx="1665516" cy="875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21772</xdr:colOff>
      <xdr:row>2</xdr:row>
      <xdr:rowOff>10888</xdr:rowOff>
    </xdr:from>
    <xdr:to>
      <xdr:col>10</xdr:col>
      <xdr:colOff>1</xdr:colOff>
      <xdr:row>5</xdr:row>
      <xdr:rowOff>211385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708572" y="370117"/>
          <a:ext cx="1719943" cy="886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827316</xdr:colOff>
      <xdr:row>1</xdr:row>
      <xdr:rowOff>195944</xdr:rowOff>
    </xdr:from>
    <xdr:to>
      <xdr:col>8</xdr:col>
      <xdr:colOff>186420</xdr:colOff>
      <xdr:row>5</xdr:row>
      <xdr:rowOff>225816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07830" y="326573"/>
          <a:ext cx="1645104" cy="944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555173</xdr:colOff>
      <xdr:row>2</xdr:row>
      <xdr:rowOff>6807</xdr:rowOff>
    </xdr:from>
    <xdr:to>
      <xdr:col>10</xdr:col>
      <xdr:colOff>676681</xdr:colOff>
      <xdr:row>5</xdr:row>
      <xdr:rowOff>209551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813223" y="368757"/>
          <a:ext cx="1683608" cy="888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152401</xdr:colOff>
      <xdr:row>1</xdr:row>
      <xdr:rowOff>206831</xdr:rowOff>
    </xdr:from>
    <xdr:to>
      <xdr:col>7</xdr:col>
      <xdr:colOff>707572</xdr:colOff>
      <xdr:row>6</xdr:row>
      <xdr:rowOff>2000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752115" y="329295"/>
          <a:ext cx="1752600" cy="9517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152400</xdr:colOff>
      <xdr:row>8</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755198</xdr:colOff>
      <xdr:row>1</xdr:row>
      <xdr:rowOff>206831</xdr:rowOff>
    </xdr:from>
    <xdr:to>
      <xdr:col>6</xdr:col>
      <xdr:colOff>133350</xdr:colOff>
      <xdr:row>5</xdr:row>
      <xdr:rowOff>167069</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375073" y="340181"/>
          <a:ext cx="1597477" cy="874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5.x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6.x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8.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4:Q39"/>
  <sheetViews>
    <sheetView showGridLines="0" zoomScale="80" zoomScaleNormal="80" workbookViewId="0">
      <selection activeCell="G22" sqref="G22"/>
    </sheetView>
  </sheetViews>
  <sheetFormatPr baseColWidth="10" defaultColWidth="11.5546875" defaultRowHeight="14.4"/>
  <cols>
    <col min="1" max="1" width="7.5546875" style="102" customWidth="1"/>
    <col min="2" max="3" width="11.5546875" style="102"/>
    <col min="4" max="4" width="5.109375" style="102" customWidth="1"/>
    <col min="5" max="14" width="11.5546875" style="102"/>
    <col min="15" max="15" width="11.5546875" style="102" customWidth="1"/>
    <col min="16" max="16384" width="11.5546875" style="102"/>
  </cols>
  <sheetData>
    <row r="4" spans="2:17" ht="14.4" customHeight="1">
      <c r="B4" s="110"/>
      <c r="C4" s="977" t="s">
        <v>1134</v>
      </c>
      <c r="D4" s="977"/>
      <c r="E4" s="977"/>
      <c r="F4" s="977"/>
      <c r="G4" s="977"/>
      <c r="H4" s="977"/>
      <c r="I4" s="977"/>
      <c r="J4" s="977"/>
      <c r="K4" s="977"/>
      <c r="L4" s="977"/>
      <c r="M4" s="977"/>
      <c r="N4" s="977"/>
      <c r="O4" s="977"/>
      <c r="P4" s="103"/>
      <c r="Q4" s="103"/>
    </row>
    <row r="5" spans="2:17" ht="13.95" customHeight="1">
      <c r="B5" s="110"/>
      <c r="C5" s="977"/>
      <c r="D5" s="977"/>
      <c r="E5" s="977"/>
      <c r="F5" s="977"/>
      <c r="G5" s="977"/>
      <c r="H5" s="977"/>
      <c r="I5" s="977"/>
      <c r="J5" s="977"/>
      <c r="K5" s="977"/>
      <c r="L5" s="977"/>
      <c r="M5" s="977"/>
      <c r="N5" s="977"/>
      <c r="O5" s="977"/>
      <c r="P5" s="104"/>
      <c r="Q5" s="104"/>
    </row>
    <row r="6" spans="2:17" ht="3.6" customHeight="1">
      <c r="B6" s="110"/>
      <c r="C6" s="977"/>
      <c r="D6" s="977"/>
      <c r="E6" s="977"/>
      <c r="F6" s="977"/>
      <c r="G6" s="977"/>
      <c r="H6" s="977"/>
      <c r="I6" s="977"/>
      <c r="J6" s="977"/>
      <c r="K6" s="977"/>
      <c r="L6" s="977"/>
      <c r="M6" s="977"/>
      <c r="N6" s="977"/>
      <c r="O6" s="977"/>
      <c r="P6" s="104"/>
      <c r="Q6" s="104"/>
    </row>
    <row r="7" spans="2:17" ht="14.4" customHeight="1">
      <c r="B7" s="110"/>
      <c r="C7" s="977"/>
      <c r="D7" s="977"/>
      <c r="E7" s="977"/>
      <c r="F7" s="977"/>
      <c r="G7" s="977"/>
      <c r="H7" s="977"/>
      <c r="I7" s="977"/>
      <c r="J7" s="977"/>
      <c r="K7" s="977"/>
      <c r="L7" s="977"/>
      <c r="M7" s="977"/>
      <c r="N7" s="977"/>
      <c r="O7" s="977"/>
      <c r="P7" s="104"/>
      <c r="Q7" s="104"/>
    </row>
    <row r="8" spans="2:17" ht="16.95" customHeight="1">
      <c r="B8" s="110"/>
      <c r="C8" s="977"/>
      <c r="D8" s="977"/>
      <c r="E8" s="977"/>
      <c r="F8" s="977"/>
      <c r="G8" s="977"/>
      <c r="H8" s="977"/>
      <c r="I8" s="977"/>
      <c r="J8" s="977"/>
      <c r="K8" s="977"/>
      <c r="L8" s="977"/>
      <c r="M8" s="977"/>
      <c r="N8" s="977"/>
      <c r="O8" s="977"/>
      <c r="P8" s="104"/>
      <c r="Q8" s="104"/>
    </row>
    <row r="9" spans="2:17" ht="20.399999999999999" customHeight="1">
      <c r="B9" s="110"/>
      <c r="C9" s="977"/>
      <c r="D9" s="977"/>
      <c r="E9" s="977"/>
      <c r="F9" s="977"/>
      <c r="G9" s="977"/>
      <c r="H9" s="977"/>
      <c r="I9" s="977"/>
      <c r="J9" s="977"/>
      <c r="K9" s="977"/>
      <c r="L9" s="977"/>
      <c r="M9" s="977"/>
      <c r="N9" s="977"/>
      <c r="O9" s="977"/>
      <c r="P9" s="104"/>
      <c r="Q9" s="104"/>
    </row>
    <row r="10" spans="2:17" s="108" customFormat="1" ht="15.6">
      <c r="B10" s="105"/>
      <c r="C10" s="105"/>
      <c r="D10" s="106"/>
      <c r="E10" s="105"/>
      <c r="F10" s="105"/>
      <c r="G10" s="105"/>
      <c r="H10" s="105"/>
      <c r="I10" s="105"/>
      <c r="J10" s="105"/>
      <c r="K10" s="105"/>
      <c r="L10" s="107"/>
      <c r="M10" s="107"/>
      <c r="N10" s="107"/>
      <c r="O10" s="107"/>
      <c r="P10" s="107"/>
      <c r="Q10" s="107"/>
    </row>
    <row r="11" spans="2:17" s="108" customFormat="1" ht="15.6" customHeight="1">
      <c r="B11" s="105"/>
      <c r="C11" s="109"/>
      <c r="D11" s="109"/>
      <c r="E11" s="109"/>
      <c r="F11" s="109"/>
      <c r="G11" s="109"/>
      <c r="H11" s="109"/>
      <c r="I11" s="109"/>
      <c r="J11" s="109"/>
      <c r="K11" s="109"/>
      <c r="L11" s="109"/>
      <c r="M11" s="109"/>
      <c r="N11" s="109"/>
      <c r="O11" s="109"/>
      <c r="P11" s="109"/>
      <c r="Q11" s="109"/>
    </row>
    <row r="12" spans="2:17" s="108" customFormat="1" ht="18" customHeight="1">
      <c r="B12" s="976" t="s">
        <v>1531</v>
      </c>
      <c r="C12" s="976"/>
      <c r="D12" s="976"/>
      <c r="E12" s="976"/>
      <c r="F12" s="976"/>
      <c r="G12" s="976"/>
      <c r="H12" s="976"/>
      <c r="I12" s="976"/>
      <c r="J12" s="976"/>
      <c r="K12" s="976"/>
      <c r="L12" s="976"/>
      <c r="M12" s="976"/>
      <c r="N12" s="976"/>
      <c r="O12" s="976"/>
      <c r="P12" s="109"/>
      <c r="Q12" s="109"/>
    </row>
    <row r="13" spans="2:17" s="108" customFormat="1">
      <c r="B13" s="105"/>
      <c r="C13" s="105"/>
      <c r="D13" s="105"/>
      <c r="E13" s="105"/>
      <c r="F13" s="105"/>
      <c r="G13" s="105"/>
      <c r="H13" s="105"/>
      <c r="I13" s="105"/>
      <c r="J13" s="105"/>
      <c r="K13" s="105"/>
      <c r="L13" s="107"/>
      <c r="M13" s="107"/>
      <c r="N13" s="107"/>
      <c r="O13" s="107"/>
    </row>
    <row r="14" spans="2:17" s="107" customFormat="1">
      <c r="B14" s="105"/>
      <c r="C14" s="105"/>
      <c r="D14" s="105"/>
      <c r="E14" s="105"/>
      <c r="F14" s="105"/>
      <c r="G14" s="105"/>
      <c r="H14" s="105"/>
      <c r="I14" s="105"/>
      <c r="J14" s="105"/>
      <c r="K14" s="105"/>
    </row>
    <row r="15" spans="2:17">
      <c r="B15" s="111"/>
      <c r="C15" s="111"/>
      <c r="D15" s="111"/>
      <c r="E15" s="111"/>
      <c r="F15" s="111"/>
      <c r="G15" s="111"/>
      <c r="H15" s="112"/>
      <c r="I15" s="113"/>
      <c r="J15" s="113"/>
      <c r="K15" s="111"/>
      <c r="L15" s="114"/>
      <c r="M15" s="112"/>
      <c r="N15" s="114"/>
      <c r="O15" s="114"/>
    </row>
    <row r="16" spans="2:17">
      <c r="B16" s="111"/>
      <c r="C16" s="111"/>
      <c r="D16" s="111"/>
      <c r="E16" s="111"/>
      <c r="F16" s="111"/>
      <c r="G16" s="111"/>
      <c r="H16" s="112"/>
      <c r="I16" s="113"/>
      <c r="J16" s="113"/>
      <c r="K16" s="112"/>
      <c r="L16" s="112"/>
      <c r="M16" s="112"/>
      <c r="N16" s="114"/>
      <c r="O16" s="114"/>
    </row>
    <row r="17" spans="2:15" ht="15.6">
      <c r="B17" s="111"/>
      <c r="C17" s="111"/>
      <c r="D17" s="111"/>
      <c r="E17" s="111"/>
      <c r="F17" s="111"/>
      <c r="G17" s="111"/>
      <c r="H17" s="112"/>
      <c r="I17" s="113"/>
      <c r="J17" s="113"/>
      <c r="K17" s="112"/>
      <c r="L17" s="112"/>
      <c r="M17" s="121" t="s">
        <v>1127</v>
      </c>
      <c r="N17" s="114"/>
      <c r="O17" s="114"/>
    </row>
    <row r="18" spans="2:15" ht="15.6">
      <c r="B18" s="111"/>
      <c r="C18" s="61"/>
      <c r="D18" s="61"/>
      <c r="E18" s="61"/>
      <c r="F18" s="61"/>
      <c r="G18" s="61"/>
      <c r="H18" s="112"/>
      <c r="I18" s="113"/>
      <c r="J18" s="113"/>
      <c r="K18" s="112"/>
      <c r="L18" s="114"/>
      <c r="M18" s="114"/>
      <c r="N18" s="114"/>
      <c r="O18" s="114"/>
    </row>
    <row r="19" spans="2:15" ht="16.8">
      <c r="B19" s="111"/>
      <c r="C19" s="115"/>
      <c r="D19" s="115" t="s">
        <v>1128</v>
      </c>
      <c r="E19" s="62"/>
      <c r="F19" s="61"/>
      <c r="G19" s="61"/>
      <c r="H19" s="116"/>
      <c r="I19" s="113"/>
      <c r="J19" s="113"/>
      <c r="K19" s="111"/>
      <c r="L19" s="116"/>
      <c r="M19" s="116" t="s">
        <v>1169</v>
      </c>
      <c r="N19" s="114"/>
      <c r="O19" s="114"/>
    </row>
    <row r="20" spans="2:15" ht="16.8">
      <c r="B20" s="111"/>
      <c r="C20" s="115"/>
      <c r="D20" s="115"/>
      <c r="E20" s="62"/>
      <c r="F20" s="61"/>
      <c r="G20" s="61"/>
      <c r="H20" s="117"/>
      <c r="I20" s="113"/>
      <c r="J20" s="113"/>
      <c r="K20" s="111"/>
      <c r="L20" s="117"/>
      <c r="M20" s="117"/>
      <c r="N20" s="114"/>
      <c r="O20" s="114"/>
    </row>
    <row r="21" spans="2:15" ht="16.8">
      <c r="B21" s="111"/>
      <c r="C21" s="115"/>
      <c r="D21" s="115" t="s">
        <v>1129</v>
      </c>
      <c r="E21" s="62"/>
      <c r="F21" s="61"/>
      <c r="G21" s="61"/>
      <c r="H21" s="116"/>
      <c r="I21" s="113"/>
      <c r="J21" s="113"/>
      <c r="K21" s="111"/>
      <c r="L21" s="116"/>
      <c r="M21" s="116" t="s">
        <v>1171</v>
      </c>
      <c r="N21" s="114"/>
      <c r="O21" s="114"/>
    </row>
    <row r="22" spans="2:15" ht="16.8">
      <c r="B22" s="111"/>
      <c r="C22" s="115"/>
      <c r="D22" s="115"/>
      <c r="E22" s="62"/>
      <c r="F22" s="61"/>
      <c r="G22" s="61"/>
      <c r="H22" s="117"/>
      <c r="I22" s="113"/>
      <c r="J22" s="113"/>
      <c r="K22" s="111"/>
      <c r="L22" s="117"/>
      <c r="M22" s="117"/>
      <c r="N22" s="114"/>
      <c r="O22" s="114"/>
    </row>
    <row r="23" spans="2:15" ht="16.8">
      <c r="B23" s="111"/>
      <c r="C23" s="115"/>
      <c r="D23" s="115" t="s">
        <v>852</v>
      </c>
      <c r="E23" s="62"/>
      <c r="F23" s="61"/>
      <c r="G23" s="61"/>
      <c r="H23" s="116"/>
      <c r="I23" s="113"/>
      <c r="J23" s="113"/>
      <c r="K23" s="111"/>
      <c r="L23" s="116"/>
      <c r="M23" s="116" t="s">
        <v>1172</v>
      </c>
      <c r="N23" s="114"/>
      <c r="O23" s="114"/>
    </row>
    <row r="24" spans="2:15" ht="16.8">
      <c r="B24" s="111"/>
      <c r="C24" s="115"/>
      <c r="D24" s="115"/>
      <c r="E24" s="62"/>
      <c r="F24" s="61"/>
      <c r="G24" s="61"/>
      <c r="H24" s="117"/>
      <c r="I24" s="113"/>
      <c r="J24" s="113"/>
      <c r="K24" s="111"/>
      <c r="L24" s="117"/>
      <c r="M24" s="117"/>
      <c r="N24" s="114"/>
      <c r="O24" s="114"/>
    </row>
    <row r="25" spans="2:15" ht="16.8">
      <c r="B25" s="111"/>
      <c r="C25" s="115"/>
      <c r="D25" s="115" t="s">
        <v>1130</v>
      </c>
      <c r="E25" s="62"/>
      <c r="F25" s="61"/>
      <c r="G25" s="61"/>
      <c r="H25" s="116"/>
      <c r="I25" s="113"/>
      <c r="J25" s="113"/>
      <c r="K25" s="111"/>
      <c r="L25" s="116"/>
      <c r="M25" s="116" t="s">
        <v>1173</v>
      </c>
      <c r="N25" s="114"/>
      <c r="O25" s="114"/>
    </row>
    <row r="26" spans="2:15" ht="16.8">
      <c r="B26" s="111"/>
      <c r="C26" s="115"/>
      <c r="D26" s="115"/>
      <c r="E26" s="62"/>
      <c r="F26" s="61"/>
      <c r="G26" s="61"/>
      <c r="H26" s="117"/>
      <c r="I26" s="113"/>
      <c r="J26" s="113"/>
      <c r="K26" s="111"/>
      <c r="L26" s="117"/>
      <c r="M26" s="117"/>
      <c r="N26" s="114"/>
      <c r="O26" s="114"/>
    </row>
    <row r="27" spans="2:15" ht="16.8">
      <c r="B27" s="111"/>
      <c r="C27" s="115"/>
      <c r="D27" s="115" t="s">
        <v>1131</v>
      </c>
      <c r="E27" s="62"/>
      <c r="F27" s="61"/>
      <c r="G27" s="61"/>
      <c r="H27" s="116"/>
      <c r="I27" s="113"/>
      <c r="J27" s="113"/>
      <c r="K27" s="111"/>
      <c r="L27" s="116"/>
      <c r="M27" s="116" t="s">
        <v>1174</v>
      </c>
      <c r="N27" s="114"/>
      <c r="O27" s="114"/>
    </row>
    <row r="28" spans="2:15" ht="16.8">
      <c r="B28" s="111"/>
      <c r="C28" s="115"/>
      <c r="D28" s="115"/>
      <c r="E28" s="62"/>
      <c r="F28" s="61"/>
      <c r="G28" s="61"/>
      <c r="H28" s="117"/>
      <c r="I28" s="113"/>
      <c r="J28" s="113"/>
      <c r="K28" s="111"/>
      <c r="L28" s="117"/>
      <c r="M28" s="117"/>
      <c r="N28" s="114"/>
      <c r="O28" s="114"/>
    </row>
    <row r="29" spans="2:15" ht="16.8">
      <c r="B29" s="111"/>
      <c r="C29" s="115"/>
      <c r="D29" s="115" t="s">
        <v>1132</v>
      </c>
      <c r="E29" s="62"/>
      <c r="F29" s="61"/>
      <c r="G29" s="61"/>
      <c r="H29" s="116"/>
      <c r="I29" s="113"/>
      <c r="J29" s="113"/>
      <c r="K29" s="111"/>
      <c r="L29" s="118"/>
      <c r="M29" s="118" t="s">
        <v>1176</v>
      </c>
      <c r="N29" s="114"/>
      <c r="O29" s="114"/>
    </row>
    <row r="30" spans="2:15" ht="16.8">
      <c r="B30" s="111"/>
      <c r="C30" s="115"/>
      <c r="D30" s="115"/>
      <c r="E30" s="62"/>
      <c r="F30" s="61"/>
      <c r="G30" s="61"/>
      <c r="H30" s="117"/>
      <c r="I30" s="113"/>
      <c r="J30" s="113"/>
      <c r="K30" s="111"/>
      <c r="L30" s="117"/>
      <c r="M30" s="117"/>
      <c r="N30" s="114"/>
      <c r="O30" s="114"/>
    </row>
    <row r="31" spans="2:15" ht="16.8">
      <c r="B31" s="111"/>
      <c r="C31" s="115"/>
      <c r="D31" s="115" t="s">
        <v>1175</v>
      </c>
      <c r="E31" s="62"/>
      <c r="F31" s="61"/>
      <c r="G31" s="61"/>
      <c r="H31" s="116"/>
      <c r="I31" s="113"/>
      <c r="J31" s="113"/>
      <c r="K31" s="111"/>
      <c r="L31" s="118"/>
      <c r="M31" s="118" t="s">
        <v>1177</v>
      </c>
      <c r="N31" s="114"/>
      <c r="O31" s="114"/>
    </row>
    <row r="32" spans="2:15" ht="16.8">
      <c r="B32" s="111"/>
      <c r="C32" s="115"/>
      <c r="D32" s="115"/>
      <c r="E32" s="62"/>
      <c r="F32" s="61"/>
      <c r="G32" s="61"/>
      <c r="H32" s="117"/>
      <c r="I32" s="113"/>
      <c r="J32" s="113"/>
      <c r="K32" s="111"/>
      <c r="L32" s="117"/>
      <c r="M32" s="117"/>
      <c r="N32" s="114"/>
      <c r="O32" s="114"/>
    </row>
    <row r="33" spans="2:15" ht="16.8">
      <c r="B33" s="111"/>
      <c r="C33" s="115"/>
      <c r="D33" s="115" t="s">
        <v>1133</v>
      </c>
      <c r="E33" s="62"/>
      <c r="F33" s="61"/>
      <c r="G33" s="61"/>
      <c r="H33" s="116"/>
      <c r="I33" s="113"/>
      <c r="J33" s="113"/>
      <c r="K33" s="111"/>
      <c r="L33" s="118"/>
      <c r="M33" s="118" t="s">
        <v>1178</v>
      </c>
      <c r="N33" s="114"/>
      <c r="O33" s="114"/>
    </row>
    <row r="34" spans="2:15" ht="16.8">
      <c r="B34" s="111"/>
      <c r="C34" s="119"/>
      <c r="D34" s="119"/>
      <c r="E34" s="62"/>
      <c r="F34" s="61"/>
      <c r="G34" s="61"/>
      <c r="H34" s="117"/>
      <c r="I34" s="113"/>
      <c r="J34" s="113"/>
      <c r="K34" s="111"/>
      <c r="L34" s="120"/>
      <c r="M34" s="114"/>
      <c r="N34" s="114"/>
      <c r="O34" s="114"/>
    </row>
    <row r="35" spans="2:15" ht="16.8">
      <c r="B35" s="111"/>
      <c r="C35" s="119"/>
      <c r="D35" s="119"/>
      <c r="E35" s="62"/>
      <c r="F35" s="61"/>
      <c r="G35" s="61"/>
      <c r="H35" s="116"/>
      <c r="I35" s="113"/>
      <c r="J35" s="113"/>
      <c r="K35" s="111"/>
      <c r="L35" s="120"/>
      <c r="M35" s="114"/>
      <c r="N35" s="114"/>
      <c r="O35" s="114"/>
    </row>
    <row r="36" spans="2:15" ht="16.8">
      <c r="B36" s="122"/>
      <c r="C36" s="129"/>
      <c r="D36" s="129"/>
      <c r="E36" s="126"/>
      <c r="F36" s="125"/>
      <c r="G36" s="125"/>
      <c r="H36" s="128"/>
      <c r="I36" s="123"/>
      <c r="J36" s="123"/>
      <c r="K36" s="122"/>
      <c r="L36" s="130"/>
      <c r="M36" s="124"/>
      <c r="N36" s="124"/>
      <c r="O36" s="124"/>
    </row>
    <row r="37" spans="2:15" ht="16.8">
      <c r="B37" s="122"/>
      <c r="C37" s="129"/>
      <c r="D37" s="129"/>
      <c r="E37" s="126"/>
      <c r="F37" s="125"/>
      <c r="G37" s="125"/>
      <c r="H37" s="127"/>
      <c r="I37" s="123"/>
      <c r="J37" s="123"/>
      <c r="K37" s="122"/>
      <c r="L37" s="130"/>
      <c r="M37" s="124"/>
      <c r="N37" s="124"/>
      <c r="O37" s="124"/>
    </row>
    <row r="38" spans="2:15" ht="15.6">
      <c r="B38" s="122"/>
      <c r="C38" s="125"/>
      <c r="D38" s="125"/>
      <c r="E38" s="125"/>
      <c r="F38" s="125"/>
      <c r="G38" s="125"/>
      <c r="H38" s="128"/>
      <c r="I38" s="123"/>
      <c r="J38" s="123"/>
      <c r="K38" s="122"/>
      <c r="L38" s="124"/>
      <c r="M38" s="124"/>
      <c r="N38" s="124"/>
      <c r="O38" s="124"/>
    </row>
    <row r="39" spans="2:15">
      <c r="B39" s="122"/>
      <c r="C39" s="122"/>
      <c r="D39" s="122"/>
      <c r="E39" s="122"/>
      <c r="F39" s="122"/>
      <c r="G39" s="122"/>
      <c r="H39" s="128"/>
      <c r="I39" s="123"/>
      <c r="J39" s="123"/>
      <c r="K39" s="122"/>
      <c r="L39" s="124"/>
      <c r="M39" s="124"/>
      <c r="N39" s="124"/>
      <c r="O39" s="124"/>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N57"/>
  <sheetViews>
    <sheetView showGridLines="0" topLeftCell="A32" zoomScale="80" zoomScaleNormal="80" zoomScaleSheetLayoutView="100" workbookViewId="0">
      <selection activeCell="A45" sqref="A45"/>
    </sheetView>
  </sheetViews>
  <sheetFormatPr baseColWidth="10" defaultColWidth="9.33203125" defaultRowHeight="13.8"/>
  <cols>
    <col min="1" max="1" width="4.33203125" style="697" customWidth="1"/>
    <col min="2" max="2" width="52.6640625" style="696" customWidth="1"/>
    <col min="3" max="3" width="20.33203125" style="696" customWidth="1"/>
    <col min="4" max="4" width="19.33203125" style="696" customWidth="1"/>
    <col min="5" max="5" width="15" style="696" customWidth="1"/>
    <col min="6" max="6" width="17.33203125" style="696" customWidth="1"/>
    <col min="7" max="7" width="17.88671875" style="696" customWidth="1"/>
    <col min="8" max="8" width="16.5546875" style="696" customWidth="1"/>
    <col min="9" max="9" width="16.88671875" style="699" bestFit="1" customWidth="1"/>
    <col min="10" max="10" width="18.6640625" style="696" customWidth="1"/>
    <col min="11" max="11" width="12.6640625" style="696" customWidth="1"/>
    <col min="12" max="12" width="14.5546875" style="696" bestFit="1" customWidth="1"/>
    <col min="13" max="13" width="14.5546875" style="696" customWidth="1"/>
    <col min="14" max="14" width="11.44140625" style="696" bestFit="1" customWidth="1"/>
    <col min="15" max="16384" width="9.33203125" style="696"/>
  </cols>
  <sheetData>
    <row r="1" spans="1:14" s="218" customFormat="1" ht="10.199999999999999" customHeight="1">
      <c r="B1" s="246"/>
      <c r="C1" s="246"/>
      <c r="D1" s="246"/>
      <c r="E1" s="246"/>
      <c r="F1" s="246"/>
      <c r="G1" s="246"/>
      <c r="H1" s="246"/>
      <c r="I1" s="246"/>
      <c r="J1" s="246"/>
      <c r="K1" s="246"/>
      <c r="L1" s="246"/>
    </row>
    <row r="2" spans="1:14" s="218" customFormat="1" ht="18">
      <c r="B2" s="721"/>
      <c r="C2" s="721"/>
      <c r="D2" s="721"/>
      <c r="E2" s="721"/>
      <c r="F2" s="721"/>
      <c r="G2" s="721"/>
      <c r="H2" s="721"/>
      <c r="I2" s="721"/>
      <c r="J2" s="721"/>
      <c r="K2" s="721"/>
      <c r="L2" s="721"/>
      <c r="M2" s="721"/>
    </row>
    <row r="3" spans="1:14" s="218" customFormat="1" ht="18">
      <c r="B3" s="1037"/>
      <c r="C3" s="1037"/>
      <c r="D3" s="1037"/>
      <c r="E3" s="1037"/>
      <c r="F3" s="1037"/>
      <c r="G3" s="1037"/>
      <c r="H3" s="1037"/>
      <c r="I3" s="1037"/>
      <c r="J3" s="1037"/>
      <c r="K3" s="1037"/>
      <c r="L3" s="1037"/>
      <c r="M3" s="1037"/>
    </row>
    <row r="4" spans="1:14" s="218" customFormat="1" ht="18">
      <c r="B4" s="1037"/>
      <c r="C4" s="1037"/>
      <c r="D4" s="1037"/>
      <c r="E4" s="1037"/>
      <c r="F4" s="1037"/>
      <c r="G4" s="1037"/>
      <c r="H4" s="1037"/>
      <c r="I4" s="1037"/>
      <c r="J4" s="1037"/>
      <c r="K4" s="1037"/>
      <c r="L4" s="1037"/>
      <c r="M4" s="1037"/>
    </row>
    <row r="5" spans="1:14" s="218" customFormat="1" ht="18">
      <c r="B5" s="1037"/>
      <c r="C5" s="1037"/>
      <c r="D5" s="1037"/>
      <c r="E5" s="1037"/>
      <c r="F5" s="1037"/>
      <c r="G5" s="1037"/>
      <c r="H5" s="1037"/>
      <c r="I5" s="1037"/>
      <c r="J5" s="1037"/>
      <c r="K5" s="1037"/>
      <c r="L5" s="1037"/>
      <c r="M5" s="1037"/>
    </row>
    <row r="6" spans="1:14" s="218" customFormat="1" ht="18">
      <c r="B6" s="1037"/>
      <c r="C6" s="1037"/>
      <c r="D6" s="1037"/>
      <c r="E6" s="1037"/>
      <c r="F6" s="1037"/>
      <c r="G6" s="1037"/>
      <c r="H6" s="1037"/>
      <c r="I6" s="1037"/>
      <c r="J6" s="1037"/>
      <c r="K6" s="1037"/>
      <c r="L6" s="1037"/>
      <c r="M6" s="1037"/>
    </row>
    <row r="7" spans="1:14" s="218" customFormat="1" ht="20.399999999999999" customHeight="1">
      <c r="B7" s="158"/>
      <c r="C7" s="158"/>
      <c r="D7" s="158"/>
      <c r="E7" s="158"/>
      <c r="F7" s="158"/>
      <c r="G7" s="158"/>
      <c r="H7" s="158"/>
      <c r="I7" s="158"/>
      <c r="J7" s="158"/>
      <c r="K7" s="158"/>
      <c r="L7" s="158"/>
      <c r="M7" s="158"/>
    </row>
    <row r="8" spans="1:14" s="338" customFormat="1" ht="16.8">
      <c r="A8" s="337"/>
      <c r="I8" s="340"/>
      <c r="K8" s="258" t="s">
        <v>1170</v>
      </c>
      <c r="L8" s="353"/>
      <c r="M8" s="353"/>
      <c r="N8" s="353"/>
    </row>
    <row r="9" spans="1:14" ht="14.4">
      <c r="A9" s="691"/>
      <c r="B9" s="692"/>
      <c r="C9" s="693"/>
      <c r="D9" s="694"/>
      <c r="E9" s="695"/>
      <c r="F9" s="695"/>
      <c r="I9" s="167"/>
    </row>
    <row r="10" spans="1:14">
      <c r="B10" s="698" t="s">
        <v>509</v>
      </c>
    </row>
    <row r="12" spans="1:14">
      <c r="B12" s="700" t="s">
        <v>391</v>
      </c>
    </row>
    <row r="13" spans="1:14">
      <c r="B13" s="696" t="s">
        <v>1530</v>
      </c>
    </row>
    <row r="15" spans="1:14">
      <c r="B15" s="700" t="s">
        <v>392</v>
      </c>
    </row>
    <row r="16" spans="1:14">
      <c r="B16" s="696" t="s">
        <v>393</v>
      </c>
    </row>
    <row r="18" spans="2:9">
      <c r="B18" s="700" t="s">
        <v>394</v>
      </c>
    </row>
    <row r="19" spans="2:9" ht="43.5" customHeight="1">
      <c r="B19" s="1055" t="s">
        <v>1838</v>
      </c>
      <c r="C19" s="1055"/>
      <c r="D19" s="1055"/>
      <c r="E19" s="1055"/>
      <c r="F19" s="1055"/>
      <c r="G19" s="1055"/>
      <c r="H19" s="1055"/>
    </row>
    <row r="21" spans="2:9">
      <c r="B21" s="698" t="s">
        <v>537</v>
      </c>
    </row>
    <row r="22" spans="2:9" ht="28.5" customHeight="1">
      <c r="B22" s="1053" t="s">
        <v>1489</v>
      </c>
      <c r="C22" s="1053"/>
      <c r="D22" s="1053"/>
      <c r="E22" s="1053"/>
      <c r="F22" s="1053"/>
      <c r="G22" s="1053"/>
      <c r="H22" s="1053"/>
      <c r="I22" s="701"/>
    </row>
    <row r="24" spans="2:9">
      <c r="B24" s="698" t="s">
        <v>538</v>
      </c>
    </row>
    <row r="25" spans="2:9">
      <c r="B25" s="696" t="s">
        <v>510</v>
      </c>
    </row>
    <row r="27" spans="2:9">
      <c r="B27" s="698" t="s">
        <v>539</v>
      </c>
    </row>
    <row r="28" spans="2:9" ht="33" customHeight="1">
      <c r="B28" s="1054" t="s">
        <v>395</v>
      </c>
      <c r="C28" s="1054"/>
      <c r="D28" s="1054"/>
      <c r="E28" s="1054"/>
      <c r="F28" s="1054"/>
      <c r="G28" s="1054"/>
      <c r="H28" s="1054"/>
    </row>
    <row r="29" spans="2:9">
      <c r="B29" s="700"/>
    </row>
    <row r="30" spans="2:9">
      <c r="B30" s="698" t="s">
        <v>540</v>
      </c>
    </row>
    <row r="31" spans="2:9">
      <c r="B31" s="696" t="s">
        <v>396</v>
      </c>
    </row>
    <row r="33" spans="2:9">
      <c r="B33" s="702" t="s">
        <v>541</v>
      </c>
    </row>
    <row r="34" spans="2:9">
      <c r="B34" s="696" t="s">
        <v>1455</v>
      </c>
    </row>
    <row r="35" spans="2:9">
      <c r="B35" s="703"/>
      <c r="C35" s="703"/>
      <c r="D35" s="703"/>
      <c r="E35" s="703"/>
      <c r="F35" s="703"/>
      <c r="G35" s="703"/>
      <c r="H35" s="703"/>
    </row>
    <row r="36" spans="2:9">
      <c r="B36" s="702" t="s">
        <v>542</v>
      </c>
      <c r="C36" s="704"/>
      <c r="D36" s="704"/>
      <c r="E36" s="704"/>
      <c r="F36" s="704"/>
      <c r="G36" s="704"/>
      <c r="H36" s="704"/>
    </row>
    <row r="37" spans="2:9" ht="28.95" customHeight="1">
      <c r="B37" s="1055" t="s">
        <v>1839</v>
      </c>
      <c r="C37" s="1055"/>
      <c r="D37" s="1055"/>
      <c r="E37" s="1055"/>
      <c r="F37" s="1055"/>
      <c r="G37" s="1055"/>
      <c r="H37" s="1055"/>
    </row>
    <row r="38" spans="2:9">
      <c r="B38" s="705"/>
      <c r="C38" s="705"/>
      <c r="D38" s="705"/>
      <c r="E38" s="705"/>
      <c r="F38" s="705"/>
      <c r="G38" s="705"/>
      <c r="H38" s="705"/>
    </row>
    <row r="39" spans="2:9">
      <c r="B39" s="705"/>
      <c r="C39" s="705"/>
      <c r="D39" s="705"/>
      <c r="E39" s="705"/>
      <c r="F39" s="705"/>
      <c r="G39" s="705"/>
      <c r="H39" s="705"/>
    </row>
    <row r="40" spans="2:9">
      <c r="B40" s="705"/>
      <c r="C40" s="705"/>
      <c r="D40" s="705"/>
      <c r="E40" s="705"/>
      <c r="F40" s="705"/>
      <c r="G40" s="705"/>
      <c r="H40" s="705"/>
    </row>
    <row r="41" spans="2:9">
      <c r="B41" s="705"/>
      <c r="C41" s="705"/>
      <c r="D41" s="705"/>
      <c r="E41" s="705"/>
      <c r="F41" s="705"/>
      <c r="G41" s="705"/>
      <c r="H41" s="705"/>
    </row>
    <row r="42" spans="2:9">
      <c r="B42" s="705"/>
      <c r="C42" s="705"/>
      <c r="D42" s="705"/>
      <c r="E42" s="705"/>
      <c r="F42" s="705"/>
      <c r="G42" s="705"/>
      <c r="H42" s="705"/>
    </row>
    <row r="43" spans="2:9">
      <c r="B43" s="705"/>
      <c r="C43" s="705"/>
      <c r="D43" s="705"/>
      <c r="E43" s="705"/>
      <c r="F43" s="705"/>
      <c r="G43" s="705"/>
      <c r="H43" s="705"/>
    </row>
    <row r="45" spans="2:9">
      <c r="B45" s="706" t="s">
        <v>266</v>
      </c>
      <c r="E45" s="706"/>
      <c r="F45" s="707"/>
      <c r="G45" s="708" t="s">
        <v>488</v>
      </c>
    </row>
    <row r="46" spans="2:9" ht="16.8">
      <c r="B46" s="719" t="s">
        <v>1846</v>
      </c>
      <c r="E46" s="709"/>
      <c r="F46" s="710"/>
      <c r="G46" s="709" t="s">
        <v>264</v>
      </c>
      <c r="H46" s="711"/>
      <c r="I46" s="712"/>
    </row>
    <row r="47" spans="2:9">
      <c r="B47" s="713"/>
      <c r="C47" s="713"/>
      <c r="D47" s="714"/>
      <c r="E47" s="162"/>
      <c r="G47" s="162"/>
      <c r="H47" s="714"/>
      <c r="I47" s="715"/>
    </row>
    <row r="48" spans="2:9" s="697" customFormat="1">
      <c r="I48" s="716"/>
    </row>
    <row r="55" spans="2:2">
      <c r="B55" s="795"/>
    </row>
    <row r="56" spans="2:2">
      <c r="B56" s="796"/>
    </row>
    <row r="57" spans="2:2" ht="15.6">
      <c r="B57" s="797"/>
    </row>
  </sheetData>
  <mergeCells count="8">
    <mergeCell ref="B22:H22"/>
    <mergeCell ref="B28:H28"/>
    <mergeCell ref="B37:H37"/>
    <mergeCell ref="B3:M3"/>
    <mergeCell ref="B4:M4"/>
    <mergeCell ref="B5:M5"/>
    <mergeCell ref="B6:M6"/>
    <mergeCell ref="B19:H19"/>
  </mergeCells>
  <hyperlinks>
    <hyperlink ref="K8" location="INDICE!A1" display="Índice" xr:uid="{4D8B0DA5-7787-4BA4-9A1D-9CE0B6DE1572}"/>
  </hyperlinks>
  <pageMargins left="0.23622047244094491" right="0.23622047244094491" top="0.74803149606299213" bottom="0.74803149606299213" header="0.31496062992125984" footer="0.31496062992125984"/>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A60D-D160-440D-AA32-9F386EB92CCF}">
  <sheetPr>
    <tabColor rgb="FFFFC000"/>
  </sheetPr>
  <dimension ref="A1:D419"/>
  <sheetViews>
    <sheetView showGridLines="0" zoomScale="90" zoomScaleNormal="90" workbookViewId="0">
      <pane xSplit="2" ySplit="7" topLeftCell="C8" activePane="bottomRight" state="frozen"/>
      <selection activeCell="D7" sqref="D7"/>
      <selection pane="topRight" activeCell="D7" sqref="D7"/>
      <selection pane="bottomLeft" activeCell="D7" sqref="D7"/>
      <selection pane="bottomRight" activeCell="C10" sqref="C10"/>
    </sheetView>
  </sheetViews>
  <sheetFormatPr baseColWidth="10" defaultColWidth="11.5546875" defaultRowHeight="15" customHeight="1"/>
  <cols>
    <col min="1" max="1" width="15.88671875" style="132" customWidth="1"/>
    <col min="2" max="2" width="49" style="132" customWidth="1"/>
    <col min="3" max="3" width="23.6640625" style="132" customWidth="1"/>
    <col min="4" max="4" width="22" style="132" customWidth="1"/>
    <col min="5" max="16384" width="11.5546875" style="132"/>
  </cols>
  <sheetData>
    <row r="1" spans="1:4" ht="15" customHeight="1">
      <c r="A1" s="140" t="s">
        <v>187</v>
      </c>
      <c r="B1" s="135"/>
      <c r="C1" s="135"/>
    </row>
    <row r="3" spans="1:4" ht="15" customHeight="1">
      <c r="B3" s="139" t="s">
        <v>618</v>
      </c>
      <c r="C3" s="138"/>
      <c r="D3" s="138"/>
    </row>
    <row r="4" spans="1:4" ht="15" customHeight="1">
      <c r="A4" s="137"/>
      <c r="B4" s="135"/>
      <c r="C4" s="135"/>
    </row>
    <row r="5" spans="1:4" ht="15" customHeight="1">
      <c r="B5" s="136" t="s">
        <v>1541</v>
      </c>
      <c r="C5" s="135"/>
    </row>
    <row r="6" spans="1:4" ht="15" customHeight="1">
      <c r="B6" s="135"/>
      <c r="C6" s="135"/>
    </row>
    <row r="7" spans="1:4" s="133" customFormat="1" ht="15" customHeight="1">
      <c r="A7" s="134" t="s">
        <v>1</v>
      </c>
      <c r="B7" s="134" t="s">
        <v>74</v>
      </c>
      <c r="C7" s="134" t="s">
        <v>619</v>
      </c>
      <c r="D7" s="134" t="s">
        <v>620</v>
      </c>
    </row>
    <row r="8" spans="1:4" ht="15" customHeight="1">
      <c r="A8" s="825">
        <v>1</v>
      </c>
      <c r="B8" s="825" t="s">
        <v>3</v>
      </c>
      <c r="C8" s="60">
        <v>58149013680</v>
      </c>
      <c r="D8" s="826">
        <v>8668543.5800000001</v>
      </c>
    </row>
    <row r="9" spans="1:4" ht="15" customHeight="1">
      <c r="A9" s="825">
        <v>11</v>
      </c>
      <c r="B9" s="825" t="s">
        <v>4</v>
      </c>
      <c r="C9" s="60">
        <v>51133273302</v>
      </c>
      <c r="D9" s="826">
        <v>7593321.1600000001</v>
      </c>
    </row>
    <row r="10" spans="1:4" ht="15" customHeight="1">
      <c r="A10" s="825">
        <v>111</v>
      </c>
      <c r="B10" s="825" t="s">
        <v>5</v>
      </c>
      <c r="C10" s="60">
        <v>5313782235</v>
      </c>
      <c r="D10" s="826">
        <v>789099.76</v>
      </c>
    </row>
    <row r="11" spans="1:4" ht="15" customHeight="1">
      <c r="A11" s="825">
        <v>11103</v>
      </c>
      <c r="B11" s="825" t="s">
        <v>16</v>
      </c>
      <c r="C11" s="60">
        <v>5313782235</v>
      </c>
      <c r="D11" s="826">
        <v>789099.76</v>
      </c>
    </row>
    <row r="12" spans="1:4" ht="15" customHeight="1">
      <c r="A12" s="825">
        <v>1110301</v>
      </c>
      <c r="B12" s="825" t="s">
        <v>621</v>
      </c>
      <c r="C12" s="60">
        <v>1670620740</v>
      </c>
      <c r="D12" s="826">
        <v>248088.13</v>
      </c>
    </row>
    <row r="13" spans="1:4" ht="15" customHeight="1">
      <c r="A13" s="825">
        <v>111030102</v>
      </c>
      <c r="B13" s="825" t="s">
        <v>622</v>
      </c>
      <c r="C13" s="60">
        <v>401765</v>
      </c>
      <c r="D13" s="826">
        <v>59.66</v>
      </c>
    </row>
    <row r="14" spans="1:4" ht="15" customHeight="1">
      <c r="A14" s="825">
        <v>111030103</v>
      </c>
      <c r="B14" s="825" t="s">
        <v>623</v>
      </c>
      <c r="C14" s="60">
        <v>6027989</v>
      </c>
      <c r="D14" s="826">
        <v>895.16</v>
      </c>
    </row>
    <row r="15" spans="1:4" ht="15" customHeight="1">
      <c r="A15" s="825">
        <v>111030104</v>
      </c>
      <c r="B15" s="825" t="s">
        <v>624</v>
      </c>
      <c r="C15" s="60">
        <v>6000000</v>
      </c>
      <c r="D15" s="826">
        <v>891</v>
      </c>
    </row>
    <row r="16" spans="1:4" ht="15" customHeight="1">
      <c r="A16" s="825">
        <v>111030106</v>
      </c>
      <c r="B16" s="825" t="s">
        <v>625</v>
      </c>
      <c r="C16" s="60">
        <v>4780000</v>
      </c>
      <c r="D16" s="826">
        <v>709.83</v>
      </c>
    </row>
    <row r="17" spans="1:4" ht="15" customHeight="1">
      <c r="A17" s="825">
        <v>111030107</v>
      </c>
      <c r="B17" s="825" t="s">
        <v>626</v>
      </c>
      <c r="C17" s="60">
        <v>300298</v>
      </c>
      <c r="D17" s="826">
        <v>44.59</v>
      </c>
    </row>
    <row r="18" spans="1:4" ht="15" customHeight="1">
      <c r="A18" s="825">
        <v>111030108</v>
      </c>
      <c r="B18" s="825" t="s">
        <v>627</v>
      </c>
      <c r="C18" s="60">
        <v>1032032</v>
      </c>
      <c r="D18" s="826">
        <v>153.26</v>
      </c>
    </row>
    <row r="19" spans="1:4" ht="15" customHeight="1">
      <c r="A19" s="825">
        <v>111030109</v>
      </c>
      <c r="B19" s="825" t="s">
        <v>628</v>
      </c>
      <c r="C19" s="60">
        <v>78413436</v>
      </c>
      <c r="D19" s="826">
        <v>11644.44</v>
      </c>
    </row>
    <row r="20" spans="1:4" ht="15" customHeight="1">
      <c r="A20" s="825">
        <v>111030111</v>
      </c>
      <c r="B20" s="825" t="s">
        <v>847</v>
      </c>
      <c r="C20" s="60">
        <v>635</v>
      </c>
      <c r="D20" s="826">
        <v>0.09</v>
      </c>
    </row>
    <row r="21" spans="1:4" ht="15" customHeight="1">
      <c r="A21" s="825">
        <v>111030112</v>
      </c>
      <c r="B21" s="825" t="s">
        <v>629</v>
      </c>
      <c r="C21" s="60">
        <v>263020</v>
      </c>
      <c r="D21" s="826">
        <v>39.06</v>
      </c>
    </row>
    <row r="22" spans="1:4" ht="15" customHeight="1">
      <c r="A22" s="825">
        <v>111030113</v>
      </c>
      <c r="B22" s="825" t="s">
        <v>630</v>
      </c>
      <c r="C22" s="60">
        <v>377019917</v>
      </c>
      <c r="D22" s="826">
        <v>55987.68</v>
      </c>
    </row>
    <row r="23" spans="1:4" ht="15" customHeight="1">
      <c r="A23" s="825">
        <v>111030114</v>
      </c>
      <c r="B23" s="825" t="s">
        <v>631</v>
      </c>
      <c r="C23" s="60">
        <v>510132871</v>
      </c>
      <c r="D23" s="826">
        <v>75755.03</v>
      </c>
    </row>
    <row r="24" spans="1:4" ht="15" customHeight="1">
      <c r="A24" s="825">
        <v>111030116</v>
      </c>
      <c r="B24" s="825" t="s">
        <v>1181</v>
      </c>
      <c r="C24" s="60">
        <v>3800000</v>
      </c>
      <c r="D24" s="826">
        <v>564.29999999999995</v>
      </c>
    </row>
    <row r="25" spans="1:4" ht="15" customHeight="1">
      <c r="A25" s="825">
        <v>111030118</v>
      </c>
      <c r="B25" s="825" t="s">
        <v>1182</v>
      </c>
      <c r="C25" s="60">
        <v>573835519</v>
      </c>
      <c r="D25" s="826">
        <v>85214.91</v>
      </c>
    </row>
    <row r="26" spans="1:4" ht="15" customHeight="1">
      <c r="A26" s="825">
        <v>111030121</v>
      </c>
      <c r="B26" s="825" t="s">
        <v>865</v>
      </c>
      <c r="C26" s="60">
        <v>104307742</v>
      </c>
      <c r="D26" s="826">
        <v>15489.76</v>
      </c>
    </row>
    <row r="27" spans="1:4" ht="15" customHeight="1">
      <c r="A27" s="825">
        <v>111030122</v>
      </c>
      <c r="B27" s="825" t="s">
        <v>1183</v>
      </c>
      <c r="C27" s="60">
        <v>4305516</v>
      </c>
      <c r="D27" s="826">
        <v>639.37</v>
      </c>
    </row>
    <row r="28" spans="1:4" ht="15" customHeight="1">
      <c r="A28" s="825">
        <v>1110302</v>
      </c>
      <c r="B28" s="825" t="s">
        <v>632</v>
      </c>
      <c r="C28" s="60">
        <v>3643161495</v>
      </c>
      <c r="D28" s="826">
        <v>541011.63</v>
      </c>
    </row>
    <row r="29" spans="1:4" ht="15" customHeight="1">
      <c r="A29" s="825">
        <v>111030201</v>
      </c>
      <c r="B29" s="825" t="s">
        <v>866</v>
      </c>
      <c r="C29" s="60">
        <v>1076822324</v>
      </c>
      <c r="D29" s="826">
        <v>159908.75</v>
      </c>
    </row>
    <row r="30" spans="1:4" ht="15" customHeight="1">
      <c r="A30" s="825">
        <v>111030202</v>
      </c>
      <c r="B30" s="825" t="s">
        <v>633</v>
      </c>
      <c r="C30" s="60">
        <v>120673</v>
      </c>
      <c r="D30" s="826">
        <v>17.920000000000002</v>
      </c>
    </row>
    <row r="31" spans="1:4" ht="15" customHeight="1">
      <c r="A31" s="825">
        <v>111030203</v>
      </c>
      <c r="B31" s="825" t="s">
        <v>634</v>
      </c>
      <c r="C31" s="60">
        <v>40403880</v>
      </c>
      <c r="D31" s="826">
        <v>6000</v>
      </c>
    </row>
    <row r="32" spans="1:4" ht="15" customHeight="1">
      <c r="A32" s="825">
        <v>111030204</v>
      </c>
      <c r="B32" s="825" t="s">
        <v>635</v>
      </c>
      <c r="C32" s="60">
        <v>57097753</v>
      </c>
      <c r="D32" s="826">
        <v>8479.0499999999993</v>
      </c>
    </row>
    <row r="33" spans="1:4" ht="15" customHeight="1">
      <c r="A33" s="825">
        <v>111030206</v>
      </c>
      <c r="B33" s="825" t="s">
        <v>636</v>
      </c>
      <c r="C33" s="60">
        <v>104977496</v>
      </c>
      <c r="D33" s="826">
        <v>15589.22</v>
      </c>
    </row>
    <row r="34" spans="1:4" ht="15" customHeight="1">
      <c r="A34" s="825">
        <v>111030207</v>
      </c>
      <c r="B34" s="825" t="s">
        <v>868</v>
      </c>
      <c r="C34" s="60">
        <v>12525</v>
      </c>
      <c r="D34" s="826">
        <v>1.86</v>
      </c>
    </row>
    <row r="35" spans="1:4" ht="15" customHeight="1">
      <c r="A35" s="825">
        <v>111030209</v>
      </c>
      <c r="B35" s="825" t="s">
        <v>637</v>
      </c>
      <c r="C35" s="60">
        <v>2029887228</v>
      </c>
      <c r="D35" s="826">
        <v>301439.45</v>
      </c>
    </row>
    <row r="36" spans="1:4" ht="15" customHeight="1">
      <c r="A36" s="825">
        <v>111030210</v>
      </c>
      <c r="B36" s="825" t="s">
        <v>638</v>
      </c>
      <c r="C36" s="60">
        <v>165352744</v>
      </c>
      <c r="D36" s="826">
        <v>24554.98</v>
      </c>
    </row>
    <row r="37" spans="1:4" ht="15" customHeight="1">
      <c r="A37" s="825">
        <v>111030211</v>
      </c>
      <c r="B37" s="825" t="s">
        <v>639</v>
      </c>
      <c r="C37" s="60">
        <v>8504545</v>
      </c>
      <c r="D37" s="826">
        <v>1262.93</v>
      </c>
    </row>
    <row r="38" spans="1:4" ht="15" customHeight="1">
      <c r="A38" s="825">
        <v>111030212</v>
      </c>
      <c r="B38" s="825" t="s">
        <v>640</v>
      </c>
      <c r="C38" s="60">
        <v>19831571</v>
      </c>
      <c r="D38" s="826">
        <v>2945</v>
      </c>
    </row>
    <row r="39" spans="1:4" ht="15" customHeight="1">
      <c r="A39" s="825">
        <v>111030214</v>
      </c>
      <c r="B39" s="825" t="s">
        <v>641</v>
      </c>
      <c r="C39" s="60">
        <v>9226</v>
      </c>
      <c r="D39" s="826">
        <v>1.37</v>
      </c>
    </row>
    <row r="40" spans="1:4" ht="15" customHeight="1">
      <c r="A40" s="825">
        <v>111030217</v>
      </c>
      <c r="B40" s="825" t="s">
        <v>642</v>
      </c>
      <c r="C40" s="60">
        <v>101727879</v>
      </c>
      <c r="D40" s="826">
        <v>15106.65</v>
      </c>
    </row>
    <row r="41" spans="1:4" ht="15" customHeight="1">
      <c r="A41" s="825">
        <v>111030218</v>
      </c>
      <c r="B41" s="825" t="s">
        <v>643</v>
      </c>
      <c r="C41" s="60">
        <v>24928654</v>
      </c>
      <c r="D41" s="826">
        <v>3701.92</v>
      </c>
    </row>
    <row r="42" spans="1:4" ht="15" customHeight="1">
      <c r="A42" s="825">
        <v>111030219</v>
      </c>
      <c r="B42" s="825" t="s">
        <v>644</v>
      </c>
      <c r="C42" s="60">
        <v>13484997</v>
      </c>
      <c r="D42" s="826">
        <v>2002.53</v>
      </c>
    </row>
    <row r="43" spans="1:4" ht="15" customHeight="1">
      <c r="A43" s="825">
        <v>112</v>
      </c>
      <c r="B43" s="825" t="s">
        <v>206</v>
      </c>
      <c r="C43" s="60">
        <v>45213580597</v>
      </c>
      <c r="D43" s="826">
        <v>6714243.3399999999</v>
      </c>
    </row>
    <row r="44" spans="1:4" ht="15" customHeight="1">
      <c r="A44" s="825">
        <v>11201</v>
      </c>
      <c r="B44" s="825" t="s">
        <v>645</v>
      </c>
      <c r="C44" s="60">
        <v>8484697597</v>
      </c>
      <c r="D44" s="826">
        <v>1259982.56</v>
      </c>
    </row>
    <row r="45" spans="1:4" ht="15" customHeight="1">
      <c r="A45" s="825">
        <v>112011</v>
      </c>
      <c r="B45" s="825" t="s">
        <v>646</v>
      </c>
      <c r="C45" s="60">
        <v>8484697597</v>
      </c>
      <c r="D45" s="826">
        <v>1259982.56</v>
      </c>
    </row>
    <row r="46" spans="1:4" ht="15" customHeight="1">
      <c r="A46" s="825">
        <v>1120111</v>
      </c>
      <c r="B46" s="825" t="s">
        <v>647</v>
      </c>
      <c r="C46" s="60">
        <v>75000000</v>
      </c>
      <c r="D46" s="826">
        <v>11137.54</v>
      </c>
    </row>
    <row r="47" spans="1:4" ht="15" customHeight="1">
      <c r="A47" s="825">
        <v>11201111</v>
      </c>
      <c r="B47" s="825" t="s">
        <v>648</v>
      </c>
      <c r="C47" s="60">
        <v>75000000</v>
      </c>
      <c r="D47" s="826">
        <v>11137.54</v>
      </c>
    </row>
    <row r="48" spans="1:4" ht="15" customHeight="1">
      <c r="A48" s="825">
        <v>1120111101</v>
      </c>
      <c r="B48" s="825" t="s">
        <v>649</v>
      </c>
      <c r="C48" s="60">
        <v>75000000</v>
      </c>
      <c r="D48" s="826">
        <v>11137.54</v>
      </c>
    </row>
    <row r="49" spans="1:4" ht="15" customHeight="1">
      <c r="A49" s="825">
        <v>1120112</v>
      </c>
      <c r="B49" s="825" t="s">
        <v>650</v>
      </c>
      <c r="C49" s="60">
        <v>6988403880</v>
      </c>
      <c r="D49" s="826">
        <v>1037782.09</v>
      </c>
    </row>
    <row r="50" spans="1:4" ht="15" customHeight="1">
      <c r="A50" s="825">
        <v>11201121</v>
      </c>
      <c r="B50" s="825" t="s">
        <v>470</v>
      </c>
      <c r="C50" s="60">
        <v>529000000</v>
      </c>
      <c r="D50" s="826">
        <v>78556.81</v>
      </c>
    </row>
    <row r="51" spans="1:4" ht="15" customHeight="1">
      <c r="A51" s="825">
        <v>1120112101</v>
      </c>
      <c r="B51" s="825" t="s">
        <v>651</v>
      </c>
      <c r="C51" s="60">
        <v>529000000</v>
      </c>
      <c r="D51" s="826">
        <v>78556.81</v>
      </c>
    </row>
    <row r="52" spans="1:4" ht="15" customHeight="1">
      <c r="A52" s="825">
        <v>11201122</v>
      </c>
      <c r="B52" s="825" t="s">
        <v>878</v>
      </c>
      <c r="C52" s="60">
        <v>1566403880</v>
      </c>
      <c r="D52" s="826">
        <v>232611.9</v>
      </c>
    </row>
    <row r="53" spans="1:4" ht="15" customHeight="1">
      <c r="A53" s="825">
        <v>1120112201</v>
      </c>
      <c r="B53" s="825" t="s">
        <v>879</v>
      </c>
      <c r="C53" s="60">
        <v>1526000000</v>
      </c>
      <c r="D53" s="826">
        <v>226611.9</v>
      </c>
    </row>
    <row r="54" spans="1:4" ht="15" customHeight="1">
      <c r="A54" s="825">
        <v>1120112202</v>
      </c>
      <c r="B54" s="825" t="s">
        <v>766</v>
      </c>
      <c r="C54" s="60">
        <v>40403880</v>
      </c>
      <c r="D54" s="826">
        <v>6000</v>
      </c>
    </row>
    <row r="55" spans="1:4" ht="15" customHeight="1">
      <c r="A55" s="825">
        <v>11201123</v>
      </c>
      <c r="B55" s="825" t="s">
        <v>72</v>
      </c>
      <c r="C55" s="60">
        <v>4893000000</v>
      </c>
      <c r="D55" s="826">
        <v>726613.38</v>
      </c>
    </row>
    <row r="56" spans="1:4" ht="15" customHeight="1">
      <c r="A56" s="825">
        <v>1120112301</v>
      </c>
      <c r="B56" s="825" t="s">
        <v>652</v>
      </c>
      <c r="C56" s="60">
        <v>4893000000</v>
      </c>
      <c r="D56" s="826">
        <v>726613.38</v>
      </c>
    </row>
    <row r="57" spans="1:4" ht="15" customHeight="1">
      <c r="A57" s="825">
        <v>1120113</v>
      </c>
      <c r="B57" s="825" t="s">
        <v>654</v>
      </c>
      <c r="C57" s="60">
        <v>514000000</v>
      </c>
      <c r="D57" s="826">
        <v>76329.3</v>
      </c>
    </row>
    <row r="58" spans="1:4" ht="15" customHeight="1">
      <c r="A58" s="825">
        <v>11201131</v>
      </c>
      <c r="B58" s="825" t="s">
        <v>655</v>
      </c>
      <c r="C58" s="60">
        <v>514000000</v>
      </c>
      <c r="D58" s="826">
        <v>76329.3</v>
      </c>
    </row>
    <row r="59" spans="1:4" ht="15" customHeight="1">
      <c r="A59" s="825">
        <v>1120113101</v>
      </c>
      <c r="B59" s="825" t="s">
        <v>656</v>
      </c>
      <c r="C59" s="60">
        <v>514000000</v>
      </c>
      <c r="D59" s="826">
        <v>76329.3</v>
      </c>
    </row>
    <row r="60" spans="1:4" ht="15" customHeight="1">
      <c r="A60" s="825">
        <v>1120114</v>
      </c>
      <c r="B60" s="825" t="s">
        <v>659</v>
      </c>
      <c r="C60" s="60">
        <v>630048500</v>
      </c>
      <c r="D60" s="826">
        <v>93562.57</v>
      </c>
    </row>
    <row r="61" spans="1:4" ht="15" customHeight="1">
      <c r="A61" s="825">
        <v>11201143</v>
      </c>
      <c r="B61" s="825" t="s">
        <v>72</v>
      </c>
      <c r="C61" s="60">
        <v>630048500</v>
      </c>
      <c r="D61" s="826">
        <v>93562.57</v>
      </c>
    </row>
    <row r="62" spans="1:4" ht="15" customHeight="1">
      <c r="A62" s="825">
        <v>1120114301</v>
      </c>
      <c r="B62" s="825" t="s">
        <v>660</v>
      </c>
      <c r="C62" s="60">
        <v>125000000</v>
      </c>
      <c r="D62" s="826">
        <v>18562.57</v>
      </c>
    </row>
    <row r="63" spans="1:4" ht="15" customHeight="1">
      <c r="A63" s="825">
        <v>1120114302</v>
      </c>
      <c r="B63" s="825" t="s">
        <v>774</v>
      </c>
      <c r="C63" s="60">
        <v>505048500</v>
      </c>
      <c r="D63" s="826">
        <v>75000</v>
      </c>
    </row>
    <row r="64" spans="1:4" ht="15" customHeight="1">
      <c r="A64" s="825">
        <v>1120116</v>
      </c>
      <c r="B64" s="825" t="s">
        <v>661</v>
      </c>
      <c r="C64" s="60">
        <v>277245217</v>
      </c>
      <c r="D64" s="826">
        <v>41171.06</v>
      </c>
    </row>
    <row r="65" spans="1:4" ht="15" customHeight="1">
      <c r="A65" s="825">
        <v>11201161</v>
      </c>
      <c r="B65" s="825" t="s">
        <v>662</v>
      </c>
      <c r="C65" s="60">
        <v>7585945665</v>
      </c>
      <c r="D65" s="826">
        <v>1126517.3899999999</v>
      </c>
    </row>
    <row r="66" spans="1:4" ht="15" customHeight="1">
      <c r="A66" s="825">
        <v>1120116101</v>
      </c>
      <c r="B66" s="825" t="s">
        <v>663</v>
      </c>
      <c r="C66" s="60">
        <v>4137877138</v>
      </c>
      <c r="D66" s="826">
        <v>614477.18999999994</v>
      </c>
    </row>
    <row r="67" spans="1:4" ht="15" customHeight="1">
      <c r="A67" s="825">
        <v>1120116103</v>
      </c>
      <c r="B67" s="825" t="s">
        <v>894</v>
      </c>
      <c r="C67" s="60">
        <v>852218740</v>
      </c>
      <c r="D67" s="826">
        <v>126554.99</v>
      </c>
    </row>
    <row r="68" spans="1:4" ht="15" customHeight="1">
      <c r="A68" s="825">
        <v>1120116104</v>
      </c>
      <c r="B68" s="825" t="s">
        <v>848</v>
      </c>
      <c r="C68" s="60">
        <v>24945827</v>
      </c>
      <c r="D68" s="826">
        <v>3704.47</v>
      </c>
    </row>
    <row r="69" spans="1:4" ht="15" customHeight="1">
      <c r="A69" s="825">
        <v>1120116105</v>
      </c>
      <c r="B69" s="825" t="s">
        <v>664</v>
      </c>
      <c r="C69" s="60">
        <v>2029882947</v>
      </c>
      <c r="D69" s="826">
        <v>301438.81</v>
      </c>
    </row>
    <row r="70" spans="1:4" ht="15" customHeight="1">
      <c r="A70" s="825">
        <v>1120116106</v>
      </c>
      <c r="B70" s="825" t="s">
        <v>665</v>
      </c>
      <c r="C70" s="60">
        <v>336470718</v>
      </c>
      <c r="D70" s="826">
        <v>49966.1</v>
      </c>
    </row>
    <row r="71" spans="1:4" ht="15" customHeight="1">
      <c r="A71" s="825">
        <v>1120116107</v>
      </c>
      <c r="B71" s="825" t="s">
        <v>666</v>
      </c>
      <c r="C71" s="60">
        <v>144815671</v>
      </c>
      <c r="D71" s="826">
        <v>21505.21</v>
      </c>
    </row>
    <row r="72" spans="1:4" ht="15" customHeight="1">
      <c r="A72" s="825">
        <v>1120116117</v>
      </c>
      <c r="B72" s="825" t="s">
        <v>668</v>
      </c>
      <c r="C72" s="60">
        <v>5339588</v>
      </c>
      <c r="D72" s="826">
        <v>792.93</v>
      </c>
    </row>
    <row r="73" spans="1:4" ht="15" customHeight="1">
      <c r="A73" s="825">
        <v>1120116118</v>
      </c>
      <c r="B73" s="825" t="s">
        <v>669</v>
      </c>
      <c r="C73" s="60">
        <v>9957536</v>
      </c>
      <c r="D73" s="826">
        <v>1478.7</v>
      </c>
    </row>
    <row r="74" spans="1:4" ht="15" customHeight="1">
      <c r="A74" s="825">
        <v>1120116129</v>
      </c>
      <c r="B74" s="825" t="s">
        <v>670</v>
      </c>
      <c r="C74" s="60">
        <v>44437500</v>
      </c>
      <c r="D74" s="826">
        <v>6598.99</v>
      </c>
    </row>
    <row r="75" spans="1:4" ht="15" customHeight="1">
      <c r="A75" s="825">
        <v>11201162</v>
      </c>
      <c r="B75" s="825" t="s">
        <v>671</v>
      </c>
      <c r="C75" s="60">
        <v>-7308700448</v>
      </c>
      <c r="D75" s="826">
        <v>-1085346.33</v>
      </c>
    </row>
    <row r="76" spans="1:4" ht="15" customHeight="1">
      <c r="A76" s="825">
        <v>1120116201</v>
      </c>
      <c r="B76" s="825" t="s">
        <v>672</v>
      </c>
      <c r="C76" s="60">
        <v>-4096671918</v>
      </c>
      <c r="D76" s="826">
        <v>-608358.19999999995</v>
      </c>
    </row>
    <row r="77" spans="1:4" ht="15" customHeight="1">
      <c r="A77" s="825">
        <v>1120116203</v>
      </c>
      <c r="B77" s="825" t="s">
        <v>910</v>
      </c>
      <c r="C77" s="60">
        <v>-840177973</v>
      </c>
      <c r="D77" s="826">
        <v>-124766.92</v>
      </c>
    </row>
    <row r="78" spans="1:4" ht="15" customHeight="1">
      <c r="A78" s="825">
        <v>1120116204</v>
      </c>
      <c r="B78" s="825" t="s">
        <v>849</v>
      </c>
      <c r="C78" s="60">
        <v>-24291015</v>
      </c>
      <c r="D78" s="826">
        <v>-3607.23</v>
      </c>
    </row>
    <row r="79" spans="1:4" ht="15" customHeight="1">
      <c r="A79" s="825">
        <v>1120116205</v>
      </c>
      <c r="B79" s="825" t="s">
        <v>673</v>
      </c>
      <c r="C79" s="60">
        <v>-1826026134</v>
      </c>
      <c r="D79" s="826">
        <v>-271165.96000000002</v>
      </c>
    </row>
    <row r="80" spans="1:4" ht="15" customHeight="1">
      <c r="A80" s="825">
        <v>1120116206</v>
      </c>
      <c r="B80" s="825" t="s">
        <v>674</v>
      </c>
      <c r="C80" s="60">
        <v>-334323656</v>
      </c>
      <c r="D80" s="826">
        <v>-49647.26</v>
      </c>
    </row>
    <row r="81" spans="1:4" ht="15" customHeight="1">
      <c r="A81" s="825">
        <v>1120116207</v>
      </c>
      <c r="B81" s="825" t="s">
        <v>675</v>
      </c>
      <c r="C81" s="60">
        <v>-133087890</v>
      </c>
      <c r="D81" s="826">
        <v>-19763.63</v>
      </c>
    </row>
    <row r="82" spans="1:4" ht="15" customHeight="1">
      <c r="A82" s="825">
        <v>1120116217</v>
      </c>
      <c r="B82" s="825" t="s">
        <v>677</v>
      </c>
      <c r="C82" s="60">
        <v>-4373836</v>
      </c>
      <c r="D82" s="826">
        <v>-649.52</v>
      </c>
    </row>
    <row r="83" spans="1:4" ht="15" customHeight="1">
      <c r="A83" s="825">
        <v>1120116218</v>
      </c>
      <c r="B83" s="825" t="s">
        <v>678</v>
      </c>
      <c r="C83" s="60">
        <v>-6618627</v>
      </c>
      <c r="D83" s="826">
        <v>-982.87</v>
      </c>
    </row>
    <row r="84" spans="1:4" ht="15" customHeight="1">
      <c r="A84" s="825">
        <v>1120116229</v>
      </c>
      <c r="B84" s="825" t="s">
        <v>679</v>
      </c>
      <c r="C84" s="60">
        <v>-43129399</v>
      </c>
      <c r="D84" s="826">
        <v>-6404.74</v>
      </c>
    </row>
    <row r="85" spans="1:4" ht="15" customHeight="1">
      <c r="A85" s="825">
        <v>11203</v>
      </c>
      <c r="B85" s="825" t="s">
        <v>150</v>
      </c>
      <c r="C85" s="60">
        <v>36728883000</v>
      </c>
      <c r="D85" s="826">
        <v>5454260.7800000003</v>
      </c>
    </row>
    <row r="86" spans="1:4" ht="15" customHeight="1">
      <c r="A86" s="825">
        <v>112031</v>
      </c>
      <c r="B86" s="825" t="s">
        <v>680</v>
      </c>
      <c r="C86" s="60">
        <v>36728883000</v>
      </c>
      <c r="D86" s="826">
        <v>5454260.7800000003</v>
      </c>
    </row>
    <row r="87" spans="1:4" ht="15" customHeight="1">
      <c r="A87" s="825">
        <v>11203101</v>
      </c>
      <c r="B87" s="825" t="s">
        <v>681</v>
      </c>
      <c r="C87" s="60">
        <v>36728883000</v>
      </c>
      <c r="D87" s="826">
        <v>5454260.7800000003</v>
      </c>
    </row>
    <row r="88" spans="1:4" ht="15" customHeight="1">
      <c r="A88" s="825">
        <v>1120310101</v>
      </c>
      <c r="B88" s="825" t="s">
        <v>682</v>
      </c>
      <c r="C88" s="60">
        <v>27005000000</v>
      </c>
      <c r="D88" s="826">
        <v>4010258.42</v>
      </c>
    </row>
    <row r="89" spans="1:4" ht="15" customHeight="1">
      <c r="A89" s="825">
        <v>1120310102</v>
      </c>
      <c r="B89" s="825" t="s">
        <v>683</v>
      </c>
      <c r="C89" s="60">
        <v>5723883000</v>
      </c>
      <c r="D89" s="826">
        <v>850000</v>
      </c>
    </row>
    <row r="90" spans="1:4" ht="15" customHeight="1">
      <c r="A90" s="825">
        <v>1120310103</v>
      </c>
      <c r="B90" s="825" t="s">
        <v>1184</v>
      </c>
      <c r="C90" s="60">
        <v>4000000000</v>
      </c>
      <c r="D90" s="826">
        <v>594002.36</v>
      </c>
    </row>
    <row r="91" spans="1:4" ht="15" customHeight="1">
      <c r="A91" s="825">
        <v>113</v>
      </c>
      <c r="B91" s="825" t="s">
        <v>684</v>
      </c>
      <c r="C91" s="60">
        <v>508187663</v>
      </c>
      <c r="D91" s="826">
        <v>75466.17</v>
      </c>
    </row>
    <row r="92" spans="1:4" ht="15" customHeight="1">
      <c r="A92" s="825">
        <v>11301</v>
      </c>
      <c r="B92" s="825" t="s">
        <v>335</v>
      </c>
      <c r="C92" s="60">
        <v>148028373</v>
      </c>
      <c r="D92" s="826">
        <v>21982.3</v>
      </c>
    </row>
    <row r="93" spans="1:4" ht="15" customHeight="1">
      <c r="A93" s="825">
        <v>1130101</v>
      </c>
      <c r="B93" s="825" t="s">
        <v>685</v>
      </c>
      <c r="C93" s="60">
        <v>7004485</v>
      </c>
      <c r="D93" s="826">
        <v>1040.17</v>
      </c>
    </row>
    <row r="94" spans="1:4" ht="15" customHeight="1">
      <c r="A94" s="825">
        <v>113010101</v>
      </c>
      <c r="B94" s="825" t="s">
        <v>686</v>
      </c>
      <c r="C94" s="60">
        <v>2388072</v>
      </c>
      <c r="D94" s="826">
        <v>354.63</v>
      </c>
    </row>
    <row r="95" spans="1:4" ht="15" customHeight="1">
      <c r="A95" s="825">
        <v>113010102</v>
      </c>
      <c r="B95" s="825" t="s">
        <v>687</v>
      </c>
      <c r="C95" s="60">
        <v>4616413</v>
      </c>
      <c r="D95" s="826">
        <v>685.54</v>
      </c>
    </row>
    <row r="96" spans="1:4" ht="15" customHeight="1">
      <c r="A96" s="825">
        <v>1130102</v>
      </c>
      <c r="B96" s="825" t="s">
        <v>516</v>
      </c>
      <c r="C96" s="60">
        <v>141023888</v>
      </c>
      <c r="D96" s="826">
        <v>20942.13</v>
      </c>
    </row>
    <row r="97" spans="1:4" ht="15" customHeight="1">
      <c r="A97" s="825">
        <v>113010201</v>
      </c>
      <c r="B97" s="825" t="s">
        <v>1185</v>
      </c>
      <c r="C97" s="60">
        <v>116020014</v>
      </c>
      <c r="D97" s="826">
        <v>17229.04</v>
      </c>
    </row>
    <row r="98" spans="1:4" ht="15" customHeight="1">
      <c r="A98" s="825">
        <v>113010202</v>
      </c>
      <c r="B98" s="825" t="s">
        <v>1186</v>
      </c>
      <c r="C98" s="60">
        <v>25003874</v>
      </c>
      <c r="D98" s="826">
        <v>3713.09</v>
      </c>
    </row>
    <row r="99" spans="1:4" ht="15" customHeight="1">
      <c r="A99" s="825">
        <v>11302</v>
      </c>
      <c r="B99" s="825" t="s">
        <v>688</v>
      </c>
      <c r="C99" s="60">
        <v>7217198</v>
      </c>
      <c r="D99" s="826">
        <v>1071.76</v>
      </c>
    </row>
    <row r="100" spans="1:4" ht="15" customHeight="1">
      <c r="A100" s="825">
        <v>1130202</v>
      </c>
      <c r="B100" s="825" t="s">
        <v>689</v>
      </c>
      <c r="C100" s="60">
        <v>3300000</v>
      </c>
      <c r="D100" s="826">
        <v>490.05</v>
      </c>
    </row>
    <row r="101" spans="1:4" ht="15" customHeight="1">
      <c r="A101" s="825">
        <v>113020201</v>
      </c>
      <c r="B101" s="825" t="s">
        <v>952</v>
      </c>
      <c r="C101" s="60">
        <v>3300000</v>
      </c>
      <c r="D101" s="826">
        <v>490.05</v>
      </c>
    </row>
    <row r="102" spans="1:4" ht="15" customHeight="1">
      <c r="A102" s="825">
        <v>1130203</v>
      </c>
      <c r="B102" s="825" t="s">
        <v>162</v>
      </c>
      <c r="C102" s="60">
        <v>3917198</v>
      </c>
      <c r="D102" s="826">
        <v>581.71</v>
      </c>
    </row>
    <row r="103" spans="1:4" ht="15" customHeight="1">
      <c r="A103" s="825">
        <v>113020301</v>
      </c>
      <c r="B103" s="825" t="s">
        <v>691</v>
      </c>
      <c r="C103" s="60">
        <v>3917198</v>
      </c>
      <c r="D103" s="826">
        <v>581.71</v>
      </c>
    </row>
    <row r="104" spans="1:4" ht="15" customHeight="1">
      <c r="A104" s="825">
        <v>11303</v>
      </c>
      <c r="B104" s="825" t="s">
        <v>693</v>
      </c>
      <c r="C104" s="60">
        <v>239669108</v>
      </c>
      <c r="D104" s="826">
        <v>35591</v>
      </c>
    </row>
    <row r="105" spans="1:4" ht="15" customHeight="1">
      <c r="A105" s="825">
        <v>1130301</v>
      </c>
      <c r="B105" s="825" t="s">
        <v>694</v>
      </c>
      <c r="C105" s="60">
        <v>239669108</v>
      </c>
      <c r="D105" s="826">
        <v>35591</v>
      </c>
    </row>
    <row r="106" spans="1:4" ht="15" customHeight="1">
      <c r="A106" s="825">
        <v>113030101</v>
      </c>
      <c r="B106" s="825" t="s">
        <v>694</v>
      </c>
      <c r="C106" s="60">
        <v>129231834</v>
      </c>
      <c r="D106" s="826">
        <v>19191</v>
      </c>
    </row>
    <row r="107" spans="1:4" ht="15" customHeight="1">
      <c r="A107" s="825">
        <v>113030102</v>
      </c>
      <c r="B107" s="825" t="s">
        <v>694</v>
      </c>
      <c r="C107" s="60">
        <v>110437274</v>
      </c>
      <c r="D107" s="826">
        <v>16400</v>
      </c>
    </row>
    <row r="108" spans="1:4" ht="15" customHeight="1">
      <c r="A108" s="825">
        <v>11308</v>
      </c>
      <c r="B108" s="825" t="s">
        <v>696</v>
      </c>
      <c r="C108" s="60">
        <v>107283787</v>
      </c>
      <c r="D108" s="826">
        <v>15931.71</v>
      </c>
    </row>
    <row r="109" spans="1:4" ht="15" customHeight="1">
      <c r="A109" s="825">
        <v>1130801</v>
      </c>
      <c r="B109" s="825" t="s">
        <v>697</v>
      </c>
      <c r="C109" s="60">
        <v>65868477</v>
      </c>
      <c r="D109" s="826">
        <v>9781.51</v>
      </c>
    </row>
    <row r="110" spans="1:4" ht="15" customHeight="1">
      <c r="A110" s="825">
        <v>1130802</v>
      </c>
      <c r="B110" s="825" t="s">
        <v>744</v>
      </c>
      <c r="C110" s="60">
        <v>4033748</v>
      </c>
      <c r="D110" s="826">
        <v>599.01</v>
      </c>
    </row>
    <row r="111" spans="1:4" ht="15" customHeight="1">
      <c r="A111" s="825">
        <v>113080201</v>
      </c>
      <c r="B111" s="825" t="s">
        <v>960</v>
      </c>
      <c r="C111" s="60">
        <v>4033748</v>
      </c>
      <c r="D111" s="826">
        <v>599.01</v>
      </c>
    </row>
    <row r="112" spans="1:4" ht="15" customHeight="1">
      <c r="A112" s="825">
        <v>1130803</v>
      </c>
      <c r="B112" s="825" t="s">
        <v>962</v>
      </c>
      <c r="C112" s="60">
        <v>781466</v>
      </c>
      <c r="D112" s="826">
        <v>116.05</v>
      </c>
    </row>
    <row r="113" spans="1:4" ht="15" customHeight="1">
      <c r="A113" s="825">
        <v>1130804</v>
      </c>
      <c r="B113" s="825" t="s">
        <v>261</v>
      </c>
      <c r="C113" s="60">
        <v>36470619</v>
      </c>
      <c r="D113" s="826">
        <v>5415.91</v>
      </c>
    </row>
    <row r="114" spans="1:4" ht="15" customHeight="1">
      <c r="A114" s="825">
        <v>1130805</v>
      </c>
      <c r="B114" s="825" t="s">
        <v>698</v>
      </c>
      <c r="C114" s="60">
        <v>129477</v>
      </c>
      <c r="D114" s="826">
        <v>19.23</v>
      </c>
    </row>
    <row r="115" spans="1:4" ht="15" customHeight="1">
      <c r="A115" s="825">
        <v>11309</v>
      </c>
      <c r="B115" s="825" t="s">
        <v>699</v>
      </c>
      <c r="C115" s="60">
        <v>5989197</v>
      </c>
      <c r="D115" s="826">
        <v>889.4</v>
      </c>
    </row>
    <row r="116" spans="1:4" ht="15" customHeight="1">
      <c r="A116" s="825">
        <v>1130901</v>
      </c>
      <c r="B116" s="825" t="s">
        <v>964</v>
      </c>
      <c r="C116" s="60">
        <v>862459</v>
      </c>
      <c r="D116" s="826">
        <v>128.08000000000001</v>
      </c>
    </row>
    <row r="117" spans="1:4" ht="15" customHeight="1">
      <c r="A117" s="825">
        <v>113090101</v>
      </c>
      <c r="B117" s="825" t="s">
        <v>267</v>
      </c>
      <c r="C117" s="60">
        <v>640238</v>
      </c>
      <c r="D117" s="826">
        <v>95.08</v>
      </c>
    </row>
    <row r="118" spans="1:4" ht="15" customHeight="1">
      <c r="A118" s="825">
        <v>113090102</v>
      </c>
      <c r="B118" s="825" t="s">
        <v>965</v>
      </c>
      <c r="C118" s="60">
        <v>222221</v>
      </c>
      <c r="D118" s="826">
        <v>33</v>
      </c>
    </row>
    <row r="119" spans="1:4" ht="15" customHeight="1">
      <c r="A119" s="825">
        <v>1130902</v>
      </c>
      <c r="B119" s="825" t="s">
        <v>700</v>
      </c>
      <c r="C119" s="60">
        <v>5126738</v>
      </c>
      <c r="D119" s="826">
        <v>761.32</v>
      </c>
    </row>
    <row r="120" spans="1:4" ht="15" customHeight="1">
      <c r="A120" s="825">
        <v>113090201</v>
      </c>
      <c r="B120" s="825" t="s">
        <v>701</v>
      </c>
      <c r="C120" s="60">
        <v>5126738</v>
      </c>
      <c r="D120" s="826">
        <v>761.32</v>
      </c>
    </row>
    <row r="121" spans="1:4" ht="15" customHeight="1">
      <c r="A121" s="825">
        <v>115</v>
      </c>
      <c r="B121" s="825" t="s">
        <v>292</v>
      </c>
      <c r="C121" s="60">
        <v>97722807</v>
      </c>
      <c r="D121" s="826">
        <v>14511.89</v>
      </c>
    </row>
    <row r="122" spans="1:4" ht="15" customHeight="1">
      <c r="A122" s="825">
        <v>11501</v>
      </c>
      <c r="B122" s="825" t="s">
        <v>262</v>
      </c>
      <c r="C122" s="60">
        <v>95064270</v>
      </c>
      <c r="D122" s="826">
        <v>14117.1</v>
      </c>
    </row>
    <row r="123" spans="1:4" ht="15" customHeight="1">
      <c r="A123" s="825">
        <v>1150101</v>
      </c>
      <c r="B123" s="825" t="s">
        <v>702</v>
      </c>
      <c r="C123" s="60">
        <v>1217100</v>
      </c>
      <c r="D123" s="826">
        <v>180.74</v>
      </c>
    </row>
    <row r="124" spans="1:4" ht="15" customHeight="1">
      <c r="A124" s="825">
        <v>1150102</v>
      </c>
      <c r="B124" s="825" t="s">
        <v>170</v>
      </c>
      <c r="C124" s="60">
        <v>40403880</v>
      </c>
      <c r="D124" s="826">
        <v>6000</v>
      </c>
    </row>
    <row r="125" spans="1:4" ht="15" customHeight="1">
      <c r="A125" s="825">
        <v>1150103</v>
      </c>
      <c r="B125" s="825" t="s">
        <v>971</v>
      </c>
      <c r="C125" s="60">
        <v>2938440</v>
      </c>
      <c r="D125" s="826">
        <v>436.36</v>
      </c>
    </row>
    <row r="126" spans="1:4" ht="15" customHeight="1">
      <c r="A126" s="825">
        <v>1150104</v>
      </c>
      <c r="B126" s="825" t="s">
        <v>703</v>
      </c>
      <c r="C126" s="60">
        <v>50504850</v>
      </c>
      <c r="D126" s="826">
        <v>7500</v>
      </c>
    </row>
    <row r="127" spans="1:4" ht="15" customHeight="1">
      <c r="A127" s="825">
        <v>11502</v>
      </c>
      <c r="B127" s="825" t="s">
        <v>704</v>
      </c>
      <c r="C127" s="60">
        <v>2658537</v>
      </c>
      <c r="D127" s="826">
        <v>394.79</v>
      </c>
    </row>
    <row r="128" spans="1:4" ht="15" customHeight="1">
      <c r="A128" s="825">
        <v>1150205</v>
      </c>
      <c r="B128" s="825" t="s">
        <v>517</v>
      </c>
      <c r="C128" s="60">
        <v>2658537</v>
      </c>
      <c r="D128" s="826">
        <v>394.79</v>
      </c>
    </row>
    <row r="129" spans="1:4" ht="15" customHeight="1">
      <c r="A129" s="825">
        <v>12</v>
      </c>
      <c r="B129" s="825" t="s">
        <v>7</v>
      </c>
      <c r="C129" s="60">
        <v>7015740378</v>
      </c>
      <c r="D129" s="826">
        <v>1075222.42</v>
      </c>
    </row>
    <row r="130" spans="1:4" ht="15" customHeight="1">
      <c r="A130" s="825">
        <v>121</v>
      </c>
      <c r="B130" s="825" t="s">
        <v>152</v>
      </c>
      <c r="C130" s="60">
        <v>5347599895</v>
      </c>
      <c r="D130" s="826">
        <v>821952.18</v>
      </c>
    </row>
    <row r="131" spans="1:4" ht="15" customHeight="1">
      <c r="A131" s="825">
        <v>12101</v>
      </c>
      <c r="B131" s="825" t="s">
        <v>705</v>
      </c>
      <c r="C131" s="60">
        <v>4447599895</v>
      </c>
      <c r="D131" s="826">
        <v>688301.65</v>
      </c>
    </row>
    <row r="132" spans="1:4" ht="15" customHeight="1">
      <c r="A132" s="825">
        <v>121011</v>
      </c>
      <c r="B132" s="825" t="s">
        <v>706</v>
      </c>
      <c r="C132" s="60">
        <v>4447599895</v>
      </c>
      <c r="D132" s="826">
        <v>688301.65</v>
      </c>
    </row>
    <row r="133" spans="1:4" ht="15" customHeight="1">
      <c r="A133" s="825">
        <v>12101103</v>
      </c>
      <c r="B133" s="825" t="s">
        <v>659</v>
      </c>
      <c r="C133" s="60">
        <v>3500000000</v>
      </c>
      <c r="D133" s="826">
        <v>543281.69999999995</v>
      </c>
    </row>
    <row r="134" spans="1:4" ht="15" customHeight="1">
      <c r="A134" s="825">
        <v>1210110301</v>
      </c>
      <c r="B134" s="825" t="s">
        <v>401</v>
      </c>
      <c r="C134" s="60">
        <v>3500000000</v>
      </c>
      <c r="D134" s="826">
        <v>543281.69999999995</v>
      </c>
    </row>
    <row r="135" spans="1:4" ht="15" customHeight="1">
      <c r="A135" s="825">
        <v>12101108</v>
      </c>
      <c r="B135" s="825" t="s">
        <v>505</v>
      </c>
      <c r="C135" s="60">
        <v>947599895</v>
      </c>
      <c r="D135" s="826">
        <v>145019.95000000001</v>
      </c>
    </row>
    <row r="136" spans="1:4" ht="15" customHeight="1">
      <c r="A136" s="825">
        <v>1210110801</v>
      </c>
      <c r="B136" s="825" t="s">
        <v>382</v>
      </c>
      <c r="C136" s="60">
        <v>947599895</v>
      </c>
      <c r="D136" s="826">
        <v>145019.95000000001</v>
      </c>
    </row>
    <row r="137" spans="1:4" ht="15" customHeight="1">
      <c r="A137" s="825">
        <v>12103</v>
      </c>
      <c r="B137" s="825" t="s">
        <v>707</v>
      </c>
      <c r="C137" s="60">
        <v>900000000</v>
      </c>
      <c r="D137" s="826">
        <v>133650.53</v>
      </c>
    </row>
    <row r="138" spans="1:4" ht="15" customHeight="1">
      <c r="A138" s="825">
        <v>1210301</v>
      </c>
      <c r="B138" s="825" t="s">
        <v>708</v>
      </c>
      <c r="C138" s="60">
        <v>900000000</v>
      </c>
      <c r="D138" s="826">
        <v>133650.53</v>
      </c>
    </row>
    <row r="139" spans="1:4" ht="15" customHeight="1">
      <c r="A139" s="825">
        <v>127</v>
      </c>
      <c r="B139" s="825" t="s">
        <v>709</v>
      </c>
      <c r="C139" s="60">
        <v>963302645</v>
      </c>
      <c r="D139" s="826">
        <v>142569.29</v>
      </c>
    </row>
    <row r="140" spans="1:4" ht="15" customHeight="1">
      <c r="A140" s="825">
        <v>12701</v>
      </c>
      <c r="B140" s="825" t="s">
        <v>710</v>
      </c>
      <c r="C140" s="60">
        <v>963302645</v>
      </c>
      <c r="D140" s="826">
        <v>142569.29</v>
      </c>
    </row>
    <row r="141" spans="1:4" ht="15" customHeight="1">
      <c r="A141" s="825">
        <v>1270102</v>
      </c>
      <c r="B141" s="825" t="s">
        <v>153</v>
      </c>
      <c r="C141" s="60">
        <v>118579522</v>
      </c>
      <c r="D141" s="826">
        <v>17529.849999999999</v>
      </c>
    </row>
    <row r="142" spans="1:4" ht="15" customHeight="1">
      <c r="A142" s="825">
        <v>1270103</v>
      </c>
      <c r="B142" s="825" t="s">
        <v>1154</v>
      </c>
      <c r="C142" s="60">
        <v>241690596</v>
      </c>
      <c r="D142" s="826">
        <v>35763.35</v>
      </c>
    </row>
    <row r="143" spans="1:4" ht="15" customHeight="1">
      <c r="A143" s="825">
        <v>1270104</v>
      </c>
      <c r="B143" s="825" t="s">
        <v>712</v>
      </c>
      <c r="C143" s="60">
        <v>291105376</v>
      </c>
      <c r="D143" s="826">
        <v>42711.33</v>
      </c>
    </row>
    <row r="144" spans="1:4" ht="15" customHeight="1">
      <c r="A144" s="825">
        <v>1270107</v>
      </c>
      <c r="B144" s="825" t="s">
        <v>997</v>
      </c>
      <c r="C144" s="60">
        <v>316522493</v>
      </c>
      <c r="D144" s="826">
        <v>47288.01</v>
      </c>
    </row>
    <row r="145" spans="1:4" ht="15" customHeight="1">
      <c r="A145" s="825">
        <v>1270120</v>
      </c>
      <c r="B145" s="825" t="s">
        <v>713</v>
      </c>
      <c r="C145" s="60">
        <v>-4595342</v>
      </c>
      <c r="D145" s="826">
        <v>-723.25</v>
      </c>
    </row>
    <row r="146" spans="1:4" ht="15" customHeight="1">
      <c r="A146" s="825">
        <v>127012003</v>
      </c>
      <c r="B146" s="825" t="s">
        <v>714</v>
      </c>
      <c r="C146" s="60">
        <v>-294240</v>
      </c>
      <c r="D146" s="826">
        <v>-44.04</v>
      </c>
    </row>
    <row r="147" spans="1:4" ht="15" customHeight="1">
      <c r="A147" s="825">
        <v>127012004</v>
      </c>
      <c r="B147" s="825" t="s">
        <v>715</v>
      </c>
      <c r="C147" s="60">
        <v>-4301102</v>
      </c>
      <c r="D147" s="826">
        <v>-679.21</v>
      </c>
    </row>
    <row r="148" spans="1:4" ht="15" customHeight="1">
      <c r="A148" s="825">
        <v>128</v>
      </c>
      <c r="B148" s="825" t="s">
        <v>716</v>
      </c>
      <c r="C148" s="60">
        <v>692462920</v>
      </c>
      <c r="D148" s="826">
        <v>108780.95</v>
      </c>
    </row>
    <row r="149" spans="1:4" ht="15" customHeight="1">
      <c r="A149" s="825">
        <v>12801</v>
      </c>
      <c r="B149" s="825" t="s">
        <v>94</v>
      </c>
      <c r="C149" s="60">
        <v>216415507</v>
      </c>
      <c r="D149" s="826">
        <v>31824.23</v>
      </c>
    </row>
    <row r="150" spans="1:4" ht="15" customHeight="1">
      <c r="A150" s="825">
        <v>1280102</v>
      </c>
      <c r="B150" s="825" t="s">
        <v>717</v>
      </c>
      <c r="C150" s="60">
        <v>216415507</v>
      </c>
      <c r="D150" s="826">
        <v>31824.23</v>
      </c>
    </row>
    <row r="151" spans="1:4" ht="15" customHeight="1">
      <c r="A151" s="825">
        <v>12802</v>
      </c>
      <c r="B151" s="825" t="s">
        <v>718</v>
      </c>
      <c r="C151" s="60">
        <v>664927388</v>
      </c>
      <c r="D151" s="826">
        <v>107531.74</v>
      </c>
    </row>
    <row r="152" spans="1:4" ht="15" customHeight="1">
      <c r="A152" s="825">
        <v>12803</v>
      </c>
      <c r="B152" s="825" t="s">
        <v>95</v>
      </c>
      <c r="C152" s="60">
        <v>8000000</v>
      </c>
      <c r="D152" s="826">
        <v>1288.27</v>
      </c>
    </row>
    <row r="153" spans="1:4" ht="15" customHeight="1">
      <c r="A153" s="825">
        <v>12804</v>
      </c>
      <c r="B153" s="825" t="s">
        <v>263</v>
      </c>
      <c r="C153" s="60">
        <v>57764419</v>
      </c>
      <c r="D153" s="826">
        <v>9621.58</v>
      </c>
    </row>
    <row r="154" spans="1:4" ht="15" customHeight="1">
      <c r="A154" s="825">
        <v>1280401</v>
      </c>
      <c r="B154" s="825" t="s">
        <v>155</v>
      </c>
      <c r="C154" s="60">
        <v>57764419</v>
      </c>
      <c r="D154" s="826">
        <v>9621.58</v>
      </c>
    </row>
    <row r="155" spans="1:4" ht="15" customHeight="1">
      <c r="A155" s="825">
        <v>12820</v>
      </c>
      <c r="B155" s="825" t="s">
        <v>720</v>
      </c>
      <c r="C155" s="60">
        <v>-254644394</v>
      </c>
      <c r="D155" s="826">
        <v>-41484.870000000003</v>
      </c>
    </row>
    <row r="156" spans="1:4" ht="15" customHeight="1">
      <c r="A156" s="825">
        <v>1282001</v>
      </c>
      <c r="B156" s="825" t="s">
        <v>94</v>
      </c>
      <c r="C156" s="60">
        <v>-20013966</v>
      </c>
      <c r="D156" s="826">
        <v>-3061.56</v>
      </c>
    </row>
    <row r="157" spans="1:4" ht="15" customHeight="1">
      <c r="A157" s="825">
        <v>1282002</v>
      </c>
      <c r="B157" s="825" t="s">
        <v>95</v>
      </c>
      <c r="C157" s="60">
        <v>-2240010</v>
      </c>
      <c r="D157" s="826">
        <v>-378.72</v>
      </c>
    </row>
    <row r="158" spans="1:4" ht="15" customHeight="1">
      <c r="A158" s="825">
        <v>1282003</v>
      </c>
      <c r="B158" s="825" t="s">
        <v>155</v>
      </c>
      <c r="C158" s="60">
        <v>-39674804</v>
      </c>
      <c r="D158" s="826">
        <v>-6639.58</v>
      </c>
    </row>
    <row r="159" spans="1:4" ht="15" customHeight="1">
      <c r="A159" s="825">
        <v>1282004</v>
      </c>
      <c r="B159" s="825" t="s">
        <v>721</v>
      </c>
      <c r="C159" s="60">
        <v>-192715614</v>
      </c>
      <c r="D159" s="826">
        <v>-31405.01</v>
      </c>
    </row>
    <row r="160" spans="1:4" ht="15" customHeight="1">
      <c r="A160" s="825">
        <v>129</v>
      </c>
      <c r="B160" s="825" t="s">
        <v>1187</v>
      </c>
      <c r="C160" s="60">
        <v>12374918</v>
      </c>
      <c r="D160" s="826">
        <v>1920</v>
      </c>
    </row>
    <row r="161" spans="1:4" ht="15" customHeight="1">
      <c r="A161" s="825">
        <v>12901</v>
      </c>
      <c r="B161" s="825" t="s">
        <v>1188</v>
      </c>
      <c r="C161" s="60">
        <v>12374918</v>
      </c>
      <c r="D161" s="826">
        <v>1920</v>
      </c>
    </row>
    <row r="162" spans="1:4" ht="15" customHeight="1">
      <c r="A162" s="825">
        <v>2</v>
      </c>
      <c r="B162" s="825" t="s">
        <v>8</v>
      </c>
      <c r="C162" s="60">
        <v>38738849909</v>
      </c>
      <c r="D162" s="826">
        <v>5729437.9299999997</v>
      </c>
    </row>
    <row r="163" spans="1:4" ht="15" customHeight="1">
      <c r="A163" s="825">
        <v>21</v>
      </c>
      <c r="B163" s="825" t="s">
        <v>9</v>
      </c>
      <c r="C163" s="60">
        <v>38738849909</v>
      </c>
      <c r="D163" s="826">
        <v>5729437.9299999997</v>
      </c>
    </row>
    <row r="164" spans="1:4" ht="15" customHeight="1">
      <c r="A164" s="825">
        <v>211</v>
      </c>
      <c r="B164" s="825" t="s">
        <v>722</v>
      </c>
      <c r="C164" s="60">
        <v>3511986991</v>
      </c>
      <c r="D164" s="826">
        <v>519419.43</v>
      </c>
    </row>
    <row r="165" spans="1:4" ht="15" customHeight="1">
      <c r="A165" s="825">
        <v>21101</v>
      </c>
      <c r="B165" s="825" t="s">
        <v>723</v>
      </c>
      <c r="C165" s="60">
        <v>3333150833</v>
      </c>
      <c r="D165" s="826">
        <v>492969.74</v>
      </c>
    </row>
    <row r="166" spans="1:4" ht="15" customHeight="1">
      <c r="A166" s="825">
        <v>2110101</v>
      </c>
      <c r="B166" s="825" t="s">
        <v>516</v>
      </c>
      <c r="C166" s="60">
        <v>3330263856</v>
      </c>
      <c r="D166" s="826">
        <v>492542.76</v>
      </c>
    </row>
    <row r="167" spans="1:4" ht="15" customHeight="1">
      <c r="A167" s="825">
        <v>211010101</v>
      </c>
      <c r="B167" s="825" t="s">
        <v>402</v>
      </c>
      <c r="C167" s="60">
        <v>747184</v>
      </c>
      <c r="D167" s="826">
        <v>110.51</v>
      </c>
    </row>
    <row r="168" spans="1:4" ht="15" customHeight="1">
      <c r="A168" s="825">
        <v>211010102</v>
      </c>
      <c r="B168" s="825" t="s">
        <v>724</v>
      </c>
      <c r="C168" s="60">
        <v>-60852</v>
      </c>
      <c r="D168" s="826">
        <v>-9</v>
      </c>
    </row>
    <row r="169" spans="1:4" ht="15" customHeight="1">
      <c r="A169" s="825">
        <v>211010103</v>
      </c>
      <c r="B169" s="825" t="s">
        <v>1189</v>
      </c>
      <c r="C169" s="60">
        <v>1051405032</v>
      </c>
      <c r="D169" s="826">
        <v>155501.76999999999</v>
      </c>
    </row>
    <row r="170" spans="1:4" ht="15" customHeight="1">
      <c r="A170" s="825">
        <v>211010104</v>
      </c>
      <c r="B170" s="825" t="s">
        <v>1190</v>
      </c>
      <c r="C170" s="60">
        <v>2278172492</v>
      </c>
      <c r="D170" s="826">
        <v>336939.48</v>
      </c>
    </row>
    <row r="171" spans="1:4" ht="15" customHeight="1">
      <c r="A171" s="825">
        <v>2110103</v>
      </c>
      <c r="B171" s="825" t="s">
        <v>725</v>
      </c>
      <c r="C171" s="60">
        <v>2886977</v>
      </c>
      <c r="D171" s="826">
        <v>426.98</v>
      </c>
    </row>
    <row r="172" spans="1:4" ht="15" customHeight="1">
      <c r="A172" s="825">
        <v>211010301</v>
      </c>
      <c r="B172" s="825" t="s">
        <v>726</v>
      </c>
      <c r="C172" s="60">
        <v>2886977</v>
      </c>
      <c r="D172" s="826">
        <v>426.98</v>
      </c>
    </row>
    <row r="173" spans="1:4" ht="15" customHeight="1">
      <c r="A173" s="825">
        <v>21103</v>
      </c>
      <c r="B173" s="825" t="s">
        <v>1003</v>
      </c>
      <c r="C173" s="60">
        <v>425720</v>
      </c>
      <c r="D173" s="826">
        <v>62.96</v>
      </c>
    </row>
    <row r="174" spans="1:4" ht="15" customHeight="1">
      <c r="A174" s="825">
        <v>211030101</v>
      </c>
      <c r="B174" s="825" t="s">
        <v>1003</v>
      </c>
      <c r="C174" s="60">
        <v>425720</v>
      </c>
      <c r="D174" s="826">
        <v>62.96</v>
      </c>
    </row>
    <row r="175" spans="1:4" ht="15" customHeight="1">
      <c r="A175" s="825">
        <v>21107</v>
      </c>
      <c r="B175" s="825" t="s">
        <v>727</v>
      </c>
      <c r="C175" s="60">
        <v>178410438</v>
      </c>
      <c r="D175" s="826">
        <v>26386.73</v>
      </c>
    </row>
    <row r="176" spans="1:4" ht="15" customHeight="1">
      <c r="A176" s="825">
        <v>2110701</v>
      </c>
      <c r="B176" s="825" t="s">
        <v>728</v>
      </c>
      <c r="C176" s="60">
        <v>86822069</v>
      </c>
      <c r="D176" s="826">
        <v>12840.9</v>
      </c>
    </row>
    <row r="177" spans="1:4" ht="15" customHeight="1">
      <c r="A177" s="825">
        <v>2110702</v>
      </c>
      <c r="B177" s="825" t="s">
        <v>729</v>
      </c>
      <c r="C177" s="60">
        <v>309874</v>
      </c>
      <c r="D177" s="826">
        <v>45.83</v>
      </c>
    </row>
    <row r="178" spans="1:4" ht="15" customHeight="1">
      <c r="A178" s="825">
        <v>2110703</v>
      </c>
      <c r="B178" s="825" t="s">
        <v>1007</v>
      </c>
      <c r="C178" s="60">
        <v>91278495</v>
      </c>
      <c r="D178" s="826">
        <v>13500</v>
      </c>
    </row>
    <row r="179" spans="1:4" ht="15" customHeight="1">
      <c r="A179" s="825">
        <v>213</v>
      </c>
      <c r="B179" s="825" t="s">
        <v>730</v>
      </c>
      <c r="C179" s="60">
        <v>33765001925</v>
      </c>
      <c r="D179" s="826">
        <v>4993810.71</v>
      </c>
    </row>
    <row r="180" spans="1:4" ht="15" customHeight="1">
      <c r="A180" s="825">
        <v>21301</v>
      </c>
      <c r="B180" s="825" t="s">
        <v>607</v>
      </c>
      <c r="C180" s="60">
        <v>71321210</v>
      </c>
      <c r="D180" s="826">
        <v>10548.34</v>
      </c>
    </row>
    <row r="181" spans="1:4" ht="15" customHeight="1">
      <c r="A181" s="825">
        <v>2130101</v>
      </c>
      <c r="B181" s="825" t="s">
        <v>731</v>
      </c>
      <c r="C181" s="60">
        <v>71321210</v>
      </c>
      <c r="D181" s="826">
        <v>10548.34</v>
      </c>
    </row>
    <row r="182" spans="1:4" ht="15" customHeight="1">
      <c r="A182" s="825">
        <v>213010101</v>
      </c>
      <c r="B182" s="825" t="s">
        <v>732</v>
      </c>
      <c r="C182" s="60">
        <v>71321210</v>
      </c>
      <c r="D182" s="826">
        <v>10548.34</v>
      </c>
    </row>
    <row r="183" spans="1:4" ht="15" customHeight="1">
      <c r="A183" s="825">
        <v>21303</v>
      </c>
      <c r="B183" s="825" t="s">
        <v>735</v>
      </c>
      <c r="C183" s="60">
        <v>33693680715</v>
      </c>
      <c r="D183" s="826">
        <v>4983262.37</v>
      </c>
    </row>
    <row r="184" spans="1:4" ht="15" customHeight="1">
      <c r="A184" s="825">
        <v>2130301</v>
      </c>
      <c r="B184" s="825" t="s">
        <v>736</v>
      </c>
      <c r="C184" s="60">
        <v>188201895</v>
      </c>
      <c r="D184" s="826">
        <v>27834.880000000001</v>
      </c>
    </row>
    <row r="185" spans="1:4" ht="15" customHeight="1">
      <c r="A185" s="825">
        <v>213030101</v>
      </c>
      <c r="B185" s="825" t="s">
        <v>737</v>
      </c>
      <c r="C185" s="60">
        <v>152102885</v>
      </c>
      <c r="D185" s="826">
        <v>22495.87</v>
      </c>
    </row>
    <row r="186" spans="1:4" ht="15" customHeight="1">
      <c r="A186" s="825">
        <v>213030102</v>
      </c>
      <c r="B186" s="825" t="s">
        <v>1017</v>
      </c>
      <c r="C186" s="60">
        <v>1102171</v>
      </c>
      <c r="D186" s="826">
        <v>163.01</v>
      </c>
    </row>
    <row r="187" spans="1:4" ht="15" customHeight="1">
      <c r="A187" s="825">
        <v>213030103</v>
      </c>
      <c r="B187" s="825" t="s">
        <v>1191</v>
      </c>
      <c r="C187" s="60">
        <v>34996839</v>
      </c>
      <c r="D187" s="826">
        <v>5176</v>
      </c>
    </row>
    <row r="188" spans="1:4" ht="15" customHeight="1">
      <c r="A188" s="825">
        <v>2130302</v>
      </c>
      <c r="B188" s="825" t="s">
        <v>1018</v>
      </c>
      <c r="C188" s="60">
        <v>-157994434</v>
      </c>
      <c r="D188" s="826">
        <v>-23367.22</v>
      </c>
    </row>
    <row r="189" spans="1:4" ht="15" customHeight="1">
      <c r="A189" s="825">
        <v>213030201</v>
      </c>
      <c r="B189" s="825" t="s">
        <v>1019</v>
      </c>
      <c r="C189" s="60">
        <v>-137136051</v>
      </c>
      <c r="D189" s="826">
        <v>-20282.29</v>
      </c>
    </row>
    <row r="190" spans="1:4" ht="15" customHeight="1">
      <c r="A190" s="825">
        <v>213030202</v>
      </c>
      <c r="B190" s="825" t="s">
        <v>1192</v>
      </c>
      <c r="C190" s="60">
        <v>-1102103</v>
      </c>
      <c r="D190" s="826">
        <v>-163</v>
      </c>
    </row>
    <row r="191" spans="1:4" ht="15" customHeight="1">
      <c r="A191" s="825">
        <v>213030203</v>
      </c>
      <c r="B191" s="825" t="s">
        <v>1193</v>
      </c>
      <c r="C191" s="60">
        <v>-19756280</v>
      </c>
      <c r="D191" s="826">
        <v>-2921.93</v>
      </c>
    </row>
    <row r="192" spans="1:4" ht="15" customHeight="1">
      <c r="A192" s="825">
        <v>2130303</v>
      </c>
      <c r="B192" s="825" t="s">
        <v>738</v>
      </c>
      <c r="C192" s="60">
        <v>33663473254</v>
      </c>
      <c r="D192" s="826">
        <v>4978794.71</v>
      </c>
    </row>
    <row r="193" spans="1:4" ht="15" customHeight="1">
      <c r="A193" s="825">
        <v>213030301</v>
      </c>
      <c r="B193" s="825" t="s">
        <v>739</v>
      </c>
      <c r="C193" s="60">
        <v>24664362438</v>
      </c>
      <c r="D193" s="826">
        <v>3647835.04</v>
      </c>
    </row>
    <row r="194" spans="1:4" ht="15" customHeight="1">
      <c r="A194" s="825">
        <v>213030302</v>
      </c>
      <c r="B194" s="825" t="s">
        <v>740</v>
      </c>
      <c r="C194" s="60">
        <v>5747164500</v>
      </c>
      <c r="D194" s="826">
        <v>850000</v>
      </c>
    </row>
    <row r="195" spans="1:4" ht="15" customHeight="1">
      <c r="A195" s="825">
        <v>213030303</v>
      </c>
      <c r="B195" s="825" t="s">
        <v>1194</v>
      </c>
      <c r="C195" s="60">
        <v>3251946316</v>
      </c>
      <c r="D195" s="826">
        <v>480959.67</v>
      </c>
    </row>
    <row r="196" spans="1:4" ht="15" customHeight="1">
      <c r="A196" s="825">
        <v>214</v>
      </c>
      <c r="B196" s="825" t="s">
        <v>10</v>
      </c>
      <c r="C196" s="60">
        <v>1461860993</v>
      </c>
      <c r="D196" s="826">
        <v>216207.79</v>
      </c>
    </row>
    <row r="197" spans="1:4" ht="15" customHeight="1">
      <c r="A197" s="825">
        <v>21401</v>
      </c>
      <c r="B197" s="825" t="s">
        <v>741</v>
      </c>
      <c r="C197" s="60">
        <v>312835441</v>
      </c>
      <c r="D197" s="826">
        <v>46268.05</v>
      </c>
    </row>
    <row r="198" spans="1:4" ht="15" customHeight="1">
      <c r="A198" s="825">
        <v>2140101</v>
      </c>
      <c r="B198" s="825" t="s">
        <v>1022</v>
      </c>
      <c r="C198" s="60">
        <v>21129281</v>
      </c>
      <c r="D198" s="826">
        <v>3125</v>
      </c>
    </row>
    <row r="199" spans="1:4" ht="15" customHeight="1">
      <c r="A199" s="825">
        <v>2140104</v>
      </c>
      <c r="B199" s="825" t="s">
        <v>520</v>
      </c>
      <c r="C199" s="60">
        <v>133780185</v>
      </c>
      <c r="D199" s="826">
        <v>19785.96</v>
      </c>
    </row>
    <row r="200" spans="1:4" ht="15" customHeight="1">
      <c r="A200" s="825">
        <v>2140105</v>
      </c>
      <c r="B200" s="825" t="s">
        <v>742</v>
      </c>
      <c r="C200" s="60">
        <v>95013288</v>
      </c>
      <c r="D200" s="826">
        <v>14052.37</v>
      </c>
    </row>
    <row r="201" spans="1:4" ht="15" customHeight="1">
      <c r="A201" s="825">
        <v>2140107</v>
      </c>
      <c r="B201" s="825" t="s">
        <v>156</v>
      </c>
      <c r="C201" s="60">
        <v>62912687</v>
      </c>
      <c r="D201" s="826">
        <v>9304.7199999999993</v>
      </c>
    </row>
    <row r="202" spans="1:4" ht="15" customHeight="1">
      <c r="A202" s="825">
        <v>21402</v>
      </c>
      <c r="B202" s="825" t="s">
        <v>743</v>
      </c>
      <c r="C202" s="60">
        <v>208667889</v>
      </c>
      <c r="D202" s="826">
        <v>30861.77</v>
      </c>
    </row>
    <row r="203" spans="1:4" ht="15" customHeight="1">
      <c r="A203" s="825">
        <v>2140201</v>
      </c>
      <c r="B203" s="825" t="s">
        <v>84</v>
      </c>
      <c r="C203" s="60">
        <v>201614007</v>
      </c>
      <c r="D203" s="826">
        <v>29818.51</v>
      </c>
    </row>
    <row r="204" spans="1:4" ht="15" customHeight="1">
      <c r="A204" s="825">
        <v>2140203</v>
      </c>
      <c r="B204" s="825" t="s">
        <v>746</v>
      </c>
      <c r="C204" s="60">
        <v>4794630</v>
      </c>
      <c r="D204" s="826">
        <v>709.12</v>
      </c>
    </row>
    <row r="205" spans="1:4" ht="15" customHeight="1">
      <c r="A205" s="825">
        <v>2140204</v>
      </c>
      <c r="B205" s="825" t="s">
        <v>747</v>
      </c>
      <c r="C205" s="60">
        <v>2259252</v>
      </c>
      <c r="D205" s="826">
        <v>334.14</v>
      </c>
    </row>
    <row r="206" spans="1:4" ht="15" customHeight="1">
      <c r="A206" s="825">
        <v>21404</v>
      </c>
      <c r="B206" s="825" t="s">
        <v>748</v>
      </c>
      <c r="C206" s="60">
        <v>940357663</v>
      </c>
      <c r="D206" s="826">
        <v>139077.97</v>
      </c>
    </row>
    <row r="207" spans="1:4" ht="15" customHeight="1">
      <c r="A207" s="825">
        <v>2140402</v>
      </c>
      <c r="B207" s="825" t="s">
        <v>158</v>
      </c>
      <c r="C207" s="60">
        <v>2999771</v>
      </c>
      <c r="D207" s="826">
        <v>443.66</v>
      </c>
    </row>
    <row r="208" spans="1:4" ht="15" customHeight="1">
      <c r="A208" s="825">
        <v>2140403</v>
      </c>
      <c r="B208" s="825" t="s">
        <v>159</v>
      </c>
      <c r="C208" s="60">
        <v>70525362</v>
      </c>
      <c r="D208" s="826">
        <v>10430.629999999999</v>
      </c>
    </row>
    <row r="209" spans="1:4" ht="15" customHeight="1">
      <c r="A209" s="825">
        <v>2140404</v>
      </c>
      <c r="B209" s="825" t="s">
        <v>160</v>
      </c>
      <c r="C209" s="60">
        <v>170883821</v>
      </c>
      <c r="D209" s="826">
        <v>25273.55</v>
      </c>
    </row>
    <row r="210" spans="1:4" ht="15" customHeight="1">
      <c r="A210" s="825">
        <v>2140406</v>
      </c>
      <c r="B210" s="825" t="s">
        <v>749</v>
      </c>
      <c r="C210" s="60">
        <v>32287007</v>
      </c>
      <c r="D210" s="826">
        <v>4775.22</v>
      </c>
    </row>
    <row r="211" spans="1:4" ht="15" customHeight="1">
      <c r="A211" s="825">
        <v>2140407</v>
      </c>
      <c r="B211" s="825" t="s">
        <v>293</v>
      </c>
      <c r="C211" s="60">
        <v>128833960</v>
      </c>
      <c r="D211" s="826">
        <v>19054.419999999998</v>
      </c>
    </row>
    <row r="212" spans="1:4" ht="15" customHeight="1">
      <c r="A212" s="825">
        <v>2140408</v>
      </c>
      <c r="B212" s="825" t="s">
        <v>294</v>
      </c>
      <c r="C212" s="60">
        <v>10779465</v>
      </c>
      <c r="D212" s="826">
        <v>1594.27</v>
      </c>
    </row>
    <row r="213" spans="1:4" ht="15" customHeight="1">
      <c r="A213" s="825">
        <v>2140410</v>
      </c>
      <c r="B213" s="825" t="s">
        <v>296</v>
      </c>
      <c r="C213" s="60">
        <v>90000000</v>
      </c>
      <c r="D213" s="826">
        <v>13310.91</v>
      </c>
    </row>
    <row r="214" spans="1:4" ht="15" customHeight="1">
      <c r="A214" s="825">
        <v>2140412</v>
      </c>
      <c r="B214" s="825" t="s">
        <v>1195</v>
      </c>
      <c r="C214" s="60">
        <v>253163206</v>
      </c>
      <c r="D214" s="826">
        <v>37442.589999999997</v>
      </c>
    </row>
    <row r="215" spans="1:4" ht="15" customHeight="1">
      <c r="A215" s="825">
        <v>2140413</v>
      </c>
      <c r="B215" s="825" t="s">
        <v>474</v>
      </c>
      <c r="C215" s="60">
        <v>9114606</v>
      </c>
      <c r="D215" s="826">
        <v>1348.04</v>
      </c>
    </row>
    <row r="216" spans="1:4" ht="15" customHeight="1">
      <c r="A216" s="825">
        <v>2140414</v>
      </c>
      <c r="B216" s="825" t="s">
        <v>519</v>
      </c>
      <c r="C216" s="60">
        <v>1770465</v>
      </c>
      <c r="D216" s="826">
        <v>261.85000000000002</v>
      </c>
    </row>
    <row r="217" spans="1:4" ht="15" customHeight="1">
      <c r="A217" s="825">
        <v>2140416</v>
      </c>
      <c r="B217" s="825" t="s">
        <v>1196</v>
      </c>
      <c r="C217" s="60">
        <v>170000000</v>
      </c>
      <c r="D217" s="826">
        <v>25142.83</v>
      </c>
    </row>
    <row r="218" spans="1:4" ht="15" customHeight="1">
      <c r="A218" s="825"/>
      <c r="B218" s="825"/>
      <c r="C218" s="60"/>
      <c r="D218" s="826"/>
    </row>
    <row r="219" spans="1:4" ht="15" customHeight="1">
      <c r="A219" s="825">
        <v>3</v>
      </c>
      <c r="B219" s="825" t="s">
        <v>22</v>
      </c>
      <c r="C219" s="60">
        <v>19410163771</v>
      </c>
      <c r="D219" s="826">
        <v>2939105.66</v>
      </c>
    </row>
    <row r="220" spans="1:4" ht="15" customHeight="1">
      <c r="A220" s="825">
        <v>310</v>
      </c>
      <c r="B220" s="825" t="s">
        <v>163</v>
      </c>
      <c r="C220" s="60">
        <v>17710000000</v>
      </c>
      <c r="D220" s="826">
        <v>2687749.3</v>
      </c>
    </row>
    <row r="221" spans="1:4" ht="15" customHeight="1">
      <c r="A221" s="825">
        <v>310101</v>
      </c>
      <c r="B221" s="825" t="s">
        <v>453</v>
      </c>
      <c r="C221" s="60">
        <v>15000000000</v>
      </c>
      <c r="D221" s="826">
        <v>2364429.5499999998</v>
      </c>
    </row>
    <row r="222" spans="1:4" ht="15" customHeight="1">
      <c r="A222" s="825">
        <v>31010101</v>
      </c>
      <c r="B222" s="825" t="s">
        <v>475</v>
      </c>
      <c r="C222" s="60">
        <v>30000000000</v>
      </c>
      <c r="D222" s="826">
        <v>4694965.97</v>
      </c>
    </row>
    <row r="223" spans="1:4" ht="15" customHeight="1">
      <c r="A223" s="825">
        <v>31010102</v>
      </c>
      <c r="B223" s="825" t="s">
        <v>478</v>
      </c>
      <c r="C223" s="60">
        <v>-15000000000</v>
      </c>
      <c r="D223" s="826">
        <v>-2330536.42</v>
      </c>
    </row>
    <row r="224" spans="1:4" ht="15" customHeight="1">
      <c r="A224" s="825">
        <v>310102</v>
      </c>
      <c r="B224" s="825" t="s">
        <v>243</v>
      </c>
      <c r="C224" s="60">
        <v>2710000000</v>
      </c>
      <c r="D224" s="826">
        <v>323319.75</v>
      </c>
    </row>
    <row r="225" spans="1:4" ht="15" customHeight="1">
      <c r="A225" s="825">
        <v>31010201</v>
      </c>
      <c r="B225" s="825" t="s">
        <v>404</v>
      </c>
      <c r="C225" s="60">
        <v>2560000000</v>
      </c>
      <c r="D225" s="826">
        <v>301673.93</v>
      </c>
    </row>
    <row r="226" spans="1:4" ht="15" customHeight="1">
      <c r="A226" s="825">
        <v>31010202</v>
      </c>
      <c r="B226" s="825" t="s">
        <v>479</v>
      </c>
      <c r="C226" s="60">
        <v>150000000</v>
      </c>
      <c r="D226" s="826">
        <v>21645.82</v>
      </c>
    </row>
    <row r="227" spans="1:4" ht="15" customHeight="1">
      <c r="A227" s="825">
        <v>315</v>
      </c>
      <c r="B227" s="825" t="s">
        <v>12</v>
      </c>
      <c r="C227" s="60">
        <v>135909126</v>
      </c>
      <c r="D227" s="826">
        <v>15861.38</v>
      </c>
    </row>
    <row r="228" spans="1:4" ht="15" customHeight="1">
      <c r="A228" s="825">
        <v>31501</v>
      </c>
      <c r="B228" s="825" t="s">
        <v>165</v>
      </c>
      <c r="C228" s="60">
        <v>135603954</v>
      </c>
      <c r="D228" s="826">
        <v>15821.6</v>
      </c>
    </row>
    <row r="229" spans="1:4" ht="15" customHeight="1">
      <c r="A229" s="825">
        <v>31503</v>
      </c>
      <c r="B229" s="825" t="s">
        <v>405</v>
      </c>
      <c r="C229" s="60">
        <v>305172</v>
      </c>
      <c r="D229" s="826">
        <v>39.78</v>
      </c>
    </row>
    <row r="230" spans="1:4" ht="15" customHeight="1">
      <c r="A230" s="825">
        <v>316</v>
      </c>
      <c r="B230" s="825" t="s">
        <v>129</v>
      </c>
      <c r="C230" s="60">
        <v>1564254645</v>
      </c>
      <c r="D230" s="826">
        <v>235494.98</v>
      </c>
    </row>
    <row r="231" spans="1:4" ht="15" customHeight="1">
      <c r="A231" s="825">
        <v>31602</v>
      </c>
      <c r="B231" s="825" t="s">
        <v>168</v>
      </c>
      <c r="C231" s="60">
        <v>1564254645</v>
      </c>
      <c r="D231" s="826">
        <v>235494.98</v>
      </c>
    </row>
    <row r="232" spans="1:4" ht="15" customHeight="1">
      <c r="A232" s="825">
        <v>4</v>
      </c>
      <c r="B232" s="825" t="s">
        <v>169</v>
      </c>
      <c r="C232" s="60">
        <v>16181819590</v>
      </c>
      <c r="D232" s="826">
        <v>3528504.37</v>
      </c>
    </row>
    <row r="233" spans="1:4" ht="15" customHeight="1">
      <c r="A233" s="825">
        <v>401</v>
      </c>
      <c r="B233" s="825" t="s">
        <v>750</v>
      </c>
      <c r="C233" s="60">
        <v>743363221</v>
      </c>
      <c r="D233" s="826">
        <v>114643.6</v>
      </c>
    </row>
    <row r="234" spans="1:4" ht="15" customHeight="1">
      <c r="A234" s="825">
        <v>40101</v>
      </c>
      <c r="B234" s="825" t="s">
        <v>108</v>
      </c>
      <c r="C234" s="60">
        <v>343363221</v>
      </c>
      <c r="D234" s="826">
        <v>52607.8</v>
      </c>
    </row>
    <row r="235" spans="1:4" ht="15" customHeight="1">
      <c r="A235" s="825">
        <v>4010101</v>
      </c>
      <c r="B235" s="825" t="s">
        <v>751</v>
      </c>
      <c r="C235" s="60">
        <v>23918795</v>
      </c>
      <c r="D235" s="826">
        <v>3570.79</v>
      </c>
    </row>
    <row r="236" spans="1:4" ht="15" customHeight="1">
      <c r="A236" s="825">
        <v>401010101</v>
      </c>
      <c r="B236" s="825" t="s">
        <v>752</v>
      </c>
      <c r="C236" s="60">
        <v>23918795</v>
      </c>
      <c r="D236" s="826">
        <v>3570.79</v>
      </c>
    </row>
    <row r="237" spans="1:4" ht="15" customHeight="1">
      <c r="A237" s="825">
        <v>4010102</v>
      </c>
      <c r="B237" s="825" t="s">
        <v>753</v>
      </c>
      <c r="C237" s="60">
        <v>319444426</v>
      </c>
      <c r="D237" s="826">
        <v>49037.01</v>
      </c>
    </row>
    <row r="238" spans="1:4" ht="15" customHeight="1">
      <c r="A238" s="825">
        <v>401010201</v>
      </c>
      <c r="B238" s="825" t="s">
        <v>754</v>
      </c>
      <c r="C238" s="60">
        <v>237632194</v>
      </c>
      <c r="D238" s="826">
        <v>36771.129999999997</v>
      </c>
    </row>
    <row r="239" spans="1:4" ht="15" customHeight="1">
      <c r="A239" s="825">
        <v>401010202</v>
      </c>
      <c r="B239" s="825" t="s">
        <v>755</v>
      </c>
      <c r="C239" s="60">
        <v>81812232</v>
      </c>
      <c r="D239" s="826">
        <v>12265.88</v>
      </c>
    </row>
    <row r="240" spans="1:4" ht="15" customHeight="1">
      <c r="A240" s="825">
        <v>40103</v>
      </c>
      <c r="B240" s="825" t="s">
        <v>757</v>
      </c>
      <c r="C240" s="60">
        <v>400000000</v>
      </c>
      <c r="D240" s="826">
        <v>62035.8</v>
      </c>
    </row>
    <row r="241" spans="1:4" ht="15" customHeight="1">
      <c r="A241" s="825">
        <v>4010301</v>
      </c>
      <c r="B241" s="825" t="s">
        <v>758</v>
      </c>
      <c r="C241" s="60">
        <v>400000000</v>
      </c>
      <c r="D241" s="826">
        <v>62035.8</v>
      </c>
    </row>
    <row r="242" spans="1:4" ht="15" customHeight="1">
      <c r="A242" s="825">
        <v>402</v>
      </c>
      <c r="B242" s="825" t="s">
        <v>759</v>
      </c>
      <c r="C242" s="60">
        <v>221279718</v>
      </c>
      <c r="D242" s="826">
        <v>33028.550000000003</v>
      </c>
    </row>
    <row r="243" spans="1:4" ht="15" customHeight="1">
      <c r="A243" s="825">
        <v>40202</v>
      </c>
      <c r="B243" s="825" t="s">
        <v>1048</v>
      </c>
      <c r="C243" s="60">
        <v>181818</v>
      </c>
      <c r="D243" s="826">
        <v>28.55</v>
      </c>
    </row>
    <row r="244" spans="1:4" ht="15" customHeight="1">
      <c r="A244" s="825">
        <v>40203</v>
      </c>
      <c r="B244" s="825" t="s">
        <v>760</v>
      </c>
      <c r="C244" s="60">
        <v>221097900</v>
      </c>
      <c r="D244" s="826">
        <v>33000</v>
      </c>
    </row>
    <row r="245" spans="1:4" ht="15" customHeight="1">
      <c r="A245" s="825">
        <v>4020302</v>
      </c>
      <c r="B245" s="825" t="s">
        <v>761</v>
      </c>
      <c r="C245" s="60">
        <v>221097900</v>
      </c>
      <c r="D245" s="826">
        <v>33000</v>
      </c>
    </row>
    <row r="246" spans="1:4" ht="15" customHeight="1">
      <c r="A246" s="825">
        <v>403</v>
      </c>
      <c r="B246" s="825" t="s">
        <v>762</v>
      </c>
      <c r="C246" s="60">
        <v>11817658499</v>
      </c>
      <c r="D246" s="826">
        <v>1760890.79</v>
      </c>
    </row>
    <row r="247" spans="1:4" ht="15" customHeight="1">
      <c r="A247" s="825">
        <v>40301</v>
      </c>
      <c r="B247" s="825" t="s">
        <v>763</v>
      </c>
      <c r="C247" s="60">
        <v>567759022</v>
      </c>
      <c r="D247" s="826">
        <v>85728.3</v>
      </c>
    </row>
    <row r="248" spans="1:4" ht="15" customHeight="1">
      <c r="A248" s="825">
        <v>4030101</v>
      </c>
      <c r="B248" s="825" t="s">
        <v>763</v>
      </c>
      <c r="C248" s="60">
        <v>567563406</v>
      </c>
      <c r="D248" s="826">
        <v>85700.07</v>
      </c>
    </row>
    <row r="249" spans="1:4" ht="15" customHeight="1">
      <c r="A249" s="825">
        <v>403010101</v>
      </c>
      <c r="B249" s="825" t="s">
        <v>764</v>
      </c>
      <c r="C249" s="60">
        <v>54114527</v>
      </c>
      <c r="D249" s="826">
        <v>8076.18</v>
      </c>
    </row>
    <row r="250" spans="1:4" ht="15" customHeight="1">
      <c r="A250" s="825">
        <v>403010103</v>
      </c>
      <c r="B250" s="825" t="s">
        <v>765</v>
      </c>
      <c r="C250" s="60">
        <v>15441425</v>
      </c>
      <c r="D250" s="826">
        <v>2297.31</v>
      </c>
    </row>
    <row r="251" spans="1:4" ht="15" customHeight="1">
      <c r="A251" s="825">
        <v>403010104</v>
      </c>
      <c r="B251" s="825" t="s">
        <v>766</v>
      </c>
      <c r="C251" s="60">
        <v>4986420</v>
      </c>
      <c r="D251" s="826">
        <v>751.59</v>
      </c>
    </row>
    <row r="252" spans="1:4" ht="15" customHeight="1">
      <c r="A252" s="825">
        <v>403010105</v>
      </c>
      <c r="B252" s="825" t="s">
        <v>767</v>
      </c>
      <c r="C252" s="60">
        <v>173718071</v>
      </c>
      <c r="D252" s="826">
        <v>25974.04</v>
      </c>
    </row>
    <row r="253" spans="1:4" ht="15" customHeight="1">
      <c r="A253" s="825">
        <v>403010106</v>
      </c>
      <c r="B253" s="825" t="s">
        <v>653</v>
      </c>
      <c r="C253" s="60">
        <v>110247504</v>
      </c>
      <c r="D253" s="826">
        <v>17086.8</v>
      </c>
    </row>
    <row r="254" spans="1:4" ht="15" customHeight="1">
      <c r="A254" s="825">
        <v>403010107</v>
      </c>
      <c r="B254" s="825" t="s">
        <v>768</v>
      </c>
      <c r="C254" s="60">
        <v>125799895</v>
      </c>
      <c r="D254" s="826">
        <v>18961.04</v>
      </c>
    </row>
    <row r="255" spans="1:4" ht="15" customHeight="1">
      <c r="A255" s="825">
        <v>403010108</v>
      </c>
      <c r="B255" s="825" t="s">
        <v>769</v>
      </c>
      <c r="C255" s="60">
        <v>21895</v>
      </c>
      <c r="D255" s="826">
        <v>3.16</v>
      </c>
    </row>
    <row r="256" spans="1:4" ht="15" customHeight="1">
      <c r="A256" s="825">
        <v>403010109</v>
      </c>
      <c r="B256" s="825" t="s">
        <v>770</v>
      </c>
      <c r="C256" s="60">
        <v>848877</v>
      </c>
      <c r="D256" s="826">
        <v>131.29</v>
      </c>
    </row>
    <row r="257" spans="1:4" ht="15" customHeight="1">
      <c r="A257" s="825">
        <v>403010114</v>
      </c>
      <c r="B257" s="825" t="s">
        <v>771</v>
      </c>
      <c r="C257" s="60">
        <v>413577</v>
      </c>
      <c r="D257" s="826">
        <v>63.87</v>
      </c>
    </row>
    <row r="258" spans="1:4" ht="15" customHeight="1">
      <c r="A258" s="825">
        <v>403010116</v>
      </c>
      <c r="B258" s="825" t="s">
        <v>772</v>
      </c>
      <c r="C258" s="60">
        <v>22700048</v>
      </c>
      <c r="D258" s="826">
        <v>3355.13</v>
      </c>
    </row>
    <row r="259" spans="1:4" ht="15" customHeight="1">
      <c r="A259" s="825">
        <v>403010117</v>
      </c>
      <c r="B259" s="825" t="s">
        <v>773</v>
      </c>
      <c r="C259" s="60">
        <v>42493848</v>
      </c>
      <c r="D259" s="826">
        <v>6419.51</v>
      </c>
    </row>
    <row r="260" spans="1:4" ht="15" customHeight="1">
      <c r="A260" s="825">
        <v>403010118</v>
      </c>
      <c r="B260" s="825" t="s">
        <v>774</v>
      </c>
      <c r="C260" s="60">
        <v>13614357</v>
      </c>
      <c r="D260" s="826">
        <v>2102.9299999999998</v>
      </c>
    </row>
    <row r="261" spans="1:4" ht="15" customHeight="1">
      <c r="A261" s="825">
        <v>403010129</v>
      </c>
      <c r="B261" s="825" t="s">
        <v>775</v>
      </c>
      <c r="C261" s="60">
        <v>3162962</v>
      </c>
      <c r="D261" s="826">
        <v>477.22</v>
      </c>
    </row>
    <row r="262" spans="1:4" ht="15" customHeight="1">
      <c r="A262" s="825">
        <v>4030102</v>
      </c>
      <c r="B262" s="825" t="s">
        <v>776</v>
      </c>
      <c r="C262" s="60">
        <v>195616</v>
      </c>
      <c r="D262" s="826">
        <v>28.23</v>
      </c>
    </row>
    <row r="263" spans="1:4" ht="15" customHeight="1">
      <c r="A263" s="825">
        <v>403010201</v>
      </c>
      <c r="B263" s="825" t="s">
        <v>776</v>
      </c>
      <c r="C263" s="60">
        <v>195616</v>
      </c>
      <c r="D263" s="826">
        <v>28.23</v>
      </c>
    </row>
    <row r="264" spans="1:4" ht="15" customHeight="1">
      <c r="A264" s="825">
        <v>40302</v>
      </c>
      <c r="B264" s="825" t="s">
        <v>777</v>
      </c>
      <c r="C264" s="60">
        <v>11249899477</v>
      </c>
      <c r="D264" s="826">
        <v>1675162.49</v>
      </c>
    </row>
    <row r="265" spans="1:4" ht="15" customHeight="1">
      <c r="A265" s="825">
        <v>4030201</v>
      </c>
      <c r="B265" s="825" t="s">
        <v>778</v>
      </c>
      <c r="C265" s="60">
        <v>11249899477</v>
      </c>
      <c r="D265" s="826">
        <v>1675162.49</v>
      </c>
    </row>
    <row r="266" spans="1:4" ht="15" customHeight="1">
      <c r="A266" s="825">
        <v>403020101</v>
      </c>
      <c r="B266" s="825" t="s">
        <v>764</v>
      </c>
      <c r="C266" s="60">
        <v>287339506</v>
      </c>
      <c r="D266" s="826">
        <v>42626.12</v>
      </c>
    </row>
    <row r="267" spans="1:4" ht="15" customHeight="1">
      <c r="A267" s="825">
        <v>403020102</v>
      </c>
      <c r="B267" s="825" t="s">
        <v>779</v>
      </c>
      <c r="C267" s="60">
        <v>27754157</v>
      </c>
      <c r="D267" s="826">
        <v>4187.3</v>
      </c>
    </row>
    <row r="268" spans="1:4" ht="15" customHeight="1">
      <c r="A268" s="825">
        <v>403020103</v>
      </c>
      <c r="B268" s="825" t="s">
        <v>765</v>
      </c>
      <c r="C268" s="60">
        <v>4652592</v>
      </c>
      <c r="D268" s="826">
        <v>690</v>
      </c>
    </row>
    <row r="269" spans="1:4" ht="15" customHeight="1">
      <c r="A269" s="825">
        <v>403020104</v>
      </c>
      <c r="B269" s="825" t="s">
        <v>780</v>
      </c>
      <c r="C269" s="60">
        <v>954305223</v>
      </c>
      <c r="D269" s="826">
        <v>141404.32</v>
      </c>
    </row>
    <row r="270" spans="1:4" ht="15" customHeight="1">
      <c r="A270" s="825">
        <v>403020105</v>
      </c>
      <c r="B270" s="825" t="s">
        <v>767</v>
      </c>
      <c r="C270" s="60">
        <v>653146861</v>
      </c>
      <c r="D270" s="826">
        <v>97488.91</v>
      </c>
    </row>
    <row r="271" spans="1:4" ht="15" customHeight="1">
      <c r="A271" s="825">
        <v>403020106</v>
      </c>
      <c r="B271" s="825" t="s">
        <v>653</v>
      </c>
      <c r="C271" s="60">
        <v>1475844627</v>
      </c>
      <c r="D271" s="826">
        <v>219919.44</v>
      </c>
    </row>
    <row r="272" spans="1:4" ht="15" customHeight="1">
      <c r="A272" s="825">
        <v>403020107</v>
      </c>
      <c r="B272" s="825" t="s">
        <v>768</v>
      </c>
      <c r="C272" s="60">
        <v>771423311</v>
      </c>
      <c r="D272" s="826">
        <v>116952.67</v>
      </c>
    </row>
    <row r="273" spans="1:4" ht="15" customHeight="1">
      <c r="A273" s="825">
        <v>403020108</v>
      </c>
      <c r="B273" s="825" t="s">
        <v>769</v>
      </c>
      <c r="C273" s="60">
        <v>629923</v>
      </c>
      <c r="D273" s="826">
        <v>91.36</v>
      </c>
    </row>
    <row r="274" spans="1:4" ht="15" customHeight="1">
      <c r="A274" s="825">
        <v>403020109</v>
      </c>
      <c r="B274" s="825" t="s">
        <v>770</v>
      </c>
      <c r="C274" s="60">
        <v>4845379</v>
      </c>
      <c r="D274" s="826">
        <v>743.64</v>
      </c>
    </row>
    <row r="275" spans="1:4" ht="15" customHeight="1">
      <c r="A275" s="825">
        <v>403020113</v>
      </c>
      <c r="B275" s="825" t="s">
        <v>781</v>
      </c>
      <c r="C275" s="60">
        <v>1138</v>
      </c>
      <c r="D275" s="826">
        <v>0.16</v>
      </c>
    </row>
    <row r="276" spans="1:4" ht="15" customHeight="1">
      <c r="A276" s="825">
        <v>403020117</v>
      </c>
      <c r="B276" s="825" t="s">
        <v>773</v>
      </c>
      <c r="C276" s="60">
        <v>4419924311</v>
      </c>
      <c r="D276" s="826">
        <v>656777.47</v>
      </c>
    </row>
    <row r="277" spans="1:4" ht="15" customHeight="1">
      <c r="A277" s="825">
        <v>403020118</v>
      </c>
      <c r="B277" s="825" t="s">
        <v>774</v>
      </c>
      <c r="C277" s="60">
        <v>326940640</v>
      </c>
      <c r="D277" s="826">
        <v>50346.49</v>
      </c>
    </row>
    <row r="278" spans="1:4" ht="15" customHeight="1">
      <c r="A278" s="825">
        <v>403020119</v>
      </c>
      <c r="B278" s="825" t="s">
        <v>1051</v>
      </c>
      <c r="C278" s="60">
        <v>1241615813</v>
      </c>
      <c r="D278" s="826">
        <v>187537.6</v>
      </c>
    </row>
    <row r="279" spans="1:4" ht="15" customHeight="1">
      <c r="A279" s="825">
        <v>403020121</v>
      </c>
      <c r="B279" s="825" t="s">
        <v>782</v>
      </c>
      <c r="C279" s="60">
        <v>226700074</v>
      </c>
      <c r="D279" s="826">
        <v>32436.77</v>
      </c>
    </row>
    <row r="280" spans="1:4" ht="15" customHeight="1">
      <c r="A280" s="825">
        <v>403020129</v>
      </c>
      <c r="B280" s="825" t="s">
        <v>775</v>
      </c>
      <c r="C280" s="60">
        <v>200857319</v>
      </c>
      <c r="D280" s="826">
        <v>29268.78</v>
      </c>
    </row>
    <row r="281" spans="1:4" ht="15" customHeight="1">
      <c r="A281" s="825">
        <v>403020131</v>
      </c>
      <c r="B281" s="825" t="s">
        <v>783</v>
      </c>
      <c r="C281" s="60">
        <v>43916900</v>
      </c>
      <c r="D281" s="826">
        <v>6574.17</v>
      </c>
    </row>
    <row r="282" spans="1:4" ht="15" customHeight="1">
      <c r="A282" s="825">
        <v>403020133</v>
      </c>
      <c r="B282" s="825" t="s">
        <v>784</v>
      </c>
      <c r="C282" s="60">
        <v>-610001703</v>
      </c>
      <c r="D282" s="826">
        <v>-88117.29</v>
      </c>
    </row>
    <row r="283" spans="1:4" ht="15" customHeight="1">
      <c r="A283" s="825">
        <v>406</v>
      </c>
      <c r="B283" s="825" t="s">
        <v>785</v>
      </c>
      <c r="C283" s="60">
        <v>57114224</v>
      </c>
      <c r="D283" s="826">
        <v>8658.4500000000007</v>
      </c>
    </row>
    <row r="284" spans="1:4" ht="15" customHeight="1">
      <c r="A284" s="825">
        <v>40601</v>
      </c>
      <c r="B284" s="825" t="s">
        <v>1066</v>
      </c>
      <c r="C284" s="60">
        <v>3000000</v>
      </c>
      <c r="D284" s="826">
        <v>444.76</v>
      </c>
    </row>
    <row r="285" spans="1:4" ht="15" customHeight="1">
      <c r="A285" s="825">
        <v>4060101</v>
      </c>
      <c r="B285" s="825" t="s">
        <v>1067</v>
      </c>
      <c r="C285" s="60">
        <v>3000000</v>
      </c>
      <c r="D285" s="826">
        <v>444.76</v>
      </c>
    </row>
    <row r="286" spans="1:4" ht="15" customHeight="1">
      <c r="A286" s="825">
        <v>40604</v>
      </c>
      <c r="B286" s="825" t="s">
        <v>786</v>
      </c>
      <c r="C286" s="60">
        <v>43191671</v>
      </c>
      <c r="D286" s="826">
        <v>6557.4</v>
      </c>
    </row>
    <row r="287" spans="1:4" ht="15" customHeight="1">
      <c r="A287" s="825">
        <v>4060401</v>
      </c>
      <c r="B287" s="825" t="s">
        <v>787</v>
      </c>
      <c r="C287" s="60">
        <v>38742703</v>
      </c>
      <c r="D287" s="826">
        <v>5881.59</v>
      </c>
    </row>
    <row r="288" spans="1:4" ht="15" customHeight="1">
      <c r="A288" s="825">
        <v>4060402</v>
      </c>
      <c r="B288" s="825" t="s">
        <v>788</v>
      </c>
      <c r="C288" s="60">
        <v>4448968</v>
      </c>
      <c r="D288" s="826">
        <v>675.81</v>
      </c>
    </row>
    <row r="289" spans="1:4" ht="15" customHeight="1">
      <c r="A289" s="825">
        <v>40605</v>
      </c>
      <c r="B289" s="825" t="s">
        <v>229</v>
      </c>
      <c r="C289" s="60">
        <v>10687403</v>
      </c>
      <c r="D289" s="826">
        <v>1622.2</v>
      </c>
    </row>
    <row r="290" spans="1:4" ht="15" customHeight="1">
      <c r="A290" s="825">
        <v>4060501</v>
      </c>
      <c r="B290" s="825" t="s">
        <v>789</v>
      </c>
      <c r="C290" s="60">
        <v>9579732</v>
      </c>
      <c r="D290" s="826">
        <v>1453.93</v>
      </c>
    </row>
    <row r="291" spans="1:4" ht="15" customHeight="1">
      <c r="A291" s="825">
        <v>4060502</v>
      </c>
      <c r="B291" s="825" t="s">
        <v>790</v>
      </c>
      <c r="C291" s="60">
        <v>1107671</v>
      </c>
      <c r="D291" s="826">
        <v>168.27</v>
      </c>
    </row>
    <row r="292" spans="1:4" ht="15" customHeight="1">
      <c r="A292" s="825">
        <v>40606</v>
      </c>
      <c r="B292" s="825" t="s">
        <v>190</v>
      </c>
      <c r="C292" s="60">
        <v>235150</v>
      </c>
      <c r="D292" s="826">
        <v>34.090000000000003</v>
      </c>
    </row>
    <row r="293" spans="1:4" ht="15" customHeight="1">
      <c r="A293" s="825">
        <v>4060601</v>
      </c>
      <c r="B293" s="825" t="s">
        <v>791</v>
      </c>
      <c r="C293" s="60">
        <v>235150</v>
      </c>
      <c r="D293" s="826">
        <v>34.090000000000003</v>
      </c>
    </row>
    <row r="294" spans="1:4" ht="15" customHeight="1">
      <c r="A294" s="825">
        <v>407</v>
      </c>
      <c r="B294" s="825" t="s">
        <v>230</v>
      </c>
      <c r="C294" s="60">
        <v>2470675489</v>
      </c>
      <c r="D294" s="826">
        <v>1477175.58</v>
      </c>
    </row>
    <row r="295" spans="1:4" ht="15" customHeight="1">
      <c r="A295" s="825">
        <v>40701</v>
      </c>
      <c r="B295" s="825" t="s">
        <v>121</v>
      </c>
      <c r="C295" s="60">
        <v>2985129</v>
      </c>
      <c r="D295" s="826">
        <v>450.58</v>
      </c>
    </row>
    <row r="296" spans="1:4" ht="15" customHeight="1">
      <c r="A296" s="825">
        <v>40702</v>
      </c>
      <c r="B296" s="825" t="s">
        <v>792</v>
      </c>
      <c r="C296" s="60">
        <v>2467690360</v>
      </c>
      <c r="D296" s="826">
        <v>1476725</v>
      </c>
    </row>
    <row r="297" spans="1:4" ht="15" customHeight="1">
      <c r="A297" s="825">
        <v>4070201</v>
      </c>
      <c r="B297" s="825" t="s">
        <v>793</v>
      </c>
      <c r="C297" s="60">
        <v>1584867370</v>
      </c>
      <c r="D297" s="826">
        <v>513235.26</v>
      </c>
    </row>
    <row r="298" spans="1:4" ht="15" customHeight="1">
      <c r="A298" s="825">
        <v>4070202</v>
      </c>
      <c r="B298" s="825" t="s">
        <v>794</v>
      </c>
      <c r="C298" s="60">
        <v>882822990</v>
      </c>
      <c r="D298" s="826">
        <v>963489.74</v>
      </c>
    </row>
    <row r="299" spans="1:4" ht="15" customHeight="1">
      <c r="A299" s="825">
        <v>408</v>
      </c>
      <c r="B299" s="825" t="s">
        <v>795</v>
      </c>
      <c r="C299" s="60">
        <v>871728439</v>
      </c>
      <c r="D299" s="826">
        <v>134107.4</v>
      </c>
    </row>
    <row r="300" spans="1:4" ht="15" customHeight="1">
      <c r="A300" s="825">
        <v>40802</v>
      </c>
      <c r="B300" s="825" t="s">
        <v>796</v>
      </c>
      <c r="C300" s="60">
        <v>6390</v>
      </c>
      <c r="D300" s="826">
        <v>1.04</v>
      </c>
    </row>
    <row r="301" spans="1:4" ht="15" customHeight="1">
      <c r="A301" s="825">
        <v>40803</v>
      </c>
      <c r="B301" s="825" t="s">
        <v>614</v>
      </c>
      <c r="C301" s="60">
        <v>441566</v>
      </c>
      <c r="D301" s="826">
        <v>67.17</v>
      </c>
    </row>
    <row r="302" spans="1:4" ht="15" customHeight="1">
      <c r="A302" s="825">
        <v>40808</v>
      </c>
      <c r="B302" s="825" t="s">
        <v>506</v>
      </c>
      <c r="C302" s="60">
        <v>843609264</v>
      </c>
      <c r="D302" s="826">
        <v>129931.27</v>
      </c>
    </row>
    <row r="303" spans="1:4" ht="15" customHeight="1">
      <c r="A303" s="825">
        <v>40811</v>
      </c>
      <c r="B303" s="825" t="s">
        <v>1197</v>
      </c>
      <c r="C303" s="60">
        <v>-27671219</v>
      </c>
      <c r="D303" s="826">
        <v>-4107.92</v>
      </c>
    </row>
    <row r="304" spans="1:4" ht="15" customHeight="1">
      <c r="A304" s="825">
        <v>5</v>
      </c>
      <c r="B304" s="825" t="s">
        <v>189</v>
      </c>
      <c r="C304" s="60">
        <v>14617564945</v>
      </c>
      <c r="D304" s="826">
        <v>3293009.39</v>
      </c>
    </row>
    <row r="305" spans="1:4" ht="15" customHeight="1">
      <c r="A305" s="825">
        <v>51</v>
      </c>
      <c r="B305" s="825" t="s">
        <v>797</v>
      </c>
      <c r="C305" s="60">
        <v>14617559147</v>
      </c>
      <c r="D305" s="826">
        <v>3293007.98</v>
      </c>
    </row>
    <row r="306" spans="1:4" ht="15" customHeight="1">
      <c r="A306" s="825">
        <v>511</v>
      </c>
      <c r="B306" s="825" t="s">
        <v>798</v>
      </c>
      <c r="C306" s="60">
        <v>8199632323</v>
      </c>
      <c r="D306" s="826">
        <v>1221000.6000000001</v>
      </c>
    </row>
    <row r="307" spans="1:4" ht="15" customHeight="1">
      <c r="A307" s="825">
        <v>51101</v>
      </c>
      <c r="B307" s="825" t="s">
        <v>39</v>
      </c>
      <c r="C307" s="60">
        <v>157953638</v>
      </c>
      <c r="D307" s="826">
        <v>23883.14</v>
      </c>
    </row>
    <row r="308" spans="1:4" ht="15" customHeight="1">
      <c r="A308" s="825">
        <v>5110102</v>
      </c>
      <c r="B308" s="825" t="s">
        <v>799</v>
      </c>
      <c r="C308" s="60">
        <v>157953638</v>
      </c>
      <c r="D308" s="826">
        <v>23883.14</v>
      </c>
    </row>
    <row r="309" spans="1:4" ht="15" customHeight="1">
      <c r="A309" s="825">
        <v>511010201</v>
      </c>
      <c r="B309" s="825" t="s">
        <v>800</v>
      </c>
      <c r="C309" s="60">
        <v>157953638</v>
      </c>
      <c r="D309" s="826">
        <v>23883.14</v>
      </c>
    </row>
    <row r="310" spans="1:4" ht="15" customHeight="1">
      <c r="A310" s="825">
        <v>51102</v>
      </c>
      <c r="B310" s="825" t="s">
        <v>801</v>
      </c>
      <c r="C310" s="60">
        <v>137166352</v>
      </c>
      <c r="D310" s="826">
        <v>20833.900000000001</v>
      </c>
    </row>
    <row r="311" spans="1:4" ht="15" customHeight="1">
      <c r="A311" s="825">
        <v>5110201</v>
      </c>
      <c r="B311" s="825" t="s">
        <v>802</v>
      </c>
      <c r="C311" s="60">
        <v>105751261</v>
      </c>
      <c r="D311" s="826">
        <v>16081.53</v>
      </c>
    </row>
    <row r="312" spans="1:4" ht="15" customHeight="1">
      <c r="A312" s="825">
        <v>511020101</v>
      </c>
      <c r="B312" s="825" t="s">
        <v>856</v>
      </c>
      <c r="C312" s="60">
        <v>39307722</v>
      </c>
      <c r="D312" s="826">
        <v>5863.47</v>
      </c>
    </row>
    <row r="313" spans="1:4" ht="15" customHeight="1">
      <c r="A313" s="825">
        <v>511020102</v>
      </c>
      <c r="B313" s="825" t="s">
        <v>803</v>
      </c>
      <c r="C313" s="60">
        <v>66443539</v>
      </c>
      <c r="D313" s="826">
        <v>10218.06</v>
      </c>
    </row>
    <row r="314" spans="1:4" ht="15" customHeight="1">
      <c r="A314" s="825">
        <v>5110202</v>
      </c>
      <c r="B314" s="825" t="s">
        <v>229</v>
      </c>
      <c r="C314" s="60">
        <v>30101991</v>
      </c>
      <c r="D314" s="826">
        <v>4556.05</v>
      </c>
    </row>
    <row r="315" spans="1:4" ht="15" customHeight="1">
      <c r="A315" s="825">
        <v>511020201</v>
      </c>
      <c r="B315" s="825" t="s">
        <v>789</v>
      </c>
      <c r="C315" s="60">
        <v>27149521</v>
      </c>
      <c r="D315" s="826">
        <v>4115.28</v>
      </c>
    </row>
    <row r="316" spans="1:4" ht="15" customHeight="1">
      <c r="A316" s="825">
        <v>511020202</v>
      </c>
      <c r="B316" s="825" t="s">
        <v>790</v>
      </c>
      <c r="C316" s="60">
        <v>2952470</v>
      </c>
      <c r="D316" s="826">
        <v>440.77</v>
      </c>
    </row>
    <row r="317" spans="1:4" ht="15" customHeight="1">
      <c r="A317" s="825">
        <v>5110203</v>
      </c>
      <c r="B317" s="825" t="s">
        <v>702</v>
      </c>
      <c r="C317" s="60">
        <v>1313100</v>
      </c>
      <c r="D317" s="826">
        <v>196.32</v>
      </c>
    </row>
    <row r="318" spans="1:4" ht="15" customHeight="1">
      <c r="A318" s="825">
        <v>51103</v>
      </c>
      <c r="B318" s="825" t="s">
        <v>217</v>
      </c>
      <c r="C318" s="60">
        <v>7901102492</v>
      </c>
      <c r="D318" s="826">
        <v>1175767.1000000001</v>
      </c>
    </row>
    <row r="319" spans="1:4" ht="15" customHeight="1">
      <c r="A319" s="825">
        <v>5110301</v>
      </c>
      <c r="B319" s="825" t="s">
        <v>777</v>
      </c>
      <c r="C319" s="60">
        <v>7901102492</v>
      </c>
      <c r="D319" s="826">
        <v>1175767.1000000001</v>
      </c>
    </row>
    <row r="320" spans="1:4" ht="15" customHeight="1">
      <c r="A320" s="825">
        <v>511030101</v>
      </c>
      <c r="B320" s="825" t="s">
        <v>1063</v>
      </c>
      <c r="C320" s="60">
        <v>65944461</v>
      </c>
      <c r="D320" s="826">
        <v>9881.91</v>
      </c>
    </row>
    <row r="321" spans="1:4" ht="15" customHeight="1">
      <c r="A321" s="825">
        <v>51103010101</v>
      </c>
      <c r="B321" s="825" t="s">
        <v>767</v>
      </c>
      <c r="C321" s="60">
        <v>30743383</v>
      </c>
      <c r="D321" s="826">
        <v>4654.68</v>
      </c>
    </row>
    <row r="322" spans="1:4" ht="15" customHeight="1">
      <c r="A322" s="825">
        <v>51103010102</v>
      </c>
      <c r="B322" s="825" t="s">
        <v>653</v>
      </c>
      <c r="C322" s="60">
        <v>8757616</v>
      </c>
      <c r="D322" s="826">
        <v>1305.76</v>
      </c>
    </row>
    <row r="323" spans="1:4" ht="15" customHeight="1">
      <c r="A323" s="825">
        <v>51103010103</v>
      </c>
      <c r="B323" s="825" t="s">
        <v>660</v>
      </c>
      <c r="C323" s="60">
        <v>15240559</v>
      </c>
      <c r="D323" s="826">
        <v>2262.5300000000002</v>
      </c>
    </row>
    <row r="324" spans="1:4" ht="15" customHeight="1">
      <c r="A324" s="825">
        <v>51103010104</v>
      </c>
      <c r="B324" s="825" t="s">
        <v>764</v>
      </c>
      <c r="C324" s="60">
        <v>11202903</v>
      </c>
      <c r="D324" s="826">
        <v>1658.94</v>
      </c>
    </row>
    <row r="325" spans="1:4" ht="15" customHeight="1">
      <c r="A325" s="825">
        <v>511030120</v>
      </c>
      <c r="B325" s="825" t="s">
        <v>804</v>
      </c>
      <c r="C325" s="60">
        <v>7665158031</v>
      </c>
      <c r="D325" s="826">
        <v>1140742.3600000001</v>
      </c>
    </row>
    <row r="326" spans="1:4" ht="15" customHeight="1">
      <c r="A326" s="825">
        <v>51103012002</v>
      </c>
      <c r="B326" s="825" t="s">
        <v>779</v>
      </c>
      <c r="C326" s="60">
        <v>1858249</v>
      </c>
      <c r="D326" s="826">
        <v>280.63</v>
      </c>
    </row>
    <row r="327" spans="1:4" ht="15" customHeight="1">
      <c r="A327" s="825">
        <v>51103012004</v>
      </c>
      <c r="B327" s="825" t="s">
        <v>766</v>
      </c>
      <c r="C327" s="60">
        <v>75813515</v>
      </c>
      <c r="D327" s="826">
        <v>11156.74</v>
      </c>
    </row>
    <row r="328" spans="1:4" ht="15" customHeight="1">
      <c r="A328" s="825">
        <v>51103012005</v>
      </c>
      <c r="B328" s="825" t="s">
        <v>767</v>
      </c>
      <c r="C328" s="60">
        <v>535827522</v>
      </c>
      <c r="D328" s="826">
        <v>80222.17</v>
      </c>
    </row>
    <row r="329" spans="1:4" ht="15" customHeight="1">
      <c r="A329" s="825">
        <v>51103012006</v>
      </c>
      <c r="B329" s="825" t="s">
        <v>653</v>
      </c>
      <c r="C329" s="60">
        <v>207988003</v>
      </c>
      <c r="D329" s="826">
        <v>30800.32</v>
      </c>
    </row>
    <row r="330" spans="1:4" ht="15" customHeight="1">
      <c r="A330" s="825">
        <v>51103012007</v>
      </c>
      <c r="B330" s="825" t="s">
        <v>768</v>
      </c>
      <c r="C330" s="60">
        <v>1229565998</v>
      </c>
      <c r="D330" s="826">
        <v>185503.34</v>
      </c>
    </row>
    <row r="331" spans="1:4" ht="15" customHeight="1">
      <c r="A331" s="825">
        <v>51103012009</v>
      </c>
      <c r="B331" s="825" t="s">
        <v>770</v>
      </c>
      <c r="C331" s="60">
        <v>212441006</v>
      </c>
      <c r="D331" s="826">
        <v>31900.2</v>
      </c>
    </row>
    <row r="332" spans="1:4" ht="15" customHeight="1">
      <c r="A332" s="825">
        <v>51103012013</v>
      </c>
      <c r="B332" s="825" t="s">
        <v>781</v>
      </c>
      <c r="C332" s="60">
        <v>68</v>
      </c>
      <c r="D332" s="826">
        <v>0.01</v>
      </c>
    </row>
    <row r="333" spans="1:4" ht="15" customHeight="1">
      <c r="A333" s="825">
        <v>51103012017</v>
      </c>
      <c r="B333" s="825" t="s">
        <v>773</v>
      </c>
      <c r="C333" s="60">
        <v>4288123636</v>
      </c>
      <c r="D333" s="826">
        <v>637108.24</v>
      </c>
    </row>
    <row r="334" spans="1:4" ht="15" customHeight="1">
      <c r="A334" s="825">
        <v>51103012018</v>
      </c>
      <c r="B334" s="825" t="s">
        <v>774</v>
      </c>
      <c r="C334" s="60">
        <v>351672087</v>
      </c>
      <c r="D334" s="826">
        <v>53277.760000000002</v>
      </c>
    </row>
    <row r="335" spans="1:4" ht="15" customHeight="1">
      <c r="A335" s="825">
        <v>51103012019</v>
      </c>
      <c r="B335" s="825" t="s">
        <v>1051</v>
      </c>
      <c r="C335" s="60">
        <v>59614416</v>
      </c>
      <c r="D335" s="826">
        <v>8836.64</v>
      </c>
    </row>
    <row r="336" spans="1:4" ht="15" customHeight="1">
      <c r="A336" s="825">
        <v>51103012029</v>
      </c>
      <c r="B336" s="825" t="s">
        <v>648</v>
      </c>
      <c r="C336" s="60">
        <v>533996195</v>
      </c>
      <c r="D336" s="826">
        <v>77137.98</v>
      </c>
    </row>
    <row r="337" spans="1:4" ht="15" customHeight="1">
      <c r="A337" s="825">
        <v>51103012032</v>
      </c>
      <c r="B337" s="825" t="s">
        <v>784</v>
      </c>
      <c r="C337" s="60">
        <v>168257336</v>
      </c>
      <c r="D337" s="826">
        <v>24518.33</v>
      </c>
    </row>
    <row r="338" spans="1:4" ht="15" customHeight="1">
      <c r="A338" s="825">
        <v>511030130</v>
      </c>
      <c r="B338" s="825" t="s">
        <v>1198</v>
      </c>
      <c r="C338" s="60">
        <v>170000000</v>
      </c>
      <c r="D338" s="826">
        <v>25142.83</v>
      </c>
    </row>
    <row r="339" spans="1:4" ht="15" customHeight="1">
      <c r="A339" s="825">
        <v>51103013001</v>
      </c>
      <c r="B339" s="825" t="s">
        <v>1199</v>
      </c>
      <c r="C339" s="60">
        <v>170000000</v>
      </c>
      <c r="D339" s="826">
        <v>25142.83</v>
      </c>
    </row>
    <row r="340" spans="1:4" ht="15" customHeight="1">
      <c r="A340" s="825">
        <v>51104</v>
      </c>
      <c r="B340" s="825" t="s">
        <v>805</v>
      </c>
      <c r="C340" s="60">
        <v>3409841</v>
      </c>
      <c r="D340" s="826">
        <v>516.46</v>
      </c>
    </row>
    <row r="341" spans="1:4" ht="15" customHeight="1">
      <c r="A341" s="825">
        <v>5110401</v>
      </c>
      <c r="B341" s="825" t="s">
        <v>805</v>
      </c>
      <c r="C341" s="60">
        <v>3409841</v>
      </c>
      <c r="D341" s="826">
        <v>516.46</v>
      </c>
    </row>
    <row r="342" spans="1:4" ht="15" customHeight="1">
      <c r="A342" s="825">
        <v>512</v>
      </c>
      <c r="B342" s="825" t="s">
        <v>233</v>
      </c>
      <c r="C342" s="60">
        <v>376000000</v>
      </c>
      <c r="D342" s="826">
        <v>56902.57</v>
      </c>
    </row>
    <row r="343" spans="1:4" ht="15" customHeight="1">
      <c r="A343" s="825">
        <v>51201</v>
      </c>
      <c r="B343" s="825" t="s">
        <v>806</v>
      </c>
      <c r="C343" s="60">
        <v>120000000</v>
      </c>
      <c r="D343" s="826">
        <v>18164.5</v>
      </c>
    </row>
    <row r="344" spans="1:4" ht="15" customHeight="1">
      <c r="A344" s="825">
        <v>51204</v>
      </c>
      <c r="B344" s="825" t="s">
        <v>807</v>
      </c>
      <c r="C344" s="60">
        <v>36000000</v>
      </c>
      <c r="D344" s="826">
        <v>5449.35</v>
      </c>
    </row>
    <row r="345" spans="1:4" ht="15" customHeight="1">
      <c r="A345" s="825">
        <v>51206</v>
      </c>
      <c r="B345" s="825" t="s">
        <v>1200</v>
      </c>
      <c r="C345" s="60">
        <v>20000000</v>
      </c>
      <c r="D345" s="826">
        <v>2886.51</v>
      </c>
    </row>
    <row r="346" spans="1:4" ht="15" customHeight="1">
      <c r="A346" s="825">
        <v>51207</v>
      </c>
      <c r="B346" s="825" t="s">
        <v>298</v>
      </c>
      <c r="C346" s="60">
        <v>200000000</v>
      </c>
      <c r="D346" s="826">
        <v>30402.21</v>
      </c>
    </row>
    <row r="347" spans="1:4" ht="15" customHeight="1">
      <c r="A347" s="825">
        <v>513</v>
      </c>
      <c r="B347" s="825" t="s">
        <v>14</v>
      </c>
      <c r="C347" s="60">
        <v>2996895300</v>
      </c>
      <c r="D347" s="826">
        <v>452030.2</v>
      </c>
    </row>
    <row r="348" spans="1:4" ht="15" customHeight="1">
      <c r="A348" s="825">
        <v>51301</v>
      </c>
      <c r="B348" s="825" t="s">
        <v>235</v>
      </c>
      <c r="C348" s="60">
        <v>1227925866</v>
      </c>
      <c r="D348" s="826">
        <v>184597.91</v>
      </c>
    </row>
    <row r="349" spans="1:4" ht="15" customHeight="1">
      <c r="A349" s="825">
        <v>5130101</v>
      </c>
      <c r="B349" s="825" t="s">
        <v>172</v>
      </c>
      <c r="C349" s="60">
        <v>1091325715</v>
      </c>
      <c r="D349" s="826">
        <v>164101.31</v>
      </c>
    </row>
    <row r="350" spans="1:4" ht="15" customHeight="1">
      <c r="A350" s="825">
        <v>5130104</v>
      </c>
      <c r="B350" s="825" t="s">
        <v>174</v>
      </c>
      <c r="C350" s="60">
        <v>100913484</v>
      </c>
      <c r="D350" s="826">
        <v>15140.68</v>
      </c>
    </row>
    <row r="351" spans="1:4" ht="15" customHeight="1">
      <c r="A351" s="825">
        <v>5130105</v>
      </c>
      <c r="B351" s="825" t="s">
        <v>175</v>
      </c>
      <c r="C351" s="60">
        <v>35686667</v>
      </c>
      <c r="D351" s="826">
        <v>5355.92</v>
      </c>
    </row>
    <row r="352" spans="1:4" ht="15" customHeight="1">
      <c r="A352" s="825">
        <v>51302</v>
      </c>
      <c r="B352" s="825" t="s">
        <v>808</v>
      </c>
      <c r="C352" s="60">
        <v>597529344</v>
      </c>
      <c r="D352" s="826">
        <v>90038.96</v>
      </c>
    </row>
    <row r="353" spans="1:4" ht="15" customHeight="1">
      <c r="A353" s="825">
        <v>5130201</v>
      </c>
      <c r="B353" s="825" t="s">
        <v>809</v>
      </c>
      <c r="C353" s="60">
        <v>203246750</v>
      </c>
      <c r="D353" s="826">
        <v>30553.37</v>
      </c>
    </row>
    <row r="354" spans="1:4" ht="15" customHeight="1">
      <c r="A354" s="825">
        <v>5130203</v>
      </c>
      <c r="B354" s="825" t="s">
        <v>810</v>
      </c>
      <c r="C354" s="60">
        <v>250000000</v>
      </c>
      <c r="D354" s="826">
        <v>37787.86</v>
      </c>
    </row>
    <row r="355" spans="1:4" ht="15" customHeight="1">
      <c r="A355" s="825">
        <v>5130204</v>
      </c>
      <c r="B355" s="825" t="s">
        <v>176</v>
      </c>
      <c r="C355" s="60">
        <v>18000000</v>
      </c>
      <c r="D355" s="826">
        <v>2724.67</v>
      </c>
    </row>
    <row r="356" spans="1:4" ht="15" customHeight="1">
      <c r="A356" s="825">
        <v>5130206</v>
      </c>
      <c r="B356" s="825" t="s">
        <v>811</v>
      </c>
      <c r="C356" s="60">
        <v>51950776</v>
      </c>
      <c r="D356" s="826">
        <v>7775.64</v>
      </c>
    </row>
    <row r="357" spans="1:4" ht="15" customHeight="1">
      <c r="A357" s="825">
        <v>5130207</v>
      </c>
      <c r="B357" s="825" t="s">
        <v>407</v>
      </c>
      <c r="C357" s="60">
        <v>74331818</v>
      </c>
      <c r="D357" s="826">
        <v>11197.42</v>
      </c>
    </row>
    <row r="358" spans="1:4" ht="15" customHeight="1">
      <c r="A358" s="825">
        <v>51303</v>
      </c>
      <c r="B358" s="825" t="s">
        <v>173</v>
      </c>
      <c r="C358" s="60">
        <v>400608432</v>
      </c>
      <c r="D358" s="826">
        <v>59839.59</v>
      </c>
    </row>
    <row r="359" spans="1:4" ht="15" customHeight="1">
      <c r="A359" s="825">
        <v>5130301</v>
      </c>
      <c r="B359" s="825" t="s">
        <v>269</v>
      </c>
      <c r="C359" s="60">
        <v>275782820</v>
      </c>
      <c r="D359" s="826">
        <v>41125</v>
      </c>
    </row>
    <row r="360" spans="1:4" ht="15" customHeight="1">
      <c r="A360" s="825">
        <v>5130303</v>
      </c>
      <c r="B360" s="825" t="s">
        <v>812</v>
      </c>
      <c r="C360" s="60">
        <v>20039510</v>
      </c>
      <c r="D360" s="826">
        <v>3000</v>
      </c>
    </row>
    <row r="361" spans="1:4" ht="15" customHeight="1">
      <c r="A361" s="825">
        <v>5130304</v>
      </c>
      <c r="B361" s="825" t="s">
        <v>173</v>
      </c>
      <c r="C361" s="60">
        <v>104786102</v>
      </c>
      <c r="D361" s="826">
        <v>15714.59</v>
      </c>
    </row>
    <row r="362" spans="1:4" ht="15" customHeight="1">
      <c r="A362" s="825">
        <v>51304</v>
      </c>
      <c r="B362" s="825" t="s">
        <v>191</v>
      </c>
      <c r="C362" s="60">
        <v>441573214</v>
      </c>
      <c r="D362" s="826">
        <v>66792.490000000005</v>
      </c>
    </row>
    <row r="363" spans="1:4" ht="15" customHeight="1">
      <c r="A363" s="825">
        <v>5130401</v>
      </c>
      <c r="B363" s="825" t="s">
        <v>1032</v>
      </c>
      <c r="C363" s="60">
        <v>60000000</v>
      </c>
      <c r="D363" s="826">
        <v>8907.27</v>
      </c>
    </row>
    <row r="364" spans="1:4" ht="15" customHeight="1">
      <c r="A364" s="825">
        <v>5130402</v>
      </c>
      <c r="B364" s="825" t="s">
        <v>180</v>
      </c>
      <c r="C364" s="60">
        <v>200000000</v>
      </c>
      <c r="D364" s="826">
        <v>30556.01</v>
      </c>
    </row>
    <row r="365" spans="1:4" ht="15" customHeight="1">
      <c r="A365" s="825">
        <v>5130404</v>
      </c>
      <c r="B365" s="825" t="s">
        <v>813</v>
      </c>
      <c r="C365" s="60">
        <v>3658986</v>
      </c>
      <c r="D365" s="826">
        <v>545.71</v>
      </c>
    </row>
    <row r="366" spans="1:4" ht="15" customHeight="1">
      <c r="A366" s="825">
        <v>5130405</v>
      </c>
      <c r="B366" s="825" t="s">
        <v>814</v>
      </c>
      <c r="C366" s="60">
        <v>177914228</v>
      </c>
      <c r="D366" s="826">
        <v>26783.5</v>
      </c>
    </row>
    <row r="367" spans="1:4" ht="15" customHeight="1">
      <c r="A367" s="825">
        <v>51305</v>
      </c>
      <c r="B367" s="825" t="s">
        <v>816</v>
      </c>
      <c r="C367" s="60">
        <v>91525434</v>
      </c>
      <c r="D367" s="826">
        <v>14657.45</v>
      </c>
    </row>
    <row r="368" spans="1:4" ht="15" customHeight="1">
      <c r="A368" s="825">
        <v>5130501</v>
      </c>
      <c r="B368" s="825" t="s">
        <v>817</v>
      </c>
      <c r="C368" s="60">
        <v>1755744</v>
      </c>
      <c r="D368" s="826">
        <v>287.27999999999997</v>
      </c>
    </row>
    <row r="369" spans="1:4" ht="15" customHeight="1">
      <c r="A369" s="825">
        <v>513050101</v>
      </c>
      <c r="B369" s="825" t="s">
        <v>818</v>
      </c>
      <c r="C369" s="60">
        <v>294240</v>
      </c>
      <c r="D369" s="826">
        <v>44.04</v>
      </c>
    </row>
    <row r="370" spans="1:4" ht="15" customHeight="1">
      <c r="A370" s="825">
        <v>513050103</v>
      </c>
      <c r="B370" s="825" t="s">
        <v>819</v>
      </c>
      <c r="C370" s="60">
        <v>1461504</v>
      </c>
      <c r="D370" s="826">
        <v>243.24</v>
      </c>
    </row>
    <row r="371" spans="1:4" ht="15" customHeight="1">
      <c r="A371" s="825">
        <v>5130502</v>
      </c>
      <c r="B371" s="825" t="s">
        <v>820</v>
      </c>
      <c r="C371" s="60">
        <v>89769690</v>
      </c>
      <c r="D371" s="826">
        <v>14370.17</v>
      </c>
    </row>
    <row r="372" spans="1:4" ht="15" customHeight="1">
      <c r="A372" s="825">
        <v>513050201</v>
      </c>
      <c r="B372" s="825" t="s">
        <v>821</v>
      </c>
      <c r="C372" s="60">
        <v>3617928</v>
      </c>
      <c r="D372" s="826">
        <v>606</v>
      </c>
    </row>
    <row r="373" spans="1:4" ht="15" customHeight="1">
      <c r="A373" s="825">
        <v>513050202</v>
      </c>
      <c r="B373" s="825" t="s">
        <v>822</v>
      </c>
      <c r="C373" s="60">
        <v>66492786</v>
      </c>
      <c r="D373" s="826">
        <v>10803.29</v>
      </c>
    </row>
    <row r="374" spans="1:4" ht="15" customHeight="1">
      <c r="A374" s="825">
        <v>513050203</v>
      </c>
      <c r="B374" s="825" t="s">
        <v>823</v>
      </c>
      <c r="C374" s="60">
        <v>19018974</v>
      </c>
      <c r="D374" s="826">
        <v>2851.8</v>
      </c>
    </row>
    <row r="375" spans="1:4" ht="15" customHeight="1">
      <c r="A375" s="825">
        <v>513050204</v>
      </c>
      <c r="B375" s="825" t="s">
        <v>824</v>
      </c>
      <c r="C375" s="60">
        <v>640002</v>
      </c>
      <c r="D375" s="826">
        <v>109.08</v>
      </c>
    </row>
    <row r="376" spans="1:4" ht="15" customHeight="1">
      <c r="A376" s="825">
        <v>51306</v>
      </c>
      <c r="B376" s="825" t="s">
        <v>178</v>
      </c>
      <c r="C376" s="60">
        <v>55608251</v>
      </c>
      <c r="D376" s="826">
        <v>8410.6200000000008</v>
      </c>
    </row>
    <row r="377" spans="1:4" ht="15" customHeight="1">
      <c r="A377" s="825">
        <v>5130601</v>
      </c>
      <c r="B377" s="825" t="s">
        <v>1096</v>
      </c>
      <c r="C377" s="60">
        <v>322727</v>
      </c>
      <c r="D377" s="826">
        <v>47.8</v>
      </c>
    </row>
    <row r="378" spans="1:4" ht="15" customHeight="1">
      <c r="A378" s="825">
        <v>5130603</v>
      </c>
      <c r="B378" s="825" t="s">
        <v>825</v>
      </c>
      <c r="C378" s="60">
        <v>54685524</v>
      </c>
      <c r="D378" s="826">
        <v>8273.76</v>
      </c>
    </row>
    <row r="379" spans="1:4" ht="15" customHeight="1">
      <c r="A379" s="825">
        <v>5130605</v>
      </c>
      <c r="B379" s="825" t="s">
        <v>237</v>
      </c>
      <c r="C379" s="60">
        <v>600000</v>
      </c>
      <c r="D379" s="826">
        <v>89.06</v>
      </c>
    </row>
    <row r="380" spans="1:4" ht="15" customHeight="1">
      <c r="A380" s="825">
        <v>51307</v>
      </c>
      <c r="B380" s="825" t="s">
        <v>1098</v>
      </c>
      <c r="C380" s="60">
        <v>25615469</v>
      </c>
      <c r="D380" s="826">
        <v>4141.08</v>
      </c>
    </row>
    <row r="381" spans="1:4" ht="15" customHeight="1">
      <c r="A381" s="825">
        <v>5130701</v>
      </c>
      <c r="B381" s="825" t="s">
        <v>815</v>
      </c>
      <c r="C381" s="60">
        <v>25388196</v>
      </c>
      <c r="D381" s="826">
        <v>4107.24</v>
      </c>
    </row>
    <row r="382" spans="1:4" ht="15" customHeight="1">
      <c r="A382" s="825">
        <v>5130702</v>
      </c>
      <c r="B382" s="825" t="s">
        <v>1091</v>
      </c>
      <c r="C382" s="60">
        <v>227273</v>
      </c>
      <c r="D382" s="826">
        <v>33.840000000000003</v>
      </c>
    </row>
    <row r="383" spans="1:4" ht="15" customHeight="1">
      <c r="A383" s="825">
        <v>51308</v>
      </c>
      <c r="B383" s="825" t="s">
        <v>48</v>
      </c>
      <c r="C383" s="60">
        <v>3512443</v>
      </c>
      <c r="D383" s="826">
        <v>531.16</v>
      </c>
    </row>
    <row r="384" spans="1:4" ht="15" customHeight="1">
      <c r="A384" s="825">
        <v>5130801</v>
      </c>
      <c r="B384" s="825" t="s">
        <v>826</v>
      </c>
      <c r="C384" s="60">
        <v>3512443</v>
      </c>
      <c r="D384" s="826">
        <v>531.16</v>
      </c>
    </row>
    <row r="385" spans="1:4" ht="15" customHeight="1">
      <c r="A385" s="825">
        <v>51309</v>
      </c>
      <c r="B385" s="825" t="s">
        <v>51</v>
      </c>
      <c r="C385" s="60">
        <v>12121403</v>
      </c>
      <c r="D385" s="826">
        <v>1771.09</v>
      </c>
    </row>
    <row r="386" spans="1:4" ht="15" customHeight="1">
      <c r="A386" s="825">
        <v>5130902</v>
      </c>
      <c r="B386" s="825" t="s">
        <v>827</v>
      </c>
      <c r="C386" s="60">
        <v>10292700</v>
      </c>
      <c r="D386" s="826">
        <v>1499.82</v>
      </c>
    </row>
    <row r="387" spans="1:4" ht="15" customHeight="1">
      <c r="A387" s="825">
        <v>5130904</v>
      </c>
      <c r="B387" s="825" t="s">
        <v>828</v>
      </c>
      <c r="C387" s="60">
        <v>1828703</v>
      </c>
      <c r="D387" s="826">
        <v>271.27</v>
      </c>
    </row>
    <row r="388" spans="1:4" ht="15" customHeight="1">
      <c r="A388" s="825">
        <v>51310</v>
      </c>
      <c r="B388" s="825" t="s">
        <v>247</v>
      </c>
      <c r="C388" s="60">
        <v>140875444</v>
      </c>
      <c r="D388" s="826">
        <v>21249.85</v>
      </c>
    </row>
    <row r="389" spans="1:4" ht="15" customHeight="1">
      <c r="A389" s="825">
        <v>5131002</v>
      </c>
      <c r="B389" s="825" t="s">
        <v>829</v>
      </c>
      <c r="C389" s="60">
        <v>9000000</v>
      </c>
      <c r="D389" s="826">
        <v>1362.34</v>
      </c>
    </row>
    <row r="390" spans="1:4" ht="15" customHeight="1">
      <c r="A390" s="825">
        <v>5131006</v>
      </c>
      <c r="B390" s="825" t="s">
        <v>830</v>
      </c>
      <c r="C390" s="60">
        <v>10957817</v>
      </c>
      <c r="D390" s="826">
        <v>1617.93</v>
      </c>
    </row>
    <row r="391" spans="1:4" ht="15" customHeight="1">
      <c r="A391" s="825">
        <v>5131007</v>
      </c>
      <c r="B391" s="825" t="s">
        <v>971</v>
      </c>
      <c r="C391" s="60">
        <v>1631744</v>
      </c>
      <c r="D391" s="826">
        <v>240</v>
      </c>
    </row>
    <row r="392" spans="1:4" ht="15" customHeight="1">
      <c r="A392" s="825">
        <v>5131010</v>
      </c>
      <c r="B392" s="825" t="s">
        <v>179</v>
      </c>
      <c r="C392" s="60">
        <v>1412530</v>
      </c>
      <c r="D392" s="826">
        <v>211.3</v>
      </c>
    </row>
    <row r="393" spans="1:4" ht="15" customHeight="1">
      <c r="A393" s="825">
        <v>5131012</v>
      </c>
      <c r="B393" s="825" t="s">
        <v>831</v>
      </c>
      <c r="C393" s="60">
        <v>9229090</v>
      </c>
      <c r="D393" s="826">
        <v>1418.82</v>
      </c>
    </row>
    <row r="394" spans="1:4" ht="15" customHeight="1">
      <c r="A394" s="825">
        <v>5131014</v>
      </c>
      <c r="B394" s="825" t="s">
        <v>832</v>
      </c>
      <c r="C394" s="60">
        <v>4418104</v>
      </c>
      <c r="D394" s="826">
        <v>663.19</v>
      </c>
    </row>
    <row r="395" spans="1:4" ht="15" customHeight="1">
      <c r="A395" s="825">
        <v>5131015</v>
      </c>
      <c r="B395" s="825" t="s">
        <v>236</v>
      </c>
      <c r="C395" s="60">
        <v>10403182</v>
      </c>
      <c r="D395" s="826">
        <v>1535.14</v>
      </c>
    </row>
    <row r="396" spans="1:4" ht="15" customHeight="1">
      <c r="A396" s="825">
        <v>5131016</v>
      </c>
      <c r="B396" s="825" t="s">
        <v>238</v>
      </c>
      <c r="C396" s="60">
        <v>872727</v>
      </c>
      <c r="D396" s="826">
        <v>135.59</v>
      </c>
    </row>
    <row r="397" spans="1:4" ht="15" customHeight="1">
      <c r="A397" s="825">
        <v>5131018</v>
      </c>
      <c r="B397" s="825" t="s">
        <v>833</v>
      </c>
      <c r="C397" s="60">
        <v>90000000</v>
      </c>
      <c r="D397" s="826">
        <v>13623.38</v>
      </c>
    </row>
    <row r="398" spans="1:4" ht="15" customHeight="1">
      <c r="A398" s="825">
        <v>5131019</v>
      </c>
      <c r="B398" s="825" t="s">
        <v>398</v>
      </c>
      <c r="C398" s="60">
        <v>2399999</v>
      </c>
      <c r="D398" s="826">
        <v>359.37</v>
      </c>
    </row>
    <row r="399" spans="1:4" ht="15" customHeight="1">
      <c r="A399" s="825">
        <v>5131099</v>
      </c>
      <c r="B399" s="825" t="s">
        <v>1109</v>
      </c>
      <c r="C399" s="60">
        <v>550251</v>
      </c>
      <c r="D399" s="826">
        <v>82.79</v>
      </c>
    </row>
    <row r="400" spans="1:4" ht="15" customHeight="1">
      <c r="A400" s="825">
        <v>514</v>
      </c>
      <c r="B400" s="825" t="s">
        <v>834</v>
      </c>
      <c r="C400" s="60">
        <v>2667627553</v>
      </c>
      <c r="D400" s="826">
        <v>1505668.4</v>
      </c>
    </row>
    <row r="401" spans="1:4" ht="15" customHeight="1">
      <c r="A401" s="825">
        <v>51404</v>
      </c>
      <c r="B401" s="825" t="s">
        <v>835</v>
      </c>
      <c r="C401" s="60">
        <v>148301269</v>
      </c>
      <c r="D401" s="826">
        <v>22524.16</v>
      </c>
    </row>
    <row r="402" spans="1:4" ht="15" customHeight="1">
      <c r="A402" s="825">
        <v>51405</v>
      </c>
      <c r="B402" s="825" t="s">
        <v>78</v>
      </c>
      <c r="C402" s="60">
        <v>7681264</v>
      </c>
      <c r="D402" s="826">
        <v>1176.58</v>
      </c>
    </row>
    <row r="403" spans="1:4" ht="15" customHeight="1">
      <c r="A403" s="825">
        <v>51406</v>
      </c>
      <c r="B403" s="825" t="s">
        <v>836</v>
      </c>
      <c r="C403" s="60">
        <v>7291384</v>
      </c>
      <c r="D403" s="826">
        <v>1057.92</v>
      </c>
    </row>
    <row r="404" spans="1:4" ht="15" customHeight="1">
      <c r="A404" s="825">
        <v>51407</v>
      </c>
      <c r="B404" s="825" t="s">
        <v>837</v>
      </c>
      <c r="C404" s="60">
        <v>2504353636</v>
      </c>
      <c r="D404" s="826">
        <v>1480909.74</v>
      </c>
    </row>
    <row r="405" spans="1:4" ht="15" customHeight="1">
      <c r="A405" s="825">
        <v>5140701</v>
      </c>
      <c r="B405" s="825" t="s">
        <v>793</v>
      </c>
      <c r="C405" s="60">
        <v>1872901941</v>
      </c>
      <c r="D405" s="826">
        <v>1145520.99</v>
      </c>
    </row>
    <row r="406" spans="1:4" ht="15" customHeight="1">
      <c r="A406" s="825">
        <v>5140702</v>
      </c>
      <c r="B406" s="825" t="s">
        <v>794</v>
      </c>
      <c r="C406" s="60">
        <v>631451695</v>
      </c>
      <c r="D406" s="826">
        <v>335388.75</v>
      </c>
    </row>
    <row r="407" spans="1:4" ht="15" customHeight="1">
      <c r="A407" s="825">
        <v>515</v>
      </c>
      <c r="B407" s="825" t="s">
        <v>240</v>
      </c>
      <c r="C407" s="60">
        <v>377403971</v>
      </c>
      <c r="D407" s="826">
        <v>57406.21</v>
      </c>
    </row>
    <row r="408" spans="1:4" ht="15" customHeight="1">
      <c r="A408" s="825">
        <v>51501</v>
      </c>
      <c r="B408" s="825" t="s">
        <v>77</v>
      </c>
      <c r="C408" s="60">
        <v>111753780</v>
      </c>
      <c r="D408" s="826">
        <v>17218.650000000001</v>
      </c>
    </row>
    <row r="409" spans="1:4" ht="15" customHeight="1">
      <c r="A409" s="825">
        <v>51502</v>
      </c>
      <c r="B409" s="825" t="s">
        <v>838</v>
      </c>
      <c r="C409" s="60">
        <v>20901450</v>
      </c>
      <c r="D409" s="826">
        <v>3291.94</v>
      </c>
    </row>
    <row r="410" spans="1:4" ht="15" customHeight="1">
      <c r="A410" s="825">
        <v>51503</v>
      </c>
      <c r="B410" s="825" t="s">
        <v>839</v>
      </c>
      <c r="C410" s="60">
        <v>25524855</v>
      </c>
      <c r="D410" s="826">
        <v>3882.79</v>
      </c>
    </row>
    <row r="411" spans="1:4" ht="15" customHeight="1">
      <c r="A411" s="825">
        <v>5150301</v>
      </c>
      <c r="B411" s="825" t="s">
        <v>840</v>
      </c>
      <c r="C411" s="60">
        <v>25524855</v>
      </c>
      <c r="D411" s="826">
        <v>3882.79</v>
      </c>
    </row>
    <row r="412" spans="1:4" ht="15" customHeight="1">
      <c r="A412" s="825">
        <v>51504</v>
      </c>
      <c r="B412" s="825" t="s">
        <v>841</v>
      </c>
      <c r="C412" s="60">
        <v>216528286</v>
      </c>
      <c r="D412" s="826">
        <v>32609.63</v>
      </c>
    </row>
    <row r="413" spans="1:4" ht="15" customHeight="1">
      <c r="A413" s="825">
        <v>51505</v>
      </c>
      <c r="B413" s="825" t="s">
        <v>1113</v>
      </c>
      <c r="C413" s="60">
        <v>2695600</v>
      </c>
      <c r="D413" s="826">
        <v>403.2</v>
      </c>
    </row>
    <row r="414" spans="1:4" ht="15" customHeight="1">
      <c r="A414" s="825">
        <v>52</v>
      </c>
      <c r="B414" s="825" t="s">
        <v>239</v>
      </c>
      <c r="C414" s="60">
        <v>5798</v>
      </c>
      <c r="D414" s="826">
        <v>1.41</v>
      </c>
    </row>
    <row r="415" spans="1:4" ht="15" customHeight="1">
      <c r="A415" s="825">
        <v>5204</v>
      </c>
      <c r="B415" s="825" t="s">
        <v>842</v>
      </c>
      <c r="C415" s="60">
        <v>5798</v>
      </c>
      <c r="D415" s="826">
        <v>1.41</v>
      </c>
    </row>
    <row r="416" spans="1:4" ht="15" customHeight="1">
      <c r="A416" s="825"/>
      <c r="B416" s="825"/>
      <c r="C416" s="60"/>
      <c r="D416" s="826"/>
    </row>
    <row r="417" spans="1:4" ht="15" customHeight="1">
      <c r="B417" s="138" t="s">
        <v>1507</v>
      </c>
      <c r="C417" s="827">
        <v>1564254645</v>
      </c>
      <c r="D417" s="828">
        <v>235494.98</v>
      </c>
    </row>
    <row r="418" spans="1:4" ht="15" customHeight="1">
      <c r="B418" s="138"/>
      <c r="C418" s="138"/>
    </row>
    <row r="419" spans="1:4" ht="15" customHeight="1">
      <c r="A419" s="829"/>
    </row>
  </sheetData>
  <printOptions gridLinesSet="0"/>
  <pageMargins left="0.75" right="0.75" top="1" bottom="1" header="0.5" footer="0.5"/>
  <pageSetup paperSize="9"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A531"/>
  <sheetViews>
    <sheetView zoomScale="90" zoomScaleNormal="90" workbookViewId="0">
      <pane xSplit="2" ySplit="3" topLeftCell="L520" activePane="bottomRight" state="frozen"/>
      <selection activeCell="Q525" sqref="Q525:S525"/>
      <selection pane="topRight" activeCell="Q525" sqref="Q525:S525"/>
      <selection pane="bottomLeft" activeCell="Q525" sqref="Q525:S525"/>
      <selection pane="bottomRight" activeCell="Q525" sqref="Q525:S525"/>
    </sheetView>
  </sheetViews>
  <sheetFormatPr baseColWidth="10" defaultColWidth="9.109375" defaultRowHeight="15" customHeight="1" outlineLevelCol="1"/>
  <cols>
    <col min="1" max="1" width="12.44140625" style="68" customWidth="1"/>
    <col min="2" max="2" width="24" style="68" customWidth="1"/>
    <col min="3" max="3" width="16" style="68" customWidth="1"/>
    <col min="4" max="4" width="15" style="68" customWidth="1" outlineLevel="1"/>
    <col min="5" max="5" width="16.44140625" style="68" customWidth="1" outlineLevel="1"/>
    <col min="6" max="6" width="16.33203125" style="68" customWidth="1" outlineLevel="1"/>
    <col min="7" max="7" width="16" style="68" customWidth="1" outlineLevel="1"/>
    <col min="8" max="8" width="15.33203125" style="68" bestFit="1" customWidth="1"/>
    <col min="9" max="10" width="18.109375" style="68" bestFit="1" customWidth="1"/>
    <col min="11" max="11" width="14.109375" style="68" bestFit="1" customWidth="1"/>
    <col min="12" max="12" width="16.6640625" style="68" bestFit="1" customWidth="1"/>
    <col min="13" max="13" width="16.6640625" style="68" customWidth="1"/>
    <col min="14" max="15" width="15.44140625" style="68" bestFit="1" customWidth="1"/>
    <col min="16" max="16" width="15.5546875" style="68" bestFit="1" customWidth="1"/>
    <col min="17" max="17" width="15.5546875" style="68" customWidth="1"/>
    <col min="18" max="18" width="16.44140625" style="68" customWidth="1"/>
    <col min="19" max="20" width="15.5546875" style="68" customWidth="1"/>
    <col min="21" max="21" width="13.6640625" style="68" bestFit="1" customWidth="1"/>
    <col min="22" max="22" width="19.33203125" style="68" bestFit="1" customWidth="1"/>
    <col min="23" max="23" width="12.33203125" style="68" bestFit="1" customWidth="1"/>
    <col min="24" max="24" width="16.44140625" style="68" bestFit="1" customWidth="1"/>
    <col min="25" max="25" width="17.6640625" style="68" bestFit="1" customWidth="1"/>
    <col min="26" max="26" width="16.44140625" style="78" bestFit="1" customWidth="1"/>
    <col min="27" max="27" width="16.44140625" style="69" bestFit="1" customWidth="1"/>
    <col min="28" max="53" width="9.109375" style="69"/>
    <col min="54" max="261" width="9.109375" style="68"/>
    <col min="262" max="262" width="33.6640625" style="68" customWidth="1"/>
    <col min="263" max="263" width="16" style="68" customWidth="1"/>
    <col min="264" max="265" width="15" style="68" bestFit="1" customWidth="1"/>
    <col min="266" max="266" width="16.5546875" style="68" bestFit="1" customWidth="1"/>
    <col min="267" max="267" width="12.5546875" style="68" customWidth="1"/>
    <col min="268" max="268" width="17.5546875" style="68" bestFit="1" customWidth="1"/>
    <col min="269" max="270" width="18.109375" style="68" bestFit="1" customWidth="1"/>
    <col min="271" max="271" width="12.88671875" style="68" bestFit="1" customWidth="1"/>
    <col min="272" max="273" width="16.5546875" style="68" bestFit="1" customWidth="1"/>
    <col min="274" max="275" width="13.109375" style="68" bestFit="1" customWidth="1"/>
    <col min="276" max="276" width="15.5546875" style="68" bestFit="1" customWidth="1"/>
    <col min="277" max="277" width="13.6640625" style="68" bestFit="1" customWidth="1"/>
    <col min="278" max="280" width="12.33203125" style="68" bestFit="1" customWidth="1"/>
    <col min="281" max="281" width="17.5546875" style="68" bestFit="1" customWidth="1"/>
    <col min="282" max="282" width="12.33203125" style="68" bestFit="1" customWidth="1"/>
    <col min="283" max="283" width="13.44140625" style="68" bestFit="1" customWidth="1"/>
    <col min="284" max="517" width="9.109375" style="68"/>
    <col min="518" max="518" width="33.6640625" style="68" customWidth="1"/>
    <col min="519" max="519" width="16" style="68" customWidth="1"/>
    <col min="520" max="521" width="15" style="68" bestFit="1" customWidth="1"/>
    <col min="522" max="522" width="16.5546875" style="68" bestFit="1" customWidth="1"/>
    <col min="523" max="523" width="12.5546875" style="68" customWidth="1"/>
    <col min="524" max="524" width="17.5546875" style="68" bestFit="1" customWidth="1"/>
    <col min="525" max="526" width="18.109375" style="68" bestFit="1" customWidth="1"/>
    <col min="527" max="527" width="12.88671875" style="68" bestFit="1" customWidth="1"/>
    <col min="528" max="529" width="16.5546875" style="68" bestFit="1" customWidth="1"/>
    <col min="530" max="531" width="13.109375" style="68" bestFit="1" customWidth="1"/>
    <col min="532" max="532" width="15.5546875" style="68" bestFit="1" customWidth="1"/>
    <col min="533" max="533" width="13.6640625" style="68" bestFit="1" customWidth="1"/>
    <col min="534" max="536" width="12.33203125" style="68" bestFit="1" customWidth="1"/>
    <col min="537" max="537" width="17.5546875" style="68" bestFit="1" customWidth="1"/>
    <col min="538" max="538" width="12.33203125" style="68" bestFit="1" customWidth="1"/>
    <col min="539" max="539" width="13.44140625" style="68" bestFit="1" customWidth="1"/>
    <col min="540" max="773" width="9.109375" style="68"/>
    <col min="774" max="774" width="33.6640625" style="68" customWidth="1"/>
    <col min="775" max="775" width="16" style="68" customWidth="1"/>
    <col min="776" max="777" width="15" style="68" bestFit="1" customWidth="1"/>
    <col min="778" max="778" width="16.5546875" style="68" bestFit="1" customWidth="1"/>
    <col min="779" max="779" width="12.5546875" style="68" customWidth="1"/>
    <col min="780" max="780" width="17.5546875" style="68" bestFit="1" customWidth="1"/>
    <col min="781" max="782" width="18.109375" style="68" bestFit="1" customWidth="1"/>
    <col min="783" max="783" width="12.88671875" style="68" bestFit="1" customWidth="1"/>
    <col min="784" max="785" width="16.5546875" style="68" bestFit="1" customWidth="1"/>
    <col min="786" max="787" width="13.109375" style="68" bestFit="1" customWidth="1"/>
    <col min="788" max="788" width="15.5546875" style="68" bestFit="1" customWidth="1"/>
    <col min="789" max="789" width="13.6640625" style="68" bestFit="1" customWidth="1"/>
    <col min="790" max="792" width="12.33203125" style="68" bestFit="1" customWidth="1"/>
    <col min="793" max="793" width="17.5546875" style="68" bestFit="1" customWidth="1"/>
    <col min="794" max="794" width="12.33203125" style="68" bestFit="1" customWidth="1"/>
    <col min="795" max="795" width="13.44140625" style="68" bestFit="1" customWidth="1"/>
    <col min="796" max="1029" width="9.109375" style="68"/>
    <col min="1030" max="1030" width="33.6640625" style="68" customWidth="1"/>
    <col min="1031" max="1031" width="16" style="68" customWidth="1"/>
    <col min="1032" max="1033" width="15" style="68" bestFit="1" customWidth="1"/>
    <col min="1034" max="1034" width="16.5546875" style="68" bestFit="1" customWidth="1"/>
    <col min="1035" max="1035" width="12.5546875" style="68" customWidth="1"/>
    <col min="1036" max="1036" width="17.5546875" style="68" bestFit="1" customWidth="1"/>
    <col min="1037" max="1038" width="18.109375" style="68" bestFit="1" customWidth="1"/>
    <col min="1039" max="1039" width="12.88671875" style="68" bestFit="1" customWidth="1"/>
    <col min="1040" max="1041" width="16.5546875" style="68" bestFit="1" customWidth="1"/>
    <col min="1042" max="1043" width="13.109375" style="68" bestFit="1" customWidth="1"/>
    <col min="1044" max="1044" width="15.5546875" style="68" bestFit="1" customWidth="1"/>
    <col min="1045" max="1045" width="13.6640625" style="68" bestFit="1" customWidth="1"/>
    <col min="1046" max="1048" width="12.33203125" style="68" bestFit="1" customWidth="1"/>
    <col min="1049" max="1049" width="17.5546875" style="68" bestFit="1" customWidth="1"/>
    <col min="1050" max="1050" width="12.33203125" style="68" bestFit="1" customWidth="1"/>
    <col min="1051" max="1051" width="13.44140625" style="68" bestFit="1" customWidth="1"/>
    <col min="1052" max="1285" width="9.109375" style="68"/>
    <col min="1286" max="1286" width="33.6640625" style="68" customWidth="1"/>
    <col min="1287" max="1287" width="16" style="68" customWidth="1"/>
    <col min="1288" max="1289" width="15" style="68" bestFit="1" customWidth="1"/>
    <col min="1290" max="1290" width="16.5546875" style="68" bestFit="1" customWidth="1"/>
    <col min="1291" max="1291" width="12.5546875" style="68" customWidth="1"/>
    <col min="1292" max="1292" width="17.5546875" style="68" bestFit="1" customWidth="1"/>
    <col min="1293" max="1294" width="18.109375" style="68" bestFit="1" customWidth="1"/>
    <col min="1295" max="1295" width="12.88671875" style="68" bestFit="1" customWidth="1"/>
    <col min="1296" max="1297" width="16.5546875" style="68" bestFit="1" customWidth="1"/>
    <col min="1298" max="1299" width="13.109375" style="68" bestFit="1" customWidth="1"/>
    <col min="1300" max="1300" width="15.5546875" style="68" bestFit="1" customWidth="1"/>
    <col min="1301" max="1301" width="13.6640625" style="68" bestFit="1" customWidth="1"/>
    <col min="1302" max="1304" width="12.33203125" style="68" bestFit="1" customWidth="1"/>
    <col min="1305" max="1305" width="17.5546875" style="68" bestFit="1" customWidth="1"/>
    <col min="1306" max="1306" width="12.33203125" style="68" bestFit="1" customWidth="1"/>
    <col min="1307" max="1307" width="13.44140625" style="68" bestFit="1" customWidth="1"/>
    <col min="1308" max="1541" width="9.109375" style="68"/>
    <col min="1542" max="1542" width="33.6640625" style="68" customWidth="1"/>
    <col min="1543" max="1543" width="16" style="68" customWidth="1"/>
    <col min="1544" max="1545" width="15" style="68" bestFit="1" customWidth="1"/>
    <col min="1546" max="1546" width="16.5546875" style="68" bestFit="1" customWidth="1"/>
    <col min="1547" max="1547" width="12.5546875" style="68" customWidth="1"/>
    <col min="1548" max="1548" width="17.5546875" style="68" bestFit="1" customWidth="1"/>
    <col min="1549" max="1550" width="18.109375" style="68" bestFit="1" customWidth="1"/>
    <col min="1551" max="1551" width="12.88671875" style="68" bestFit="1" customWidth="1"/>
    <col min="1552" max="1553" width="16.5546875" style="68" bestFit="1" customWidth="1"/>
    <col min="1554" max="1555" width="13.109375" style="68" bestFit="1" customWidth="1"/>
    <col min="1556" max="1556" width="15.5546875" style="68" bestFit="1" customWidth="1"/>
    <col min="1557" max="1557" width="13.6640625" style="68" bestFit="1" customWidth="1"/>
    <col min="1558" max="1560" width="12.33203125" style="68" bestFit="1" customWidth="1"/>
    <col min="1561" max="1561" width="17.5546875" style="68" bestFit="1" customWidth="1"/>
    <col min="1562" max="1562" width="12.33203125" style="68" bestFit="1" customWidth="1"/>
    <col min="1563" max="1563" width="13.44140625" style="68" bestFit="1" customWidth="1"/>
    <col min="1564" max="1797" width="9.109375" style="68"/>
    <col min="1798" max="1798" width="33.6640625" style="68" customWidth="1"/>
    <col min="1799" max="1799" width="16" style="68" customWidth="1"/>
    <col min="1800" max="1801" width="15" style="68" bestFit="1" customWidth="1"/>
    <col min="1802" max="1802" width="16.5546875" style="68" bestFit="1" customWidth="1"/>
    <col min="1803" max="1803" width="12.5546875" style="68" customWidth="1"/>
    <col min="1804" max="1804" width="17.5546875" style="68" bestFit="1" customWidth="1"/>
    <col min="1805" max="1806" width="18.109375" style="68" bestFit="1" customWidth="1"/>
    <col min="1807" max="1807" width="12.88671875" style="68" bestFit="1" customWidth="1"/>
    <col min="1808" max="1809" width="16.5546875" style="68" bestFit="1" customWidth="1"/>
    <col min="1810" max="1811" width="13.109375" style="68" bestFit="1" customWidth="1"/>
    <col min="1812" max="1812" width="15.5546875" style="68" bestFit="1" customWidth="1"/>
    <col min="1813" max="1813" width="13.6640625" style="68" bestFit="1" customWidth="1"/>
    <col min="1814" max="1816" width="12.33203125" style="68" bestFit="1" customWidth="1"/>
    <col min="1817" max="1817" width="17.5546875" style="68" bestFit="1" customWidth="1"/>
    <col min="1818" max="1818" width="12.33203125" style="68" bestFit="1" customWidth="1"/>
    <col min="1819" max="1819" width="13.44140625" style="68" bestFit="1" customWidth="1"/>
    <col min="1820" max="2053" width="9.109375" style="68"/>
    <col min="2054" max="2054" width="33.6640625" style="68" customWidth="1"/>
    <col min="2055" max="2055" width="16" style="68" customWidth="1"/>
    <col min="2056" max="2057" width="15" style="68" bestFit="1" customWidth="1"/>
    <col min="2058" max="2058" width="16.5546875" style="68" bestFit="1" customWidth="1"/>
    <col min="2059" max="2059" width="12.5546875" style="68" customWidth="1"/>
    <col min="2060" max="2060" width="17.5546875" style="68" bestFit="1" customWidth="1"/>
    <col min="2061" max="2062" width="18.109375" style="68" bestFit="1" customWidth="1"/>
    <col min="2063" max="2063" width="12.88671875" style="68" bestFit="1" customWidth="1"/>
    <col min="2064" max="2065" width="16.5546875" style="68" bestFit="1" customWidth="1"/>
    <col min="2066" max="2067" width="13.109375" style="68" bestFit="1" customWidth="1"/>
    <col min="2068" max="2068" width="15.5546875" style="68" bestFit="1" customWidth="1"/>
    <col min="2069" max="2069" width="13.6640625" style="68" bestFit="1" customWidth="1"/>
    <col min="2070" max="2072" width="12.33203125" style="68" bestFit="1" customWidth="1"/>
    <col min="2073" max="2073" width="17.5546875" style="68" bestFit="1" customWidth="1"/>
    <col min="2074" max="2074" width="12.33203125" style="68" bestFit="1" customWidth="1"/>
    <col min="2075" max="2075" width="13.44140625" style="68" bestFit="1" customWidth="1"/>
    <col min="2076" max="2309" width="9.109375" style="68"/>
    <col min="2310" max="2310" width="33.6640625" style="68" customWidth="1"/>
    <col min="2311" max="2311" width="16" style="68" customWidth="1"/>
    <col min="2312" max="2313" width="15" style="68" bestFit="1" customWidth="1"/>
    <col min="2314" max="2314" width="16.5546875" style="68" bestFit="1" customWidth="1"/>
    <col min="2315" max="2315" width="12.5546875" style="68" customWidth="1"/>
    <col min="2316" max="2316" width="17.5546875" style="68" bestFit="1" customWidth="1"/>
    <col min="2317" max="2318" width="18.109375" style="68" bestFit="1" customWidth="1"/>
    <col min="2319" max="2319" width="12.88671875" style="68" bestFit="1" customWidth="1"/>
    <col min="2320" max="2321" width="16.5546875" style="68" bestFit="1" customWidth="1"/>
    <col min="2322" max="2323" width="13.109375" style="68" bestFit="1" customWidth="1"/>
    <col min="2324" max="2324" width="15.5546875" style="68" bestFit="1" customWidth="1"/>
    <col min="2325" max="2325" width="13.6640625" style="68" bestFit="1" customWidth="1"/>
    <col min="2326" max="2328" width="12.33203125" style="68" bestFit="1" customWidth="1"/>
    <col min="2329" max="2329" width="17.5546875" style="68" bestFit="1" customWidth="1"/>
    <col min="2330" max="2330" width="12.33203125" style="68" bestFit="1" customWidth="1"/>
    <col min="2331" max="2331" width="13.44140625" style="68" bestFit="1" customWidth="1"/>
    <col min="2332" max="2565" width="9.109375" style="68"/>
    <col min="2566" max="2566" width="33.6640625" style="68" customWidth="1"/>
    <col min="2567" max="2567" width="16" style="68" customWidth="1"/>
    <col min="2568" max="2569" width="15" style="68" bestFit="1" customWidth="1"/>
    <col min="2570" max="2570" width="16.5546875" style="68" bestFit="1" customWidth="1"/>
    <col min="2571" max="2571" width="12.5546875" style="68" customWidth="1"/>
    <col min="2572" max="2572" width="17.5546875" style="68" bestFit="1" customWidth="1"/>
    <col min="2573" max="2574" width="18.109375" style="68" bestFit="1" customWidth="1"/>
    <col min="2575" max="2575" width="12.88671875" style="68" bestFit="1" customWidth="1"/>
    <col min="2576" max="2577" width="16.5546875" style="68" bestFit="1" customWidth="1"/>
    <col min="2578" max="2579" width="13.109375" style="68" bestFit="1" customWidth="1"/>
    <col min="2580" max="2580" width="15.5546875" style="68" bestFit="1" customWidth="1"/>
    <col min="2581" max="2581" width="13.6640625" style="68" bestFit="1" customWidth="1"/>
    <col min="2582" max="2584" width="12.33203125" style="68" bestFit="1" customWidth="1"/>
    <col min="2585" max="2585" width="17.5546875" style="68" bestFit="1" customWidth="1"/>
    <col min="2586" max="2586" width="12.33203125" style="68" bestFit="1" customWidth="1"/>
    <col min="2587" max="2587" width="13.44140625" style="68" bestFit="1" customWidth="1"/>
    <col min="2588" max="2821" width="9.109375" style="68"/>
    <col min="2822" max="2822" width="33.6640625" style="68" customWidth="1"/>
    <col min="2823" max="2823" width="16" style="68" customWidth="1"/>
    <col min="2824" max="2825" width="15" style="68" bestFit="1" customWidth="1"/>
    <col min="2826" max="2826" width="16.5546875" style="68" bestFit="1" customWidth="1"/>
    <col min="2827" max="2827" width="12.5546875" style="68" customWidth="1"/>
    <col min="2828" max="2828" width="17.5546875" style="68" bestFit="1" customWidth="1"/>
    <col min="2829" max="2830" width="18.109375" style="68" bestFit="1" customWidth="1"/>
    <col min="2831" max="2831" width="12.88671875" style="68" bestFit="1" customWidth="1"/>
    <col min="2832" max="2833" width="16.5546875" style="68" bestFit="1" customWidth="1"/>
    <col min="2834" max="2835" width="13.109375" style="68" bestFit="1" customWidth="1"/>
    <col min="2836" max="2836" width="15.5546875" style="68" bestFit="1" customWidth="1"/>
    <col min="2837" max="2837" width="13.6640625" style="68" bestFit="1" customWidth="1"/>
    <col min="2838" max="2840" width="12.33203125" style="68" bestFit="1" customWidth="1"/>
    <col min="2841" max="2841" width="17.5546875" style="68" bestFit="1" customWidth="1"/>
    <col min="2842" max="2842" width="12.33203125" style="68" bestFit="1" customWidth="1"/>
    <col min="2843" max="2843" width="13.44140625" style="68" bestFit="1" customWidth="1"/>
    <col min="2844" max="3077" width="9.109375" style="68"/>
    <col min="3078" max="3078" width="33.6640625" style="68" customWidth="1"/>
    <col min="3079" max="3079" width="16" style="68" customWidth="1"/>
    <col min="3080" max="3081" width="15" style="68" bestFit="1" customWidth="1"/>
    <col min="3082" max="3082" width="16.5546875" style="68" bestFit="1" customWidth="1"/>
    <col min="3083" max="3083" width="12.5546875" style="68" customWidth="1"/>
    <col min="3084" max="3084" width="17.5546875" style="68" bestFit="1" customWidth="1"/>
    <col min="3085" max="3086" width="18.109375" style="68" bestFit="1" customWidth="1"/>
    <col min="3087" max="3087" width="12.88671875" style="68" bestFit="1" customWidth="1"/>
    <col min="3088" max="3089" width="16.5546875" style="68" bestFit="1" customWidth="1"/>
    <col min="3090" max="3091" width="13.109375" style="68" bestFit="1" customWidth="1"/>
    <col min="3092" max="3092" width="15.5546875" style="68" bestFit="1" customWidth="1"/>
    <col min="3093" max="3093" width="13.6640625" style="68" bestFit="1" customWidth="1"/>
    <col min="3094" max="3096" width="12.33203125" style="68" bestFit="1" customWidth="1"/>
    <col min="3097" max="3097" width="17.5546875" style="68" bestFit="1" customWidth="1"/>
    <col min="3098" max="3098" width="12.33203125" style="68" bestFit="1" customWidth="1"/>
    <col min="3099" max="3099" width="13.44140625" style="68" bestFit="1" customWidth="1"/>
    <col min="3100" max="3333" width="9.109375" style="68"/>
    <col min="3334" max="3334" width="33.6640625" style="68" customWidth="1"/>
    <col min="3335" max="3335" width="16" style="68" customWidth="1"/>
    <col min="3336" max="3337" width="15" style="68" bestFit="1" customWidth="1"/>
    <col min="3338" max="3338" width="16.5546875" style="68" bestFit="1" customWidth="1"/>
    <col min="3339" max="3339" width="12.5546875" style="68" customWidth="1"/>
    <col min="3340" max="3340" width="17.5546875" style="68" bestFit="1" customWidth="1"/>
    <col min="3341" max="3342" width="18.109375" style="68" bestFit="1" customWidth="1"/>
    <col min="3343" max="3343" width="12.88671875" style="68" bestFit="1" customWidth="1"/>
    <col min="3344" max="3345" width="16.5546875" style="68" bestFit="1" customWidth="1"/>
    <col min="3346" max="3347" width="13.109375" style="68" bestFit="1" customWidth="1"/>
    <col min="3348" max="3348" width="15.5546875" style="68" bestFit="1" customWidth="1"/>
    <col min="3349" max="3349" width="13.6640625" style="68" bestFit="1" customWidth="1"/>
    <col min="3350" max="3352" width="12.33203125" style="68" bestFit="1" customWidth="1"/>
    <col min="3353" max="3353" width="17.5546875" style="68" bestFit="1" customWidth="1"/>
    <col min="3354" max="3354" width="12.33203125" style="68" bestFit="1" customWidth="1"/>
    <col min="3355" max="3355" width="13.44140625" style="68" bestFit="1" customWidth="1"/>
    <col min="3356" max="3589" width="9.109375" style="68"/>
    <col min="3590" max="3590" width="33.6640625" style="68" customWidth="1"/>
    <col min="3591" max="3591" width="16" style="68" customWidth="1"/>
    <col min="3592" max="3593" width="15" style="68" bestFit="1" customWidth="1"/>
    <col min="3594" max="3594" width="16.5546875" style="68" bestFit="1" customWidth="1"/>
    <col min="3595" max="3595" width="12.5546875" style="68" customWidth="1"/>
    <col min="3596" max="3596" width="17.5546875" style="68" bestFit="1" customWidth="1"/>
    <col min="3597" max="3598" width="18.109375" style="68" bestFit="1" customWidth="1"/>
    <col min="3599" max="3599" width="12.88671875" style="68" bestFit="1" customWidth="1"/>
    <col min="3600" max="3601" width="16.5546875" style="68" bestFit="1" customWidth="1"/>
    <col min="3602" max="3603" width="13.109375" style="68" bestFit="1" customWidth="1"/>
    <col min="3604" max="3604" width="15.5546875" style="68" bestFit="1" customWidth="1"/>
    <col min="3605" max="3605" width="13.6640625" style="68" bestFit="1" customWidth="1"/>
    <col min="3606" max="3608" width="12.33203125" style="68" bestFit="1" customWidth="1"/>
    <col min="3609" max="3609" width="17.5546875" style="68" bestFit="1" customWidth="1"/>
    <col min="3610" max="3610" width="12.33203125" style="68" bestFit="1" customWidth="1"/>
    <col min="3611" max="3611" width="13.44140625" style="68" bestFit="1" customWidth="1"/>
    <col min="3612" max="3845" width="9.109375" style="68"/>
    <col min="3846" max="3846" width="33.6640625" style="68" customWidth="1"/>
    <col min="3847" max="3847" width="16" style="68" customWidth="1"/>
    <col min="3848" max="3849" width="15" style="68" bestFit="1" customWidth="1"/>
    <col min="3850" max="3850" width="16.5546875" style="68" bestFit="1" customWidth="1"/>
    <col min="3851" max="3851" width="12.5546875" style="68" customWidth="1"/>
    <col min="3852" max="3852" width="17.5546875" style="68" bestFit="1" customWidth="1"/>
    <col min="3853" max="3854" width="18.109375" style="68" bestFit="1" customWidth="1"/>
    <col min="3855" max="3855" width="12.88671875" style="68" bestFit="1" customWidth="1"/>
    <col min="3856" max="3857" width="16.5546875" style="68" bestFit="1" customWidth="1"/>
    <col min="3858" max="3859" width="13.109375" style="68" bestFit="1" customWidth="1"/>
    <col min="3860" max="3860" width="15.5546875" style="68" bestFit="1" customWidth="1"/>
    <col min="3861" max="3861" width="13.6640625" style="68" bestFit="1" customWidth="1"/>
    <col min="3862" max="3864" width="12.33203125" style="68" bestFit="1" customWidth="1"/>
    <col min="3865" max="3865" width="17.5546875" style="68" bestFit="1" customWidth="1"/>
    <col min="3866" max="3866" width="12.33203125" style="68" bestFit="1" customWidth="1"/>
    <col min="3867" max="3867" width="13.44140625" style="68" bestFit="1" customWidth="1"/>
    <col min="3868" max="4101" width="9.109375" style="68"/>
    <col min="4102" max="4102" width="33.6640625" style="68" customWidth="1"/>
    <col min="4103" max="4103" width="16" style="68" customWidth="1"/>
    <col min="4104" max="4105" width="15" style="68" bestFit="1" customWidth="1"/>
    <col min="4106" max="4106" width="16.5546875" style="68" bestFit="1" customWidth="1"/>
    <col min="4107" max="4107" width="12.5546875" style="68" customWidth="1"/>
    <col min="4108" max="4108" width="17.5546875" style="68" bestFit="1" customWidth="1"/>
    <col min="4109" max="4110" width="18.109375" style="68" bestFit="1" customWidth="1"/>
    <col min="4111" max="4111" width="12.88671875" style="68" bestFit="1" customWidth="1"/>
    <col min="4112" max="4113" width="16.5546875" style="68" bestFit="1" customWidth="1"/>
    <col min="4114" max="4115" width="13.109375" style="68" bestFit="1" customWidth="1"/>
    <col min="4116" max="4116" width="15.5546875" style="68" bestFit="1" customWidth="1"/>
    <col min="4117" max="4117" width="13.6640625" style="68" bestFit="1" customWidth="1"/>
    <col min="4118" max="4120" width="12.33203125" style="68" bestFit="1" customWidth="1"/>
    <col min="4121" max="4121" width="17.5546875" style="68" bestFit="1" customWidth="1"/>
    <col min="4122" max="4122" width="12.33203125" style="68" bestFit="1" customWidth="1"/>
    <col min="4123" max="4123" width="13.44140625" style="68" bestFit="1" customWidth="1"/>
    <col min="4124" max="4357" width="9.109375" style="68"/>
    <col min="4358" max="4358" width="33.6640625" style="68" customWidth="1"/>
    <col min="4359" max="4359" width="16" style="68" customWidth="1"/>
    <col min="4360" max="4361" width="15" style="68" bestFit="1" customWidth="1"/>
    <col min="4362" max="4362" width="16.5546875" style="68" bestFit="1" customWidth="1"/>
    <col min="4363" max="4363" width="12.5546875" style="68" customWidth="1"/>
    <col min="4364" max="4364" width="17.5546875" style="68" bestFit="1" customWidth="1"/>
    <col min="4365" max="4366" width="18.109375" style="68" bestFit="1" customWidth="1"/>
    <col min="4367" max="4367" width="12.88671875" style="68" bestFit="1" customWidth="1"/>
    <col min="4368" max="4369" width="16.5546875" style="68" bestFit="1" customWidth="1"/>
    <col min="4370" max="4371" width="13.109375" style="68" bestFit="1" customWidth="1"/>
    <col min="4372" max="4372" width="15.5546875" style="68" bestFit="1" customWidth="1"/>
    <col min="4373" max="4373" width="13.6640625" style="68" bestFit="1" customWidth="1"/>
    <col min="4374" max="4376" width="12.33203125" style="68" bestFit="1" customWidth="1"/>
    <col min="4377" max="4377" width="17.5546875" style="68" bestFit="1" customWidth="1"/>
    <col min="4378" max="4378" width="12.33203125" style="68" bestFit="1" customWidth="1"/>
    <col min="4379" max="4379" width="13.44140625" style="68" bestFit="1" customWidth="1"/>
    <col min="4380" max="4613" width="9.109375" style="68"/>
    <col min="4614" max="4614" width="33.6640625" style="68" customWidth="1"/>
    <col min="4615" max="4615" width="16" style="68" customWidth="1"/>
    <col min="4616" max="4617" width="15" style="68" bestFit="1" customWidth="1"/>
    <col min="4618" max="4618" width="16.5546875" style="68" bestFit="1" customWidth="1"/>
    <col min="4619" max="4619" width="12.5546875" style="68" customWidth="1"/>
    <col min="4620" max="4620" width="17.5546875" style="68" bestFit="1" customWidth="1"/>
    <col min="4621" max="4622" width="18.109375" style="68" bestFit="1" customWidth="1"/>
    <col min="4623" max="4623" width="12.88671875" style="68" bestFit="1" customWidth="1"/>
    <col min="4624" max="4625" width="16.5546875" style="68" bestFit="1" customWidth="1"/>
    <col min="4626" max="4627" width="13.109375" style="68" bestFit="1" customWidth="1"/>
    <col min="4628" max="4628" width="15.5546875" style="68" bestFit="1" customWidth="1"/>
    <col min="4629" max="4629" width="13.6640625" style="68" bestFit="1" customWidth="1"/>
    <col min="4630" max="4632" width="12.33203125" style="68" bestFit="1" customWidth="1"/>
    <col min="4633" max="4633" width="17.5546875" style="68" bestFit="1" customWidth="1"/>
    <col min="4634" max="4634" width="12.33203125" style="68" bestFit="1" customWidth="1"/>
    <col min="4635" max="4635" width="13.44140625" style="68" bestFit="1" customWidth="1"/>
    <col min="4636" max="4869" width="9.109375" style="68"/>
    <col min="4870" max="4870" width="33.6640625" style="68" customWidth="1"/>
    <col min="4871" max="4871" width="16" style="68" customWidth="1"/>
    <col min="4872" max="4873" width="15" style="68" bestFit="1" customWidth="1"/>
    <col min="4874" max="4874" width="16.5546875" style="68" bestFit="1" customWidth="1"/>
    <col min="4875" max="4875" width="12.5546875" style="68" customWidth="1"/>
    <col min="4876" max="4876" width="17.5546875" style="68" bestFit="1" customWidth="1"/>
    <col min="4877" max="4878" width="18.109375" style="68" bestFit="1" customWidth="1"/>
    <col min="4879" max="4879" width="12.88671875" style="68" bestFit="1" customWidth="1"/>
    <col min="4880" max="4881" width="16.5546875" style="68" bestFit="1" customWidth="1"/>
    <col min="4882" max="4883" width="13.109375" style="68" bestFit="1" customWidth="1"/>
    <col min="4884" max="4884" width="15.5546875" style="68" bestFit="1" customWidth="1"/>
    <col min="4885" max="4885" width="13.6640625" style="68" bestFit="1" customWidth="1"/>
    <col min="4886" max="4888" width="12.33203125" style="68" bestFit="1" customWidth="1"/>
    <col min="4889" max="4889" width="17.5546875" style="68" bestFit="1" customWidth="1"/>
    <col min="4890" max="4890" width="12.33203125" style="68" bestFit="1" customWidth="1"/>
    <col min="4891" max="4891" width="13.44140625" style="68" bestFit="1" customWidth="1"/>
    <col min="4892" max="5125" width="9.109375" style="68"/>
    <col min="5126" max="5126" width="33.6640625" style="68" customWidth="1"/>
    <col min="5127" max="5127" width="16" style="68" customWidth="1"/>
    <col min="5128" max="5129" width="15" style="68" bestFit="1" customWidth="1"/>
    <col min="5130" max="5130" width="16.5546875" style="68" bestFit="1" customWidth="1"/>
    <col min="5131" max="5131" width="12.5546875" style="68" customWidth="1"/>
    <col min="5132" max="5132" width="17.5546875" style="68" bestFit="1" customWidth="1"/>
    <col min="5133" max="5134" width="18.109375" style="68" bestFit="1" customWidth="1"/>
    <col min="5135" max="5135" width="12.88671875" style="68" bestFit="1" customWidth="1"/>
    <col min="5136" max="5137" width="16.5546875" style="68" bestFit="1" customWidth="1"/>
    <col min="5138" max="5139" width="13.109375" style="68" bestFit="1" customWidth="1"/>
    <col min="5140" max="5140" width="15.5546875" style="68" bestFit="1" customWidth="1"/>
    <col min="5141" max="5141" width="13.6640625" style="68" bestFit="1" customWidth="1"/>
    <col min="5142" max="5144" width="12.33203125" style="68" bestFit="1" customWidth="1"/>
    <col min="5145" max="5145" width="17.5546875" style="68" bestFit="1" customWidth="1"/>
    <col min="5146" max="5146" width="12.33203125" style="68" bestFit="1" customWidth="1"/>
    <col min="5147" max="5147" width="13.44140625" style="68" bestFit="1" customWidth="1"/>
    <col min="5148" max="5381" width="9.109375" style="68"/>
    <col min="5382" max="5382" width="33.6640625" style="68" customWidth="1"/>
    <col min="5383" max="5383" width="16" style="68" customWidth="1"/>
    <col min="5384" max="5385" width="15" style="68" bestFit="1" customWidth="1"/>
    <col min="5386" max="5386" width="16.5546875" style="68" bestFit="1" customWidth="1"/>
    <col min="5387" max="5387" width="12.5546875" style="68" customWidth="1"/>
    <col min="5388" max="5388" width="17.5546875" style="68" bestFit="1" customWidth="1"/>
    <col min="5389" max="5390" width="18.109375" style="68" bestFit="1" customWidth="1"/>
    <col min="5391" max="5391" width="12.88671875" style="68" bestFit="1" customWidth="1"/>
    <col min="5392" max="5393" width="16.5546875" style="68" bestFit="1" customWidth="1"/>
    <col min="5394" max="5395" width="13.109375" style="68" bestFit="1" customWidth="1"/>
    <col min="5396" max="5396" width="15.5546875" style="68" bestFit="1" customWidth="1"/>
    <col min="5397" max="5397" width="13.6640625" style="68" bestFit="1" customWidth="1"/>
    <col min="5398" max="5400" width="12.33203125" style="68" bestFit="1" customWidth="1"/>
    <col min="5401" max="5401" width="17.5546875" style="68" bestFit="1" customWidth="1"/>
    <col min="5402" max="5402" width="12.33203125" style="68" bestFit="1" customWidth="1"/>
    <col min="5403" max="5403" width="13.44140625" style="68" bestFit="1" customWidth="1"/>
    <col min="5404" max="5637" width="9.109375" style="68"/>
    <col min="5638" max="5638" width="33.6640625" style="68" customWidth="1"/>
    <col min="5639" max="5639" width="16" style="68" customWidth="1"/>
    <col min="5640" max="5641" width="15" style="68" bestFit="1" customWidth="1"/>
    <col min="5642" max="5642" width="16.5546875" style="68" bestFit="1" customWidth="1"/>
    <col min="5643" max="5643" width="12.5546875" style="68" customWidth="1"/>
    <col min="5644" max="5644" width="17.5546875" style="68" bestFit="1" customWidth="1"/>
    <col min="5645" max="5646" width="18.109375" style="68" bestFit="1" customWidth="1"/>
    <col min="5647" max="5647" width="12.88671875" style="68" bestFit="1" customWidth="1"/>
    <col min="5648" max="5649" width="16.5546875" style="68" bestFit="1" customWidth="1"/>
    <col min="5650" max="5651" width="13.109375" style="68" bestFit="1" customWidth="1"/>
    <col min="5652" max="5652" width="15.5546875" style="68" bestFit="1" customWidth="1"/>
    <col min="5653" max="5653" width="13.6640625" style="68" bestFit="1" customWidth="1"/>
    <col min="5654" max="5656" width="12.33203125" style="68" bestFit="1" customWidth="1"/>
    <col min="5657" max="5657" width="17.5546875" style="68" bestFit="1" customWidth="1"/>
    <col min="5658" max="5658" width="12.33203125" style="68" bestFit="1" customWidth="1"/>
    <col min="5659" max="5659" width="13.44140625" style="68" bestFit="1" customWidth="1"/>
    <col min="5660" max="5893" width="9.109375" style="68"/>
    <col min="5894" max="5894" width="33.6640625" style="68" customWidth="1"/>
    <col min="5895" max="5895" width="16" style="68" customWidth="1"/>
    <col min="5896" max="5897" width="15" style="68" bestFit="1" customWidth="1"/>
    <col min="5898" max="5898" width="16.5546875" style="68" bestFit="1" customWidth="1"/>
    <col min="5899" max="5899" width="12.5546875" style="68" customWidth="1"/>
    <col min="5900" max="5900" width="17.5546875" style="68" bestFit="1" customWidth="1"/>
    <col min="5901" max="5902" width="18.109375" style="68" bestFit="1" customWidth="1"/>
    <col min="5903" max="5903" width="12.88671875" style="68" bestFit="1" customWidth="1"/>
    <col min="5904" max="5905" width="16.5546875" style="68" bestFit="1" customWidth="1"/>
    <col min="5906" max="5907" width="13.109375" style="68" bestFit="1" customWidth="1"/>
    <col min="5908" max="5908" width="15.5546875" style="68" bestFit="1" customWidth="1"/>
    <col min="5909" max="5909" width="13.6640625" style="68" bestFit="1" customWidth="1"/>
    <col min="5910" max="5912" width="12.33203125" style="68" bestFit="1" customWidth="1"/>
    <col min="5913" max="5913" width="17.5546875" style="68" bestFit="1" customWidth="1"/>
    <col min="5914" max="5914" width="12.33203125" style="68" bestFit="1" customWidth="1"/>
    <col min="5915" max="5915" width="13.44140625" style="68" bestFit="1" customWidth="1"/>
    <col min="5916" max="6149" width="9.109375" style="68"/>
    <col min="6150" max="6150" width="33.6640625" style="68" customWidth="1"/>
    <col min="6151" max="6151" width="16" style="68" customWidth="1"/>
    <col min="6152" max="6153" width="15" style="68" bestFit="1" customWidth="1"/>
    <col min="6154" max="6154" width="16.5546875" style="68" bestFit="1" customWidth="1"/>
    <col min="6155" max="6155" width="12.5546875" style="68" customWidth="1"/>
    <col min="6156" max="6156" width="17.5546875" style="68" bestFit="1" customWidth="1"/>
    <col min="6157" max="6158" width="18.109375" style="68" bestFit="1" customWidth="1"/>
    <col min="6159" max="6159" width="12.88671875" style="68" bestFit="1" customWidth="1"/>
    <col min="6160" max="6161" width="16.5546875" style="68" bestFit="1" customWidth="1"/>
    <col min="6162" max="6163" width="13.109375" style="68" bestFit="1" customWidth="1"/>
    <col min="6164" max="6164" width="15.5546875" style="68" bestFit="1" customWidth="1"/>
    <col min="6165" max="6165" width="13.6640625" style="68" bestFit="1" customWidth="1"/>
    <col min="6166" max="6168" width="12.33203125" style="68" bestFit="1" customWidth="1"/>
    <col min="6169" max="6169" width="17.5546875" style="68" bestFit="1" customWidth="1"/>
    <col min="6170" max="6170" width="12.33203125" style="68" bestFit="1" customWidth="1"/>
    <col min="6171" max="6171" width="13.44140625" style="68" bestFit="1" customWidth="1"/>
    <col min="6172" max="6405" width="9.109375" style="68"/>
    <col min="6406" max="6406" width="33.6640625" style="68" customWidth="1"/>
    <col min="6407" max="6407" width="16" style="68" customWidth="1"/>
    <col min="6408" max="6409" width="15" style="68" bestFit="1" customWidth="1"/>
    <col min="6410" max="6410" width="16.5546875" style="68" bestFit="1" customWidth="1"/>
    <col min="6411" max="6411" width="12.5546875" style="68" customWidth="1"/>
    <col min="6412" max="6412" width="17.5546875" style="68" bestFit="1" customWidth="1"/>
    <col min="6413" max="6414" width="18.109375" style="68" bestFit="1" customWidth="1"/>
    <col min="6415" max="6415" width="12.88671875" style="68" bestFit="1" customWidth="1"/>
    <col min="6416" max="6417" width="16.5546875" style="68" bestFit="1" customWidth="1"/>
    <col min="6418" max="6419" width="13.109375" style="68" bestFit="1" customWidth="1"/>
    <col min="6420" max="6420" width="15.5546875" style="68" bestFit="1" customWidth="1"/>
    <col min="6421" max="6421" width="13.6640625" style="68" bestFit="1" customWidth="1"/>
    <col min="6422" max="6424" width="12.33203125" style="68" bestFit="1" customWidth="1"/>
    <col min="6425" max="6425" width="17.5546875" style="68" bestFit="1" customWidth="1"/>
    <col min="6426" max="6426" width="12.33203125" style="68" bestFit="1" customWidth="1"/>
    <col min="6427" max="6427" width="13.44140625" style="68" bestFit="1" customWidth="1"/>
    <col min="6428" max="6661" width="9.109375" style="68"/>
    <col min="6662" max="6662" width="33.6640625" style="68" customWidth="1"/>
    <col min="6663" max="6663" width="16" style="68" customWidth="1"/>
    <col min="6664" max="6665" width="15" style="68" bestFit="1" customWidth="1"/>
    <col min="6666" max="6666" width="16.5546875" style="68" bestFit="1" customWidth="1"/>
    <col min="6667" max="6667" width="12.5546875" style="68" customWidth="1"/>
    <col min="6668" max="6668" width="17.5546875" style="68" bestFit="1" customWidth="1"/>
    <col min="6669" max="6670" width="18.109375" style="68" bestFit="1" customWidth="1"/>
    <col min="6671" max="6671" width="12.88671875" style="68" bestFit="1" customWidth="1"/>
    <col min="6672" max="6673" width="16.5546875" style="68" bestFit="1" customWidth="1"/>
    <col min="6674" max="6675" width="13.109375" style="68" bestFit="1" customWidth="1"/>
    <col min="6676" max="6676" width="15.5546875" style="68" bestFit="1" customWidth="1"/>
    <col min="6677" max="6677" width="13.6640625" style="68" bestFit="1" customWidth="1"/>
    <col min="6678" max="6680" width="12.33203125" style="68" bestFit="1" customWidth="1"/>
    <col min="6681" max="6681" width="17.5546875" style="68" bestFit="1" customWidth="1"/>
    <col min="6682" max="6682" width="12.33203125" style="68" bestFit="1" customWidth="1"/>
    <col min="6683" max="6683" width="13.44140625" style="68" bestFit="1" customWidth="1"/>
    <col min="6684" max="6917" width="9.109375" style="68"/>
    <col min="6918" max="6918" width="33.6640625" style="68" customWidth="1"/>
    <col min="6919" max="6919" width="16" style="68" customWidth="1"/>
    <col min="6920" max="6921" width="15" style="68" bestFit="1" customWidth="1"/>
    <col min="6922" max="6922" width="16.5546875" style="68" bestFit="1" customWidth="1"/>
    <col min="6923" max="6923" width="12.5546875" style="68" customWidth="1"/>
    <col min="6924" max="6924" width="17.5546875" style="68" bestFit="1" customWidth="1"/>
    <col min="6925" max="6926" width="18.109375" style="68" bestFit="1" customWidth="1"/>
    <col min="6927" max="6927" width="12.88671875" style="68" bestFit="1" customWidth="1"/>
    <col min="6928" max="6929" width="16.5546875" style="68" bestFit="1" customWidth="1"/>
    <col min="6930" max="6931" width="13.109375" style="68" bestFit="1" customWidth="1"/>
    <col min="6932" max="6932" width="15.5546875" style="68" bestFit="1" customWidth="1"/>
    <col min="6933" max="6933" width="13.6640625" style="68" bestFit="1" customWidth="1"/>
    <col min="6934" max="6936" width="12.33203125" style="68" bestFit="1" customWidth="1"/>
    <col min="6937" max="6937" width="17.5546875" style="68" bestFit="1" customWidth="1"/>
    <col min="6938" max="6938" width="12.33203125" style="68" bestFit="1" customWidth="1"/>
    <col min="6939" max="6939" width="13.44140625" style="68" bestFit="1" customWidth="1"/>
    <col min="6940" max="7173" width="9.109375" style="68"/>
    <col min="7174" max="7174" width="33.6640625" style="68" customWidth="1"/>
    <col min="7175" max="7175" width="16" style="68" customWidth="1"/>
    <col min="7176" max="7177" width="15" style="68" bestFit="1" customWidth="1"/>
    <col min="7178" max="7178" width="16.5546875" style="68" bestFit="1" customWidth="1"/>
    <col min="7179" max="7179" width="12.5546875" style="68" customWidth="1"/>
    <col min="7180" max="7180" width="17.5546875" style="68" bestFit="1" customWidth="1"/>
    <col min="7181" max="7182" width="18.109375" style="68" bestFit="1" customWidth="1"/>
    <col min="7183" max="7183" width="12.88671875" style="68" bestFit="1" customWidth="1"/>
    <col min="7184" max="7185" width="16.5546875" style="68" bestFit="1" customWidth="1"/>
    <col min="7186" max="7187" width="13.109375" style="68" bestFit="1" customWidth="1"/>
    <col min="7188" max="7188" width="15.5546875" style="68" bestFit="1" customWidth="1"/>
    <col min="7189" max="7189" width="13.6640625" style="68" bestFit="1" customWidth="1"/>
    <col min="7190" max="7192" width="12.33203125" style="68" bestFit="1" customWidth="1"/>
    <col min="7193" max="7193" width="17.5546875" style="68" bestFit="1" customWidth="1"/>
    <col min="7194" max="7194" width="12.33203125" style="68" bestFit="1" customWidth="1"/>
    <col min="7195" max="7195" width="13.44140625" style="68" bestFit="1" customWidth="1"/>
    <col min="7196" max="7429" width="9.109375" style="68"/>
    <col min="7430" max="7430" width="33.6640625" style="68" customWidth="1"/>
    <col min="7431" max="7431" width="16" style="68" customWidth="1"/>
    <col min="7432" max="7433" width="15" style="68" bestFit="1" customWidth="1"/>
    <col min="7434" max="7434" width="16.5546875" style="68" bestFit="1" customWidth="1"/>
    <col min="7435" max="7435" width="12.5546875" style="68" customWidth="1"/>
    <col min="7436" max="7436" width="17.5546875" style="68" bestFit="1" customWidth="1"/>
    <col min="7437" max="7438" width="18.109375" style="68" bestFit="1" customWidth="1"/>
    <col min="7439" max="7439" width="12.88671875" style="68" bestFit="1" customWidth="1"/>
    <col min="7440" max="7441" width="16.5546875" style="68" bestFit="1" customWidth="1"/>
    <col min="7442" max="7443" width="13.109375" style="68" bestFit="1" customWidth="1"/>
    <col min="7444" max="7444" width="15.5546875" style="68" bestFit="1" customWidth="1"/>
    <col min="7445" max="7445" width="13.6640625" style="68" bestFit="1" customWidth="1"/>
    <col min="7446" max="7448" width="12.33203125" style="68" bestFit="1" customWidth="1"/>
    <col min="7449" max="7449" width="17.5546875" style="68" bestFit="1" customWidth="1"/>
    <col min="7450" max="7450" width="12.33203125" style="68" bestFit="1" customWidth="1"/>
    <col min="7451" max="7451" width="13.44140625" style="68" bestFit="1" customWidth="1"/>
    <col min="7452" max="7685" width="9.109375" style="68"/>
    <col min="7686" max="7686" width="33.6640625" style="68" customWidth="1"/>
    <col min="7687" max="7687" width="16" style="68" customWidth="1"/>
    <col min="7688" max="7689" width="15" style="68" bestFit="1" customWidth="1"/>
    <col min="7690" max="7690" width="16.5546875" style="68" bestFit="1" customWidth="1"/>
    <col min="7691" max="7691" width="12.5546875" style="68" customWidth="1"/>
    <col min="7692" max="7692" width="17.5546875" style="68" bestFit="1" customWidth="1"/>
    <col min="7693" max="7694" width="18.109375" style="68" bestFit="1" customWidth="1"/>
    <col min="7695" max="7695" width="12.88671875" style="68" bestFit="1" customWidth="1"/>
    <col min="7696" max="7697" width="16.5546875" style="68" bestFit="1" customWidth="1"/>
    <col min="7698" max="7699" width="13.109375" style="68" bestFit="1" customWidth="1"/>
    <col min="7700" max="7700" width="15.5546875" style="68" bestFit="1" customWidth="1"/>
    <col min="7701" max="7701" width="13.6640625" style="68" bestFit="1" customWidth="1"/>
    <col min="7702" max="7704" width="12.33203125" style="68" bestFit="1" customWidth="1"/>
    <col min="7705" max="7705" width="17.5546875" style="68" bestFit="1" customWidth="1"/>
    <col min="7706" max="7706" width="12.33203125" style="68" bestFit="1" customWidth="1"/>
    <col min="7707" max="7707" width="13.44140625" style="68" bestFit="1" customWidth="1"/>
    <col min="7708" max="7941" width="9.109375" style="68"/>
    <col min="7942" max="7942" width="33.6640625" style="68" customWidth="1"/>
    <col min="7943" max="7943" width="16" style="68" customWidth="1"/>
    <col min="7944" max="7945" width="15" style="68" bestFit="1" customWidth="1"/>
    <col min="7946" max="7946" width="16.5546875" style="68" bestFit="1" customWidth="1"/>
    <col min="7947" max="7947" width="12.5546875" style="68" customWidth="1"/>
    <col min="7948" max="7948" width="17.5546875" style="68" bestFit="1" customWidth="1"/>
    <col min="7949" max="7950" width="18.109375" style="68" bestFit="1" customWidth="1"/>
    <col min="7951" max="7951" width="12.88671875" style="68" bestFit="1" customWidth="1"/>
    <col min="7952" max="7953" width="16.5546875" style="68" bestFit="1" customWidth="1"/>
    <col min="7954" max="7955" width="13.109375" style="68" bestFit="1" customWidth="1"/>
    <col min="7956" max="7956" width="15.5546875" style="68" bestFit="1" customWidth="1"/>
    <col min="7957" max="7957" width="13.6640625" style="68" bestFit="1" customWidth="1"/>
    <col min="7958" max="7960" width="12.33203125" style="68" bestFit="1" customWidth="1"/>
    <col min="7961" max="7961" width="17.5546875" style="68" bestFit="1" customWidth="1"/>
    <col min="7962" max="7962" width="12.33203125" style="68" bestFit="1" customWidth="1"/>
    <col min="7963" max="7963" width="13.44140625" style="68" bestFit="1" customWidth="1"/>
    <col min="7964" max="8197" width="9.109375" style="68"/>
    <col min="8198" max="8198" width="33.6640625" style="68" customWidth="1"/>
    <col min="8199" max="8199" width="16" style="68" customWidth="1"/>
    <col min="8200" max="8201" width="15" style="68" bestFit="1" customWidth="1"/>
    <col min="8202" max="8202" width="16.5546875" style="68" bestFit="1" customWidth="1"/>
    <col min="8203" max="8203" width="12.5546875" style="68" customWidth="1"/>
    <col min="8204" max="8204" width="17.5546875" style="68" bestFit="1" customWidth="1"/>
    <col min="8205" max="8206" width="18.109375" style="68" bestFit="1" customWidth="1"/>
    <col min="8207" max="8207" width="12.88671875" style="68" bestFit="1" customWidth="1"/>
    <col min="8208" max="8209" width="16.5546875" style="68" bestFit="1" customWidth="1"/>
    <col min="8210" max="8211" width="13.109375" style="68" bestFit="1" customWidth="1"/>
    <col min="8212" max="8212" width="15.5546875" style="68" bestFit="1" customWidth="1"/>
    <col min="8213" max="8213" width="13.6640625" style="68" bestFit="1" customWidth="1"/>
    <col min="8214" max="8216" width="12.33203125" style="68" bestFit="1" customWidth="1"/>
    <col min="8217" max="8217" width="17.5546875" style="68" bestFit="1" customWidth="1"/>
    <col min="8218" max="8218" width="12.33203125" style="68" bestFit="1" customWidth="1"/>
    <col min="8219" max="8219" width="13.44140625" style="68" bestFit="1" customWidth="1"/>
    <col min="8220" max="8453" width="9.109375" style="68"/>
    <col min="8454" max="8454" width="33.6640625" style="68" customWidth="1"/>
    <col min="8455" max="8455" width="16" style="68" customWidth="1"/>
    <col min="8456" max="8457" width="15" style="68" bestFit="1" customWidth="1"/>
    <col min="8458" max="8458" width="16.5546875" style="68" bestFit="1" customWidth="1"/>
    <col min="8459" max="8459" width="12.5546875" style="68" customWidth="1"/>
    <col min="8460" max="8460" width="17.5546875" style="68" bestFit="1" customWidth="1"/>
    <col min="8461" max="8462" width="18.109375" style="68" bestFit="1" customWidth="1"/>
    <col min="8463" max="8463" width="12.88671875" style="68" bestFit="1" customWidth="1"/>
    <col min="8464" max="8465" width="16.5546875" style="68" bestFit="1" customWidth="1"/>
    <col min="8466" max="8467" width="13.109375" style="68" bestFit="1" customWidth="1"/>
    <col min="8468" max="8468" width="15.5546875" style="68" bestFit="1" customWidth="1"/>
    <col min="8469" max="8469" width="13.6640625" style="68" bestFit="1" customWidth="1"/>
    <col min="8470" max="8472" width="12.33203125" style="68" bestFit="1" customWidth="1"/>
    <col min="8473" max="8473" width="17.5546875" style="68" bestFit="1" customWidth="1"/>
    <col min="8474" max="8474" width="12.33203125" style="68" bestFit="1" customWidth="1"/>
    <col min="8475" max="8475" width="13.44140625" style="68" bestFit="1" customWidth="1"/>
    <col min="8476" max="8709" width="9.109375" style="68"/>
    <col min="8710" max="8710" width="33.6640625" style="68" customWidth="1"/>
    <col min="8711" max="8711" width="16" style="68" customWidth="1"/>
    <col min="8712" max="8713" width="15" style="68" bestFit="1" customWidth="1"/>
    <col min="8714" max="8714" width="16.5546875" style="68" bestFit="1" customWidth="1"/>
    <col min="8715" max="8715" width="12.5546875" style="68" customWidth="1"/>
    <col min="8716" max="8716" width="17.5546875" style="68" bestFit="1" customWidth="1"/>
    <col min="8717" max="8718" width="18.109375" style="68" bestFit="1" customWidth="1"/>
    <col min="8719" max="8719" width="12.88671875" style="68" bestFit="1" customWidth="1"/>
    <col min="8720" max="8721" width="16.5546875" style="68" bestFit="1" customWidth="1"/>
    <col min="8722" max="8723" width="13.109375" style="68" bestFit="1" customWidth="1"/>
    <col min="8724" max="8724" width="15.5546875" style="68" bestFit="1" customWidth="1"/>
    <col min="8725" max="8725" width="13.6640625" style="68" bestFit="1" customWidth="1"/>
    <col min="8726" max="8728" width="12.33203125" style="68" bestFit="1" customWidth="1"/>
    <col min="8729" max="8729" width="17.5546875" style="68" bestFit="1" customWidth="1"/>
    <col min="8730" max="8730" width="12.33203125" style="68" bestFit="1" customWidth="1"/>
    <col min="8731" max="8731" width="13.44140625" style="68" bestFit="1" customWidth="1"/>
    <col min="8732" max="8965" width="9.109375" style="68"/>
    <col min="8966" max="8966" width="33.6640625" style="68" customWidth="1"/>
    <col min="8967" max="8967" width="16" style="68" customWidth="1"/>
    <col min="8968" max="8969" width="15" style="68" bestFit="1" customWidth="1"/>
    <col min="8970" max="8970" width="16.5546875" style="68" bestFit="1" customWidth="1"/>
    <col min="8971" max="8971" width="12.5546875" style="68" customWidth="1"/>
    <col min="8972" max="8972" width="17.5546875" style="68" bestFit="1" customWidth="1"/>
    <col min="8973" max="8974" width="18.109375" style="68" bestFit="1" customWidth="1"/>
    <col min="8975" max="8975" width="12.88671875" style="68" bestFit="1" customWidth="1"/>
    <col min="8976" max="8977" width="16.5546875" style="68" bestFit="1" customWidth="1"/>
    <col min="8978" max="8979" width="13.109375" style="68" bestFit="1" customWidth="1"/>
    <col min="8980" max="8980" width="15.5546875" style="68" bestFit="1" customWidth="1"/>
    <col min="8981" max="8981" width="13.6640625" style="68" bestFit="1" customWidth="1"/>
    <col min="8982" max="8984" width="12.33203125" style="68" bestFit="1" customWidth="1"/>
    <col min="8985" max="8985" width="17.5546875" style="68" bestFit="1" customWidth="1"/>
    <col min="8986" max="8986" width="12.33203125" style="68" bestFit="1" customWidth="1"/>
    <col min="8987" max="8987" width="13.44140625" style="68" bestFit="1" customWidth="1"/>
    <col min="8988" max="9221" width="9.109375" style="68"/>
    <col min="9222" max="9222" width="33.6640625" style="68" customWidth="1"/>
    <col min="9223" max="9223" width="16" style="68" customWidth="1"/>
    <col min="9224" max="9225" width="15" style="68" bestFit="1" customWidth="1"/>
    <col min="9226" max="9226" width="16.5546875" style="68" bestFit="1" customWidth="1"/>
    <col min="9227" max="9227" width="12.5546875" style="68" customWidth="1"/>
    <col min="9228" max="9228" width="17.5546875" style="68" bestFit="1" customWidth="1"/>
    <col min="9229" max="9230" width="18.109375" style="68" bestFit="1" customWidth="1"/>
    <col min="9231" max="9231" width="12.88671875" style="68" bestFit="1" customWidth="1"/>
    <col min="9232" max="9233" width="16.5546875" style="68" bestFit="1" customWidth="1"/>
    <col min="9234" max="9235" width="13.109375" style="68" bestFit="1" customWidth="1"/>
    <col min="9236" max="9236" width="15.5546875" style="68" bestFit="1" customWidth="1"/>
    <col min="9237" max="9237" width="13.6640625" style="68" bestFit="1" customWidth="1"/>
    <col min="9238" max="9240" width="12.33203125" style="68" bestFit="1" customWidth="1"/>
    <col min="9241" max="9241" width="17.5546875" style="68" bestFit="1" customWidth="1"/>
    <col min="9242" max="9242" width="12.33203125" style="68" bestFit="1" customWidth="1"/>
    <col min="9243" max="9243" width="13.44140625" style="68" bestFit="1" customWidth="1"/>
    <col min="9244" max="9477" width="9.109375" style="68"/>
    <col min="9478" max="9478" width="33.6640625" style="68" customWidth="1"/>
    <col min="9479" max="9479" width="16" style="68" customWidth="1"/>
    <col min="9480" max="9481" width="15" style="68" bestFit="1" customWidth="1"/>
    <col min="9482" max="9482" width="16.5546875" style="68" bestFit="1" customWidth="1"/>
    <col min="9483" max="9483" width="12.5546875" style="68" customWidth="1"/>
    <col min="9484" max="9484" width="17.5546875" style="68" bestFit="1" customWidth="1"/>
    <col min="9485" max="9486" width="18.109375" style="68" bestFit="1" customWidth="1"/>
    <col min="9487" max="9487" width="12.88671875" style="68" bestFit="1" customWidth="1"/>
    <col min="9488" max="9489" width="16.5546875" style="68" bestFit="1" customWidth="1"/>
    <col min="9490" max="9491" width="13.109375" style="68" bestFit="1" customWidth="1"/>
    <col min="9492" max="9492" width="15.5546875" style="68" bestFit="1" customWidth="1"/>
    <col min="9493" max="9493" width="13.6640625" style="68" bestFit="1" customWidth="1"/>
    <col min="9494" max="9496" width="12.33203125" style="68" bestFit="1" customWidth="1"/>
    <col min="9497" max="9497" width="17.5546875" style="68" bestFit="1" customWidth="1"/>
    <col min="9498" max="9498" width="12.33203125" style="68" bestFit="1" customWidth="1"/>
    <col min="9499" max="9499" width="13.44140625" style="68" bestFit="1" customWidth="1"/>
    <col min="9500" max="9733" width="9.109375" style="68"/>
    <col min="9734" max="9734" width="33.6640625" style="68" customWidth="1"/>
    <col min="9735" max="9735" width="16" style="68" customWidth="1"/>
    <col min="9736" max="9737" width="15" style="68" bestFit="1" customWidth="1"/>
    <col min="9738" max="9738" width="16.5546875" style="68" bestFit="1" customWidth="1"/>
    <col min="9739" max="9739" width="12.5546875" style="68" customWidth="1"/>
    <col min="9740" max="9740" width="17.5546875" style="68" bestFit="1" customWidth="1"/>
    <col min="9741" max="9742" width="18.109375" style="68" bestFit="1" customWidth="1"/>
    <col min="9743" max="9743" width="12.88671875" style="68" bestFit="1" customWidth="1"/>
    <col min="9744" max="9745" width="16.5546875" style="68" bestFit="1" customWidth="1"/>
    <col min="9746" max="9747" width="13.109375" style="68" bestFit="1" customWidth="1"/>
    <col min="9748" max="9748" width="15.5546875" style="68" bestFit="1" customWidth="1"/>
    <col min="9749" max="9749" width="13.6640625" style="68" bestFit="1" customWidth="1"/>
    <col min="9750" max="9752" width="12.33203125" style="68" bestFit="1" customWidth="1"/>
    <col min="9753" max="9753" width="17.5546875" style="68" bestFit="1" customWidth="1"/>
    <col min="9754" max="9754" width="12.33203125" style="68" bestFit="1" customWidth="1"/>
    <col min="9755" max="9755" width="13.44140625" style="68" bestFit="1" customWidth="1"/>
    <col min="9756" max="9989" width="9.109375" style="68"/>
    <col min="9990" max="9990" width="33.6640625" style="68" customWidth="1"/>
    <col min="9991" max="9991" width="16" style="68" customWidth="1"/>
    <col min="9992" max="9993" width="15" style="68" bestFit="1" customWidth="1"/>
    <col min="9994" max="9994" width="16.5546875" style="68" bestFit="1" customWidth="1"/>
    <col min="9995" max="9995" width="12.5546875" style="68" customWidth="1"/>
    <col min="9996" max="9996" width="17.5546875" style="68" bestFit="1" customWidth="1"/>
    <col min="9997" max="9998" width="18.109375" style="68" bestFit="1" customWidth="1"/>
    <col min="9999" max="9999" width="12.88671875" style="68" bestFit="1" customWidth="1"/>
    <col min="10000" max="10001" width="16.5546875" style="68" bestFit="1" customWidth="1"/>
    <col min="10002" max="10003" width="13.109375" style="68" bestFit="1" customWidth="1"/>
    <col min="10004" max="10004" width="15.5546875" style="68" bestFit="1" customWidth="1"/>
    <col min="10005" max="10005" width="13.6640625" style="68" bestFit="1" customWidth="1"/>
    <col min="10006" max="10008" width="12.33203125" style="68" bestFit="1" customWidth="1"/>
    <col min="10009" max="10009" width="17.5546875" style="68" bestFit="1" customWidth="1"/>
    <col min="10010" max="10010" width="12.33203125" style="68" bestFit="1" customWidth="1"/>
    <col min="10011" max="10011" width="13.44140625" style="68" bestFit="1" customWidth="1"/>
    <col min="10012" max="10245" width="9.109375" style="68"/>
    <col min="10246" max="10246" width="33.6640625" style="68" customWidth="1"/>
    <col min="10247" max="10247" width="16" style="68" customWidth="1"/>
    <col min="10248" max="10249" width="15" style="68" bestFit="1" customWidth="1"/>
    <col min="10250" max="10250" width="16.5546875" style="68" bestFit="1" customWidth="1"/>
    <col min="10251" max="10251" width="12.5546875" style="68" customWidth="1"/>
    <col min="10252" max="10252" width="17.5546875" style="68" bestFit="1" customWidth="1"/>
    <col min="10253" max="10254" width="18.109375" style="68" bestFit="1" customWidth="1"/>
    <col min="10255" max="10255" width="12.88671875" style="68" bestFit="1" customWidth="1"/>
    <col min="10256" max="10257" width="16.5546875" style="68" bestFit="1" customWidth="1"/>
    <col min="10258" max="10259" width="13.109375" style="68" bestFit="1" customWidth="1"/>
    <col min="10260" max="10260" width="15.5546875" style="68" bestFit="1" customWidth="1"/>
    <col min="10261" max="10261" width="13.6640625" style="68" bestFit="1" customWidth="1"/>
    <col min="10262" max="10264" width="12.33203125" style="68" bestFit="1" customWidth="1"/>
    <col min="10265" max="10265" width="17.5546875" style="68" bestFit="1" customWidth="1"/>
    <col min="10266" max="10266" width="12.33203125" style="68" bestFit="1" customWidth="1"/>
    <col min="10267" max="10267" width="13.44140625" style="68" bestFit="1" customWidth="1"/>
    <col min="10268" max="10501" width="9.109375" style="68"/>
    <col min="10502" max="10502" width="33.6640625" style="68" customWidth="1"/>
    <col min="10503" max="10503" width="16" style="68" customWidth="1"/>
    <col min="10504" max="10505" width="15" style="68" bestFit="1" customWidth="1"/>
    <col min="10506" max="10506" width="16.5546875" style="68" bestFit="1" customWidth="1"/>
    <col min="10507" max="10507" width="12.5546875" style="68" customWidth="1"/>
    <col min="10508" max="10508" width="17.5546875" style="68" bestFit="1" customWidth="1"/>
    <col min="10509" max="10510" width="18.109375" style="68" bestFit="1" customWidth="1"/>
    <col min="10511" max="10511" width="12.88671875" style="68" bestFit="1" customWidth="1"/>
    <col min="10512" max="10513" width="16.5546875" style="68" bestFit="1" customWidth="1"/>
    <col min="10514" max="10515" width="13.109375" style="68" bestFit="1" customWidth="1"/>
    <col min="10516" max="10516" width="15.5546875" style="68" bestFit="1" customWidth="1"/>
    <col min="10517" max="10517" width="13.6640625" style="68" bestFit="1" customWidth="1"/>
    <col min="10518" max="10520" width="12.33203125" style="68" bestFit="1" customWidth="1"/>
    <col min="10521" max="10521" width="17.5546875" style="68" bestFit="1" customWidth="1"/>
    <col min="10522" max="10522" width="12.33203125" style="68" bestFit="1" customWidth="1"/>
    <col min="10523" max="10523" width="13.44140625" style="68" bestFit="1" customWidth="1"/>
    <col min="10524" max="10757" width="9.109375" style="68"/>
    <col min="10758" max="10758" width="33.6640625" style="68" customWidth="1"/>
    <col min="10759" max="10759" width="16" style="68" customWidth="1"/>
    <col min="10760" max="10761" width="15" style="68" bestFit="1" customWidth="1"/>
    <col min="10762" max="10762" width="16.5546875" style="68" bestFit="1" customWidth="1"/>
    <col min="10763" max="10763" width="12.5546875" style="68" customWidth="1"/>
    <col min="10764" max="10764" width="17.5546875" style="68" bestFit="1" customWidth="1"/>
    <col min="10765" max="10766" width="18.109375" style="68" bestFit="1" customWidth="1"/>
    <col min="10767" max="10767" width="12.88671875" style="68" bestFit="1" customWidth="1"/>
    <col min="10768" max="10769" width="16.5546875" style="68" bestFit="1" customWidth="1"/>
    <col min="10770" max="10771" width="13.109375" style="68" bestFit="1" customWidth="1"/>
    <col min="10772" max="10772" width="15.5546875" style="68" bestFit="1" customWidth="1"/>
    <col min="10773" max="10773" width="13.6640625" style="68" bestFit="1" customWidth="1"/>
    <col min="10774" max="10776" width="12.33203125" style="68" bestFit="1" customWidth="1"/>
    <col min="10777" max="10777" width="17.5546875" style="68" bestFit="1" customWidth="1"/>
    <col min="10778" max="10778" width="12.33203125" style="68" bestFit="1" customWidth="1"/>
    <col min="10779" max="10779" width="13.44140625" style="68" bestFit="1" customWidth="1"/>
    <col min="10780" max="11013" width="9.109375" style="68"/>
    <col min="11014" max="11014" width="33.6640625" style="68" customWidth="1"/>
    <col min="11015" max="11015" width="16" style="68" customWidth="1"/>
    <col min="11016" max="11017" width="15" style="68" bestFit="1" customWidth="1"/>
    <col min="11018" max="11018" width="16.5546875" style="68" bestFit="1" customWidth="1"/>
    <col min="11019" max="11019" width="12.5546875" style="68" customWidth="1"/>
    <col min="11020" max="11020" width="17.5546875" style="68" bestFit="1" customWidth="1"/>
    <col min="11021" max="11022" width="18.109375" style="68" bestFit="1" customWidth="1"/>
    <col min="11023" max="11023" width="12.88671875" style="68" bestFit="1" customWidth="1"/>
    <col min="11024" max="11025" width="16.5546875" style="68" bestFit="1" customWidth="1"/>
    <col min="11026" max="11027" width="13.109375" style="68" bestFit="1" customWidth="1"/>
    <col min="11028" max="11028" width="15.5546875" style="68" bestFit="1" customWidth="1"/>
    <col min="11029" max="11029" width="13.6640625" style="68" bestFit="1" customWidth="1"/>
    <col min="11030" max="11032" width="12.33203125" style="68" bestFit="1" customWidth="1"/>
    <col min="11033" max="11033" width="17.5546875" style="68" bestFit="1" customWidth="1"/>
    <col min="11034" max="11034" width="12.33203125" style="68" bestFit="1" customWidth="1"/>
    <col min="11035" max="11035" width="13.44140625" style="68" bestFit="1" customWidth="1"/>
    <col min="11036" max="11269" width="9.109375" style="68"/>
    <col min="11270" max="11270" width="33.6640625" style="68" customWidth="1"/>
    <col min="11271" max="11271" width="16" style="68" customWidth="1"/>
    <col min="11272" max="11273" width="15" style="68" bestFit="1" customWidth="1"/>
    <col min="11274" max="11274" width="16.5546875" style="68" bestFit="1" customWidth="1"/>
    <col min="11275" max="11275" width="12.5546875" style="68" customWidth="1"/>
    <col min="11276" max="11276" width="17.5546875" style="68" bestFit="1" customWidth="1"/>
    <col min="11277" max="11278" width="18.109375" style="68" bestFit="1" customWidth="1"/>
    <col min="11279" max="11279" width="12.88671875" style="68" bestFit="1" customWidth="1"/>
    <col min="11280" max="11281" width="16.5546875" style="68" bestFit="1" customWidth="1"/>
    <col min="11282" max="11283" width="13.109375" style="68" bestFit="1" customWidth="1"/>
    <col min="11284" max="11284" width="15.5546875" style="68" bestFit="1" customWidth="1"/>
    <col min="11285" max="11285" width="13.6640625" style="68" bestFit="1" customWidth="1"/>
    <col min="11286" max="11288" width="12.33203125" style="68" bestFit="1" customWidth="1"/>
    <col min="11289" max="11289" width="17.5546875" style="68" bestFit="1" customWidth="1"/>
    <col min="11290" max="11290" width="12.33203125" style="68" bestFit="1" customWidth="1"/>
    <col min="11291" max="11291" width="13.44140625" style="68" bestFit="1" customWidth="1"/>
    <col min="11292" max="11525" width="9.109375" style="68"/>
    <col min="11526" max="11526" width="33.6640625" style="68" customWidth="1"/>
    <col min="11527" max="11527" width="16" style="68" customWidth="1"/>
    <col min="11528" max="11529" width="15" style="68" bestFit="1" customWidth="1"/>
    <col min="11530" max="11530" width="16.5546875" style="68" bestFit="1" customWidth="1"/>
    <col min="11531" max="11531" width="12.5546875" style="68" customWidth="1"/>
    <col min="11532" max="11532" width="17.5546875" style="68" bestFit="1" customWidth="1"/>
    <col min="11533" max="11534" width="18.109375" style="68" bestFit="1" customWidth="1"/>
    <col min="11535" max="11535" width="12.88671875" style="68" bestFit="1" customWidth="1"/>
    <col min="11536" max="11537" width="16.5546875" style="68" bestFit="1" customWidth="1"/>
    <col min="11538" max="11539" width="13.109375" style="68" bestFit="1" customWidth="1"/>
    <col min="11540" max="11540" width="15.5546875" style="68" bestFit="1" customWidth="1"/>
    <col min="11541" max="11541" width="13.6640625" style="68" bestFit="1" customWidth="1"/>
    <col min="11542" max="11544" width="12.33203125" style="68" bestFit="1" customWidth="1"/>
    <col min="11545" max="11545" width="17.5546875" style="68" bestFit="1" customWidth="1"/>
    <col min="11546" max="11546" width="12.33203125" style="68" bestFit="1" customWidth="1"/>
    <col min="11547" max="11547" width="13.44140625" style="68" bestFit="1" customWidth="1"/>
    <col min="11548" max="11781" width="9.109375" style="68"/>
    <col min="11782" max="11782" width="33.6640625" style="68" customWidth="1"/>
    <col min="11783" max="11783" width="16" style="68" customWidth="1"/>
    <col min="11784" max="11785" width="15" style="68" bestFit="1" customWidth="1"/>
    <col min="11786" max="11786" width="16.5546875" style="68" bestFit="1" customWidth="1"/>
    <col min="11787" max="11787" width="12.5546875" style="68" customWidth="1"/>
    <col min="11788" max="11788" width="17.5546875" style="68" bestFit="1" customWidth="1"/>
    <col min="11789" max="11790" width="18.109375" style="68" bestFit="1" customWidth="1"/>
    <col min="11791" max="11791" width="12.88671875" style="68" bestFit="1" customWidth="1"/>
    <col min="11792" max="11793" width="16.5546875" style="68" bestFit="1" customWidth="1"/>
    <col min="11794" max="11795" width="13.109375" style="68" bestFit="1" customWidth="1"/>
    <col min="11796" max="11796" width="15.5546875" style="68" bestFit="1" customWidth="1"/>
    <col min="11797" max="11797" width="13.6640625" style="68" bestFit="1" customWidth="1"/>
    <col min="11798" max="11800" width="12.33203125" style="68" bestFit="1" customWidth="1"/>
    <col min="11801" max="11801" width="17.5546875" style="68" bestFit="1" customWidth="1"/>
    <col min="11802" max="11802" width="12.33203125" style="68" bestFit="1" customWidth="1"/>
    <col min="11803" max="11803" width="13.44140625" style="68" bestFit="1" customWidth="1"/>
    <col min="11804" max="12037" width="9.109375" style="68"/>
    <col min="12038" max="12038" width="33.6640625" style="68" customWidth="1"/>
    <col min="12039" max="12039" width="16" style="68" customWidth="1"/>
    <col min="12040" max="12041" width="15" style="68" bestFit="1" customWidth="1"/>
    <col min="12042" max="12042" width="16.5546875" style="68" bestFit="1" customWidth="1"/>
    <col min="12043" max="12043" width="12.5546875" style="68" customWidth="1"/>
    <col min="12044" max="12044" width="17.5546875" style="68" bestFit="1" customWidth="1"/>
    <col min="12045" max="12046" width="18.109375" style="68" bestFit="1" customWidth="1"/>
    <col min="12047" max="12047" width="12.88671875" style="68" bestFit="1" customWidth="1"/>
    <col min="12048" max="12049" width="16.5546875" style="68" bestFit="1" customWidth="1"/>
    <col min="12050" max="12051" width="13.109375" style="68" bestFit="1" customWidth="1"/>
    <col min="12052" max="12052" width="15.5546875" style="68" bestFit="1" customWidth="1"/>
    <col min="12053" max="12053" width="13.6640625" style="68" bestFit="1" customWidth="1"/>
    <col min="12054" max="12056" width="12.33203125" style="68" bestFit="1" customWidth="1"/>
    <col min="12057" max="12057" width="17.5546875" style="68" bestFit="1" customWidth="1"/>
    <col min="12058" max="12058" width="12.33203125" style="68" bestFit="1" customWidth="1"/>
    <col min="12059" max="12059" width="13.44140625" style="68" bestFit="1" customWidth="1"/>
    <col min="12060" max="12293" width="9.109375" style="68"/>
    <col min="12294" max="12294" width="33.6640625" style="68" customWidth="1"/>
    <col min="12295" max="12295" width="16" style="68" customWidth="1"/>
    <col min="12296" max="12297" width="15" style="68" bestFit="1" customWidth="1"/>
    <col min="12298" max="12298" width="16.5546875" style="68" bestFit="1" customWidth="1"/>
    <col min="12299" max="12299" width="12.5546875" style="68" customWidth="1"/>
    <col min="12300" max="12300" width="17.5546875" style="68" bestFit="1" customWidth="1"/>
    <col min="12301" max="12302" width="18.109375" style="68" bestFit="1" customWidth="1"/>
    <col min="12303" max="12303" width="12.88671875" style="68" bestFit="1" customWidth="1"/>
    <col min="12304" max="12305" width="16.5546875" style="68" bestFit="1" customWidth="1"/>
    <col min="12306" max="12307" width="13.109375" style="68" bestFit="1" customWidth="1"/>
    <col min="12308" max="12308" width="15.5546875" style="68" bestFit="1" customWidth="1"/>
    <col min="12309" max="12309" width="13.6640625" style="68" bestFit="1" customWidth="1"/>
    <col min="12310" max="12312" width="12.33203125" style="68" bestFit="1" customWidth="1"/>
    <col min="12313" max="12313" width="17.5546875" style="68" bestFit="1" customWidth="1"/>
    <col min="12314" max="12314" width="12.33203125" style="68" bestFit="1" customWidth="1"/>
    <col min="12315" max="12315" width="13.44140625" style="68" bestFit="1" customWidth="1"/>
    <col min="12316" max="12549" width="9.109375" style="68"/>
    <col min="12550" max="12550" width="33.6640625" style="68" customWidth="1"/>
    <col min="12551" max="12551" width="16" style="68" customWidth="1"/>
    <col min="12552" max="12553" width="15" style="68" bestFit="1" customWidth="1"/>
    <col min="12554" max="12554" width="16.5546875" style="68" bestFit="1" customWidth="1"/>
    <col min="12555" max="12555" width="12.5546875" style="68" customWidth="1"/>
    <col min="12556" max="12556" width="17.5546875" style="68" bestFit="1" customWidth="1"/>
    <col min="12557" max="12558" width="18.109375" style="68" bestFit="1" customWidth="1"/>
    <col min="12559" max="12559" width="12.88671875" style="68" bestFit="1" customWidth="1"/>
    <col min="12560" max="12561" width="16.5546875" style="68" bestFit="1" customWidth="1"/>
    <col min="12562" max="12563" width="13.109375" style="68" bestFit="1" customWidth="1"/>
    <col min="12564" max="12564" width="15.5546875" style="68" bestFit="1" customWidth="1"/>
    <col min="12565" max="12565" width="13.6640625" style="68" bestFit="1" customWidth="1"/>
    <col min="12566" max="12568" width="12.33203125" style="68" bestFit="1" customWidth="1"/>
    <col min="12569" max="12569" width="17.5546875" style="68" bestFit="1" customWidth="1"/>
    <col min="12570" max="12570" width="12.33203125" style="68" bestFit="1" customWidth="1"/>
    <col min="12571" max="12571" width="13.44140625" style="68" bestFit="1" customWidth="1"/>
    <col min="12572" max="12805" width="9.109375" style="68"/>
    <col min="12806" max="12806" width="33.6640625" style="68" customWidth="1"/>
    <col min="12807" max="12807" width="16" style="68" customWidth="1"/>
    <col min="12808" max="12809" width="15" style="68" bestFit="1" customWidth="1"/>
    <col min="12810" max="12810" width="16.5546875" style="68" bestFit="1" customWidth="1"/>
    <col min="12811" max="12811" width="12.5546875" style="68" customWidth="1"/>
    <col min="12812" max="12812" width="17.5546875" style="68" bestFit="1" customWidth="1"/>
    <col min="12813" max="12814" width="18.109375" style="68" bestFit="1" customWidth="1"/>
    <col min="12815" max="12815" width="12.88671875" style="68" bestFit="1" customWidth="1"/>
    <col min="12816" max="12817" width="16.5546875" style="68" bestFit="1" customWidth="1"/>
    <col min="12818" max="12819" width="13.109375" style="68" bestFit="1" customWidth="1"/>
    <col min="12820" max="12820" width="15.5546875" style="68" bestFit="1" customWidth="1"/>
    <col min="12821" max="12821" width="13.6640625" style="68" bestFit="1" customWidth="1"/>
    <col min="12822" max="12824" width="12.33203125" style="68" bestFit="1" customWidth="1"/>
    <col min="12825" max="12825" width="17.5546875" style="68" bestFit="1" customWidth="1"/>
    <col min="12826" max="12826" width="12.33203125" style="68" bestFit="1" customWidth="1"/>
    <col min="12827" max="12827" width="13.44140625" style="68" bestFit="1" customWidth="1"/>
    <col min="12828" max="13061" width="9.109375" style="68"/>
    <col min="13062" max="13062" width="33.6640625" style="68" customWidth="1"/>
    <col min="13063" max="13063" width="16" style="68" customWidth="1"/>
    <col min="13064" max="13065" width="15" style="68" bestFit="1" customWidth="1"/>
    <col min="13066" max="13066" width="16.5546875" style="68" bestFit="1" customWidth="1"/>
    <col min="13067" max="13067" width="12.5546875" style="68" customWidth="1"/>
    <col min="13068" max="13068" width="17.5546875" style="68" bestFit="1" customWidth="1"/>
    <col min="13069" max="13070" width="18.109375" style="68" bestFit="1" customWidth="1"/>
    <col min="13071" max="13071" width="12.88671875" style="68" bestFit="1" customWidth="1"/>
    <col min="13072" max="13073" width="16.5546875" style="68" bestFit="1" customWidth="1"/>
    <col min="13074" max="13075" width="13.109375" style="68" bestFit="1" customWidth="1"/>
    <col min="13076" max="13076" width="15.5546875" style="68" bestFit="1" customWidth="1"/>
    <col min="13077" max="13077" width="13.6640625" style="68" bestFit="1" customWidth="1"/>
    <col min="13078" max="13080" width="12.33203125" style="68" bestFit="1" customWidth="1"/>
    <col min="13081" max="13081" width="17.5546875" style="68" bestFit="1" customWidth="1"/>
    <col min="13082" max="13082" width="12.33203125" style="68" bestFit="1" customWidth="1"/>
    <col min="13083" max="13083" width="13.44140625" style="68" bestFit="1" customWidth="1"/>
    <col min="13084" max="13317" width="9.109375" style="68"/>
    <col min="13318" max="13318" width="33.6640625" style="68" customWidth="1"/>
    <col min="13319" max="13319" width="16" style="68" customWidth="1"/>
    <col min="13320" max="13321" width="15" style="68" bestFit="1" customWidth="1"/>
    <col min="13322" max="13322" width="16.5546875" style="68" bestFit="1" customWidth="1"/>
    <col min="13323" max="13323" width="12.5546875" style="68" customWidth="1"/>
    <col min="13324" max="13324" width="17.5546875" style="68" bestFit="1" customWidth="1"/>
    <col min="13325" max="13326" width="18.109375" style="68" bestFit="1" customWidth="1"/>
    <col min="13327" max="13327" width="12.88671875" style="68" bestFit="1" customWidth="1"/>
    <col min="13328" max="13329" width="16.5546875" style="68" bestFit="1" customWidth="1"/>
    <col min="13330" max="13331" width="13.109375" style="68" bestFit="1" customWidth="1"/>
    <col min="13332" max="13332" width="15.5546875" style="68" bestFit="1" customWidth="1"/>
    <col min="13333" max="13333" width="13.6640625" style="68" bestFit="1" customWidth="1"/>
    <col min="13334" max="13336" width="12.33203125" style="68" bestFit="1" customWidth="1"/>
    <col min="13337" max="13337" width="17.5546875" style="68" bestFit="1" customWidth="1"/>
    <col min="13338" max="13338" width="12.33203125" style="68" bestFit="1" customWidth="1"/>
    <col min="13339" max="13339" width="13.44140625" style="68" bestFit="1" customWidth="1"/>
    <col min="13340" max="13573" width="9.109375" style="68"/>
    <col min="13574" max="13574" width="33.6640625" style="68" customWidth="1"/>
    <col min="13575" max="13575" width="16" style="68" customWidth="1"/>
    <col min="13576" max="13577" width="15" style="68" bestFit="1" customWidth="1"/>
    <col min="13578" max="13578" width="16.5546875" style="68" bestFit="1" customWidth="1"/>
    <col min="13579" max="13579" width="12.5546875" style="68" customWidth="1"/>
    <col min="13580" max="13580" width="17.5546875" style="68" bestFit="1" customWidth="1"/>
    <col min="13581" max="13582" width="18.109375" style="68" bestFit="1" customWidth="1"/>
    <col min="13583" max="13583" width="12.88671875" style="68" bestFit="1" customWidth="1"/>
    <col min="13584" max="13585" width="16.5546875" style="68" bestFit="1" customWidth="1"/>
    <col min="13586" max="13587" width="13.109375" style="68" bestFit="1" customWidth="1"/>
    <col min="13588" max="13588" width="15.5546875" style="68" bestFit="1" customWidth="1"/>
    <col min="13589" max="13589" width="13.6640625" style="68" bestFit="1" customWidth="1"/>
    <col min="13590" max="13592" width="12.33203125" style="68" bestFit="1" customWidth="1"/>
    <col min="13593" max="13593" width="17.5546875" style="68" bestFit="1" customWidth="1"/>
    <col min="13594" max="13594" width="12.33203125" style="68" bestFit="1" customWidth="1"/>
    <col min="13595" max="13595" width="13.44140625" style="68" bestFit="1" customWidth="1"/>
    <col min="13596" max="13829" width="9.109375" style="68"/>
    <col min="13830" max="13830" width="33.6640625" style="68" customWidth="1"/>
    <col min="13831" max="13831" width="16" style="68" customWidth="1"/>
    <col min="13832" max="13833" width="15" style="68" bestFit="1" customWidth="1"/>
    <col min="13834" max="13834" width="16.5546875" style="68" bestFit="1" customWidth="1"/>
    <col min="13835" max="13835" width="12.5546875" style="68" customWidth="1"/>
    <col min="13836" max="13836" width="17.5546875" style="68" bestFit="1" customWidth="1"/>
    <col min="13837" max="13838" width="18.109375" style="68" bestFit="1" customWidth="1"/>
    <col min="13839" max="13839" width="12.88671875" style="68" bestFit="1" customWidth="1"/>
    <col min="13840" max="13841" width="16.5546875" style="68" bestFit="1" customWidth="1"/>
    <col min="13842" max="13843" width="13.109375" style="68" bestFit="1" customWidth="1"/>
    <col min="13844" max="13844" width="15.5546875" style="68" bestFit="1" customWidth="1"/>
    <col min="13845" max="13845" width="13.6640625" style="68" bestFit="1" customWidth="1"/>
    <col min="13846" max="13848" width="12.33203125" style="68" bestFit="1" customWidth="1"/>
    <col min="13849" max="13849" width="17.5546875" style="68" bestFit="1" customWidth="1"/>
    <col min="13850" max="13850" width="12.33203125" style="68" bestFit="1" customWidth="1"/>
    <col min="13851" max="13851" width="13.44140625" style="68" bestFit="1" customWidth="1"/>
    <col min="13852" max="14085" width="9.109375" style="68"/>
    <col min="14086" max="14086" width="33.6640625" style="68" customWidth="1"/>
    <col min="14087" max="14087" width="16" style="68" customWidth="1"/>
    <col min="14088" max="14089" width="15" style="68" bestFit="1" customWidth="1"/>
    <col min="14090" max="14090" width="16.5546875" style="68" bestFit="1" customWidth="1"/>
    <col min="14091" max="14091" width="12.5546875" style="68" customWidth="1"/>
    <col min="14092" max="14092" width="17.5546875" style="68" bestFit="1" customWidth="1"/>
    <col min="14093" max="14094" width="18.109375" style="68" bestFit="1" customWidth="1"/>
    <col min="14095" max="14095" width="12.88671875" style="68" bestFit="1" customWidth="1"/>
    <col min="14096" max="14097" width="16.5546875" style="68" bestFit="1" customWidth="1"/>
    <col min="14098" max="14099" width="13.109375" style="68" bestFit="1" customWidth="1"/>
    <col min="14100" max="14100" width="15.5546875" style="68" bestFit="1" customWidth="1"/>
    <col min="14101" max="14101" width="13.6640625" style="68" bestFit="1" customWidth="1"/>
    <col min="14102" max="14104" width="12.33203125" style="68" bestFit="1" customWidth="1"/>
    <col min="14105" max="14105" width="17.5546875" style="68" bestFit="1" customWidth="1"/>
    <col min="14106" max="14106" width="12.33203125" style="68" bestFit="1" customWidth="1"/>
    <col min="14107" max="14107" width="13.44140625" style="68" bestFit="1" customWidth="1"/>
    <col min="14108" max="14341" width="9.109375" style="68"/>
    <col min="14342" max="14342" width="33.6640625" style="68" customWidth="1"/>
    <col min="14343" max="14343" width="16" style="68" customWidth="1"/>
    <col min="14344" max="14345" width="15" style="68" bestFit="1" customWidth="1"/>
    <col min="14346" max="14346" width="16.5546875" style="68" bestFit="1" customWidth="1"/>
    <col min="14347" max="14347" width="12.5546875" style="68" customWidth="1"/>
    <col min="14348" max="14348" width="17.5546875" style="68" bestFit="1" customWidth="1"/>
    <col min="14349" max="14350" width="18.109375" style="68" bestFit="1" customWidth="1"/>
    <col min="14351" max="14351" width="12.88671875" style="68" bestFit="1" customWidth="1"/>
    <col min="14352" max="14353" width="16.5546875" style="68" bestFit="1" customWidth="1"/>
    <col min="14354" max="14355" width="13.109375" style="68" bestFit="1" customWidth="1"/>
    <col min="14356" max="14356" width="15.5546875" style="68" bestFit="1" customWidth="1"/>
    <col min="14357" max="14357" width="13.6640625" style="68" bestFit="1" customWidth="1"/>
    <col min="14358" max="14360" width="12.33203125" style="68" bestFit="1" customWidth="1"/>
    <col min="14361" max="14361" width="17.5546875" style="68" bestFit="1" customWidth="1"/>
    <col min="14362" max="14362" width="12.33203125" style="68" bestFit="1" customWidth="1"/>
    <col min="14363" max="14363" width="13.44140625" style="68" bestFit="1" customWidth="1"/>
    <col min="14364" max="14597" width="9.109375" style="68"/>
    <col min="14598" max="14598" width="33.6640625" style="68" customWidth="1"/>
    <col min="14599" max="14599" width="16" style="68" customWidth="1"/>
    <col min="14600" max="14601" width="15" style="68" bestFit="1" customWidth="1"/>
    <col min="14602" max="14602" width="16.5546875" style="68" bestFit="1" customWidth="1"/>
    <col min="14603" max="14603" width="12.5546875" style="68" customWidth="1"/>
    <col min="14604" max="14604" width="17.5546875" style="68" bestFit="1" customWidth="1"/>
    <col min="14605" max="14606" width="18.109375" style="68" bestFit="1" customWidth="1"/>
    <col min="14607" max="14607" width="12.88671875" style="68" bestFit="1" customWidth="1"/>
    <col min="14608" max="14609" width="16.5546875" style="68" bestFit="1" customWidth="1"/>
    <col min="14610" max="14611" width="13.109375" style="68" bestFit="1" customWidth="1"/>
    <col min="14612" max="14612" width="15.5546875" style="68" bestFit="1" customWidth="1"/>
    <col min="14613" max="14613" width="13.6640625" style="68" bestFit="1" customWidth="1"/>
    <col min="14614" max="14616" width="12.33203125" style="68" bestFit="1" customWidth="1"/>
    <col min="14617" max="14617" width="17.5546875" style="68" bestFit="1" customWidth="1"/>
    <col min="14618" max="14618" width="12.33203125" style="68" bestFit="1" customWidth="1"/>
    <col min="14619" max="14619" width="13.44140625" style="68" bestFit="1" customWidth="1"/>
    <col min="14620" max="14853" width="9.109375" style="68"/>
    <col min="14854" max="14854" width="33.6640625" style="68" customWidth="1"/>
    <col min="14855" max="14855" width="16" style="68" customWidth="1"/>
    <col min="14856" max="14857" width="15" style="68" bestFit="1" customWidth="1"/>
    <col min="14858" max="14858" width="16.5546875" style="68" bestFit="1" customWidth="1"/>
    <col min="14859" max="14859" width="12.5546875" style="68" customWidth="1"/>
    <col min="14860" max="14860" width="17.5546875" style="68" bestFit="1" customWidth="1"/>
    <col min="14861" max="14862" width="18.109375" style="68" bestFit="1" customWidth="1"/>
    <col min="14863" max="14863" width="12.88671875" style="68" bestFit="1" customWidth="1"/>
    <col min="14864" max="14865" width="16.5546875" style="68" bestFit="1" customWidth="1"/>
    <col min="14866" max="14867" width="13.109375" style="68" bestFit="1" customWidth="1"/>
    <col min="14868" max="14868" width="15.5546875" style="68" bestFit="1" customWidth="1"/>
    <col min="14869" max="14869" width="13.6640625" style="68" bestFit="1" customWidth="1"/>
    <col min="14870" max="14872" width="12.33203125" style="68" bestFit="1" customWidth="1"/>
    <col min="14873" max="14873" width="17.5546875" style="68" bestFit="1" customWidth="1"/>
    <col min="14874" max="14874" width="12.33203125" style="68" bestFit="1" customWidth="1"/>
    <col min="14875" max="14875" width="13.44140625" style="68" bestFit="1" customWidth="1"/>
    <col min="14876" max="15109" width="9.109375" style="68"/>
    <col min="15110" max="15110" width="33.6640625" style="68" customWidth="1"/>
    <col min="15111" max="15111" width="16" style="68" customWidth="1"/>
    <col min="15112" max="15113" width="15" style="68" bestFit="1" customWidth="1"/>
    <col min="15114" max="15114" width="16.5546875" style="68" bestFit="1" customWidth="1"/>
    <col min="15115" max="15115" width="12.5546875" style="68" customWidth="1"/>
    <col min="15116" max="15116" width="17.5546875" style="68" bestFit="1" customWidth="1"/>
    <col min="15117" max="15118" width="18.109375" style="68" bestFit="1" customWidth="1"/>
    <col min="15119" max="15119" width="12.88671875" style="68" bestFit="1" customWidth="1"/>
    <col min="15120" max="15121" width="16.5546875" style="68" bestFit="1" customWidth="1"/>
    <col min="15122" max="15123" width="13.109375" style="68" bestFit="1" customWidth="1"/>
    <col min="15124" max="15124" width="15.5546875" style="68" bestFit="1" customWidth="1"/>
    <col min="15125" max="15125" width="13.6640625" style="68" bestFit="1" customWidth="1"/>
    <col min="15126" max="15128" width="12.33203125" style="68" bestFit="1" customWidth="1"/>
    <col min="15129" max="15129" width="17.5546875" style="68" bestFit="1" customWidth="1"/>
    <col min="15130" max="15130" width="12.33203125" style="68" bestFit="1" customWidth="1"/>
    <col min="15131" max="15131" width="13.44140625" style="68" bestFit="1" customWidth="1"/>
    <col min="15132" max="15365" width="9.109375" style="68"/>
    <col min="15366" max="15366" width="33.6640625" style="68" customWidth="1"/>
    <col min="15367" max="15367" width="16" style="68" customWidth="1"/>
    <col min="15368" max="15369" width="15" style="68" bestFit="1" customWidth="1"/>
    <col min="15370" max="15370" width="16.5546875" style="68" bestFit="1" customWidth="1"/>
    <col min="15371" max="15371" width="12.5546875" style="68" customWidth="1"/>
    <col min="15372" max="15372" width="17.5546875" style="68" bestFit="1" customWidth="1"/>
    <col min="15373" max="15374" width="18.109375" style="68" bestFit="1" customWidth="1"/>
    <col min="15375" max="15375" width="12.88671875" style="68" bestFit="1" customWidth="1"/>
    <col min="15376" max="15377" width="16.5546875" style="68" bestFit="1" customWidth="1"/>
    <col min="15378" max="15379" width="13.109375" style="68" bestFit="1" customWidth="1"/>
    <col min="15380" max="15380" width="15.5546875" style="68" bestFit="1" customWidth="1"/>
    <col min="15381" max="15381" width="13.6640625" style="68" bestFit="1" customWidth="1"/>
    <col min="15382" max="15384" width="12.33203125" style="68" bestFit="1" customWidth="1"/>
    <col min="15385" max="15385" width="17.5546875" style="68" bestFit="1" customWidth="1"/>
    <col min="15386" max="15386" width="12.33203125" style="68" bestFit="1" customWidth="1"/>
    <col min="15387" max="15387" width="13.44140625" style="68" bestFit="1" customWidth="1"/>
    <col min="15388" max="15621" width="9.109375" style="68"/>
    <col min="15622" max="15622" width="33.6640625" style="68" customWidth="1"/>
    <col min="15623" max="15623" width="16" style="68" customWidth="1"/>
    <col min="15624" max="15625" width="15" style="68" bestFit="1" customWidth="1"/>
    <col min="15626" max="15626" width="16.5546875" style="68" bestFit="1" customWidth="1"/>
    <col min="15627" max="15627" width="12.5546875" style="68" customWidth="1"/>
    <col min="15628" max="15628" width="17.5546875" style="68" bestFit="1" customWidth="1"/>
    <col min="15629" max="15630" width="18.109375" style="68" bestFit="1" customWidth="1"/>
    <col min="15631" max="15631" width="12.88671875" style="68" bestFit="1" customWidth="1"/>
    <col min="15632" max="15633" width="16.5546875" style="68" bestFit="1" customWidth="1"/>
    <col min="15634" max="15635" width="13.109375" style="68" bestFit="1" customWidth="1"/>
    <col min="15636" max="15636" width="15.5546875" style="68" bestFit="1" customWidth="1"/>
    <col min="15637" max="15637" width="13.6640625" style="68" bestFit="1" customWidth="1"/>
    <col min="15638" max="15640" width="12.33203125" style="68" bestFit="1" customWidth="1"/>
    <col min="15641" max="15641" width="17.5546875" style="68" bestFit="1" customWidth="1"/>
    <col min="15642" max="15642" width="12.33203125" style="68" bestFit="1" customWidth="1"/>
    <col min="15643" max="15643" width="13.44140625" style="68" bestFit="1" customWidth="1"/>
    <col min="15644" max="15877" width="9.109375" style="68"/>
    <col min="15878" max="15878" width="33.6640625" style="68" customWidth="1"/>
    <col min="15879" max="15879" width="16" style="68" customWidth="1"/>
    <col min="15880" max="15881" width="15" style="68" bestFit="1" customWidth="1"/>
    <col min="15882" max="15882" width="16.5546875" style="68" bestFit="1" customWidth="1"/>
    <col min="15883" max="15883" width="12.5546875" style="68" customWidth="1"/>
    <col min="15884" max="15884" width="17.5546875" style="68" bestFit="1" customWidth="1"/>
    <col min="15885" max="15886" width="18.109375" style="68" bestFit="1" customWidth="1"/>
    <col min="15887" max="15887" width="12.88671875" style="68" bestFit="1" customWidth="1"/>
    <col min="15888" max="15889" width="16.5546875" style="68" bestFit="1" customWidth="1"/>
    <col min="15890" max="15891" width="13.109375" style="68" bestFit="1" customWidth="1"/>
    <col min="15892" max="15892" width="15.5546875" style="68" bestFit="1" customWidth="1"/>
    <col min="15893" max="15893" width="13.6640625" style="68" bestFit="1" customWidth="1"/>
    <col min="15894" max="15896" width="12.33203125" style="68" bestFit="1" customWidth="1"/>
    <col min="15897" max="15897" width="17.5546875" style="68" bestFit="1" customWidth="1"/>
    <col min="15898" max="15898" width="12.33203125" style="68" bestFit="1" customWidth="1"/>
    <col min="15899" max="15899" width="13.44140625" style="68" bestFit="1" customWidth="1"/>
    <col min="15900" max="16133" width="9.109375" style="68"/>
    <col min="16134" max="16134" width="33.6640625" style="68" customWidth="1"/>
    <col min="16135" max="16135" width="16" style="68" customWidth="1"/>
    <col min="16136" max="16137" width="15" style="68" bestFit="1" customWidth="1"/>
    <col min="16138" max="16138" width="16.5546875" style="68" bestFit="1" customWidth="1"/>
    <col min="16139" max="16139" width="12.5546875" style="68" customWidth="1"/>
    <col min="16140" max="16140" width="17.5546875" style="68" bestFit="1" customWidth="1"/>
    <col min="16141" max="16142" width="18.109375" style="68" bestFit="1" customWidth="1"/>
    <col min="16143" max="16143" width="12.88671875" style="68" bestFit="1" customWidth="1"/>
    <col min="16144" max="16145" width="16.5546875" style="68" bestFit="1" customWidth="1"/>
    <col min="16146" max="16147" width="13.109375" style="68" bestFit="1" customWidth="1"/>
    <col min="16148" max="16148" width="15.5546875" style="68" bestFit="1" customWidth="1"/>
    <col min="16149" max="16149" width="13.6640625" style="68" bestFit="1" customWidth="1"/>
    <col min="16150" max="16152" width="12.33203125" style="68" bestFit="1" customWidth="1"/>
    <col min="16153" max="16153" width="17.5546875" style="68" bestFit="1" customWidth="1"/>
    <col min="16154" max="16154" width="12.33203125" style="68" bestFit="1" customWidth="1"/>
    <col min="16155" max="16155" width="13.44140625" style="68" bestFit="1" customWidth="1"/>
    <col min="16156" max="16384" width="9.109375" style="68"/>
  </cols>
  <sheetData>
    <row r="1" spans="1:53" ht="14.4" thickBot="1">
      <c r="A1" s="31" t="s">
        <v>481</v>
      </c>
      <c r="C1" s="31"/>
      <c r="D1" s="31"/>
      <c r="E1" s="31"/>
      <c r="F1" s="31"/>
      <c r="G1" s="31"/>
      <c r="H1" s="31"/>
      <c r="I1" s="31"/>
      <c r="J1" s="31"/>
      <c r="K1" s="31"/>
      <c r="L1" s="31"/>
      <c r="M1" s="31"/>
      <c r="N1" s="31"/>
      <c r="O1" s="31"/>
      <c r="P1" s="31"/>
      <c r="Q1" s="31"/>
      <c r="R1" s="31"/>
      <c r="S1" s="31"/>
      <c r="T1" s="31"/>
      <c r="U1" s="31"/>
      <c r="V1" s="31"/>
      <c r="W1" s="31"/>
      <c r="X1" s="31"/>
      <c r="Y1" s="31"/>
      <c r="Z1" s="31"/>
    </row>
    <row r="2" spans="1:53" ht="31.5" customHeight="1" thickBot="1">
      <c r="A2" s="1056" t="s">
        <v>855</v>
      </c>
      <c r="B2" s="1056" t="s">
        <v>250</v>
      </c>
      <c r="C2" s="59" t="s">
        <v>251</v>
      </c>
      <c r="D2" s="1056" t="s">
        <v>252</v>
      </c>
      <c r="E2" s="1056"/>
      <c r="F2" s="59" t="s">
        <v>251</v>
      </c>
      <c r="G2" s="17" t="s">
        <v>253</v>
      </c>
      <c r="H2" s="1058" t="s">
        <v>254</v>
      </c>
      <c r="I2" s="1059"/>
      <c r="J2" s="1059"/>
      <c r="K2" s="1059"/>
      <c r="L2" s="1059"/>
      <c r="M2" s="1060"/>
      <c r="N2" s="1061" t="s">
        <v>255</v>
      </c>
      <c r="O2" s="1062"/>
      <c r="P2" s="1062"/>
      <c r="Q2" s="1062"/>
      <c r="R2" s="1062"/>
      <c r="S2" s="1062"/>
      <c r="T2" s="1063"/>
      <c r="U2" s="1064" t="s">
        <v>256</v>
      </c>
      <c r="V2" s="1065"/>
      <c r="W2" s="1065"/>
      <c r="X2" s="1065"/>
      <c r="Y2" s="1066"/>
      <c r="Z2" s="1057" t="s">
        <v>46</v>
      </c>
    </row>
    <row r="3" spans="1:53" ht="41.4" thickBot="1">
      <c r="A3" s="1056"/>
      <c r="B3" s="1056"/>
      <c r="C3" s="11">
        <v>44742</v>
      </c>
      <c r="D3" s="59" t="s">
        <v>257</v>
      </c>
      <c r="E3" s="59" t="s">
        <v>149</v>
      </c>
      <c r="F3" s="11">
        <v>44561</v>
      </c>
      <c r="G3" s="17" t="s">
        <v>258</v>
      </c>
      <c r="H3" s="18" t="s">
        <v>133</v>
      </c>
      <c r="I3" s="19" t="s">
        <v>58</v>
      </c>
      <c r="J3" s="19" t="s">
        <v>134</v>
      </c>
      <c r="K3" s="19" t="s">
        <v>136</v>
      </c>
      <c r="L3" s="19" t="s">
        <v>60</v>
      </c>
      <c r="M3" s="20" t="s">
        <v>77</v>
      </c>
      <c r="N3" s="21" t="s">
        <v>139</v>
      </c>
      <c r="O3" s="22" t="s">
        <v>140</v>
      </c>
      <c r="P3" s="22" t="s">
        <v>141</v>
      </c>
      <c r="Q3" s="22" t="s">
        <v>63</v>
      </c>
      <c r="R3" s="22" t="s">
        <v>142</v>
      </c>
      <c r="S3" s="22" t="s">
        <v>143</v>
      </c>
      <c r="T3" s="23" t="s">
        <v>144</v>
      </c>
      <c r="U3" s="99" t="s">
        <v>146</v>
      </c>
      <c r="V3" s="100" t="s">
        <v>66</v>
      </c>
      <c r="W3" s="100" t="s">
        <v>147</v>
      </c>
      <c r="X3" s="100" t="s">
        <v>76</v>
      </c>
      <c r="Y3" s="101" t="s">
        <v>282</v>
      </c>
      <c r="Z3" s="1057"/>
    </row>
    <row r="4" spans="1:53" s="84" customFormat="1" ht="12" customHeight="1">
      <c r="A4" s="9">
        <v>1</v>
      </c>
      <c r="B4" s="9" t="s">
        <v>3</v>
      </c>
      <c r="C4" s="80">
        <f>+SUM(C5:C209)-'BG 062022'!C8</f>
        <v>0</v>
      </c>
      <c r="D4" s="80">
        <v>0</v>
      </c>
      <c r="E4" s="80">
        <v>0</v>
      </c>
      <c r="F4" s="80">
        <f>+SUM(F5:F209)-'BG 2021'!D6</f>
        <v>0</v>
      </c>
      <c r="G4" s="80">
        <f>+C4-F4+D4-E4</f>
        <v>0</v>
      </c>
      <c r="H4" s="82">
        <v>0</v>
      </c>
      <c r="I4" s="82">
        <v>0</v>
      </c>
      <c r="J4" s="82">
        <v>0</v>
      </c>
      <c r="K4" s="82">
        <v>0</v>
      </c>
      <c r="L4" s="82">
        <v>0</v>
      </c>
      <c r="M4" s="82"/>
      <c r="N4" s="82">
        <v>0</v>
      </c>
      <c r="O4" s="82">
        <v>0</v>
      </c>
      <c r="P4" s="82">
        <v>0</v>
      </c>
      <c r="Q4" s="82">
        <v>0</v>
      </c>
      <c r="R4" s="82"/>
      <c r="S4" s="82"/>
      <c r="T4" s="82"/>
      <c r="U4" s="82">
        <v>0</v>
      </c>
      <c r="V4" s="82">
        <v>0</v>
      </c>
      <c r="W4" s="82">
        <v>0</v>
      </c>
      <c r="X4" s="82">
        <v>0</v>
      </c>
      <c r="Y4" s="82">
        <v>0</v>
      </c>
      <c r="Z4" s="26"/>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row>
    <row r="5" spans="1:53" s="84" customFormat="1" ht="12" customHeight="1">
      <c r="A5" s="9">
        <v>11</v>
      </c>
      <c r="B5" s="9" t="s">
        <v>4</v>
      </c>
      <c r="C5" s="80">
        <f>+VLOOKUP(A5,Clasificaciones!C:I,5,FALSE)</f>
        <v>0</v>
      </c>
      <c r="D5" s="80">
        <v>0</v>
      </c>
      <c r="E5" s="80">
        <v>0</v>
      </c>
      <c r="F5" s="80">
        <f>+VLOOKUP(A5,Clasificaciones!C:M,9,FALSE)</f>
        <v>0</v>
      </c>
      <c r="G5" s="80">
        <f t="shared" ref="G5:G8" si="0">+C5-F5+D5-E5</f>
        <v>0</v>
      </c>
      <c r="H5" s="26">
        <v>0</v>
      </c>
      <c r="I5" s="26">
        <v>0</v>
      </c>
      <c r="J5" s="26">
        <v>0</v>
      </c>
      <c r="K5" s="26">
        <v>0</v>
      </c>
      <c r="L5" s="26">
        <v>0</v>
      </c>
      <c r="M5" s="26"/>
      <c r="N5" s="26">
        <v>0</v>
      </c>
      <c r="O5" s="26">
        <v>0</v>
      </c>
      <c r="P5" s="26">
        <v>0</v>
      </c>
      <c r="Q5" s="26">
        <v>0</v>
      </c>
      <c r="R5" s="26"/>
      <c r="S5" s="26"/>
      <c r="T5" s="26"/>
      <c r="U5" s="26">
        <v>0</v>
      </c>
      <c r="V5" s="26">
        <v>0</v>
      </c>
      <c r="W5" s="26">
        <v>0</v>
      </c>
      <c r="X5" s="26">
        <v>0</v>
      </c>
      <c r="Y5" s="26">
        <v>0</v>
      </c>
      <c r="Z5" s="26">
        <f>SUM(G5:Y5)</f>
        <v>0</v>
      </c>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row>
    <row r="6" spans="1:53" s="84" customFormat="1" ht="12" customHeight="1">
      <c r="A6" s="9">
        <v>111</v>
      </c>
      <c r="B6" s="9" t="s">
        <v>5</v>
      </c>
      <c r="C6" s="80">
        <f>+VLOOKUP(A6,Clasificaciones!C:I,5,FALSE)</f>
        <v>0</v>
      </c>
      <c r="D6" s="80">
        <v>0</v>
      </c>
      <c r="E6" s="80">
        <v>0</v>
      </c>
      <c r="F6" s="80">
        <f>+VLOOKUP(A6,Clasificaciones!C:M,9,FALSE)</f>
        <v>0</v>
      </c>
      <c r="G6" s="80">
        <f t="shared" si="0"/>
        <v>0</v>
      </c>
      <c r="H6" s="26">
        <v>0</v>
      </c>
      <c r="I6" s="26">
        <v>0</v>
      </c>
      <c r="J6" s="26">
        <v>0</v>
      </c>
      <c r="K6" s="26">
        <v>0</v>
      </c>
      <c r="L6" s="26">
        <v>0</v>
      </c>
      <c r="M6" s="26"/>
      <c r="N6" s="26">
        <v>0</v>
      </c>
      <c r="O6" s="26">
        <v>0</v>
      </c>
      <c r="P6" s="26">
        <v>0</v>
      </c>
      <c r="Q6" s="26">
        <v>0</v>
      </c>
      <c r="R6" s="26"/>
      <c r="S6" s="26"/>
      <c r="T6" s="26"/>
      <c r="U6" s="26">
        <v>0</v>
      </c>
      <c r="V6" s="26">
        <v>0</v>
      </c>
      <c r="W6" s="26">
        <v>0</v>
      </c>
      <c r="X6" s="26">
        <v>0</v>
      </c>
      <c r="Y6" s="26">
        <v>0</v>
      </c>
      <c r="Z6" s="26">
        <f t="shared" ref="Z6:Z80" si="1">SUM(G6:Y6)</f>
        <v>0</v>
      </c>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row>
    <row r="7" spans="1:53" s="86" customFormat="1" ht="12" customHeight="1">
      <c r="A7" s="8">
        <v>11103</v>
      </c>
      <c r="B7" s="8" t="s">
        <v>16</v>
      </c>
      <c r="C7" s="80">
        <f>+VLOOKUP(A7,Clasificaciones!C:I,5,FALSE)</f>
        <v>0</v>
      </c>
      <c r="D7" s="80">
        <v>0</v>
      </c>
      <c r="E7" s="80">
        <v>0</v>
      </c>
      <c r="F7" s="80">
        <f>+VLOOKUP(A7,Clasificaciones!C:M,9,FALSE)</f>
        <v>0</v>
      </c>
      <c r="G7" s="80">
        <f t="shared" si="0"/>
        <v>0</v>
      </c>
      <c r="H7" s="26">
        <v>0</v>
      </c>
      <c r="I7" s="26">
        <v>0</v>
      </c>
      <c r="J7" s="26">
        <v>0</v>
      </c>
      <c r="K7" s="26">
        <v>0</v>
      </c>
      <c r="L7" s="26">
        <v>0</v>
      </c>
      <c r="M7" s="26"/>
      <c r="N7" s="26">
        <v>0</v>
      </c>
      <c r="O7" s="26">
        <v>0</v>
      </c>
      <c r="P7" s="26">
        <v>0</v>
      </c>
      <c r="Q7" s="26">
        <v>0</v>
      </c>
      <c r="R7" s="26"/>
      <c r="S7" s="26"/>
      <c r="T7" s="26"/>
      <c r="U7" s="26">
        <v>0</v>
      </c>
      <c r="V7" s="26">
        <v>0</v>
      </c>
      <c r="W7" s="26">
        <v>0</v>
      </c>
      <c r="X7" s="26">
        <v>0</v>
      </c>
      <c r="Y7" s="26">
        <v>0</v>
      </c>
      <c r="Z7" s="26">
        <f t="shared" si="1"/>
        <v>0</v>
      </c>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1:53" s="86" customFormat="1" ht="12" customHeight="1">
      <c r="A8" s="8">
        <v>1110301</v>
      </c>
      <c r="B8" s="8" t="s">
        <v>621</v>
      </c>
      <c r="C8" s="80">
        <f>+VLOOKUP(A8,Clasificaciones!C:I,5,FALSE)</f>
        <v>0</v>
      </c>
      <c r="D8" s="80">
        <v>0</v>
      </c>
      <c r="E8" s="80">
        <v>0</v>
      </c>
      <c r="F8" s="80">
        <f>+VLOOKUP(A8,Clasificaciones!C:M,9,FALSE)</f>
        <v>0</v>
      </c>
      <c r="G8" s="80">
        <f t="shared" si="0"/>
        <v>0</v>
      </c>
      <c r="H8" s="26">
        <v>0</v>
      </c>
      <c r="I8" s="26">
        <v>0</v>
      </c>
      <c r="J8" s="26">
        <v>0</v>
      </c>
      <c r="K8" s="26">
        <v>0</v>
      </c>
      <c r="L8" s="26">
        <v>0</v>
      </c>
      <c r="M8" s="26"/>
      <c r="N8" s="26">
        <v>0</v>
      </c>
      <c r="O8" s="26">
        <v>0</v>
      </c>
      <c r="P8" s="26">
        <v>0</v>
      </c>
      <c r="Q8" s="26">
        <v>0</v>
      </c>
      <c r="R8" s="26"/>
      <c r="S8" s="26"/>
      <c r="T8" s="26"/>
      <c r="U8" s="26">
        <v>0</v>
      </c>
      <c r="V8" s="26">
        <v>0</v>
      </c>
      <c r="W8" s="26">
        <v>0</v>
      </c>
      <c r="X8" s="26">
        <v>0</v>
      </c>
      <c r="Y8" s="26">
        <v>0</v>
      </c>
      <c r="Z8" s="26">
        <f t="shared" si="1"/>
        <v>0</v>
      </c>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row>
    <row r="9" spans="1:53" s="84" customFormat="1" ht="12" customHeight="1">
      <c r="A9" s="8">
        <v>111030101</v>
      </c>
      <c r="B9" s="8" t="s">
        <v>1205</v>
      </c>
      <c r="C9" s="80">
        <f>+VLOOKUP(A9,Clasificaciones!C:I,5,FALSE)</f>
        <v>0</v>
      </c>
      <c r="D9" s="80">
        <v>0</v>
      </c>
      <c r="E9" s="80">
        <v>0</v>
      </c>
      <c r="F9" s="80">
        <f>+VLOOKUP(A9,Clasificaciones!C:M,9,FALSE)</f>
        <v>1872447497</v>
      </c>
      <c r="G9" s="80">
        <f>+C9-F9+D9-E9</f>
        <v>-1872447497</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f t="shared" si="1"/>
        <v>-1872447497</v>
      </c>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row>
    <row r="10" spans="1:53" s="84" customFormat="1" ht="12" customHeight="1">
      <c r="A10" s="8">
        <v>111030102</v>
      </c>
      <c r="B10" s="8" t="s">
        <v>622</v>
      </c>
      <c r="C10" s="80">
        <f>+VLOOKUP(A10,Clasificaciones!C:I,5,FALSE)</f>
        <v>28344</v>
      </c>
      <c r="D10" s="80">
        <v>0</v>
      </c>
      <c r="E10" s="80">
        <v>0</v>
      </c>
      <c r="F10" s="80">
        <f>+VLOOKUP(A10,Clasificaciones!C:M,9,FALSE)</f>
        <v>121221490</v>
      </c>
      <c r="G10" s="80">
        <f t="shared" ref="G10:G84" si="2">+C10-F10+D10-E10</f>
        <v>-121193146</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f t="shared" si="1"/>
        <v>-121193146</v>
      </c>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row>
    <row r="11" spans="1:53" s="84" customFormat="1" ht="12" customHeight="1">
      <c r="A11" s="8">
        <v>111030103</v>
      </c>
      <c r="B11" s="8" t="s">
        <v>623</v>
      </c>
      <c r="C11" s="80">
        <f>+VLOOKUP(A11,Clasificaciones!C:I,5,FALSE)</f>
        <v>7027989</v>
      </c>
      <c r="D11" s="80">
        <v>0</v>
      </c>
      <c r="E11" s="80">
        <v>0</v>
      </c>
      <c r="F11" s="80">
        <f>+VLOOKUP(A11,Clasificaciones!C:M,9,FALSE)</f>
        <v>6027989</v>
      </c>
      <c r="G11" s="80">
        <f t="shared" si="2"/>
        <v>1000000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f t="shared" si="1"/>
        <v>1000000</v>
      </c>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row>
    <row r="12" spans="1:53" s="84" customFormat="1" ht="12" customHeight="1">
      <c r="A12" s="8">
        <v>111030104</v>
      </c>
      <c r="B12" s="8" t="s">
        <v>624</v>
      </c>
      <c r="C12" s="80">
        <f>+VLOOKUP(A12,Clasificaciones!C:I,5,FALSE)</f>
        <v>7000000</v>
      </c>
      <c r="D12" s="80">
        <v>0</v>
      </c>
      <c r="E12" s="80">
        <v>0</v>
      </c>
      <c r="F12" s="80">
        <f>+VLOOKUP(A12,Clasificaciones!C:M,9,FALSE)</f>
        <v>6000000</v>
      </c>
      <c r="G12" s="80">
        <f t="shared" si="2"/>
        <v>1000000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f t="shared" si="1"/>
        <v>1000000</v>
      </c>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row>
    <row r="13" spans="1:53" s="84" customFormat="1" ht="12" customHeight="1">
      <c r="A13" s="8">
        <v>111030106</v>
      </c>
      <c r="B13" s="8" t="s">
        <v>625</v>
      </c>
      <c r="C13" s="80">
        <f>+VLOOKUP(A13,Clasificaciones!C:I,5,FALSE)</f>
        <v>7428913</v>
      </c>
      <c r="D13" s="80">
        <v>0</v>
      </c>
      <c r="E13" s="80">
        <v>0</v>
      </c>
      <c r="F13" s="80">
        <f>+VLOOKUP(A13,Clasificaciones!C:M,9,FALSE)</f>
        <v>5560000</v>
      </c>
      <c r="G13" s="80">
        <f t="shared" si="2"/>
        <v>1868913</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f t="shared" si="1"/>
        <v>1868913</v>
      </c>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row>
    <row r="14" spans="1:53" s="84" customFormat="1" ht="12" customHeight="1">
      <c r="A14" s="8">
        <v>111030107</v>
      </c>
      <c r="B14" s="8" t="s">
        <v>626</v>
      </c>
      <c r="C14" s="80">
        <f>+VLOOKUP(A14,Clasificaciones!C:I,5,FALSE)</f>
        <v>300662</v>
      </c>
      <c r="D14" s="80">
        <v>0</v>
      </c>
      <c r="E14" s="80">
        <v>0</v>
      </c>
      <c r="F14" s="80">
        <f>+VLOOKUP(A14,Clasificaciones!C:M,9,FALSE)</f>
        <v>300374</v>
      </c>
      <c r="G14" s="80">
        <f t="shared" si="2"/>
        <v>288</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f t="shared" si="1"/>
        <v>288</v>
      </c>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row>
    <row r="15" spans="1:53" s="84" customFormat="1" ht="12" customHeight="1">
      <c r="A15" s="8">
        <v>111030108</v>
      </c>
      <c r="B15" s="8" t="s">
        <v>627</v>
      </c>
      <c r="C15" s="80">
        <f>+VLOOKUP(A15,Clasificaciones!C:I,5,FALSE)</f>
        <v>7944691</v>
      </c>
      <c r="D15" s="80">
        <v>0</v>
      </c>
      <c r="E15" s="80">
        <v>0</v>
      </c>
      <c r="F15" s="80">
        <f>+VLOOKUP(A15,Clasificaciones!C:M,9,FALSE)</f>
        <v>3468465</v>
      </c>
      <c r="G15" s="80">
        <f t="shared" si="2"/>
        <v>4476226</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f t="shared" si="1"/>
        <v>4476226</v>
      </c>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row>
    <row r="16" spans="1:53" s="88" customFormat="1" ht="12" customHeight="1">
      <c r="A16" s="8">
        <v>111030109</v>
      </c>
      <c r="B16" s="8" t="s">
        <v>628</v>
      </c>
      <c r="C16" s="80">
        <f>+VLOOKUP(A16,Clasificaciones!C:I,5,FALSE)</f>
        <v>3982</v>
      </c>
      <c r="D16" s="80">
        <v>0</v>
      </c>
      <c r="E16" s="80">
        <v>0</v>
      </c>
      <c r="F16" s="80">
        <f>+VLOOKUP(A16,Clasificaciones!C:M,9,FALSE)</f>
        <v>3982</v>
      </c>
      <c r="G16" s="80">
        <f t="shared" si="2"/>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f t="shared" si="1"/>
        <v>0</v>
      </c>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row>
    <row r="17" spans="1:53" s="88" customFormat="1" ht="12" customHeight="1">
      <c r="A17" s="8">
        <v>111030110</v>
      </c>
      <c r="B17" s="8" t="s">
        <v>861</v>
      </c>
      <c r="C17" s="80">
        <f>+VLOOKUP(A17,Clasificaciones!C:I,5,FALSE)</f>
        <v>182450</v>
      </c>
      <c r="D17" s="80">
        <v>0</v>
      </c>
      <c r="E17" s="80">
        <v>0</v>
      </c>
      <c r="F17" s="80">
        <f>+VLOOKUP(A17,Clasificaciones!C:M,9,FALSE)</f>
        <v>0</v>
      </c>
      <c r="G17" s="80">
        <f t="shared" ref="G17" si="3">+C17-F17+D17-E17</f>
        <v>182450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f t="shared" ref="Z17" si="4">SUM(G17:Y17)</f>
        <v>182450</v>
      </c>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row>
    <row r="18" spans="1:53" s="88" customFormat="1" ht="12" customHeight="1">
      <c r="A18" s="8">
        <v>111030111</v>
      </c>
      <c r="B18" s="8" t="s">
        <v>847</v>
      </c>
      <c r="C18" s="80">
        <f>+VLOOKUP(A18,Clasificaciones!C:I,5,FALSE)</f>
        <v>36702</v>
      </c>
      <c r="D18" s="80">
        <v>0</v>
      </c>
      <c r="E18" s="80">
        <v>0</v>
      </c>
      <c r="F18" s="80">
        <f>+VLOOKUP(A18,Clasificaciones!C:M,9,FALSE)</f>
        <v>36676</v>
      </c>
      <c r="G18" s="80">
        <f t="shared" si="2"/>
        <v>26</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f t="shared" si="1"/>
        <v>26</v>
      </c>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row>
    <row r="19" spans="1:53" s="88" customFormat="1" ht="12" customHeight="1">
      <c r="A19" s="8">
        <v>111030112</v>
      </c>
      <c r="B19" s="8" t="s">
        <v>629</v>
      </c>
      <c r="C19" s="80">
        <f>+VLOOKUP(A19,Clasificaciones!C:I,5,FALSE)</f>
        <v>263042</v>
      </c>
      <c r="D19" s="80">
        <v>0</v>
      </c>
      <c r="E19" s="80">
        <v>0</v>
      </c>
      <c r="F19" s="80">
        <f>+VLOOKUP(A19,Clasificaciones!C:M,9,FALSE)</f>
        <v>263032</v>
      </c>
      <c r="G19" s="80">
        <f t="shared" si="2"/>
        <v>10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f t="shared" si="1"/>
        <v>10</v>
      </c>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row>
    <row r="20" spans="1:53" s="88" customFormat="1" ht="12" customHeight="1">
      <c r="A20" s="8">
        <v>111030113</v>
      </c>
      <c r="B20" s="8" t="s">
        <v>630</v>
      </c>
      <c r="C20" s="80">
        <f>+VLOOKUP(A20,Clasificaciones!C:I,5,FALSE)</f>
        <v>10047228</v>
      </c>
      <c r="D20" s="80">
        <v>0</v>
      </c>
      <c r="E20" s="80">
        <v>0</v>
      </c>
      <c r="F20" s="80">
        <f>+VLOOKUP(A20,Clasificaciones!C:M,9,FALSE)</f>
        <v>18159282</v>
      </c>
      <c r="G20" s="80">
        <f t="shared" si="2"/>
        <v>-8112054</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f t="shared" si="1"/>
        <v>-8112054</v>
      </c>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row>
    <row r="21" spans="1:53" s="88" customFormat="1" ht="12" customHeight="1">
      <c r="A21" s="8">
        <v>111030114</v>
      </c>
      <c r="B21" s="8" t="s">
        <v>631</v>
      </c>
      <c r="C21" s="80">
        <f>+VLOOKUP(A21,Clasificaciones!C:I,5,FALSE)</f>
        <v>6693960</v>
      </c>
      <c r="D21" s="80">
        <v>0</v>
      </c>
      <c r="E21" s="80">
        <v>0</v>
      </c>
      <c r="F21" s="80">
        <f>+VLOOKUP(A21,Clasificaciones!C:M,9,FALSE)</f>
        <v>6759960</v>
      </c>
      <c r="G21" s="80">
        <f t="shared" si="2"/>
        <v>-66000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f t="shared" si="1"/>
        <v>-66000</v>
      </c>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row>
    <row r="22" spans="1:53" s="88" customFormat="1" ht="12" customHeight="1">
      <c r="A22" s="8">
        <v>111030116</v>
      </c>
      <c r="B22" s="8" t="s">
        <v>1181</v>
      </c>
      <c r="C22" s="80">
        <f>+VLOOKUP(A22,Clasificaciones!C:I,5,FALSE)</f>
        <v>3800000</v>
      </c>
      <c r="D22" s="80">
        <v>0</v>
      </c>
      <c r="E22" s="80">
        <v>0</v>
      </c>
      <c r="F22" s="80">
        <f>+VLOOKUP(A22,Clasificaciones!C:M,9,FALSE)</f>
        <v>3800000</v>
      </c>
      <c r="G22" s="80">
        <f t="shared" si="2"/>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f t="shared" si="1"/>
        <v>0</v>
      </c>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row>
    <row r="23" spans="1:53" s="88" customFormat="1" ht="12" customHeight="1">
      <c r="A23" s="8">
        <v>111030117</v>
      </c>
      <c r="B23" s="8" t="s">
        <v>1181</v>
      </c>
      <c r="C23" s="80">
        <f>+VLOOKUP(A23,Clasificaciones!C:I,5,FALSE)</f>
        <v>1001731</v>
      </c>
      <c r="D23" s="80">
        <v>0</v>
      </c>
      <c r="E23" s="80">
        <v>0</v>
      </c>
      <c r="F23" s="80">
        <f>+VLOOKUP(A23,Clasificaciones!C:M,9,FALSE)</f>
        <v>1000706</v>
      </c>
      <c r="G23" s="80">
        <f t="shared" si="2"/>
        <v>1025</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f t="shared" si="1"/>
        <v>1025</v>
      </c>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row>
    <row r="24" spans="1:53" s="88" customFormat="1" ht="12" customHeight="1">
      <c r="A24" s="8">
        <v>111030118</v>
      </c>
      <c r="B24" s="8" t="s">
        <v>1182</v>
      </c>
      <c r="C24" s="80">
        <f>+VLOOKUP(A24,Clasificaciones!C:I,5,FALSE)</f>
        <v>98487176</v>
      </c>
      <c r="D24" s="80">
        <v>0</v>
      </c>
      <c r="E24" s="80">
        <v>0</v>
      </c>
      <c r="F24" s="80">
        <f>+VLOOKUP(A24,Clasificaciones!C:M,9,FALSE)</f>
        <v>468059075</v>
      </c>
      <c r="G24" s="80">
        <f t="shared" si="2"/>
        <v>-369571899</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f t="shared" si="1"/>
        <v>-369571899</v>
      </c>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row>
    <row r="25" spans="1:53" s="90" customFormat="1" ht="12" customHeight="1">
      <c r="A25" s="8">
        <v>111030119</v>
      </c>
      <c r="B25" s="8" t="s">
        <v>641</v>
      </c>
      <c r="C25" s="80">
        <f>+VLOOKUP(A25,Clasificaciones!C:I,5,FALSE)</f>
        <v>3293281</v>
      </c>
      <c r="D25" s="80">
        <v>0</v>
      </c>
      <c r="E25" s="80">
        <v>0</v>
      </c>
      <c r="F25" s="80">
        <f>+VLOOKUP(A25,Clasificaciones!C:M,9,FALSE)</f>
        <v>110</v>
      </c>
      <c r="G25" s="80">
        <f t="shared" si="2"/>
        <v>3293171</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f t="shared" si="1"/>
        <v>3293171</v>
      </c>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row>
    <row r="26" spans="1:53" s="90" customFormat="1" ht="12" customHeight="1">
      <c r="A26" s="8">
        <v>111030120</v>
      </c>
      <c r="B26" s="8" t="s">
        <v>864</v>
      </c>
      <c r="C26" s="80">
        <f>+VLOOKUP(A26,Clasificaciones!C:I,5,FALSE)</f>
        <v>1787672</v>
      </c>
      <c r="D26" s="80">
        <v>0</v>
      </c>
      <c r="E26" s="80">
        <v>0</v>
      </c>
      <c r="F26" s="80">
        <f>+VLOOKUP(A26,Clasificaciones!C:M,9,FALSE)</f>
        <v>0</v>
      </c>
      <c r="G26" s="80">
        <f t="shared" ref="G26" si="5">+C26-F26+D26-E26</f>
        <v>1787672</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f t="shared" ref="Z26" si="6">SUM(G26:Y26)</f>
        <v>1787672</v>
      </c>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row>
    <row r="27" spans="1:53" s="90" customFormat="1" ht="12" customHeight="1">
      <c r="A27" s="8">
        <v>111030121</v>
      </c>
      <c r="B27" s="8" t="s">
        <v>865</v>
      </c>
      <c r="C27" s="80">
        <f>+VLOOKUP(A27,Clasificaciones!C:I,5,FALSE)</f>
        <v>75842113</v>
      </c>
      <c r="D27" s="80">
        <v>0</v>
      </c>
      <c r="E27" s="80">
        <v>0</v>
      </c>
      <c r="F27" s="80">
        <f>+VLOOKUP(A27,Clasificaciones!C:M,9,FALSE)</f>
        <v>47834073</v>
      </c>
      <c r="G27" s="80">
        <f t="shared" si="2"/>
        <v>28008040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f t="shared" si="1"/>
        <v>28008040</v>
      </c>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row>
    <row r="28" spans="1:53" s="88" customFormat="1" ht="12" customHeight="1">
      <c r="A28" s="8">
        <v>111030122</v>
      </c>
      <c r="B28" s="8" t="s">
        <v>1183</v>
      </c>
      <c r="C28" s="80">
        <f>+VLOOKUP(A28,Clasificaciones!C:I,5,FALSE)</f>
        <v>23344122</v>
      </c>
      <c r="D28" s="80">
        <v>0</v>
      </c>
      <c r="E28" s="80">
        <v>0</v>
      </c>
      <c r="F28" s="80">
        <f>+VLOOKUP(A28,Clasificaciones!C:M,9,FALSE)</f>
        <v>7781169</v>
      </c>
      <c r="G28" s="80">
        <f t="shared" si="2"/>
        <v>15562953</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f t="shared" si="1"/>
        <v>15562953</v>
      </c>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row>
    <row r="29" spans="1:53" s="88" customFormat="1" ht="12" customHeight="1">
      <c r="A29" s="8">
        <v>111030123</v>
      </c>
      <c r="B29" s="8" t="s">
        <v>1496</v>
      </c>
      <c r="C29" s="80">
        <f>+VLOOKUP(A29,Clasificaciones!C:I,5,FALSE)</f>
        <v>5463533</v>
      </c>
      <c r="D29" s="80">
        <v>0</v>
      </c>
      <c r="E29" s="80">
        <v>0</v>
      </c>
      <c r="F29" s="80">
        <f>+VLOOKUP(A29,Clasificaciones!C:M,9,FALSE)</f>
        <v>0</v>
      </c>
      <c r="G29" s="80">
        <f t="shared" ref="G29" si="7">+C29-F29+D29-E29</f>
        <v>5463533</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f t="shared" ref="Z29" si="8">SUM(G29:Y29)</f>
        <v>5463533</v>
      </c>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row>
    <row r="30" spans="1:53" s="88" customFormat="1" ht="12" customHeight="1">
      <c r="A30" s="8">
        <v>111030124</v>
      </c>
      <c r="B30" s="8" t="s">
        <v>1497</v>
      </c>
      <c r="C30" s="80">
        <f>+VLOOKUP(A30,Clasificaciones!C:I,5,FALSE)</f>
        <v>2000000</v>
      </c>
      <c r="D30" s="80">
        <v>0</v>
      </c>
      <c r="E30" s="80">
        <v>0</v>
      </c>
      <c r="F30" s="80">
        <f>+VLOOKUP(A30,Clasificaciones!C:M,9,FALSE)</f>
        <v>0</v>
      </c>
      <c r="G30" s="80">
        <f t="shared" si="2"/>
        <v>2000000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f t="shared" si="1"/>
        <v>2000000</v>
      </c>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row>
    <row r="31" spans="1:53" s="88" customFormat="1" ht="12" customHeight="1">
      <c r="A31" s="8">
        <v>1110302</v>
      </c>
      <c r="B31" s="8" t="s">
        <v>632</v>
      </c>
      <c r="C31" s="80">
        <f>+VLOOKUP(A31,Clasificaciones!C:I,5,FALSE)</f>
        <v>0</v>
      </c>
      <c r="D31" s="80">
        <v>0</v>
      </c>
      <c r="E31" s="80">
        <v>0</v>
      </c>
      <c r="F31" s="80">
        <f>+VLOOKUP(A31,Clasificaciones!C:M,9,FALSE)</f>
        <v>0</v>
      </c>
      <c r="G31" s="80">
        <f t="shared" si="2"/>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f t="shared" si="1"/>
        <v>0</v>
      </c>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row>
    <row r="32" spans="1:53" s="88" customFormat="1" ht="12" customHeight="1">
      <c r="A32" s="8">
        <v>111030201</v>
      </c>
      <c r="B32" s="8" t="s">
        <v>866</v>
      </c>
      <c r="C32" s="80">
        <f>+VLOOKUP(A32,Clasificaciones!C:I,5,FALSE)</f>
        <v>1</v>
      </c>
      <c r="D32" s="80">
        <v>0</v>
      </c>
      <c r="E32" s="80">
        <v>0</v>
      </c>
      <c r="F32" s="80">
        <f>+VLOOKUP(A32,Clasificaciones!C:M,9,FALSE)</f>
        <v>1</v>
      </c>
      <c r="G32" s="80">
        <f t="shared" si="2"/>
        <v>0</v>
      </c>
      <c r="H32" s="26">
        <v>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f t="shared" si="1"/>
        <v>0</v>
      </c>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row>
    <row r="33" spans="1:53" s="88" customFormat="1" ht="12" customHeight="1">
      <c r="A33" s="8">
        <v>111030202</v>
      </c>
      <c r="B33" s="8" t="s">
        <v>633</v>
      </c>
      <c r="C33" s="80">
        <f>+VLOOKUP(A33,Clasificaciones!C:I,5,FALSE)</f>
        <v>581286244</v>
      </c>
      <c r="D33" s="80">
        <v>0</v>
      </c>
      <c r="E33" s="80">
        <v>0</v>
      </c>
      <c r="F33" s="80">
        <f>+VLOOKUP(A33,Clasificaciones!C:M,9,FALSE)</f>
        <v>103749</v>
      </c>
      <c r="G33" s="80">
        <f t="shared" si="2"/>
        <v>581182495</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f t="shared" si="1"/>
        <v>581182495</v>
      </c>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row>
    <row r="34" spans="1:53" s="88" customFormat="1" ht="12" customHeight="1">
      <c r="A34" s="8">
        <v>111030203</v>
      </c>
      <c r="B34" s="8" t="s">
        <v>634</v>
      </c>
      <c r="C34" s="80">
        <f>+VLOOKUP(A34,Clasificaciones!C:I,5,FALSE)</f>
        <v>47338782</v>
      </c>
      <c r="D34" s="80">
        <v>0</v>
      </c>
      <c r="E34" s="80">
        <v>0</v>
      </c>
      <c r="F34" s="80">
        <f>+VLOOKUP(A34,Clasificaciones!C:M,9,FALSE)</f>
        <v>47566618</v>
      </c>
      <c r="G34" s="80">
        <f t="shared" si="2"/>
        <v>-227836</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f t="shared" si="1"/>
        <v>-227836</v>
      </c>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row>
    <row r="35" spans="1:53" s="88" customFormat="1" ht="12" customHeight="1">
      <c r="A35" s="8">
        <v>111030204</v>
      </c>
      <c r="B35" s="8" t="s">
        <v>635</v>
      </c>
      <c r="C35" s="80">
        <f>+VLOOKUP(A35,Clasificaciones!C:I,5,FALSE)</f>
        <v>52166681</v>
      </c>
      <c r="D35" s="80">
        <v>0</v>
      </c>
      <c r="E35" s="80">
        <v>0</v>
      </c>
      <c r="F35" s="80">
        <f>+VLOOKUP(A35,Clasificaciones!C:M,9,FALSE)</f>
        <v>51387132</v>
      </c>
      <c r="G35" s="80">
        <f t="shared" si="2"/>
        <v>779549</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f t="shared" si="1"/>
        <v>779549</v>
      </c>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row>
    <row r="36" spans="1:53" s="88" customFormat="1" ht="12" customHeight="1">
      <c r="A36" s="8">
        <v>111030206</v>
      </c>
      <c r="B36" s="8" t="s">
        <v>636</v>
      </c>
      <c r="C36" s="80">
        <f>+VLOOKUP(A36,Clasificaciones!C:I,5,FALSE)</f>
        <v>43415878</v>
      </c>
      <c r="D36" s="80">
        <v>0</v>
      </c>
      <c r="E36" s="80">
        <v>0</v>
      </c>
      <c r="F36" s="80">
        <f>+VLOOKUP(A36,Clasificaciones!C:M,9,FALSE)</f>
        <v>39661888</v>
      </c>
      <c r="G36" s="80">
        <f t="shared" si="2"/>
        <v>3753990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f t="shared" si="1"/>
        <v>3753990</v>
      </c>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row>
    <row r="37" spans="1:53" s="88" customFormat="1" ht="12" customHeight="1">
      <c r="A37" s="8">
        <v>111030207</v>
      </c>
      <c r="B37" s="8" t="s">
        <v>868</v>
      </c>
      <c r="C37" s="80">
        <f>+VLOOKUP(A37,Clasificaciones!C:I,5,FALSE)</f>
        <v>626352</v>
      </c>
      <c r="D37" s="80">
        <v>0</v>
      </c>
      <c r="E37" s="80">
        <v>0</v>
      </c>
      <c r="F37" s="80">
        <f>+VLOOKUP(A37,Clasificaciones!C:M,9,FALSE)</f>
        <v>12780</v>
      </c>
      <c r="G37" s="80">
        <f t="shared" si="2"/>
        <v>613572</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f t="shared" si="1"/>
        <v>613572</v>
      </c>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row>
    <row r="38" spans="1:53" s="88" customFormat="1" ht="12" customHeight="1">
      <c r="A38" s="8">
        <v>111030209</v>
      </c>
      <c r="B38" s="8" t="s">
        <v>637</v>
      </c>
      <c r="C38" s="80">
        <f>+VLOOKUP(A38,Clasificaciones!C:I,5,FALSE)</f>
        <v>34668</v>
      </c>
      <c r="D38" s="80">
        <v>0</v>
      </c>
      <c r="E38" s="80">
        <v>0</v>
      </c>
      <c r="F38" s="80">
        <f>+VLOOKUP(A38,Clasificaciones!C:M,9,FALSE)</f>
        <v>34835</v>
      </c>
      <c r="G38" s="80">
        <f t="shared" si="2"/>
        <v>-167</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f t="shared" si="1"/>
        <v>-167</v>
      </c>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row>
    <row r="39" spans="1:53" s="88" customFormat="1" ht="12" customHeight="1">
      <c r="A39" s="8">
        <v>111030210</v>
      </c>
      <c r="B39" s="8" t="s">
        <v>638</v>
      </c>
      <c r="C39" s="80">
        <f>+VLOOKUP(A39,Clasificaciones!C:I,5,FALSE)</f>
        <v>52164636</v>
      </c>
      <c r="D39" s="80">
        <v>0</v>
      </c>
      <c r="E39" s="80">
        <v>0</v>
      </c>
      <c r="F39" s="80">
        <f>+VLOOKUP(A39,Clasificaciones!C:M,9,FALSE)</f>
        <v>28300935</v>
      </c>
      <c r="G39" s="80">
        <f t="shared" si="2"/>
        <v>23863701</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f t="shared" si="1"/>
        <v>23863701</v>
      </c>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row>
    <row r="40" spans="1:53" s="88" customFormat="1" ht="12" customHeight="1">
      <c r="A40" s="8">
        <v>111030211</v>
      </c>
      <c r="B40" s="8" t="s">
        <v>639</v>
      </c>
      <c r="C40" s="80">
        <f>+VLOOKUP(A40,Clasificaciones!C:I,5,FALSE)</f>
        <v>22860878</v>
      </c>
      <c r="D40" s="80">
        <v>0</v>
      </c>
      <c r="E40" s="80">
        <v>0</v>
      </c>
      <c r="F40" s="80">
        <f>+VLOOKUP(A40,Clasificaciones!C:M,9,FALSE)</f>
        <v>16401929</v>
      </c>
      <c r="G40" s="80">
        <f t="shared" si="2"/>
        <v>6458949</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f t="shared" si="1"/>
        <v>6458949</v>
      </c>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row>
    <row r="41" spans="1:53" s="88" customFormat="1" ht="12" customHeight="1">
      <c r="A41" s="8">
        <v>111030212</v>
      </c>
      <c r="B41" s="8" t="s">
        <v>640</v>
      </c>
      <c r="C41" s="80">
        <f>+VLOOKUP(A41,Clasificaciones!C:I,5,FALSE)</f>
        <v>45566603</v>
      </c>
      <c r="D41" s="80">
        <v>0</v>
      </c>
      <c r="E41" s="80">
        <v>0</v>
      </c>
      <c r="F41" s="80">
        <f>+VLOOKUP(A41,Clasificaciones!C:M,9,FALSE)</f>
        <v>22914151</v>
      </c>
      <c r="G41" s="80">
        <f t="shared" si="2"/>
        <v>22652452</v>
      </c>
      <c r="H41" s="26">
        <v>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f t="shared" si="1"/>
        <v>22652452</v>
      </c>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row>
    <row r="42" spans="1:53" s="88" customFormat="1" ht="12" customHeight="1">
      <c r="A42" s="8">
        <v>111030214</v>
      </c>
      <c r="B42" s="8" t="s">
        <v>641</v>
      </c>
      <c r="C42" s="80">
        <f>+VLOOKUP(A42,Clasificaciones!C:I,5,FALSE)</f>
        <v>42633192</v>
      </c>
      <c r="D42" s="80">
        <v>0</v>
      </c>
      <c r="E42" s="80">
        <v>0</v>
      </c>
      <c r="F42" s="80">
        <f>+VLOOKUP(A42,Clasificaciones!C:M,9,FALSE)</f>
        <v>10492</v>
      </c>
      <c r="G42" s="80">
        <f t="shared" si="2"/>
        <v>42622700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f t="shared" si="1"/>
        <v>42622700</v>
      </c>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row>
    <row r="43" spans="1:53" s="88" customFormat="1" ht="12" customHeight="1">
      <c r="A43" s="8">
        <v>111030216</v>
      </c>
      <c r="B43" s="8" t="s">
        <v>1223</v>
      </c>
      <c r="C43" s="80">
        <f>+VLOOKUP(A43,Clasificaciones!C:I,5,FALSE)</f>
        <v>6841251</v>
      </c>
      <c r="D43" s="80">
        <v>0</v>
      </c>
      <c r="E43" s="80">
        <v>0</v>
      </c>
      <c r="F43" s="80">
        <f>+VLOOKUP(A43,Clasificaciones!C:M,9,FALSE)</f>
        <v>6871291</v>
      </c>
      <c r="G43" s="80">
        <f t="shared" si="2"/>
        <v>-30040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f t="shared" si="1"/>
        <v>-30040</v>
      </c>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row>
    <row r="44" spans="1:53" s="88" customFormat="1" ht="12" customHeight="1">
      <c r="A44" s="8">
        <v>111030217</v>
      </c>
      <c r="B44" s="8" t="s">
        <v>642</v>
      </c>
      <c r="C44" s="80">
        <f>+VLOOKUP(A44,Clasificaciones!C:I,5,FALSE)</f>
        <v>93216304</v>
      </c>
      <c r="D44" s="80">
        <v>0</v>
      </c>
      <c r="E44" s="80">
        <v>0</v>
      </c>
      <c r="F44" s="80">
        <f>+VLOOKUP(A44,Clasificaciones!C:M,9,FALSE)</f>
        <v>61362792</v>
      </c>
      <c r="G44" s="80">
        <f t="shared" si="2"/>
        <v>31853512</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f t="shared" si="1"/>
        <v>31853512</v>
      </c>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row>
    <row r="45" spans="1:53" s="88" customFormat="1" ht="12" customHeight="1">
      <c r="A45" s="8">
        <v>111030218</v>
      </c>
      <c r="B45" s="8" t="s">
        <v>643</v>
      </c>
      <c r="C45" s="80">
        <f>+VLOOKUP(A45,Clasificaciones!C:I,5,FALSE)</f>
        <v>28237311</v>
      </c>
      <c r="D45" s="80">
        <v>0</v>
      </c>
      <c r="E45" s="80">
        <v>0</v>
      </c>
      <c r="F45" s="80">
        <f>+VLOOKUP(A45,Clasificaciones!C:M,9,FALSE)</f>
        <v>26311969</v>
      </c>
      <c r="G45" s="80">
        <f t="shared" si="2"/>
        <v>1925342</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f t="shared" si="1"/>
        <v>1925342</v>
      </c>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row>
    <row r="46" spans="1:53" s="88" customFormat="1" ht="12" customHeight="1">
      <c r="A46" s="8">
        <v>111030219</v>
      </c>
      <c r="B46" s="8" t="s">
        <v>644</v>
      </c>
      <c r="C46" s="80">
        <f>+VLOOKUP(A46,Clasificaciones!C:I,5,FALSE)</f>
        <v>19565557</v>
      </c>
      <c r="D46" s="80">
        <v>0</v>
      </c>
      <c r="E46" s="80">
        <v>0</v>
      </c>
      <c r="F46" s="80">
        <f>+VLOOKUP(A46,Clasificaciones!C:M,9,FALSE)</f>
        <v>20109555</v>
      </c>
      <c r="G46" s="80">
        <f t="shared" si="2"/>
        <v>-543998</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f t="shared" si="1"/>
        <v>-543998</v>
      </c>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row>
    <row r="47" spans="1:53" s="88" customFormat="1" ht="12" customHeight="1">
      <c r="A47" s="8">
        <v>111030220</v>
      </c>
      <c r="B47" s="8" t="s">
        <v>1499</v>
      </c>
      <c r="C47" s="80">
        <f>+VLOOKUP(A47,Clasificaciones!C:I,5,FALSE)</f>
        <v>25334761</v>
      </c>
      <c r="D47" s="80">
        <v>0</v>
      </c>
      <c r="E47" s="80">
        <v>0</v>
      </c>
      <c r="F47" s="80">
        <f>+VLOOKUP(A47,Clasificaciones!C:M,9,FALSE)</f>
        <v>0</v>
      </c>
      <c r="G47" s="80">
        <f t="shared" ref="G47:G49" si="9">+C47-F47+D47-E47</f>
        <v>25334761</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f t="shared" ref="Z47:Z49" si="10">SUM(G47:Y47)</f>
        <v>25334761</v>
      </c>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row>
    <row r="48" spans="1:53" s="88" customFormat="1" ht="12" customHeight="1">
      <c r="A48" s="8">
        <v>111030221</v>
      </c>
      <c r="B48" s="8" t="s">
        <v>1496</v>
      </c>
      <c r="C48" s="80">
        <f>+VLOOKUP(A48,Clasificaciones!C:I,5,FALSE)</f>
        <v>20744958</v>
      </c>
      <c r="D48" s="80">
        <v>0</v>
      </c>
      <c r="E48" s="80">
        <v>0</v>
      </c>
      <c r="F48" s="80">
        <f>+VLOOKUP(A48,Clasificaciones!C:M,9,FALSE)</f>
        <v>0</v>
      </c>
      <c r="G48" s="80">
        <f t="shared" ref="G48" si="11">+C48-F48+D48-E48</f>
        <v>20744958</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f t="shared" ref="Z48" si="12">SUM(G48:Y48)</f>
        <v>20744958</v>
      </c>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row>
    <row r="49" spans="1:53" s="88" customFormat="1" ht="12" customHeight="1">
      <c r="A49" s="8">
        <v>111030222</v>
      </c>
      <c r="B49" s="8" t="s">
        <v>1500</v>
      </c>
      <c r="C49" s="80">
        <f>+VLOOKUP(A49,Clasificaciones!C:I,5,FALSE)</f>
        <v>6708322</v>
      </c>
      <c r="D49" s="80">
        <v>0</v>
      </c>
      <c r="E49" s="80">
        <v>0</v>
      </c>
      <c r="F49" s="80">
        <f>+VLOOKUP(A49,Clasificaciones!C:M,9,FALSE)</f>
        <v>0</v>
      </c>
      <c r="G49" s="80">
        <f t="shared" si="9"/>
        <v>6708322</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f t="shared" si="10"/>
        <v>6708322</v>
      </c>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row>
    <row r="50" spans="1:53" s="88" customFormat="1" ht="12" customHeight="1">
      <c r="A50" s="91">
        <v>112</v>
      </c>
      <c r="B50" s="92" t="s">
        <v>206</v>
      </c>
      <c r="C50" s="80">
        <f>+VLOOKUP(A50,Clasificaciones!C:I,5,FALSE)</f>
        <v>0</v>
      </c>
      <c r="D50" s="80">
        <v>0</v>
      </c>
      <c r="E50" s="80">
        <v>0</v>
      </c>
      <c r="F50" s="80">
        <f>+VLOOKUP(A50,Clasificaciones!C:M,9,FALSE)</f>
        <v>0</v>
      </c>
      <c r="G50" s="80">
        <f t="shared" si="2"/>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f t="shared" si="1"/>
        <v>0</v>
      </c>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row>
    <row r="51" spans="1:53" s="90" customFormat="1" ht="12" customHeight="1">
      <c r="A51" s="8">
        <v>11201</v>
      </c>
      <c r="B51" s="8" t="s">
        <v>645</v>
      </c>
      <c r="C51" s="80">
        <f>+VLOOKUP(A51,Clasificaciones!C:I,5,FALSE)</f>
        <v>0</v>
      </c>
      <c r="D51" s="80">
        <v>0</v>
      </c>
      <c r="E51" s="80">
        <v>0</v>
      </c>
      <c r="F51" s="80">
        <f>+VLOOKUP(A51,Clasificaciones!C:M,9,FALSE)</f>
        <v>0</v>
      </c>
      <c r="G51" s="80">
        <f t="shared" si="2"/>
        <v>0</v>
      </c>
      <c r="H51" s="26">
        <v>0</v>
      </c>
      <c r="I51" s="26">
        <v>0</v>
      </c>
      <c r="J51" s="26">
        <v>0</v>
      </c>
      <c r="K51" s="26">
        <v>0</v>
      </c>
      <c r="L51" s="26">
        <v>0</v>
      </c>
      <c r="M51" s="26">
        <v>0</v>
      </c>
      <c r="N51" s="26">
        <v>0</v>
      </c>
      <c r="O51" s="26">
        <v>0</v>
      </c>
      <c r="P51" s="26">
        <v>0</v>
      </c>
      <c r="Q51" s="26">
        <v>0</v>
      </c>
      <c r="R51" s="26">
        <f>+G51</f>
        <v>0</v>
      </c>
      <c r="S51" s="26">
        <v>0</v>
      </c>
      <c r="T51" s="26">
        <v>0</v>
      </c>
      <c r="U51" s="26">
        <v>0</v>
      </c>
      <c r="V51" s="26">
        <v>0</v>
      </c>
      <c r="W51" s="26">
        <v>0</v>
      </c>
      <c r="X51" s="26">
        <v>0</v>
      </c>
      <c r="Y51" s="26">
        <v>0</v>
      </c>
      <c r="Z51" s="26">
        <f t="shared" si="1"/>
        <v>0</v>
      </c>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row>
    <row r="52" spans="1:53" s="88" customFormat="1" ht="12" customHeight="1">
      <c r="A52" s="8">
        <v>112011</v>
      </c>
      <c r="B52" s="8" t="s">
        <v>646</v>
      </c>
      <c r="C52" s="80">
        <f>+VLOOKUP(A52,Clasificaciones!C:I,5,FALSE)</f>
        <v>0</v>
      </c>
      <c r="D52" s="80">
        <v>0</v>
      </c>
      <c r="E52" s="80">
        <v>0</v>
      </c>
      <c r="F52" s="80">
        <f>+VLOOKUP(A52,Clasificaciones!C:M,9,FALSE)</f>
        <v>0</v>
      </c>
      <c r="G52" s="80">
        <f t="shared" si="2"/>
        <v>0</v>
      </c>
      <c r="H52" s="26">
        <v>0</v>
      </c>
      <c r="I52" s="26">
        <v>0</v>
      </c>
      <c r="J52" s="26">
        <v>0</v>
      </c>
      <c r="K52" s="26">
        <v>0</v>
      </c>
      <c r="L52" s="26">
        <v>0</v>
      </c>
      <c r="M52" s="26">
        <v>0</v>
      </c>
      <c r="N52" s="26">
        <v>0</v>
      </c>
      <c r="O52" s="26">
        <v>0</v>
      </c>
      <c r="P52" s="26">
        <v>0</v>
      </c>
      <c r="Q52" s="26">
        <v>0</v>
      </c>
      <c r="R52" s="26">
        <f t="shared" ref="R52:R79" si="13">+G52</f>
        <v>0</v>
      </c>
      <c r="S52" s="26">
        <v>0</v>
      </c>
      <c r="T52" s="26">
        <v>0</v>
      </c>
      <c r="U52" s="26">
        <v>0</v>
      </c>
      <c r="V52" s="26">
        <v>0</v>
      </c>
      <c r="W52" s="26">
        <v>0</v>
      </c>
      <c r="X52" s="26">
        <v>0</v>
      </c>
      <c r="Y52" s="26">
        <v>0</v>
      </c>
      <c r="Z52" s="26">
        <f t="shared" si="1"/>
        <v>0</v>
      </c>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row>
    <row r="53" spans="1:53" s="88" customFormat="1" ht="12" customHeight="1">
      <c r="A53" s="8">
        <v>1120111</v>
      </c>
      <c r="B53" s="8" t="s">
        <v>647</v>
      </c>
      <c r="C53" s="80">
        <f>+VLOOKUP(A53,Clasificaciones!C:I,5,FALSE)</f>
        <v>0</v>
      </c>
      <c r="D53" s="80">
        <v>0</v>
      </c>
      <c r="E53" s="80">
        <v>0</v>
      </c>
      <c r="F53" s="80">
        <f>+VLOOKUP(A53,Clasificaciones!C:M,9,FALSE)</f>
        <v>0</v>
      </c>
      <c r="G53" s="80">
        <f t="shared" si="2"/>
        <v>0</v>
      </c>
      <c r="H53" s="26">
        <v>0</v>
      </c>
      <c r="I53" s="26">
        <v>0</v>
      </c>
      <c r="J53" s="26">
        <v>0</v>
      </c>
      <c r="K53" s="26">
        <v>0</v>
      </c>
      <c r="L53" s="26">
        <v>0</v>
      </c>
      <c r="M53" s="26">
        <v>0</v>
      </c>
      <c r="N53" s="26">
        <v>0</v>
      </c>
      <c r="O53" s="26">
        <v>0</v>
      </c>
      <c r="P53" s="26">
        <v>0</v>
      </c>
      <c r="Q53" s="26">
        <v>0</v>
      </c>
      <c r="R53" s="26">
        <f t="shared" si="13"/>
        <v>0</v>
      </c>
      <c r="S53" s="26">
        <v>0</v>
      </c>
      <c r="T53" s="26">
        <v>0</v>
      </c>
      <c r="U53" s="26">
        <v>0</v>
      </c>
      <c r="V53" s="26">
        <v>0</v>
      </c>
      <c r="W53" s="26">
        <v>0</v>
      </c>
      <c r="X53" s="26">
        <v>0</v>
      </c>
      <c r="Y53" s="26">
        <v>0</v>
      </c>
      <c r="Z53" s="26">
        <f t="shared" si="1"/>
        <v>0</v>
      </c>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3" s="94" customFormat="1" ht="12" customHeight="1">
      <c r="A54" s="25">
        <v>11201111</v>
      </c>
      <c r="B54" s="25" t="s">
        <v>648</v>
      </c>
      <c r="C54" s="80">
        <f>+VLOOKUP(A54,Clasificaciones!C:I,5,FALSE)</f>
        <v>0</v>
      </c>
      <c r="D54" s="80">
        <v>0</v>
      </c>
      <c r="E54" s="80">
        <v>0</v>
      </c>
      <c r="F54" s="80">
        <f>+VLOOKUP(A54,Clasificaciones!C:M,9,FALSE)</f>
        <v>0</v>
      </c>
      <c r="G54" s="80">
        <f t="shared" si="2"/>
        <v>0</v>
      </c>
      <c r="H54" s="26">
        <v>0</v>
      </c>
      <c r="I54" s="26">
        <v>0</v>
      </c>
      <c r="J54" s="26">
        <v>0</v>
      </c>
      <c r="K54" s="26">
        <v>0</v>
      </c>
      <c r="L54" s="26">
        <v>0</v>
      </c>
      <c r="M54" s="26">
        <v>0</v>
      </c>
      <c r="N54" s="26">
        <v>0</v>
      </c>
      <c r="O54" s="26">
        <v>0</v>
      </c>
      <c r="P54" s="26">
        <v>0</v>
      </c>
      <c r="Q54" s="26">
        <v>0</v>
      </c>
      <c r="R54" s="26">
        <f t="shared" si="13"/>
        <v>0</v>
      </c>
      <c r="S54" s="26">
        <v>0</v>
      </c>
      <c r="T54" s="26">
        <v>0</v>
      </c>
      <c r="U54" s="26">
        <v>0</v>
      </c>
      <c r="V54" s="26">
        <v>0</v>
      </c>
      <c r="W54" s="26">
        <v>0</v>
      </c>
      <c r="X54" s="26">
        <v>0</v>
      </c>
      <c r="Y54" s="26">
        <v>0</v>
      </c>
      <c r="Z54" s="26">
        <f t="shared" si="1"/>
        <v>0</v>
      </c>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row>
    <row r="55" spans="1:53" s="94" customFormat="1" ht="12" customHeight="1">
      <c r="A55" s="25">
        <v>1120111101</v>
      </c>
      <c r="B55" s="25" t="s">
        <v>649</v>
      </c>
      <c r="C55" s="80">
        <f>+VLOOKUP(A55,Clasificaciones!C:I,5,FALSE)</f>
        <v>375000000</v>
      </c>
      <c r="D55" s="80">
        <v>0</v>
      </c>
      <c r="E55" s="80">
        <v>0</v>
      </c>
      <c r="F55" s="80">
        <f>+VLOOKUP(A55,Clasificaciones!C:M,9,FALSE)</f>
        <v>75000000</v>
      </c>
      <c r="G55" s="80">
        <f t="shared" si="2"/>
        <v>300000000</v>
      </c>
      <c r="H55" s="26">
        <v>0</v>
      </c>
      <c r="I55" s="26">
        <v>0</v>
      </c>
      <c r="J55" s="26">
        <v>0</v>
      </c>
      <c r="K55" s="26">
        <v>0</v>
      </c>
      <c r="L55" s="26">
        <v>0</v>
      </c>
      <c r="M55" s="26">
        <v>0</v>
      </c>
      <c r="N55" s="26">
        <v>0</v>
      </c>
      <c r="O55" s="26">
        <v>0</v>
      </c>
      <c r="P55" s="26">
        <v>0</v>
      </c>
      <c r="Q55" s="26">
        <v>0</v>
      </c>
      <c r="R55" s="26">
        <f>-G55</f>
        <v>-300000000</v>
      </c>
      <c r="S55" s="26">
        <v>0</v>
      </c>
      <c r="T55" s="26">
        <v>0</v>
      </c>
      <c r="U55" s="26">
        <v>0</v>
      </c>
      <c r="V55" s="26">
        <v>0</v>
      </c>
      <c r="W55" s="26">
        <v>0</v>
      </c>
      <c r="X55" s="26">
        <v>0</v>
      </c>
      <c r="Y55" s="26">
        <v>0</v>
      </c>
      <c r="Z55" s="26">
        <f t="shared" si="1"/>
        <v>0</v>
      </c>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1:53" s="94" customFormat="1" ht="12" customHeight="1">
      <c r="A56" s="25">
        <v>1120112</v>
      </c>
      <c r="B56" s="25" t="s">
        <v>650</v>
      </c>
      <c r="C56" s="80">
        <f>+VLOOKUP(A56,Clasificaciones!C:I,5,FALSE)</f>
        <v>0</v>
      </c>
      <c r="D56" s="80">
        <v>0</v>
      </c>
      <c r="E56" s="80">
        <v>0</v>
      </c>
      <c r="F56" s="80">
        <f>+VLOOKUP(A56,Clasificaciones!C:M,9,FALSE)</f>
        <v>0</v>
      </c>
      <c r="G56" s="80">
        <f t="shared" si="2"/>
        <v>0</v>
      </c>
      <c r="H56" s="26">
        <v>0</v>
      </c>
      <c r="I56" s="26">
        <v>0</v>
      </c>
      <c r="J56" s="26">
        <v>0</v>
      </c>
      <c r="K56" s="26">
        <v>0</v>
      </c>
      <c r="L56" s="26">
        <v>0</v>
      </c>
      <c r="M56" s="26">
        <v>0</v>
      </c>
      <c r="N56" s="26">
        <v>0</v>
      </c>
      <c r="O56" s="26">
        <f t="shared" ref="O56:O57" si="14">-G56</f>
        <v>0</v>
      </c>
      <c r="P56" s="26">
        <v>0</v>
      </c>
      <c r="Q56" s="26">
        <v>0</v>
      </c>
      <c r="R56" s="26">
        <f t="shared" si="13"/>
        <v>0</v>
      </c>
      <c r="S56" s="26">
        <v>0</v>
      </c>
      <c r="T56" s="26">
        <v>0</v>
      </c>
      <c r="U56" s="26">
        <v>0</v>
      </c>
      <c r="V56" s="26">
        <v>0</v>
      </c>
      <c r="W56" s="26">
        <v>0</v>
      </c>
      <c r="X56" s="26">
        <v>0</v>
      </c>
      <c r="Y56" s="26">
        <v>0</v>
      </c>
      <c r="Z56" s="26">
        <f t="shared" si="1"/>
        <v>0</v>
      </c>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row>
    <row r="57" spans="1:53" s="94" customFormat="1" ht="12" customHeight="1">
      <c r="A57" s="8">
        <v>11201121</v>
      </c>
      <c r="B57" s="8" t="s">
        <v>470</v>
      </c>
      <c r="C57" s="80">
        <f>+VLOOKUP(A57,Clasificaciones!C:I,5,FALSE)</f>
        <v>0</v>
      </c>
      <c r="D57" s="80">
        <v>0</v>
      </c>
      <c r="E57" s="80">
        <v>0</v>
      </c>
      <c r="F57" s="80">
        <f>+VLOOKUP(A57,Clasificaciones!C:M,9,FALSE)</f>
        <v>0</v>
      </c>
      <c r="G57" s="80">
        <f t="shared" si="2"/>
        <v>0</v>
      </c>
      <c r="H57" s="26">
        <v>0</v>
      </c>
      <c r="I57" s="26">
        <v>0</v>
      </c>
      <c r="J57" s="26">
        <v>0</v>
      </c>
      <c r="K57" s="26">
        <v>0</v>
      </c>
      <c r="L57" s="26">
        <v>0</v>
      </c>
      <c r="M57" s="26">
        <v>0</v>
      </c>
      <c r="N57" s="26">
        <v>0</v>
      </c>
      <c r="O57" s="26">
        <f t="shared" si="14"/>
        <v>0</v>
      </c>
      <c r="P57" s="26">
        <v>0</v>
      </c>
      <c r="Q57" s="26">
        <v>0</v>
      </c>
      <c r="R57" s="26">
        <f t="shared" si="13"/>
        <v>0</v>
      </c>
      <c r="S57" s="26">
        <v>0</v>
      </c>
      <c r="T57" s="26">
        <v>0</v>
      </c>
      <c r="U57" s="26">
        <v>0</v>
      </c>
      <c r="V57" s="26">
        <v>0</v>
      </c>
      <c r="W57" s="26">
        <v>0</v>
      </c>
      <c r="X57" s="26">
        <v>0</v>
      </c>
      <c r="Y57" s="26">
        <v>0</v>
      </c>
      <c r="Z57" s="26">
        <f t="shared" si="1"/>
        <v>0</v>
      </c>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row>
    <row r="58" spans="1:53" s="94" customFormat="1" ht="12" customHeight="1">
      <c r="A58" s="8">
        <v>1120112101</v>
      </c>
      <c r="B58" s="8" t="s">
        <v>651</v>
      </c>
      <c r="C58" s="80">
        <f>+VLOOKUP(A58,Clasificaciones!C:I,5,FALSE)</f>
        <v>700000000</v>
      </c>
      <c r="D58" s="80">
        <v>0</v>
      </c>
      <c r="E58" s="80">
        <v>0</v>
      </c>
      <c r="F58" s="80">
        <f>+VLOOKUP(A58,Clasificaciones!C:M,9,FALSE)</f>
        <v>100000000</v>
      </c>
      <c r="G58" s="80">
        <f t="shared" si="2"/>
        <v>600000000</v>
      </c>
      <c r="H58" s="26">
        <v>0</v>
      </c>
      <c r="I58" s="26">
        <v>0</v>
      </c>
      <c r="J58" s="26">
        <v>0</v>
      </c>
      <c r="K58" s="26">
        <v>0</v>
      </c>
      <c r="L58" s="26">
        <v>0</v>
      </c>
      <c r="M58" s="26">
        <v>0</v>
      </c>
      <c r="N58" s="26">
        <v>0</v>
      </c>
      <c r="O58" s="26">
        <v>0</v>
      </c>
      <c r="P58" s="26">
        <v>0</v>
      </c>
      <c r="Q58" s="26">
        <v>0</v>
      </c>
      <c r="R58" s="26">
        <f t="shared" ref="R58:R76" si="15">-G58</f>
        <v>-600000000</v>
      </c>
      <c r="S58" s="26">
        <v>0</v>
      </c>
      <c r="T58" s="26">
        <v>0</v>
      </c>
      <c r="U58" s="26">
        <v>0</v>
      </c>
      <c r="V58" s="26">
        <v>0</v>
      </c>
      <c r="W58" s="26">
        <v>0</v>
      </c>
      <c r="X58" s="26">
        <v>0</v>
      </c>
      <c r="Y58" s="26">
        <v>0</v>
      </c>
      <c r="Z58" s="26">
        <f t="shared" si="1"/>
        <v>0</v>
      </c>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row>
    <row r="59" spans="1:53" s="97" customFormat="1" ht="12" customHeight="1">
      <c r="A59" s="8">
        <v>11201122</v>
      </c>
      <c r="B59" s="8" t="s">
        <v>878</v>
      </c>
      <c r="C59" s="80">
        <f>+VLOOKUP(A59,Clasificaciones!C:I,5,FALSE)</f>
        <v>0</v>
      </c>
      <c r="D59" s="80">
        <v>0</v>
      </c>
      <c r="E59" s="80">
        <v>0</v>
      </c>
      <c r="F59" s="80">
        <f>+VLOOKUP(A59,Clasificaciones!C:M,9,FALSE)</f>
        <v>0</v>
      </c>
      <c r="G59" s="80">
        <f t="shared" si="2"/>
        <v>0</v>
      </c>
      <c r="H59" s="26">
        <v>0</v>
      </c>
      <c r="I59" s="26">
        <v>0</v>
      </c>
      <c r="J59" s="26">
        <v>0</v>
      </c>
      <c r="K59" s="26">
        <v>0</v>
      </c>
      <c r="L59" s="26">
        <v>0</v>
      </c>
      <c r="M59" s="26">
        <v>0</v>
      </c>
      <c r="N59" s="26">
        <v>0</v>
      </c>
      <c r="O59" s="26">
        <v>0</v>
      </c>
      <c r="P59" s="26">
        <v>0</v>
      </c>
      <c r="Q59" s="26">
        <v>0</v>
      </c>
      <c r="R59" s="26">
        <f t="shared" si="15"/>
        <v>0</v>
      </c>
      <c r="S59" s="26">
        <v>0</v>
      </c>
      <c r="T59" s="26">
        <v>0</v>
      </c>
      <c r="U59" s="26">
        <v>0</v>
      </c>
      <c r="V59" s="26">
        <v>0</v>
      </c>
      <c r="W59" s="26">
        <v>0</v>
      </c>
      <c r="X59" s="26">
        <v>0</v>
      </c>
      <c r="Y59" s="26">
        <v>0</v>
      </c>
      <c r="Z59" s="26">
        <f t="shared" si="1"/>
        <v>0</v>
      </c>
      <c r="AA59" s="95"/>
      <c r="AB59" s="95"/>
      <c r="AC59" s="95"/>
      <c r="AD59" s="95"/>
      <c r="AE59" s="95"/>
      <c r="AF59" s="95"/>
      <c r="AG59" s="95"/>
      <c r="AH59" s="95"/>
      <c r="AI59" s="95"/>
      <c r="AJ59" s="95"/>
      <c r="AK59" s="95"/>
      <c r="AL59" s="95"/>
      <c r="AM59" s="95"/>
      <c r="AN59" s="96"/>
      <c r="AO59" s="96"/>
      <c r="AP59" s="96"/>
      <c r="AQ59" s="96"/>
      <c r="AR59" s="96"/>
      <c r="AS59" s="96"/>
      <c r="AT59" s="96"/>
      <c r="AU59" s="96"/>
      <c r="AV59" s="96"/>
      <c r="AW59" s="96"/>
      <c r="AX59" s="96"/>
      <c r="AY59" s="96"/>
      <c r="AZ59" s="96"/>
      <c r="BA59" s="96"/>
    </row>
    <row r="60" spans="1:53" s="97" customFormat="1" ht="12" customHeight="1">
      <c r="A60" s="8">
        <v>1120112201</v>
      </c>
      <c r="B60" s="8" t="s">
        <v>879</v>
      </c>
      <c r="C60" s="80">
        <f>+VLOOKUP(A60,Clasificaciones!C:I,5,FALSE)</f>
        <v>0</v>
      </c>
      <c r="D60" s="80">
        <v>0</v>
      </c>
      <c r="E60" s="80">
        <v>0</v>
      </c>
      <c r="F60" s="80">
        <f>+VLOOKUP(A60,Clasificaciones!C:M,9,FALSE)</f>
        <v>0</v>
      </c>
      <c r="G60" s="80">
        <f t="shared" si="2"/>
        <v>0</v>
      </c>
      <c r="H60" s="26">
        <v>0</v>
      </c>
      <c r="I60" s="26">
        <v>0</v>
      </c>
      <c r="J60" s="26">
        <v>0</v>
      </c>
      <c r="K60" s="26">
        <v>0</v>
      </c>
      <c r="L60" s="26">
        <v>0</v>
      </c>
      <c r="M60" s="26">
        <v>0</v>
      </c>
      <c r="N60" s="26">
        <v>0</v>
      </c>
      <c r="O60" s="26">
        <v>0</v>
      </c>
      <c r="P60" s="26">
        <v>0</v>
      </c>
      <c r="Q60" s="26">
        <v>0</v>
      </c>
      <c r="R60" s="26">
        <f t="shared" si="15"/>
        <v>0</v>
      </c>
      <c r="S60" s="26">
        <v>0</v>
      </c>
      <c r="T60" s="26">
        <v>0</v>
      </c>
      <c r="U60" s="26">
        <v>0</v>
      </c>
      <c r="V60" s="26">
        <v>0</v>
      </c>
      <c r="W60" s="26">
        <v>0</v>
      </c>
      <c r="X60" s="26">
        <v>0</v>
      </c>
      <c r="Y60" s="26">
        <v>0</v>
      </c>
      <c r="Z60" s="26">
        <f t="shared" si="1"/>
        <v>0</v>
      </c>
      <c r="AA60" s="95"/>
      <c r="AB60" s="95"/>
      <c r="AC60" s="95"/>
      <c r="AD60" s="95"/>
      <c r="AE60" s="95"/>
      <c r="AF60" s="95"/>
      <c r="AG60" s="95"/>
      <c r="AH60" s="95"/>
      <c r="AI60" s="95"/>
      <c r="AJ60" s="95"/>
      <c r="AK60" s="95"/>
      <c r="AL60" s="95"/>
      <c r="AM60" s="95"/>
      <c r="AN60" s="96"/>
      <c r="AO60" s="96"/>
      <c r="AP60" s="96"/>
      <c r="AQ60" s="96"/>
      <c r="AR60" s="96"/>
      <c r="AS60" s="96"/>
      <c r="AT60" s="96"/>
      <c r="AU60" s="96"/>
      <c r="AV60" s="96"/>
      <c r="AW60" s="96"/>
      <c r="AX60" s="96"/>
      <c r="AY60" s="96"/>
      <c r="AZ60" s="96"/>
      <c r="BA60" s="96"/>
    </row>
    <row r="61" spans="1:53" s="97" customFormat="1" ht="12" customHeight="1">
      <c r="A61" s="8">
        <v>1120112202</v>
      </c>
      <c r="B61" s="8" t="s">
        <v>766</v>
      </c>
      <c r="C61" s="80">
        <f>+VLOOKUP(A61,Clasificaciones!C:I,5,FALSE)</f>
        <v>232488600</v>
      </c>
      <c r="D61" s="80">
        <v>0</v>
      </c>
      <c r="E61" s="80">
        <v>0</v>
      </c>
      <c r="F61" s="80">
        <f>+VLOOKUP(A61,Clasificaciones!C:M,9,FALSE)</f>
        <v>68708100</v>
      </c>
      <c r="G61" s="80">
        <f t="shared" si="2"/>
        <v>163780500</v>
      </c>
      <c r="H61" s="26">
        <v>0</v>
      </c>
      <c r="I61" s="26">
        <v>0</v>
      </c>
      <c r="J61" s="26">
        <v>0</v>
      </c>
      <c r="K61" s="26">
        <v>0</v>
      </c>
      <c r="L61" s="26">
        <v>0</v>
      </c>
      <c r="M61" s="26">
        <v>0</v>
      </c>
      <c r="N61" s="26">
        <v>0</v>
      </c>
      <c r="O61" s="26">
        <v>0</v>
      </c>
      <c r="P61" s="26">
        <v>0</v>
      </c>
      <c r="Q61" s="26">
        <v>0</v>
      </c>
      <c r="R61" s="26">
        <f t="shared" si="15"/>
        <v>-163780500</v>
      </c>
      <c r="S61" s="26">
        <v>0</v>
      </c>
      <c r="T61" s="26">
        <v>0</v>
      </c>
      <c r="U61" s="26">
        <v>0</v>
      </c>
      <c r="V61" s="26">
        <v>0</v>
      </c>
      <c r="W61" s="26">
        <v>0</v>
      </c>
      <c r="X61" s="26">
        <v>0</v>
      </c>
      <c r="Y61" s="26">
        <v>0</v>
      </c>
      <c r="Z61" s="26">
        <f t="shared" si="1"/>
        <v>0</v>
      </c>
      <c r="AA61" s="95"/>
      <c r="AB61" s="95"/>
      <c r="AC61" s="95"/>
      <c r="AD61" s="95"/>
      <c r="AE61" s="95"/>
      <c r="AF61" s="95"/>
      <c r="AG61" s="95"/>
      <c r="AH61" s="95"/>
      <c r="AI61" s="95"/>
      <c r="AJ61" s="95"/>
      <c r="AK61" s="95"/>
      <c r="AL61" s="95"/>
      <c r="AM61" s="95"/>
      <c r="AN61" s="96"/>
      <c r="AO61" s="96"/>
      <c r="AP61" s="96"/>
      <c r="AQ61" s="96"/>
      <c r="AR61" s="96"/>
      <c r="AS61" s="96"/>
      <c r="AT61" s="96"/>
      <c r="AU61" s="96"/>
      <c r="AV61" s="96"/>
      <c r="AW61" s="96"/>
      <c r="AX61" s="96"/>
      <c r="AY61" s="96"/>
      <c r="AZ61" s="96"/>
      <c r="BA61" s="96"/>
    </row>
    <row r="62" spans="1:53" s="97" customFormat="1" ht="12" customHeight="1">
      <c r="A62" s="8">
        <v>11201123</v>
      </c>
      <c r="B62" s="8" t="s">
        <v>72</v>
      </c>
      <c r="C62" s="80">
        <f>+VLOOKUP(A62,Clasificaciones!C:I,5,FALSE)</f>
        <v>0</v>
      </c>
      <c r="D62" s="80">
        <v>0</v>
      </c>
      <c r="E62" s="80">
        <v>0</v>
      </c>
      <c r="F62" s="80">
        <f>+VLOOKUP(A62,Clasificaciones!C:M,9,FALSE)</f>
        <v>0</v>
      </c>
      <c r="G62" s="80">
        <f t="shared" si="2"/>
        <v>0</v>
      </c>
      <c r="H62" s="26">
        <v>0</v>
      </c>
      <c r="I62" s="26">
        <v>0</v>
      </c>
      <c r="J62" s="26">
        <v>0</v>
      </c>
      <c r="K62" s="26">
        <v>0</v>
      </c>
      <c r="L62" s="26">
        <v>0</v>
      </c>
      <c r="M62" s="26">
        <v>0</v>
      </c>
      <c r="N62" s="26">
        <v>0</v>
      </c>
      <c r="O62" s="26">
        <v>0</v>
      </c>
      <c r="P62" s="26">
        <v>0</v>
      </c>
      <c r="Q62" s="26">
        <v>0</v>
      </c>
      <c r="R62" s="26">
        <f t="shared" si="15"/>
        <v>0</v>
      </c>
      <c r="S62" s="26">
        <v>0</v>
      </c>
      <c r="T62" s="26">
        <v>0</v>
      </c>
      <c r="U62" s="26">
        <v>0</v>
      </c>
      <c r="V62" s="26">
        <v>0</v>
      </c>
      <c r="W62" s="26">
        <v>0</v>
      </c>
      <c r="X62" s="26">
        <v>0</v>
      </c>
      <c r="Y62" s="26">
        <v>0</v>
      </c>
      <c r="Z62" s="26">
        <f t="shared" si="1"/>
        <v>0</v>
      </c>
      <c r="AA62" s="95"/>
      <c r="AB62" s="95"/>
      <c r="AC62" s="95"/>
      <c r="AD62" s="95"/>
      <c r="AE62" s="95"/>
      <c r="AF62" s="95"/>
      <c r="AG62" s="95"/>
      <c r="AH62" s="95"/>
      <c r="AI62" s="95"/>
      <c r="AJ62" s="95"/>
      <c r="AK62" s="95"/>
      <c r="AL62" s="95"/>
      <c r="AM62" s="95"/>
      <c r="AN62" s="96"/>
      <c r="AO62" s="96"/>
      <c r="AP62" s="96"/>
      <c r="AQ62" s="96"/>
      <c r="AR62" s="96"/>
      <c r="AS62" s="96"/>
      <c r="AT62" s="96"/>
      <c r="AU62" s="96"/>
      <c r="AV62" s="96"/>
      <c r="AW62" s="96"/>
      <c r="AX62" s="96"/>
      <c r="AY62" s="96"/>
      <c r="AZ62" s="96"/>
      <c r="BA62" s="96"/>
    </row>
    <row r="63" spans="1:53" s="97" customFormat="1" ht="12" customHeight="1">
      <c r="A63" s="8">
        <v>1120112301</v>
      </c>
      <c r="B63" s="8" t="s">
        <v>652</v>
      </c>
      <c r="C63" s="80">
        <f>+VLOOKUP(A63,Clasificaciones!C:I,5,FALSE)</f>
        <v>6800000000</v>
      </c>
      <c r="D63" s="80">
        <v>0</v>
      </c>
      <c r="E63" s="80">
        <v>0</v>
      </c>
      <c r="F63" s="80">
        <f>+VLOOKUP(A63,Clasificaciones!C:M,9,FALSE)</f>
        <v>1250000000</v>
      </c>
      <c r="G63" s="80">
        <f t="shared" si="2"/>
        <v>5550000000</v>
      </c>
      <c r="H63" s="26">
        <v>0</v>
      </c>
      <c r="I63" s="26">
        <v>0</v>
      </c>
      <c r="J63" s="26">
        <v>0</v>
      </c>
      <c r="K63" s="26">
        <v>0</v>
      </c>
      <c r="L63" s="26">
        <v>0</v>
      </c>
      <c r="M63" s="26">
        <v>0</v>
      </c>
      <c r="N63" s="26">
        <v>0</v>
      </c>
      <c r="O63" s="26">
        <v>0</v>
      </c>
      <c r="P63" s="26">
        <v>0</v>
      </c>
      <c r="Q63" s="26">
        <v>0</v>
      </c>
      <c r="R63" s="26">
        <f t="shared" si="15"/>
        <v>-5550000000</v>
      </c>
      <c r="S63" s="26">
        <v>0</v>
      </c>
      <c r="T63" s="26">
        <v>0</v>
      </c>
      <c r="U63" s="26">
        <v>0</v>
      </c>
      <c r="V63" s="26">
        <v>0</v>
      </c>
      <c r="W63" s="26">
        <v>0</v>
      </c>
      <c r="X63" s="26">
        <v>0</v>
      </c>
      <c r="Y63" s="26">
        <v>0</v>
      </c>
      <c r="Z63" s="26">
        <f t="shared" si="1"/>
        <v>0</v>
      </c>
      <c r="AA63" s="95"/>
      <c r="AB63" s="95"/>
      <c r="AC63" s="95"/>
      <c r="AD63" s="95"/>
      <c r="AE63" s="95"/>
      <c r="AF63" s="95"/>
      <c r="AG63" s="95"/>
      <c r="AH63" s="95"/>
      <c r="AI63" s="95"/>
      <c r="AJ63" s="95"/>
      <c r="AK63" s="95"/>
      <c r="AL63" s="95"/>
      <c r="AM63" s="95"/>
      <c r="AN63" s="96"/>
      <c r="AO63" s="96"/>
      <c r="AP63" s="96"/>
      <c r="AQ63" s="96"/>
      <c r="AR63" s="96"/>
      <c r="AS63" s="96"/>
      <c r="AT63" s="96"/>
      <c r="AU63" s="96"/>
      <c r="AV63" s="96"/>
      <c r="AW63" s="96"/>
      <c r="AX63" s="96"/>
      <c r="AY63" s="96"/>
      <c r="AZ63" s="96"/>
      <c r="BA63" s="96"/>
    </row>
    <row r="64" spans="1:53" s="97" customFormat="1" ht="12" customHeight="1">
      <c r="A64" s="8">
        <v>1120112302</v>
      </c>
      <c r="B64" s="8" t="s">
        <v>653</v>
      </c>
      <c r="C64" s="80">
        <f>+VLOOKUP(A64,Clasificaciones!C:I,5,FALSE)</f>
        <v>205137000</v>
      </c>
      <c r="D64" s="80">
        <v>0</v>
      </c>
      <c r="E64" s="80">
        <v>0</v>
      </c>
      <c r="F64" s="80">
        <f>+VLOOKUP(A64,Clasificaciones!C:M,9,FALSE)</f>
        <v>1030621500</v>
      </c>
      <c r="G64" s="80">
        <f t="shared" si="2"/>
        <v>-825484500</v>
      </c>
      <c r="H64" s="26">
        <v>0</v>
      </c>
      <c r="I64" s="26">
        <v>0</v>
      </c>
      <c r="J64" s="26">
        <v>0</v>
      </c>
      <c r="K64" s="26">
        <v>0</v>
      </c>
      <c r="L64" s="26">
        <v>0</v>
      </c>
      <c r="M64" s="26">
        <v>0</v>
      </c>
      <c r="N64" s="26">
        <v>0</v>
      </c>
      <c r="O64" s="26">
        <v>0</v>
      </c>
      <c r="P64" s="26">
        <v>0</v>
      </c>
      <c r="Q64" s="26">
        <v>0</v>
      </c>
      <c r="R64" s="26">
        <f t="shared" si="15"/>
        <v>825484500</v>
      </c>
      <c r="S64" s="26">
        <v>0</v>
      </c>
      <c r="T64" s="26">
        <v>0</v>
      </c>
      <c r="U64" s="26">
        <v>0</v>
      </c>
      <c r="V64" s="26">
        <v>0</v>
      </c>
      <c r="W64" s="26">
        <v>0</v>
      </c>
      <c r="X64" s="26">
        <v>0</v>
      </c>
      <c r="Y64" s="26">
        <v>0</v>
      </c>
      <c r="Z64" s="26">
        <f t="shared" si="1"/>
        <v>0</v>
      </c>
      <c r="AA64" s="95"/>
      <c r="AB64" s="95"/>
      <c r="AC64" s="95"/>
      <c r="AD64" s="95"/>
      <c r="AE64" s="95"/>
      <c r="AF64" s="95"/>
      <c r="AG64" s="95"/>
      <c r="AH64" s="95"/>
      <c r="AI64" s="95"/>
      <c r="AJ64" s="95"/>
      <c r="AK64" s="95"/>
      <c r="AL64" s="95"/>
      <c r="AM64" s="95"/>
      <c r="AN64" s="96"/>
      <c r="AO64" s="96"/>
      <c r="AP64" s="96"/>
      <c r="AQ64" s="96"/>
      <c r="AR64" s="96"/>
      <c r="AS64" s="96"/>
      <c r="AT64" s="96"/>
      <c r="AU64" s="96"/>
      <c r="AV64" s="96"/>
      <c r="AW64" s="96"/>
      <c r="AX64" s="96"/>
      <c r="AY64" s="96"/>
      <c r="AZ64" s="96"/>
      <c r="BA64" s="96"/>
    </row>
    <row r="65" spans="1:53" s="97" customFormat="1" ht="12" customHeight="1">
      <c r="A65" s="8">
        <v>1120113</v>
      </c>
      <c r="B65" s="8" t="s">
        <v>654</v>
      </c>
      <c r="C65" s="80">
        <f>+VLOOKUP(A65,Clasificaciones!C:I,5,FALSE)</f>
        <v>0</v>
      </c>
      <c r="D65" s="80">
        <v>0</v>
      </c>
      <c r="E65" s="80">
        <v>0</v>
      </c>
      <c r="F65" s="80">
        <f>+VLOOKUP(A65,Clasificaciones!C:M,9,FALSE)</f>
        <v>0</v>
      </c>
      <c r="G65" s="80">
        <f t="shared" si="2"/>
        <v>0</v>
      </c>
      <c r="H65" s="26">
        <v>0</v>
      </c>
      <c r="I65" s="26">
        <v>0</v>
      </c>
      <c r="J65" s="26">
        <v>0</v>
      </c>
      <c r="K65" s="26">
        <v>0</v>
      </c>
      <c r="L65" s="26">
        <v>0</v>
      </c>
      <c r="M65" s="26">
        <v>0</v>
      </c>
      <c r="N65" s="26">
        <v>0</v>
      </c>
      <c r="O65" s="26">
        <v>0</v>
      </c>
      <c r="P65" s="26">
        <v>0</v>
      </c>
      <c r="Q65" s="26">
        <v>0</v>
      </c>
      <c r="R65" s="26">
        <f t="shared" si="15"/>
        <v>0</v>
      </c>
      <c r="S65" s="26">
        <v>0</v>
      </c>
      <c r="T65" s="26">
        <v>0</v>
      </c>
      <c r="U65" s="26">
        <v>0</v>
      </c>
      <c r="V65" s="26">
        <v>0</v>
      </c>
      <c r="W65" s="26">
        <v>0</v>
      </c>
      <c r="X65" s="26">
        <v>0</v>
      </c>
      <c r="Y65" s="26">
        <v>0</v>
      </c>
      <c r="Z65" s="26">
        <f t="shared" si="1"/>
        <v>0</v>
      </c>
      <c r="AA65" s="95"/>
      <c r="AB65" s="95"/>
      <c r="AC65" s="95"/>
      <c r="AD65" s="95"/>
      <c r="AE65" s="95"/>
      <c r="AF65" s="95"/>
      <c r="AG65" s="95"/>
      <c r="AH65" s="95"/>
      <c r="AI65" s="95"/>
      <c r="AJ65" s="95"/>
      <c r="AK65" s="95"/>
      <c r="AL65" s="95"/>
      <c r="AM65" s="95"/>
      <c r="AN65" s="96"/>
      <c r="AO65" s="96"/>
      <c r="AP65" s="96"/>
      <c r="AQ65" s="96"/>
      <c r="AR65" s="96"/>
      <c r="AS65" s="96"/>
      <c r="AT65" s="96"/>
      <c r="AU65" s="96"/>
      <c r="AV65" s="96"/>
      <c r="AW65" s="96"/>
      <c r="AX65" s="96"/>
      <c r="AY65" s="96"/>
      <c r="AZ65" s="96"/>
      <c r="BA65" s="96"/>
    </row>
    <row r="66" spans="1:53" s="94" customFormat="1" ht="12" customHeight="1">
      <c r="A66" s="8">
        <v>11201131</v>
      </c>
      <c r="B66" s="8" t="s">
        <v>655</v>
      </c>
      <c r="C66" s="80">
        <f>+VLOOKUP(A66,Clasificaciones!C:I,5,FALSE)</f>
        <v>0</v>
      </c>
      <c r="D66" s="80">
        <v>0</v>
      </c>
      <c r="E66" s="80">
        <v>0</v>
      </c>
      <c r="F66" s="80">
        <f>+VLOOKUP(A66,Clasificaciones!C:M,9,FALSE)</f>
        <v>0</v>
      </c>
      <c r="G66" s="80">
        <f t="shared" si="2"/>
        <v>0</v>
      </c>
      <c r="H66" s="26">
        <v>0</v>
      </c>
      <c r="I66" s="26">
        <v>0</v>
      </c>
      <c r="J66" s="26">
        <v>0</v>
      </c>
      <c r="K66" s="26">
        <v>0</v>
      </c>
      <c r="L66" s="26">
        <v>0</v>
      </c>
      <c r="M66" s="26">
        <v>0</v>
      </c>
      <c r="N66" s="26">
        <v>0</v>
      </c>
      <c r="O66" s="26">
        <v>0</v>
      </c>
      <c r="P66" s="26">
        <v>0</v>
      </c>
      <c r="Q66" s="26">
        <v>0</v>
      </c>
      <c r="R66" s="26">
        <f t="shared" si="15"/>
        <v>0</v>
      </c>
      <c r="S66" s="26">
        <v>0</v>
      </c>
      <c r="T66" s="26">
        <v>0</v>
      </c>
      <c r="U66" s="26">
        <v>0</v>
      </c>
      <c r="V66" s="26">
        <v>0</v>
      </c>
      <c r="W66" s="26">
        <v>0</v>
      </c>
      <c r="X66" s="26">
        <v>0</v>
      </c>
      <c r="Y66" s="26">
        <v>0</v>
      </c>
      <c r="Z66" s="26">
        <f t="shared" si="1"/>
        <v>0</v>
      </c>
      <c r="AA66" s="98"/>
      <c r="AB66" s="98"/>
      <c r="AC66" s="98"/>
      <c r="AD66" s="98"/>
      <c r="AE66" s="98"/>
      <c r="AF66" s="98"/>
      <c r="AG66" s="98"/>
      <c r="AH66" s="98"/>
      <c r="AI66" s="98"/>
      <c r="AJ66" s="98"/>
      <c r="AK66" s="98"/>
      <c r="AL66" s="98"/>
      <c r="AM66" s="98"/>
      <c r="AN66" s="93"/>
      <c r="AO66" s="93"/>
      <c r="AP66" s="93"/>
      <c r="AQ66" s="93"/>
      <c r="AR66" s="93"/>
      <c r="AS66" s="93"/>
      <c r="AT66" s="93"/>
      <c r="AU66" s="93"/>
      <c r="AV66" s="93"/>
      <c r="AW66" s="93"/>
      <c r="AX66" s="93"/>
      <c r="AY66" s="93"/>
      <c r="AZ66" s="93"/>
      <c r="BA66" s="93"/>
    </row>
    <row r="67" spans="1:53" s="97" customFormat="1" ht="12" customHeight="1">
      <c r="A67" s="8">
        <v>1120113101</v>
      </c>
      <c r="B67" s="8" t="s">
        <v>656</v>
      </c>
      <c r="C67" s="80">
        <f>+VLOOKUP(A67,Clasificaciones!C:I,5,FALSE)</f>
        <v>13718000000</v>
      </c>
      <c r="D67" s="80">
        <v>0</v>
      </c>
      <c r="E67" s="80">
        <v>0</v>
      </c>
      <c r="F67" s="80">
        <f>+VLOOKUP(A67,Clasificaciones!C:M,9,FALSE)</f>
        <v>2623000000</v>
      </c>
      <c r="G67" s="80">
        <f t="shared" si="2"/>
        <v>11095000000</v>
      </c>
      <c r="H67" s="26">
        <v>0</v>
      </c>
      <c r="I67" s="26">
        <v>0</v>
      </c>
      <c r="J67" s="26">
        <v>0</v>
      </c>
      <c r="K67" s="26">
        <v>0</v>
      </c>
      <c r="L67" s="26">
        <v>0</v>
      </c>
      <c r="M67" s="26">
        <v>0</v>
      </c>
      <c r="N67" s="26">
        <v>0</v>
      </c>
      <c r="O67" s="26">
        <v>0</v>
      </c>
      <c r="P67" s="26">
        <v>0</v>
      </c>
      <c r="Q67" s="26">
        <v>0</v>
      </c>
      <c r="R67" s="26">
        <f t="shared" si="15"/>
        <v>-11095000000</v>
      </c>
      <c r="S67" s="26">
        <v>0</v>
      </c>
      <c r="T67" s="26">
        <v>0</v>
      </c>
      <c r="U67" s="26">
        <v>0</v>
      </c>
      <c r="V67" s="26">
        <v>0</v>
      </c>
      <c r="W67" s="26">
        <v>0</v>
      </c>
      <c r="X67" s="26">
        <v>0</v>
      </c>
      <c r="Y67" s="26">
        <v>0</v>
      </c>
      <c r="Z67" s="26">
        <f t="shared" si="1"/>
        <v>0</v>
      </c>
      <c r="AA67" s="95"/>
      <c r="AB67" s="95"/>
      <c r="AC67" s="95"/>
      <c r="AD67" s="95"/>
      <c r="AE67" s="95"/>
      <c r="AF67" s="95"/>
      <c r="AG67" s="95"/>
      <c r="AH67" s="95"/>
      <c r="AI67" s="95"/>
      <c r="AJ67" s="95"/>
      <c r="AK67" s="95"/>
      <c r="AL67" s="95"/>
      <c r="AM67" s="95"/>
      <c r="AN67" s="96"/>
      <c r="AO67" s="96"/>
      <c r="AP67" s="96"/>
      <c r="AQ67" s="96"/>
      <c r="AR67" s="96"/>
      <c r="AS67" s="96"/>
      <c r="AT67" s="96"/>
      <c r="AU67" s="96"/>
      <c r="AV67" s="96"/>
      <c r="AW67" s="96"/>
      <c r="AX67" s="96"/>
      <c r="AY67" s="96"/>
      <c r="AZ67" s="96"/>
      <c r="BA67" s="96"/>
    </row>
    <row r="68" spans="1:53" s="97" customFormat="1" ht="12" customHeight="1">
      <c r="A68" s="8">
        <v>1120113201</v>
      </c>
      <c r="B68" s="8" t="s">
        <v>400</v>
      </c>
      <c r="C68" s="80">
        <f>+VLOOKUP(A68,Clasificaciones!C:I,5,FALSE)</f>
        <v>0</v>
      </c>
      <c r="D68" s="80">
        <v>0</v>
      </c>
      <c r="E68" s="80">
        <v>0</v>
      </c>
      <c r="F68" s="80">
        <f>+VLOOKUP(A68,Clasificaciones!C:M,9,FALSE)</f>
        <v>0</v>
      </c>
      <c r="G68" s="80">
        <f>+C68-F68+D68-E68</f>
        <v>0</v>
      </c>
      <c r="H68" s="26">
        <v>0</v>
      </c>
      <c r="I68" s="26">
        <v>0</v>
      </c>
      <c r="J68" s="26">
        <v>0</v>
      </c>
      <c r="K68" s="26">
        <v>0</v>
      </c>
      <c r="L68" s="26">
        <v>0</v>
      </c>
      <c r="M68" s="26">
        <v>0</v>
      </c>
      <c r="N68" s="26">
        <v>0</v>
      </c>
      <c r="O68" s="26">
        <v>0</v>
      </c>
      <c r="P68" s="26">
        <v>0</v>
      </c>
      <c r="Q68" s="26">
        <v>0</v>
      </c>
      <c r="R68" s="26">
        <f t="shared" si="15"/>
        <v>0</v>
      </c>
      <c r="S68" s="26">
        <v>0</v>
      </c>
      <c r="T68" s="26">
        <v>0</v>
      </c>
      <c r="U68" s="26">
        <v>0</v>
      </c>
      <c r="V68" s="26">
        <v>0</v>
      </c>
      <c r="W68" s="26">
        <v>0</v>
      </c>
      <c r="X68" s="26">
        <v>0</v>
      </c>
      <c r="Y68" s="26">
        <v>0</v>
      </c>
      <c r="Z68" s="26">
        <f t="shared" si="1"/>
        <v>0</v>
      </c>
      <c r="AA68" s="95"/>
      <c r="AB68" s="95"/>
      <c r="AC68" s="95"/>
      <c r="AD68" s="95"/>
      <c r="AE68" s="95"/>
      <c r="AF68" s="95"/>
      <c r="AG68" s="95"/>
      <c r="AH68" s="95"/>
      <c r="AI68" s="95"/>
      <c r="AJ68" s="95"/>
      <c r="AK68" s="95"/>
      <c r="AL68" s="95"/>
      <c r="AM68" s="95"/>
      <c r="AN68" s="96"/>
      <c r="AO68" s="96"/>
      <c r="AP68" s="96"/>
      <c r="AQ68" s="96"/>
      <c r="AR68" s="96"/>
      <c r="AS68" s="96"/>
      <c r="AT68" s="96"/>
      <c r="AU68" s="96"/>
      <c r="AV68" s="96"/>
      <c r="AW68" s="96"/>
      <c r="AX68" s="96"/>
      <c r="AY68" s="96"/>
      <c r="AZ68" s="96"/>
      <c r="BA68" s="96"/>
    </row>
    <row r="69" spans="1:53" s="97" customFormat="1" ht="12" customHeight="1">
      <c r="A69" s="8">
        <v>1120114</v>
      </c>
      <c r="B69" s="8" t="s">
        <v>659</v>
      </c>
      <c r="C69" s="80">
        <f>+VLOOKUP(A69,Clasificaciones!C:I,5,FALSE)</f>
        <v>0</v>
      </c>
      <c r="D69" s="80">
        <v>0</v>
      </c>
      <c r="E69" s="80">
        <v>0</v>
      </c>
      <c r="F69" s="80">
        <f>+VLOOKUP(A69,Clasificaciones!C:M,9,FALSE)</f>
        <v>0</v>
      </c>
      <c r="G69" s="80">
        <f t="shared" si="2"/>
        <v>0</v>
      </c>
      <c r="H69" s="26">
        <v>0</v>
      </c>
      <c r="I69" s="26">
        <v>0</v>
      </c>
      <c r="J69" s="26">
        <v>0</v>
      </c>
      <c r="K69" s="26">
        <v>0</v>
      </c>
      <c r="L69" s="26">
        <v>0</v>
      </c>
      <c r="M69" s="26">
        <v>0</v>
      </c>
      <c r="N69" s="26">
        <v>0</v>
      </c>
      <c r="O69" s="26">
        <v>0</v>
      </c>
      <c r="P69" s="26">
        <v>0</v>
      </c>
      <c r="Q69" s="26">
        <v>0</v>
      </c>
      <c r="R69" s="26">
        <f t="shared" si="15"/>
        <v>0</v>
      </c>
      <c r="S69" s="26">
        <v>0</v>
      </c>
      <c r="T69" s="26">
        <v>0</v>
      </c>
      <c r="U69" s="26">
        <v>0</v>
      </c>
      <c r="V69" s="26">
        <v>0</v>
      </c>
      <c r="W69" s="26">
        <v>0</v>
      </c>
      <c r="X69" s="26">
        <v>0</v>
      </c>
      <c r="Y69" s="26">
        <v>0</v>
      </c>
      <c r="Z69" s="26">
        <f t="shared" si="1"/>
        <v>0</v>
      </c>
      <c r="AA69" s="95"/>
      <c r="AB69" s="95"/>
      <c r="AC69" s="95"/>
      <c r="AD69" s="95"/>
      <c r="AE69" s="95"/>
      <c r="AF69" s="95"/>
      <c r="AG69" s="95"/>
      <c r="AH69" s="95"/>
      <c r="AI69" s="95"/>
      <c r="AJ69" s="95"/>
      <c r="AK69" s="95"/>
      <c r="AL69" s="95"/>
      <c r="AM69" s="95"/>
      <c r="AN69" s="96"/>
      <c r="AO69" s="96"/>
      <c r="AP69" s="96"/>
      <c r="AQ69" s="96"/>
      <c r="AR69" s="96"/>
      <c r="AS69" s="96"/>
      <c r="AT69" s="96"/>
      <c r="AU69" s="96"/>
      <c r="AV69" s="96"/>
      <c r="AW69" s="96"/>
      <c r="AX69" s="96"/>
      <c r="AY69" s="96"/>
      <c r="AZ69" s="96"/>
      <c r="BA69" s="96"/>
    </row>
    <row r="70" spans="1:53" s="97" customFormat="1" ht="12" customHeight="1">
      <c r="A70" s="8">
        <v>11201141</v>
      </c>
      <c r="B70" s="8" t="s">
        <v>470</v>
      </c>
      <c r="C70" s="80">
        <f>+VLOOKUP(A70,Clasificaciones!C:I,5,FALSE)</f>
        <v>0</v>
      </c>
      <c r="D70" s="80">
        <v>0</v>
      </c>
      <c r="E70" s="80">
        <v>0</v>
      </c>
      <c r="F70" s="80">
        <f>+VLOOKUP(A70,Clasificaciones!C:M,9,FALSE)</f>
        <v>0</v>
      </c>
      <c r="G70" s="80">
        <f t="shared" ref="G70:G71" si="16">+C70-F70+D70-E70</f>
        <v>0</v>
      </c>
      <c r="H70" s="26">
        <v>0</v>
      </c>
      <c r="I70" s="26">
        <v>0</v>
      </c>
      <c r="J70" s="26">
        <v>0</v>
      </c>
      <c r="K70" s="26">
        <v>0</v>
      </c>
      <c r="L70" s="26">
        <v>0</v>
      </c>
      <c r="M70" s="26">
        <v>0</v>
      </c>
      <c r="N70" s="26">
        <v>0</v>
      </c>
      <c r="O70" s="26">
        <v>0</v>
      </c>
      <c r="P70" s="26">
        <v>0</v>
      </c>
      <c r="Q70" s="26">
        <v>0</v>
      </c>
      <c r="R70" s="26">
        <f t="shared" ref="R70:R71" si="17">-G70</f>
        <v>0</v>
      </c>
      <c r="S70" s="26">
        <v>0</v>
      </c>
      <c r="T70" s="26">
        <v>0</v>
      </c>
      <c r="U70" s="26">
        <v>0</v>
      </c>
      <c r="V70" s="26">
        <v>0</v>
      </c>
      <c r="W70" s="26">
        <v>0</v>
      </c>
      <c r="X70" s="26">
        <v>0</v>
      </c>
      <c r="Y70" s="26">
        <v>0</v>
      </c>
      <c r="Z70" s="26">
        <f t="shared" ref="Z70:Z71" si="18">SUM(G70:Y70)</f>
        <v>0</v>
      </c>
      <c r="AA70" s="95"/>
      <c r="AB70" s="95"/>
      <c r="AC70" s="95"/>
      <c r="AD70" s="95"/>
      <c r="AE70" s="95"/>
      <c r="AF70" s="95"/>
      <c r="AG70" s="95"/>
      <c r="AH70" s="95"/>
      <c r="AI70" s="95"/>
      <c r="AJ70" s="95"/>
      <c r="AK70" s="95"/>
      <c r="AL70" s="95"/>
      <c r="AM70" s="95"/>
      <c r="AN70" s="96"/>
      <c r="AO70" s="96"/>
      <c r="AP70" s="96"/>
      <c r="AQ70" s="96"/>
      <c r="AR70" s="96"/>
      <c r="AS70" s="96"/>
      <c r="AT70" s="96"/>
      <c r="AU70" s="96"/>
      <c r="AV70" s="96"/>
      <c r="AW70" s="96"/>
      <c r="AX70" s="96"/>
      <c r="AY70" s="96"/>
      <c r="AZ70" s="96"/>
      <c r="BA70" s="96"/>
    </row>
    <row r="71" spans="1:53" s="97" customFormat="1" ht="12" customHeight="1">
      <c r="A71" s="8">
        <v>1120114102</v>
      </c>
      <c r="B71" s="8" t="s">
        <v>771</v>
      </c>
      <c r="C71" s="80">
        <f>+VLOOKUP(A71,Clasificaciones!C:I,5,FALSE)</f>
        <v>6837900</v>
      </c>
      <c r="D71" s="80">
        <v>0</v>
      </c>
      <c r="E71" s="80">
        <v>0</v>
      </c>
      <c r="F71" s="80">
        <f>+VLOOKUP(A71,Clasificaciones!C:M,9,FALSE)</f>
        <v>0</v>
      </c>
      <c r="G71" s="80">
        <f t="shared" si="16"/>
        <v>6837900</v>
      </c>
      <c r="H71" s="26">
        <v>0</v>
      </c>
      <c r="I71" s="26">
        <v>0</v>
      </c>
      <c r="J71" s="26">
        <v>0</v>
      </c>
      <c r="K71" s="26">
        <v>0</v>
      </c>
      <c r="L71" s="26">
        <v>0</v>
      </c>
      <c r="M71" s="26">
        <v>0</v>
      </c>
      <c r="N71" s="26">
        <v>0</v>
      </c>
      <c r="O71" s="26">
        <v>0</v>
      </c>
      <c r="P71" s="26">
        <v>0</v>
      </c>
      <c r="Q71" s="26">
        <v>0</v>
      </c>
      <c r="R71" s="26">
        <f t="shared" si="17"/>
        <v>-6837900</v>
      </c>
      <c r="S71" s="26">
        <v>0</v>
      </c>
      <c r="T71" s="26">
        <v>0</v>
      </c>
      <c r="U71" s="26">
        <v>0</v>
      </c>
      <c r="V71" s="26">
        <v>0</v>
      </c>
      <c r="W71" s="26">
        <v>0</v>
      </c>
      <c r="X71" s="26">
        <v>0</v>
      </c>
      <c r="Y71" s="26">
        <v>0</v>
      </c>
      <c r="Z71" s="26">
        <f t="shared" si="18"/>
        <v>0</v>
      </c>
      <c r="AA71" s="95"/>
      <c r="AB71" s="95"/>
      <c r="AC71" s="95"/>
      <c r="AD71" s="95"/>
      <c r="AE71" s="95"/>
      <c r="AF71" s="95"/>
      <c r="AG71" s="95"/>
      <c r="AH71" s="95"/>
      <c r="AI71" s="95"/>
      <c r="AJ71" s="95"/>
      <c r="AK71" s="95"/>
      <c r="AL71" s="95"/>
      <c r="AM71" s="95"/>
      <c r="AN71" s="96"/>
      <c r="AO71" s="96"/>
      <c r="AP71" s="96"/>
      <c r="AQ71" s="96"/>
      <c r="AR71" s="96"/>
      <c r="AS71" s="96"/>
      <c r="AT71" s="96"/>
      <c r="AU71" s="96"/>
      <c r="AV71" s="96"/>
      <c r="AW71" s="96"/>
      <c r="AX71" s="96"/>
      <c r="AY71" s="96"/>
      <c r="AZ71" s="96"/>
      <c r="BA71" s="96"/>
    </row>
    <row r="72" spans="1:53" s="97" customFormat="1" ht="12" customHeight="1">
      <c r="A72" s="8">
        <v>11201142</v>
      </c>
      <c r="B72" s="8" t="s">
        <v>878</v>
      </c>
      <c r="C72" s="80">
        <f>+VLOOKUP(A72,Clasificaciones!C:I,5,FALSE)</f>
        <v>0</v>
      </c>
      <c r="D72" s="80">
        <v>0</v>
      </c>
      <c r="E72" s="80">
        <v>0</v>
      </c>
      <c r="F72" s="80">
        <f>+VLOOKUP(A72,Clasificaciones!C:M,9,FALSE)</f>
        <v>0</v>
      </c>
      <c r="G72" s="80">
        <f t="shared" si="2"/>
        <v>0</v>
      </c>
      <c r="H72" s="26">
        <v>0</v>
      </c>
      <c r="I72" s="26">
        <v>0</v>
      </c>
      <c r="J72" s="26">
        <v>0</v>
      </c>
      <c r="K72" s="26">
        <v>0</v>
      </c>
      <c r="L72" s="26">
        <v>0</v>
      </c>
      <c r="M72" s="26">
        <v>0</v>
      </c>
      <c r="N72" s="26">
        <v>0</v>
      </c>
      <c r="O72" s="26">
        <v>0</v>
      </c>
      <c r="P72" s="26">
        <v>0</v>
      </c>
      <c r="Q72" s="26">
        <v>0</v>
      </c>
      <c r="R72" s="26">
        <f t="shared" si="15"/>
        <v>0</v>
      </c>
      <c r="S72" s="26">
        <v>0</v>
      </c>
      <c r="T72" s="26">
        <v>0</v>
      </c>
      <c r="U72" s="26">
        <v>0</v>
      </c>
      <c r="V72" s="26">
        <v>0</v>
      </c>
      <c r="W72" s="26">
        <v>0</v>
      </c>
      <c r="X72" s="26">
        <v>0</v>
      </c>
      <c r="Y72" s="26">
        <v>0</v>
      </c>
      <c r="Z72" s="26">
        <f t="shared" si="1"/>
        <v>0</v>
      </c>
      <c r="AA72" s="95"/>
      <c r="AB72" s="95"/>
      <c r="AC72" s="95"/>
      <c r="AD72" s="95"/>
      <c r="AE72" s="95"/>
      <c r="AF72" s="95"/>
      <c r="AG72" s="95"/>
      <c r="AH72" s="95"/>
      <c r="AI72" s="95"/>
      <c r="AJ72" s="95"/>
      <c r="AK72" s="95"/>
      <c r="AL72" s="95"/>
      <c r="AM72" s="95"/>
      <c r="AN72" s="96"/>
      <c r="AO72" s="96"/>
      <c r="AP72" s="96"/>
      <c r="AQ72" s="96"/>
      <c r="AR72" s="96"/>
      <c r="AS72" s="96"/>
      <c r="AT72" s="96"/>
      <c r="AU72" s="96"/>
      <c r="AV72" s="96"/>
      <c r="AW72" s="96"/>
      <c r="AX72" s="96"/>
      <c r="AY72" s="96"/>
      <c r="AZ72" s="96"/>
      <c r="BA72" s="96"/>
    </row>
    <row r="73" spans="1:53" s="97" customFormat="1" ht="12" customHeight="1">
      <c r="A73" s="8">
        <v>1120114202</v>
      </c>
      <c r="B73" s="8" t="s">
        <v>772</v>
      </c>
      <c r="C73" s="80">
        <f>+VLOOKUP(A73,Clasificaciones!C:I,5,FALSE)</f>
        <v>88892700</v>
      </c>
      <c r="D73" s="80">
        <v>0</v>
      </c>
      <c r="E73" s="80">
        <v>0</v>
      </c>
      <c r="F73" s="80">
        <f>+VLOOKUP(A73,Clasificaciones!C:M,9,FALSE)</f>
        <v>0</v>
      </c>
      <c r="G73" s="80">
        <f t="shared" si="2"/>
        <v>88892700</v>
      </c>
      <c r="H73" s="26">
        <v>0</v>
      </c>
      <c r="I73" s="26">
        <v>0</v>
      </c>
      <c r="J73" s="26">
        <v>0</v>
      </c>
      <c r="K73" s="26">
        <v>0</v>
      </c>
      <c r="L73" s="26">
        <v>0</v>
      </c>
      <c r="M73" s="26">
        <v>0</v>
      </c>
      <c r="N73" s="26">
        <v>0</v>
      </c>
      <c r="O73" s="26">
        <v>0</v>
      </c>
      <c r="P73" s="26">
        <v>0</v>
      </c>
      <c r="Q73" s="26">
        <v>0</v>
      </c>
      <c r="R73" s="26">
        <f t="shared" si="15"/>
        <v>-88892700</v>
      </c>
      <c r="S73" s="26">
        <v>0</v>
      </c>
      <c r="T73" s="26">
        <v>0</v>
      </c>
      <c r="U73" s="26">
        <v>0</v>
      </c>
      <c r="V73" s="26">
        <v>0</v>
      </c>
      <c r="W73" s="26">
        <v>0</v>
      </c>
      <c r="X73" s="26">
        <v>0</v>
      </c>
      <c r="Y73" s="26">
        <v>0</v>
      </c>
      <c r="Z73" s="26">
        <f t="shared" si="1"/>
        <v>0</v>
      </c>
      <c r="AA73" s="95"/>
      <c r="AB73" s="95"/>
      <c r="AC73" s="95"/>
      <c r="AD73" s="95"/>
      <c r="AE73" s="95"/>
      <c r="AF73" s="95"/>
      <c r="AG73" s="95"/>
      <c r="AH73" s="95"/>
      <c r="AI73" s="95"/>
      <c r="AJ73" s="95"/>
      <c r="AK73" s="95"/>
      <c r="AL73" s="95"/>
      <c r="AM73" s="95"/>
      <c r="AN73" s="96"/>
      <c r="AO73" s="96"/>
      <c r="AP73" s="96"/>
      <c r="AQ73" s="96"/>
      <c r="AR73" s="96"/>
      <c r="AS73" s="96"/>
      <c r="AT73" s="96"/>
      <c r="AU73" s="96"/>
      <c r="AV73" s="96"/>
      <c r="AW73" s="96"/>
      <c r="AX73" s="96"/>
      <c r="AY73" s="96"/>
      <c r="AZ73" s="96"/>
      <c r="BA73" s="96"/>
    </row>
    <row r="74" spans="1:53" s="97" customFormat="1" ht="12" customHeight="1">
      <c r="A74" s="8">
        <v>11201143</v>
      </c>
      <c r="B74" s="8" t="s">
        <v>72</v>
      </c>
      <c r="C74" s="80">
        <f>+VLOOKUP(A74,Clasificaciones!C:I,5,FALSE)</f>
        <v>0</v>
      </c>
      <c r="D74" s="80">
        <v>0</v>
      </c>
      <c r="E74" s="80">
        <v>0</v>
      </c>
      <c r="F74" s="80">
        <f>+VLOOKUP(A74,Clasificaciones!C:M,9,FALSE)</f>
        <v>0</v>
      </c>
      <c r="G74" s="80">
        <f t="shared" si="2"/>
        <v>0</v>
      </c>
      <c r="H74" s="26">
        <v>0</v>
      </c>
      <c r="I74" s="26">
        <v>0</v>
      </c>
      <c r="J74" s="26">
        <v>0</v>
      </c>
      <c r="K74" s="26">
        <v>0</v>
      </c>
      <c r="L74" s="26">
        <v>0</v>
      </c>
      <c r="M74" s="26">
        <v>0</v>
      </c>
      <c r="N74" s="26">
        <v>0</v>
      </c>
      <c r="O74" s="26">
        <v>0</v>
      </c>
      <c r="P74" s="26">
        <v>0</v>
      </c>
      <c r="Q74" s="26">
        <v>0</v>
      </c>
      <c r="R74" s="26">
        <f t="shared" si="15"/>
        <v>0</v>
      </c>
      <c r="S74" s="26">
        <v>0</v>
      </c>
      <c r="T74" s="26">
        <v>0</v>
      </c>
      <c r="U74" s="26">
        <v>0</v>
      </c>
      <c r="V74" s="26">
        <v>0</v>
      </c>
      <c r="W74" s="26">
        <v>0</v>
      </c>
      <c r="X74" s="26">
        <v>0</v>
      </c>
      <c r="Y74" s="26">
        <v>0</v>
      </c>
      <c r="Z74" s="26">
        <f t="shared" si="1"/>
        <v>0</v>
      </c>
      <c r="AA74" s="95"/>
      <c r="AB74" s="95"/>
      <c r="AC74" s="95"/>
      <c r="AD74" s="95"/>
      <c r="AE74" s="95"/>
      <c r="AF74" s="95"/>
      <c r="AG74" s="95"/>
      <c r="AH74" s="95"/>
      <c r="AI74" s="95"/>
      <c r="AJ74" s="95"/>
      <c r="AK74" s="95"/>
      <c r="AL74" s="95"/>
      <c r="AM74" s="95"/>
      <c r="AN74" s="96"/>
      <c r="AO74" s="96"/>
      <c r="AP74" s="96"/>
      <c r="AQ74" s="96"/>
      <c r="AR74" s="96"/>
      <c r="AS74" s="96"/>
      <c r="AT74" s="96"/>
      <c r="AU74" s="96"/>
      <c r="AV74" s="96"/>
      <c r="AW74" s="96"/>
      <c r="AX74" s="96"/>
      <c r="AY74" s="96"/>
      <c r="AZ74" s="96"/>
      <c r="BA74" s="96"/>
    </row>
    <row r="75" spans="1:53" s="97" customFormat="1" ht="12" customHeight="1">
      <c r="A75" s="8">
        <v>1120114301</v>
      </c>
      <c r="B75" s="8" t="s">
        <v>660</v>
      </c>
      <c r="C75" s="80">
        <f>+VLOOKUP(A75,Clasificaciones!C:I,5,FALSE)</f>
        <v>504602589</v>
      </c>
      <c r="D75" s="80">
        <v>0</v>
      </c>
      <c r="E75" s="80">
        <v>0</v>
      </c>
      <c r="F75" s="80">
        <f>+VLOOKUP(A75,Clasificaciones!C:M,9,FALSE)</f>
        <v>8007017205</v>
      </c>
      <c r="G75" s="80">
        <f t="shared" si="2"/>
        <v>-7502414616</v>
      </c>
      <c r="H75" s="26">
        <v>0</v>
      </c>
      <c r="I75" s="26">
        <v>0</v>
      </c>
      <c r="J75" s="26">
        <v>0</v>
      </c>
      <c r="K75" s="26">
        <v>0</v>
      </c>
      <c r="L75" s="26">
        <v>0</v>
      </c>
      <c r="M75" s="26">
        <v>0</v>
      </c>
      <c r="N75" s="26">
        <v>0</v>
      </c>
      <c r="O75" s="26">
        <v>0</v>
      </c>
      <c r="P75" s="26">
        <v>0</v>
      </c>
      <c r="Q75" s="26">
        <v>0</v>
      </c>
      <c r="R75" s="26">
        <f t="shared" si="15"/>
        <v>7502414616</v>
      </c>
      <c r="S75" s="26">
        <v>0</v>
      </c>
      <c r="T75" s="26">
        <v>0</v>
      </c>
      <c r="U75" s="26">
        <v>0</v>
      </c>
      <c r="V75" s="26">
        <v>0</v>
      </c>
      <c r="W75" s="26">
        <v>0</v>
      </c>
      <c r="X75" s="26">
        <v>0</v>
      </c>
      <c r="Y75" s="26">
        <v>0</v>
      </c>
      <c r="Z75" s="26">
        <f t="shared" si="1"/>
        <v>0</v>
      </c>
      <c r="AA75" s="95"/>
      <c r="AB75" s="95"/>
      <c r="AC75" s="95"/>
      <c r="AD75" s="95"/>
      <c r="AE75" s="95"/>
      <c r="AF75" s="95"/>
      <c r="AG75" s="95"/>
      <c r="AH75" s="95"/>
      <c r="AI75" s="95"/>
      <c r="AJ75" s="95"/>
      <c r="AK75" s="95"/>
      <c r="AL75" s="95"/>
      <c r="AM75" s="95"/>
      <c r="AN75" s="96"/>
      <c r="AO75" s="96"/>
      <c r="AP75" s="96"/>
      <c r="AQ75" s="96"/>
      <c r="AR75" s="96"/>
      <c r="AS75" s="96"/>
      <c r="AT75" s="96"/>
      <c r="AU75" s="96"/>
      <c r="AV75" s="96"/>
      <c r="AW75" s="96"/>
      <c r="AX75" s="96"/>
      <c r="AY75" s="96"/>
      <c r="AZ75" s="96"/>
      <c r="BA75" s="96"/>
    </row>
    <row r="76" spans="1:53" s="97" customFormat="1" ht="12" customHeight="1">
      <c r="A76" s="8">
        <v>1120114302</v>
      </c>
      <c r="B76" s="8" t="s">
        <v>774</v>
      </c>
      <c r="C76" s="80">
        <f>+VLOOKUP(A76,Clasificaciones!C:I,5,FALSE)</f>
        <v>649600500</v>
      </c>
      <c r="D76" s="80">
        <v>0</v>
      </c>
      <c r="E76" s="80">
        <v>0</v>
      </c>
      <c r="F76" s="80">
        <f>+VLOOKUP(A76,Clasificaciones!C:M,9,FALSE)</f>
        <v>0</v>
      </c>
      <c r="G76" s="80">
        <f t="shared" si="2"/>
        <v>649600500</v>
      </c>
      <c r="H76" s="26">
        <v>0</v>
      </c>
      <c r="I76" s="26">
        <v>0</v>
      </c>
      <c r="J76" s="26">
        <v>0</v>
      </c>
      <c r="K76" s="26">
        <v>0</v>
      </c>
      <c r="L76" s="26">
        <v>0</v>
      </c>
      <c r="M76" s="26">
        <v>0</v>
      </c>
      <c r="N76" s="26">
        <v>0</v>
      </c>
      <c r="O76" s="26">
        <v>0</v>
      </c>
      <c r="P76" s="26">
        <v>0</v>
      </c>
      <c r="Q76" s="26">
        <v>0</v>
      </c>
      <c r="R76" s="26">
        <f t="shared" si="15"/>
        <v>-649600500</v>
      </c>
      <c r="S76" s="26">
        <v>0</v>
      </c>
      <c r="T76" s="26">
        <v>0</v>
      </c>
      <c r="U76" s="26">
        <v>0</v>
      </c>
      <c r="V76" s="26">
        <v>0</v>
      </c>
      <c r="W76" s="26">
        <v>0</v>
      </c>
      <c r="X76" s="26">
        <v>0</v>
      </c>
      <c r="Y76" s="26">
        <v>0</v>
      </c>
      <c r="Z76" s="26">
        <f t="shared" si="1"/>
        <v>0</v>
      </c>
      <c r="AA76" s="95"/>
      <c r="AB76" s="95"/>
      <c r="AC76" s="95"/>
      <c r="AD76" s="95"/>
      <c r="AE76" s="95"/>
      <c r="AF76" s="95"/>
      <c r="AG76" s="95"/>
      <c r="AH76" s="95"/>
      <c r="AI76" s="95"/>
      <c r="AJ76" s="95"/>
      <c r="AK76" s="95"/>
      <c r="AL76" s="95"/>
      <c r="AM76" s="95"/>
      <c r="AN76" s="96"/>
      <c r="AO76" s="96"/>
      <c r="AP76" s="96"/>
      <c r="AQ76" s="96"/>
      <c r="AR76" s="96"/>
      <c r="AS76" s="96"/>
      <c r="AT76" s="96"/>
      <c r="AU76" s="96"/>
      <c r="AV76" s="96"/>
      <c r="AW76" s="96"/>
      <c r="AX76" s="96"/>
      <c r="AY76" s="96"/>
      <c r="AZ76" s="96"/>
      <c r="BA76" s="96"/>
    </row>
    <row r="77" spans="1:53" s="97" customFormat="1" ht="12" customHeight="1">
      <c r="A77" s="8">
        <v>11201153</v>
      </c>
      <c r="B77" s="8" t="s">
        <v>1556</v>
      </c>
      <c r="C77" s="80">
        <f>+VLOOKUP(A77,Clasificaciones!C:I,5,FALSE)</f>
        <v>0</v>
      </c>
      <c r="D77" s="80">
        <v>0</v>
      </c>
      <c r="E77" s="80">
        <v>0</v>
      </c>
      <c r="F77" s="80">
        <f>+VLOOKUP(A77,Clasificaciones!C:M,9,FALSE)</f>
        <v>0</v>
      </c>
      <c r="G77" s="80">
        <f t="shared" ref="G77:G78" si="19">+C77-F77+D77-E77</f>
        <v>0</v>
      </c>
      <c r="H77" s="26">
        <v>0</v>
      </c>
      <c r="I77" s="26">
        <v>0</v>
      </c>
      <c r="J77" s="26">
        <v>0</v>
      </c>
      <c r="K77" s="26">
        <v>0</v>
      </c>
      <c r="L77" s="26">
        <v>0</v>
      </c>
      <c r="M77" s="26">
        <v>0</v>
      </c>
      <c r="N77" s="26">
        <v>0</v>
      </c>
      <c r="O77" s="26">
        <v>0</v>
      </c>
      <c r="P77" s="26">
        <v>0</v>
      </c>
      <c r="Q77" s="26">
        <v>0</v>
      </c>
      <c r="R77" s="26">
        <f t="shared" ref="R77:R78" si="20">-G77</f>
        <v>0</v>
      </c>
      <c r="S77" s="26">
        <v>0</v>
      </c>
      <c r="T77" s="26">
        <v>0</v>
      </c>
      <c r="U77" s="26">
        <v>0</v>
      </c>
      <c r="V77" s="26">
        <v>0</v>
      </c>
      <c r="W77" s="26">
        <v>0</v>
      </c>
      <c r="X77" s="26">
        <v>0</v>
      </c>
      <c r="Y77" s="26">
        <v>0</v>
      </c>
      <c r="Z77" s="26">
        <f t="shared" ref="Z77:Z78" si="21">SUM(G77:Y77)</f>
        <v>0</v>
      </c>
      <c r="AA77" s="95"/>
      <c r="AB77" s="95"/>
      <c r="AC77" s="95"/>
      <c r="AD77" s="95"/>
      <c r="AE77" s="95"/>
      <c r="AF77" s="95"/>
      <c r="AG77" s="95"/>
      <c r="AH77" s="95"/>
      <c r="AI77" s="95"/>
      <c r="AJ77" s="95"/>
      <c r="AK77" s="95"/>
      <c r="AL77" s="95"/>
      <c r="AM77" s="95"/>
      <c r="AN77" s="96"/>
      <c r="AO77" s="96"/>
      <c r="AP77" s="96"/>
      <c r="AQ77" s="96"/>
      <c r="AR77" s="96"/>
      <c r="AS77" s="96"/>
      <c r="AT77" s="96"/>
      <c r="AU77" s="96"/>
      <c r="AV77" s="96"/>
      <c r="AW77" s="96"/>
      <c r="AX77" s="96"/>
      <c r="AY77" s="96"/>
      <c r="AZ77" s="96"/>
      <c r="BA77" s="96"/>
    </row>
    <row r="78" spans="1:53" s="97" customFormat="1" ht="12" customHeight="1">
      <c r="A78" s="8">
        <v>1120115301</v>
      </c>
      <c r="B78" s="8" t="s">
        <v>1557</v>
      </c>
      <c r="C78" s="80">
        <f>+VLOOKUP(A78,Clasificaciones!C:I,5,FALSE)</f>
        <v>1277933080</v>
      </c>
      <c r="D78" s="80">
        <v>0</v>
      </c>
      <c r="E78" s="80">
        <v>0</v>
      </c>
      <c r="F78" s="80">
        <f>+VLOOKUP(A78,Clasificaciones!C:M,9,FALSE)</f>
        <v>0</v>
      </c>
      <c r="G78" s="80">
        <f t="shared" si="19"/>
        <v>1277933080</v>
      </c>
      <c r="H78" s="26">
        <v>0</v>
      </c>
      <c r="I78" s="26">
        <v>0</v>
      </c>
      <c r="J78" s="26">
        <v>0</v>
      </c>
      <c r="K78" s="26">
        <v>0</v>
      </c>
      <c r="L78" s="26">
        <v>0</v>
      </c>
      <c r="M78" s="26">
        <v>0</v>
      </c>
      <c r="N78" s="26">
        <v>0</v>
      </c>
      <c r="O78" s="26">
        <v>0</v>
      </c>
      <c r="P78" s="26">
        <v>0</v>
      </c>
      <c r="Q78" s="26">
        <v>0</v>
      </c>
      <c r="R78" s="26">
        <f t="shared" si="20"/>
        <v>-1277933080</v>
      </c>
      <c r="S78" s="26">
        <v>0</v>
      </c>
      <c r="T78" s="26">
        <v>0</v>
      </c>
      <c r="U78" s="26">
        <v>0</v>
      </c>
      <c r="V78" s="26">
        <v>0</v>
      </c>
      <c r="W78" s="26">
        <v>0</v>
      </c>
      <c r="X78" s="26">
        <v>0</v>
      </c>
      <c r="Y78" s="26">
        <v>0</v>
      </c>
      <c r="Z78" s="26">
        <f t="shared" si="21"/>
        <v>0</v>
      </c>
      <c r="AA78" s="95"/>
      <c r="AB78" s="95"/>
      <c r="AC78" s="95"/>
      <c r="AD78" s="95"/>
      <c r="AE78" s="95"/>
      <c r="AF78" s="95"/>
      <c r="AG78" s="95"/>
      <c r="AH78" s="95"/>
      <c r="AI78" s="95"/>
      <c r="AJ78" s="95"/>
      <c r="AK78" s="95"/>
      <c r="AL78" s="95"/>
      <c r="AM78" s="95"/>
      <c r="AN78" s="96"/>
      <c r="AO78" s="96"/>
      <c r="AP78" s="96"/>
      <c r="AQ78" s="96"/>
      <c r="AR78" s="96"/>
      <c r="AS78" s="96"/>
      <c r="AT78" s="96"/>
      <c r="AU78" s="96"/>
      <c r="AV78" s="96"/>
      <c r="AW78" s="96"/>
      <c r="AX78" s="96"/>
      <c r="AY78" s="96"/>
      <c r="AZ78" s="96"/>
      <c r="BA78" s="96"/>
    </row>
    <row r="79" spans="1:53" s="97" customFormat="1" ht="12" customHeight="1">
      <c r="A79" s="8">
        <v>1120116</v>
      </c>
      <c r="B79" s="8" t="s">
        <v>661</v>
      </c>
      <c r="C79" s="80">
        <f>+VLOOKUP(A79,Clasificaciones!C:I,5,FALSE)</f>
        <v>0</v>
      </c>
      <c r="D79" s="80">
        <v>0</v>
      </c>
      <c r="E79" s="80">
        <v>0</v>
      </c>
      <c r="F79" s="80">
        <f>+VLOOKUP(A79,Clasificaciones!C:M,9,FALSE)</f>
        <v>0</v>
      </c>
      <c r="G79" s="80">
        <f t="shared" si="2"/>
        <v>0</v>
      </c>
      <c r="H79" s="26">
        <v>0</v>
      </c>
      <c r="I79" s="26">
        <v>0</v>
      </c>
      <c r="J79" s="26">
        <v>0</v>
      </c>
      <c r="K79" s="26">
        <v>0</v>
      </c>
      <c r="L79" s="26">
        <v>0</v>
      </c>
      <c r="M79" s="26">
        <v>0</v>
      </c>
      <c r="N79" s="26">
        <v>0</v>
      </c>
      <c r="O79" s="26">
        <v>0</v>
      </c>
      <c r="P79" s="26">
        <v>0</v>
      </c>
      <c r="Q79" s="26">
        <v>0</v>
      </c>
      <c r="R79" s="26">
        <f t="shared" si="13"/>
        <v>0</v>
      </c>
      <c r="S79" s="26">
        <v>0</v>
      </c>
      <c r="T79" s="26">
        <v>0</v>
      </c>
      <c r="U79" s="26">
        <v>0</v>
      </c>
      <c r="V79" s="26">
        <v>0</v>
      </c>
      <c r="W79" s="26">
        <v>0</v>
      </c>
      <c r="X79" s="26">
        <v>0</v>
      </c>
      <c r="Y79" s="26">
        <v>0</v>
      </c>
      <c r="Z79" s="26">
        <f t="shared" si="1"/>
        <v>0</v>
      </c>
      <c r="AA79" s="95"/>
      <c r="AB79" s="95"/>
      <c r="AC79" s="95"/>
      <c r="AD79" s="95"/>
      <c r="AE79" s="95"/>
      <c r="AF79" s="95"/>
      <c r="AG79" s="95"/>
      <c r="AH79" s="95"/>
      <c r="AI79" s="95"/>
      <c r="AJ79" s="95"/>
      <c r="AK79" s="95"/>
      <c r="AL79" s="95"/>
      <c r="AM79" s="95"/>
      <c r="AN79" s="96"/>
      <c r="AO79" s="96"/>
      <c r="AP79" s="96"/>
      <c r="AQ79" s="96"/>
      <c r="AR79" s="96"/>
      <c r="AS79" s="96"/>
      <c r="AT79" s="96"/>
      <c r="AU79" s="96"/>
      <c r="AV79" s="96"/>
      <c r="AW79" s="96"/>
      <c r="AX79" s="96"/>
      <c r="AY79" s="96"/>
      <c r="AZ79" s="96"/>
      <c r="BA79" s="96"/>
    </row>
    <row r="80" spans="1:53" s="97" customFormat="1" ht="12" customHeight="1">
      <c r="A80" s="8">
        <v>11201161</v>
      </c>
      <c r="B80" s="8" t="s">
        <v>662</v>
      </c>
      <c r="C80" s="80">
        <f>+VLOOKUP(A80,Clasificaciones!C:I,5,FALSE)</f>
        <v>0</v>
      </c>
      <c r="D80" s="80">
        <v>0</v>
      </c>
      <c r="E80" s="80">
        <v>0</v>
      </c>
      <c r="F80" s="80">
        <f>+VLOOKUP(A80,Clasificaciones!C:M,9,FALSE)</f>
        <v>0</v>
      </c>
      <c r="G80" s="80">
        <f t="shared" si="2"/>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f t="shared" si="1"/>
        <v>0</v>
      </c>
      <c r="AA80" s="95"/>
      <c r="AB80" s="95"/>
      <c r="AC80" s="95"/>
      <c r="AD80" s="95"/>
      <c r="AE80" s="95"/>
      <c r="AF80" s="95"/>
      <c r="AG80" s="95"/>
      <c r="AH80" s="95"/>
      <c r="AI80" s="95"/>
      <c r="AJ80" s="95"/>
      <c r="AK80" s="95"/>
      <c r="AL80" s="95"/>
      <c r="AM80" s="95"/>
      <c r="AN80" s="96"/>
      <c r="AO80" s="96"/>
      <c r="AP80" s="96"/>
      <c r="AQ80" s="96"/>
      <c r="AR80" s="96"/>
      <c r="AS80" s="96"/>
      <c r="AT80" s="96"/>
      <c r="AU80" s="96"/>
      <c r="AV80" s="96"/>
      <c r="AW80" s="96"/>
      <c r="AX80" s="96"/>
      <c r="AY80" s="96"/>
      <c r="AZ80" s="96"/>
      <c r="BA80" s="96"/>
    </row>
    <row r="81" spans="1:53" s="97" customFormat="1" ht="12" customHeight="1">
      <c r="A81" s="8">
        <v>1120116101</v>
      </c>
      <c r="B81" s="8" t="s">
        <v>663</v>
      </c>
      <c r="C81" s="80">
        <f>+VLOOKUP(A81,Clasificaciones!C:I,5,FALSE)</f>
        <v>3353261918</v>
      </c>
      <c r="D81" s="80">
        <v>0</v>
      </c>
      <c r="E81" s="80">
        <v>0</v>
      </c>
      <c r="F81" s="80">
        <f>+VLOOKUP(A81,Clasificaciones!C:M,9,FALSE)</f>
        <v>3684400000</v>
      </c>
      <c r="G81" s="80">
        <f t="shared" si="2"/>
        <v>-331138082</v>
      </c>
      <c r="H81" s="26">
        <v>0</v>
      </c>
      <c r="I81" s="26">
        <v>0</v>
      </c>
      <c r="J81" s="26">
        <v>0</v>
      </c>
      <c r="K81" s="26">
        <v>0</v>
      </c>
      <c r="L81" s="26">
        <v>0</v>
      </c>
      <c r="M81" s="26">
        <v>0</v>
      </c>
      <c r="N81" s="26">
        <v>0</v>
      </c>
      <c r="O81" s="26">
        <v>0</v>
      </c>
      <c r="P81" s="26">
        <v>0</v>
      </c>
      <c r="Q81" s="26">
        <v>0</v>
      </c>
      <c r="R81" s="26">
        <v>0</v>
      </c>
      <c r="S81" s="26">
        <f>-G81</f>
        <v>331138082</v>
      </c>
      <c r="T81" s="26">
        <v>0</v>
      </c>
      <c r="U81" s="26">
        <v>0</v>
      </c>
      <c r="V81" s="26">
        <v>0</v>
      </c>
      <c r="W81" s="26">
        <v>0</v>
      </c>
      <c r="X81" s="26">
        <v>0</v>
      </c>
      <c r="Y81" s="26">
        <v>0</v>
      </c>
      <c r="Z81" s="26">
        <f t="shared" ref="Z81:Z151" si="22">SUM(G81:Y81)</f>
        <v>0</v>
      </c>
      <c r="AA81" s="95"/>
      <c r="AB81" s="95"/>
      <c r="AC81" s="95"/>
      <c r="AD81" s="95"/>
      <c r="AE81" s="95"/>
      <c r="AF81" s="95"/>
      <c r="AG81" s="95"/>
      <c r="AH81" s="95"/>
      <c r="AI81" s="95"/>
      <c r="AJ81" s="95"/>
      <c r="AK81" s="95"/>
      <c r="AL81" s="95"/>
      <c r="AM81" s="95"/>
      <c r="AN81" s="96"/>
      <c r="AO81" s="96"/>
      <c r="AP81" s="96"/>
      <c r="AQ81" s="96"/>
      <c r="AR81" s="96"/>
      <c r="AS81" s="96"/>
      <c r="AT81" s="96"/>
      <c r="AU81" s="96"/>
      <c r="AV81" s="96"/>
      <c r="AW81" s="96"/>
      <c r="AX81" s="96"/>
      <c r="AY81" s="96"/>
      <c r="AZ81" s="96"/>
      <c r="BA81" s="96"/>
    </row>
    <row r="82" spans="1:53" s="94" customFormat="1" ht="12" customHeight="1">
      <c r="A82" s="8">
        <v>1120116103</v>
      </c>
      <c r="B82" s="8" t="s">
        <v>894</v>
      </c>
      <c r="C82" s="80">
        <f>+VLOOKUP(A82,Clasificaciones!C:I,5,FALSE)</f>
        <v>0</v>
      </c>
      <c r="D82" s="80">
        <v>0</v>
      </c>
      <c r="E82" s="80">
        <v>0</v>
      </c>
      <c r="F82" s="80">
        <f>+VLOOKUP(A82,Clasificaciones!C:M,9,FALSE)</f>
        <v>0</v>
      </c>
      <c r="G82" s="80">
        <f t="shared" si="2"/>
        <v>0</v>
      </c>
      <c r="H82" s="26">
        <v>0</v>
      </c>
      <c r="I82" s="26">
        <v>0</v>
      </c>
      <c r="J82" s="26">
        <v>0</v>
      </c>
      <c r="K82" s="26">
        <v>0</v>
      </c>
      <c r="L82" s="26">
        <v>0</v>
      </c>
      <c r="M82" s="26">
        <v>0</v>
      </c>
      <c r="N82" s="26">
        <v>0</v>
      </c>
      <c r="O82" s="26">
        <v>0</v>
      </c>
      <c r="P82" s="26">
        <v>0</v>
      </c>
      <c r="Q82" s="26">
        <v>0</v>
      </c>
      <c r="R82" s="26">
        <v>0</v>
      </c>
      <c r="S82" s="26">
        <f t="shared" ref="S82:S106" si="23">-G82</f>
        <v>0</v>
      </c>
      <c r="T82" s="26">
        <v>0</v>
      </c>
      <c r="U82" s="26">
        <v>0</v>
      </c>
      <c r="V82" s="26">
        <v>0</v>
      </c>
      <c r="W82" s="26">
        <v>0</v>
      </c>
      <c r="X82" s="26">
        <v>0</v>
      </c>
      <c r="Y82" s="26">
        <v>0</v>
      </c>
      <c r="Z82" s="26">
        <f t="shared" si="22"/>
        <v>0</v>
      </c>
      <c r="AA82" s="98"/>
      <c r="AB82" s="98"/>
      <c r="AC82" s="98"/>
      <c r="AD82" s="98"/>
      <c r="AE82" s="98"/>
      <c r="AF82" s="98"/>
      <c r="AG82" s="98"/>
      <c r="AH82" s="98"/>
      <c r="AI82" s="98"/>
      <c r="AJ82" s="98"/>
      <c r="AK82" s="98"/>
      <c r="AL82" s="98"/>
      <c r="AM82" s="98"/>
      <c r="AN82" s="93"/>
      <c r="AO82" s="93"/>
      <c r="AP82" s="93"/>
      <c r="AQ82" s="93"/>
      <c r="AR82" s="93"/>
      <c r="AS82" s="93"/>
      <c r="AT82" s="93"/>
      <c r="AU82" s="93"/>
      <c r="AV82" s="93"/>
      <c r="AW82" s="93"/>
      <c r="AX82" s="93"/>
      <c r="AY82" s="93"/>
      <c r="AZ82" s="93"/>
      <c r="BA82" s="93"/>
    </row>
    <row r="83" spans="1:53" s="94" customFormat="1" ht="12" customHeight="1">
      <c r="A83" s="8">
        <v>1120116104</v>
      </c>
      <c r="B83" s="8" t="s">
        <v>848</v>
      </c>
      <c r="C83" s="80">
        <f>+VLOOKUP(A83,Clasificaciones!C:I,5,FALSE)</f>
        <v>647585576</v>
      </c>
      <c r="D83" s="80">
        <v>0</v>
      </c>
      <c r="E83" s="80">
        <v>0</v>
      </c>
      <c r="F83" s="80">
        <f>+VLOOKUP(A83,Clasificaciones!C:M,9,FALSE)</f>
        <v>887918555</v>
      </c>
      <c r="G83" s="80">
        <f t="shared" si="2"/>
        <v>-240332979</v>
      </c>
      <c r="H83" s="26">
        <v>0</v>
      </c>
      <c r="I83" s="26">
        <v>0</v>
      </c>
      <c r="J83" s="26">
        <v>0</v>
      </c>
      <c r="K83" s="26">
        <v>0</v>
      </c>
      <c r="L83" s="26">
        <v>0</v>
      </c>
      <c r="M83" s="26">
        <v>0</v>
      </c>
      <c r="N83" s="26">
        <v>0</v>
      </c>
      <c r="O83" s="26">
        <v>0</v>
      </c>
      <c r="P83" s="26">
        <v>0</v>
      </c>
      <c r="Q83" s="26">
        <v>0</v>
      </c>
      <c r="R83" s="26">
        <v>0</v>
      </c>
      <c r="S83" s="26">
        <f t="shared" si="23"/>
        <v>240332979</v>
      </c>
      <c r="T83" s="26">
        <v>0</v>
      </c>
      <c r="U83" s="26">
        <v>0</v>
      </c>
      <c r="V83" s="26">
        <v>0</v>
      </c>
      <c r="W83" s="26">
        <v>0</v>
      </c>
      <c r="X83" s="26">
        <v>0</v>
      </c>
      <c r="Y83" s="26">
        <v>0</v>
      </c>
      <c r="Z83" s="26">
        <f t="shared" si="22"/>
        <v>0</v>
      </c>
      <c r="AA83" s="98"/>
      <c r="AB83" s="98"/>
      <c r="AC83" s="98"/>
      <c r="AD83" s="98"/>
      <c r="AE83" s="98"/>
      <c r="AF83" s="98"/>
      <c r="AG83" s="98"/>
      <c r="AH83" s="98"/>
      <c r="AI83" s="98"/>
      <c r="AJ83" s="98"/>
      <c r="AK83" s="98"/>
      <c r="AL83" s="98"/>
      <c r="AM83" s="98"/>
      <c r="AN83" s="93"/>
      <c r="AO83" s="93"/>
      <c r="AP83" s="93"/>
      <c r="AQ83" s="93"/>
      <c r="AR83" s="93"/>
      <c r="AS83" s="93"/>
      <c r="AT83" s="93"/>
      <c r="AU83" s="93"/>
      <c r="AV83" s="93"/>
      <c r="AW83" s="93"/>
      <c r="AX83" s="93"/>
      <c r="AY83" s="93"/>
      <c r="AZ83" s="93"/>
      <c r="BA83" s="93"/>
    </row>
    <row r="84" spans="1:53" s="94" customFormat="1" ht="12" customHeight="1">
      <c r="A84" s="8">
        <v>1120116105</v>
      </c>
      <c r="B84" s="8" t="s">
        <v>664</v>
      </c>
      <c r="C84" s="80">
        <f>+VLOOKUP(A84,Clasificaciones!C:I,5,FALSE)</f>
        <v>2062556431</v>
      </c>
      <c r="D84" s="80">
        <v>0</v>
      </c>
      <c r="E84" s="80">
        <v>0</v>
      </c>
      <c r="F84" s="80">
        <f>+VLOOKUP(A84,Clasificaciones!C:M,9,FALSE)</f>
        <v>1462373699</v>
      </c>
      <c r="G84" s="80">
        <f t="shared" si="2"/>
        <v>600182732</v>
      </c>
      <c r="H84" s="26">
        <v>0</v>
      </c>
      <c r="I84" s="26">
        <v>0</v>
      </c>
      <c r="J84" s="26">
        <v>0</v>
      </c>
      <c r="K84" s="26">
        <v>0</v>
      </c>
      <c r="L84" s="26">
        <v>0</v>
      </c>
      <c r="M84" s="26">
        <v>0</v>
      </c>
      <c r="N84" s="26">
        <v>0</v>
      </c>
      <c r="O84" s="26">
        <v>0</v>
      </c>
      <c r="P84" s="26">
        <v>0</v>
      </c>
      <c r="Q84" s="26">
        <v>0</v>
      </c>
      <c r="R84" s="26">
        <v>0</v>
      </c>
      <c r="S84" s="26">
        <f t="shared" si="23"/>
        <v>-600182732</v>
      </c>
      <c r="T84" s="26">
        <v>0</v>
      </c>
      <c r="U84" s="26">
        <v>0</v>
      </c>
      <c r="V84" s="26">
        <v>0</v>
      </c>
      <c r="W84" s="26">
        <v>0</v>
      </c>
      <c r="X84" s="26">
        <v>0</v>
      </c>
      <c r="Y84" s="26">
        <v>0</v>
      </c>
      <c r="Z84" s="26">
        <f t="shared" si="22"/>
        <v>0</v>
      </c>
      <c r="AA84" s="98"/>
      <c r="AB84" s="98"/>
      <c r="AC84" s="98"/>
      <c r="AD84" s="98"/>
      <c r="AE84" s="98"/>
      <c r="AF84" s="98"/>
      <c r="AG84" s="98"/>
      <c r="AH84" s="98"/>
      <c r="AI84" s="98"/>
      <c r="AJ84" s="98"/>
      <c r="AK84" s="98"/>
      <c r="AL84" s="98"/>
      <c r="AM84" s="98"/>
      <c r="AN84" s="93"/>
      <c r="AO84" s="93"/>
      <c r="AP84" s="93"/>
      <c r="AQ84" s="93"/>
      <c r="AR84" s="93"/>
      <c r="AS84" s="93"/>
      <c r="AT84" s="93"/>
      <c r="AU84" s="93"/>
      <c r="AV84" s="93"/>
      <c r="AW84" s="93"/>
      <c r="AX84" s="93"/>
      <c r="AY84" s="93"/>
      <c r="AZ84" s="93"/>
      <c r="BA84" s="93"/>
    </row>
    <row r="85" spans="1:53" s="94" customFormat="1" ht="12" customHeight="1">
      <c r="A85" s="8">
        <v>1120116106</v>
      </c>
      <c r="B85" s="8" t="s">
        <v>665</v>
      </c>
      <c r="C85" s="80">
        <f>+VLOOKUP(A85,Clasificaciones!C:I,5,FALSE)</f>
        <v>3862637809</v>
      </c>
      <c r="D85" s="80">
        <v>0</v>
      </c>
      <c r="E85" s="80">
        <v>0</v>
      </c>
      <c r="F85" s="80">
        <f>+VLOOKUP(A85,Clasificaciones!C:M,9,FALSE)</f>
        <v>412685515</v>
      </c>
      <c r="G85" s="80">
        <f t="shared" ref="G85:G99" si="24">+C85-F85+D85-E85</f>
        <v>3449952294</v>
      </c>
      <c r="H85" s="26">
        <v>0</v>
      </c>
      <c r="I85" s="26">
        <v>0</v>
      </c>
      <c r="J85" s="26">
        <v>0</v>
      </c>
      <c r="K85" s="26">
        <v>0</v>
      </c>
      <c r="L85" s="26">
        <v>0</v>
      </c>
      <c r="M85" s="26">
        <v>0</v>
      </c>
      <c r="N85" s="26">
        <v>0</v>
      </c>
      <c r="O85" s="26">
        <v>0</v>
      </c>
      <c r="P85" s="26">
        <v>0</v>
      </c>
      <c r="Q85" s="26">
        <v>0</v>
      </c>
      <c r="R85" s="26">
        <v>0</v>
      </c>
      <c r="S85" s="26">
        <f t="shared" si="23"/>
        <v>-3449952294</v>
      </c>
      <c r="T85" s="26">
        <v>0</v>
      </c>
      <c r="U85" s="26">
        <v>0</v>
      </c>
      <c r="V85" s="26">
        <v>0</v>
      </c>
      <c r="W85" s="26">
        <v>0</v>
      </c>
      <c r="X85" s="26">
        <v>0</v>
      </c>
      <c r="Y85" s="26">
        <v>0</v>
      </c>
      <c r="Z85" s="26">
        <f t="shared" si="22"/>
        <v>0</v>
      </c>
      <c r="AA85" s="98"/>
      <c r="AB85" s="98"/>
      <c r="AC85" s="98"/>
      <c r="AD85" s="98"/>
      <c r="AE85" s="98"/>
      <c r="AF85" s="98"/>
      <c r="AG85" s="98"/>
      <c r="AH85" s="98"/>
      <c r="AI85" s="98"/>
      <c r="AJ85" s="98"/>
      <c r="AK85" s="98"/>
      <c r="AL85" s="98"/>
      <c r="AM85" s="98"/>
      <c r="AN85" s="93"/>
      <c r="AO85" s="93"/>
      <c r="AP85" s="93"/>
      <c r="AQ85" s="93"/>
      <c r="AR85" s="93"/>
      <c r="AS85" s="93"/>
      <c r="AT85" s="93"/>
      <c r="AU85" s="93"/>
      <c r="AV85" s="93"/>
      <c r="AW85" s="93"/>
      <c r="AX85" s="93"/>
      <c r="AY85" s="93"/>
      <c r="AZ85" s="93"/>
      <c r="BA85" s="93"/>
    </row>
    <row r="86" spans="1:53" s="97" customFormat="1" ht="12" customHeight="1">
      <c r="A86" s="8">
        <v>1120116107</v>
      </c>
      <c r="B86" s="8" t="s">
        <v>666</v>
      </c>
      <c r="C86" s="80">
        <f>+VLOOKUP(A86,Clasificaciones!C:I,5,FALSE)</f>
        <v>17798815626</v>
      </c>
      <c r="D86" s="80">
        <v>0</v>
      </c>
      <c r="E86" s="80">
        <v>0</v>
      </c>
      <c r="F86" s="80">
        <f>+VLOOKUP(A86,Clasificaciones!C:M,9,FALSE)</f>
        <v>13691268545</v>
      </c>
      <c r="G86" s="80">
        <f t="shared" si="24"/>
        <v>4107547081</v>
      </c>
      <c r="H86" s="26">
        <v>0</v>
      </c>
      <c r="I86" s="26">
        <v>0</v>
      </c>
      <c r="J86" s="26">
        <v>0</v>
      </c>
      <c r="K86" s="26">
        <v>0</v>
      </c>
      <c r="L86" s="26">
        <v>0</v>
      </c>
      <c r="M86" s="26">
        <v>0</v>
      </c>
      <c r="N86" s="26">
        <v>0</v>
      </c>
      <c r="O86" s="26">
        <v>0</v>
      </c>
      <c r="P86" s="26">
        <v>0</v>
      </c>
      <c r="Q86" s="26">
        <v>0</v>
      </c>
      <c r="R86" s="26">
        <v>0</v>
      </c>
      <c r="S86" s="26">
        <f t="shared" si="23"/>
        <v>-4107547081</v>
      </c>
      <c r="T86" s="26">
        <v>0</v>
      </c>
      <c r="U86" s="26">
        <v>0</v>
      </c>
      <c r="V86" s="26">
        <v>0</v>
      </c>
      <c r="W86" s="26">
        <v>0</v>
      </c>
      <c r="X86" s="26">
        <v>0</v>
      </c>
      <c r="Y86" s="26">
        <v>0</v>
      </c>
      <c r="Z86" s="26">
        <f t="shared" si="22"/>
        <v>0</v>
      </c>
      <c r="AA86" s="95"/>
      <c r="AB86" s="95"/>
      <c r="AC86" s="95"/>
      <c r="AD86" s="95"/>
      <c r="AE86" s="95"/>
      <c r="AF86" s="95"/>
      <c r="AG86" s="95"/>
      <c r="AH86" s="95"/>
      <c r="AI86" s="95"/>
      <c r="AJ86" s="95"/>
      <c r="AK86" s="95"/>
      <c r="AL86" s="95"/>
      <c r="AM86" s="95"/>
      <c r="AN86" s="96"/>
      <c r="AO86" s="96"/>
      <c r="AP86" s="96"/>
      <c r="AQ86" s="96"/>
      <c r="AR86" s="96"/>
      <c r="AS86" s="96"/>
      <c r="AT86" s="96"/>
      <c r="AU86" s="96"/>
      <c r="AV86" s="96"/>
      <c r="AW86" s="96"/>
      <c r="AX86" s="96"/>
      <c r="AY86" s="96"/>
      <c r="AZ86" s="96"/>
      <c r="BA86" s="96"/>
    </row>
    <row r="87" spans="1:53" s="97" customFormat="1" ht="12" customHeight="1">
      <c r="A87" s="8">
        <v>1120116108</v>
      </c>
      <c r="B87" s="8" t="s">
        <v>895</v>
      </c>
      <c r="C87" s="80">
        <f>+VLOOKUP(A87,Clasificaciones!C:I,5,FALSE)</f>
        <v>8548013318</v>
      </c>
      <c r="D87" s="80">
        <v>0</v>
      </c>
      <c r="E87" s="80">
        <v>0</v>
      </c>
      <c r="F87" s="80">
        <f>+VLOOKUP(A87,Clasificaciones!C:M,9,FALSE)</f>
        <v>0</v>
      </c>
      <c r="G87" s="80">
        <f t="shared" ref="G87" si="25">+C87-F87+D87-E87</f>
        <v>8548013318</v>
      </c>
      <c r="H87" s="26">
        <v>0</v>
      </c>
      <c r="I87" s="26">
        <v>0</v>
      </c>
      <c r="J87" s="26">
        <v>0</v>
      </c>
      <c r="K87" s="26">
        <v>0</v>
      </c>
      <c r="L87" s="26">
        <v>0</v>
      </c>
      <c r="M87" s="26">
        <v>0</v>
      </c>
      <c r="N87" s="26">
        <v>0</v>
      </c>
      <c r="O87" s="26">
        <v>0</v>
      </c>
      <c r="P87" s="26">
        <v>0</v>
      </c>
      <c r="Q87" s="26">
        <v>0</v>
      </c>
      <c r="R87" s="26">
        <v>0</v>
      </c>
      <c r="S87" s="26">
        <f t="shared" ref="S87" si="26">-G87</f>
        <v>-8548013318</v>
      </c>
      <c r="T87" s="26">
        <v>0</v>
      </c>
      <c r="U87" s="26">
        <v>0</v>
      </c>
      <c r="V87" s="26">
        <v>0</v>
      </c>
      <c r="W87" s="26">
        <v>0</v>
      </c>
      <c r="X87" s="26">
        <v>0</v>
      </c>
      <c r="Y87" s="26">
        <v>0</v>
      </c>
      <c r="Z87" s="26">
        <f t="shared" ref="Z87" si="27">SUM(G87:Y87)</f>
        <v>0</v>
      </c>
      <c r="AA87" s="95"/>
      <c r="AB87" s="95"/>
      <c r="AC87" s="95"/>
      <c r="AD87" s="95"/>
      <c r="AE87" s="95"/>
      <c r="AF87" s="95"/>
      <c r="AG87" s="95"/>
      <c r="AH87" s="95"/>
      <c r="AI87" s="95"/>
      <c r="AJ87" s="95"/>
      <c r="AK87" s="95"/>
      <c r="AL87" s="95"/>
      <c r="AM87" s="95"/>
      <c r="AN87" s="96"/>
      <c r="AO87" s="96"/>
      <c r="AP87" s="96"/>
      <c r="AQ87" s="96"/>
      <c r="AR87" s="96"/>
      <c r="AS87" s="96"/>
      <c r="AT87" s="96"/>
      <c r="AU87" s="96"/>
      <c r="AV87" s="96"/>
      <c r="AW87" s="96"/>
      <c r="AX87" s="96"/>
      <c r="AY87" s="96"/>
      <c r="AZ87" s="96"/>
      <c r="BA87" s="96"/>
    </row>
    <row r="88" spans="1:53" s="97" customFormat="1" ht="12" customHeight="1">
      <c r="A88" s="8">
        <v>1120116109</v>
      </c>
      <c r="B88" s="8" t="s">
        <v>667</v>
      </c>
      <c r="C88" s="80">
        <f>+VLOOKUP(A88,Clasificaciones!C:I,5,FALSE)</f>
        <v>0</v>
      </c>
      <c r="D88" s="80">
        <v>0</v>
      </c>
      <c r="E88" s="80">
        <v>0</v>
      </c>
      <c r="F88" s="80">
        <f>+VLOOKUP(A88,Clasificaciones!C:M,9,FALSE)</f>
        <v>0</v>
      </c>
      <c r="G88" s="80">
        <f t="shared" si="24"/>
        <v>0</v>
      </c>
      <c r="H88" s="26">
        <v>0</v>
      </c>
      <c r="I88" s="26">
        <v>0</v>
      </c>
      <c r="J88" s="26">
        <v>0</v>
      </c>
      <c r="K88" s="26">
        <v>0</v>
      </c>
      <c r="L88" s="26">
        <v>0</v>
      </c>
      <c r="M88" s="26">
        <v>0</v>
      </c>
      <c r="N88" s="26">
        <v>0</v>
      </c>
      <c r="O88" s="26">
        <v>0</v>
      </c>
      <c r="P88" s="26">
        <v>0</v>
      </c>
      <c r="Q88" s="26">
        <v>0</v>
      </c>
      <c r="R88" s="26">
        <v>0</v>
      </c>
      <c r="S88" s="26">
        <f t="shared" si="23"/>
        <v>0</v>
      </c>
      <c r="T88" s="26">
        <v>0</v>
      </c>
      <c r="U88" s="26">
        <v>0</v>
      </c>
      <c r="V88" s="26">
        <v>0</v>
      </c>
      <c r="W88" s="26">
        <v>0</v>
      </c>
      <c r="X88" s="26">
        <v>0</v>
      </c>
      <c r="Y88" s="26">
        <v>0</v>
      </c>
      <c r="Z88" s="26">
        <f t="shared" si="22"/>
        <v>0</v>
      </c>
      <c r="AA88" s="95"/>
      <c r="AB88" s="95"/>
      <c r="AC88" s="95"/>
      <c r="AD88" s="95"/>
      <c r="AE88" s="95"/>
      <c r="AF88" s="95"/>
      <c r="AG88" s="95"/>
      <c r="AH88" s="95"/>
      <c r="AI88" s="95"/>
      <c r="AJ88" s="95"/>
      <c r="AK88" s="95"/>
      <c r="AL88" s="95"/>
      <c r="AM88" s="95"/>
      <c r="AN88" s="96"/>
      <c r="AO88" s="96"/>
      <c r="AP88" s="96"/>
      <c r="AQ88" s="96"/>
      <c r="AR88" s="96"/>
      <c r="AS88" s="96"/>
      <c r="AT88" s="96"/>
      <c r="AU88" s="96"/>
      <c r="AV88" s="96"/>
      <c r="AW88" s="96"/>
      <c r="AX88" s="96"/>
      <c r="AY88" s="96"/>
      <c r="AZ88" s="96"/>
      <c r="BA88" s="96"/>
    </row>
    <row r="89" spans="1:53" s="97" customFormat="1" ht="12" customHeight="1">
      <c r="A89" s="8">
        <v>1120116114</v>
      </c>
      <c r="B89" s="8" t="s">
        <v>893</v>
      </c>
      <c r="C89" s="80">
        <f>+VLOOKUP(A89,Clasificaciones!C:I,5,FALSE)</f>
        <v>754152</v>
      </c>
      <c r="D89" s="80">
        <v>0</v>
      </c>
      <c r="E89" s="80">
        <v>0</v>
      </c>
      <c r="F89" s="80">
        <f>+VLOOKUP(A89,Clasificaciones!C:M,9,FALSE)</f>
        <v>69</v>
      </c>
      <c r="G89" s="80">
        <f t="shared" ref="G89" si="28">+C89-F89+D89-E89</f>
        <v>754083</v>
      </c>
      <c r="H89" s="26">
        <v>0</v>
      </c>
      <c r="I89" s="26">
        <v>0</v>
      </c>
      <c r="J89" s="26">
        <v>0</v>
      </c>
      <c r="K89" s="26">
        <v>0</v>
      </c>
      <c r="L89" s="26">
        <v>0</v>
      </c>
      <c r="M89" s="26">
        <v>0</v>
      </c>
      <c r="N89" s="26">
        <v>0</v>
      </c>
      <c r="O89" s="26">
        <v>0</v>
      </c>
      <c r="P89" s="26">
        <v>0</v>
      </c>
      <c r="Q89" s="26">
        <v>0</v>
      </c>
      <c r="R89" s="26">
        <v>0</v>
      </c>
      <c r="S89" s="26">
        <f t="shared" si="23"/>
        <v>-754083</v>
      </c>
      <c r="T89" s="26">
        <v>0</v>
      </c>
      <c r="U89" s="26">
        <v>0</v>
      </c>
      <c r="V89" s="26">
        <v>0</v>
      </c>
      <c r="W89" s="26">
        <v>0</v>
      </c>
      <c r="X89" s="26">
        <v>0</v>
      </c>
      <c r="Y89" s="26">
        <v>0</v>
      </c>
      <c r="Z89" s="26">
        <f t="shared" si="22"/>
        <v>0</v>
      </c>
      <c r="AA89" s="95"/>
      <c r="AB89" s="95"/>
      <c r="AC89" s="95"/>
      <c r="AD89" s="95"/>
      <c r="AE89" s="95"/>
      <c r="AF89" s="95"/>
      <c r="AG89" s="95"/>
      <c r="AH89" s="95"/>
      <c r="AI89" s="95"/>
      <c r="AJ89" s="95"/>
      <c r="AK89" s="95"/>
      <c r="AL89" s="95"/>
      <c r="AM89" s="95"/>
      <c r="AN89" s="96"/>
      <c r="AO89" s="96"/>
      <c r="AP89" s="96"/>
      <c r="AQ89" s="96"/>
      <c r="AR89" s="96"/>
      <c r="AS89" s="96"/>
      <c r="AT89" s="96"/>
      <c r="AU89" s="96"/>
      <c r="AV89" s="96"/>
      <c r="AW89" s="96"/>
      <c r="AX89" s="96"/>
      <c r="AY89" s="96"/>
      <c r="AZ89" s="96"/>
      <c r="BA89" s="96"/>
    </row>
    <row r="90" spans="1:53" s="97" customFormat="1" ht="12" customHeight="1">
      <c r="A90" s="8">
        <v>1120116117</v>
      </c>
      <c r="B90" s="8" t="s">
        <v>668</v>
      </c>
      <c r="C90" s="80">
        <f>+VLOOKUP(A90,Clasificaciones!C:I,5,FALSE)</f>
        <v>37369013</v>
      </c>
      <c r="D90" s="80">
        <v>0</v>
      </c>
      <c r="E90" s="80">
        <v>0</v>
      </c>
      <c r="F90" s="80">
        <f>+VLOOKUP(A90,Clasificaciones!C:M,9,FALSE)</f>
        <v>1679208575</v>
      </c>
      <c r="G90" s="80">
        <f t="shared" si="24"/>
        <v>-1641839562</v>
      </c>
      <c r="H90" s="26">
        <v>0</v>
      </c>
      <c r="I90" s="26">
        <v>0</v>
      </c>
      <c r="J90" s="26">
        <v>0</v>
      </c>
      <c r="K90" s="26">
        <v>0</v>
      </c>
      <c r="L90" s="26">
        <v>0</v>
      </c>
      <c r="M90" s="26">
        <v>0</v>
      </c>
      <c r="N90" s="26">
        <v>0</v>
      </c>
      <c r="O90" s="26">
        <v>0</v>
      </c>
      <c r="P90" s="26">
        <v>0</v>
      </c>
      <c r="Q90" s="26">
        <v>0</v>
      </c>
      <c r="R90" s="26">
        <v>0</v>
      </c>
      <c r="S90" s="26">
        <f t="shared" si="23"/>
        <v>1641839562</v>
      </c>
      <c r="T90" s="26">
        <v>0</v>
      </c>
      <c r="U90" s="26">
        <v>0</v>
      </c>
      <c r="V90" s="26">
        <v>0</v>
      </c>
      <c r="W90" s="26">
        <v>0</v>
      </c>
      <c r="X90" s="26">
        <v>0</v>
      </c>
      <c r="Y90" s="26">
        <v>0</v>
      </c>
      <c r="Z90" s="26">
        <f t="shared" si="22"/>
        <v>0</v>
      </c>
      <c r="AA90" s="95"/>
      <c r="AB90" s="95"/>
      <c r="AC90" s="95"/>
      <c r="AD90" s="95"/>
      <c r="AE90" s="95"/>
      <c r="AF90" s="95"/>
      <c r="AG90" s="95"/>
      <c r="AH90" s="95"/>
      <c r="AI90" s="95"/>
      <c r="AJ90" s="95"/>
      <c r="AK90" s="95"/>
      <c r="AL90" s="95"/>
      <c r="AM90" s="95"/>
      <c r="AN90" s="96"/>
      <c r="AO90" s="96"/>
      <c r="AP90" s="96"/>
      <c r="AQ90" s="96"/>
      <c r="AR90" s="96"/>
      <c r="AS90" s="96"/>
      <c r="AT90" s="96"/>
      <c r="AU90" s="96"/>
      <c r="AV90" s="96"/>
      <c r="AW90" s="96"/>
      <c r="AX90" s="96"/>
      <c r="AY90" s="96"/>
      <c r="AZ90" s="96"/>
      <c r="BA90" s="96"/>
    </row>
    <row r="91" spans="1:53" s="97" customFormat="1" ht="12" customHeight="1">
      <c r="A91" s="8">
        <v>1120116118</v>
      </c>
      <c r="B91" s="8" t="s">
        <v>669</v>
      </c>
      <c r="C91" s="80">
        <f>+VLOOKUP(A91,Clasificaciones!C:I,5,FALSE)</f>
        <v>4396912475</v>
      </c>
      <c r="D91" s="80">
        <v>0</v>
      </c>
      <c r="E91" s="80">
        <v>0</v>
      </c>
      <c r="F91" s="80">
        <f>+VLOOKUP(A91,Clasificaciones!C:M,9,FALSE)</f>
        <v>3139299404</v>
      </c>
      <c r="G91" s="80">
        <f t="shared" si="24"/>
        <v>1257613071</v>
      </c>
      <c r="H91" s="26">
        <v>0</v>
      </c>
      <c r="I91" s="26">
        <v>0</v>
      </c>
      <c r="J91" s="26">
        <v>0</v>
      </c>
      <c r="K91" s="26">
        <v>0</v>
      </c>
      <c r="L91" s="26">
        <v>0</v>
      </c>
      <c r="M91" s="26">
        <v>0</v>
      </c>
      <c r="N91" s="26">
        <v>0</v>
      </c>
      <c r="O91" s="26">
        <v>0</v>
      </c>
      <c r="P91" s="26">
        <v>0</v>
      </c>
      <c r="Q91" s="26">
        <v>0</v>
      </c>
      <c r="R91" s="26">
        <v>0</v>
      </c>
      <c r="S91" s="26">
        <f t="shared" si="23"/>
        <v>-1257613071</v>
      </c>
      <c r="T91" s="26">
        <v>0</v>
      </c>
      <c r="U91" s="26">
        <v>0</v>
      </c>
      <c r="V91" s="26">
        <v>0</v>
      </c>
      <c r="W91" s="26">
        <v>0</v>
      </c>
      <c r="X91" s="26">
        <v>0</v>
      </c>
      <c r="Y91" s="26">
        <v>0</v>
      </c>
      <c r="Z91" s="26">
        <f t="shared" si="22"/>
        <v>0</v>
      </c>
      <c r="AA91" s="95"/>
      <c r="AB91" s="95"/>
      <c r="AC91" s="95"/>
      <c r="AD91" s="95"/>
      <c r="AE91" s="95"/>
      <c r="AF91" s="95"/>
      <c r="AG91" s="95"/>
      <c r="AH91" s="95"/>
      <c r="AI91" s="95"/>
      <c r="AJ91" s="95"/>
      <c r="AK91" s="95"/>
      <c r="AL91" s="95"/>
      <c r="AM91" s="95"/>
      <c r="AN91" s="96"/>
      <c r="AO91" s="96"/>
      <c r="AP91" s="96"/>
      <c r="AQ91" s="96"/>
      <c r="AR91" s="96"/>
      <c r="AS91" s="96"/>
      <c r="AT91" s="96"/>
      <c r="AU91" s="96"/>
      <c r="AV91" s="96"/>
      <c r="AW91" s="96"/>
      <c r="AX91" s="96"/>
      <c r="AY91" s="96"/>
      <c r="AZ91" s="96"/>
      <c r="BA91" s="96"/>
    </row>
    <row r="92" spans="1:53" s="97" customFormat="1" ht="12" customHeight="1">
      <c r="A92" s="8">
        <v>1120116129</v>
      </c>
      <c r="B92" s="8" t="s">
        <v>670</v>
      </c>
      <c r="C92" s="80">
        <f>+VLOOKUP(A92,Clasificaciones!C:I,5,FALSE)</f>
        <v>108262500</v>
      </c>
      <c r="D92" s="80">
        <v>0</v>
      </c>
      <c r="E92" s="80">
        <v>0</v>
      </c>
      <c r="F92" s="80">
        <f>+VLOOKUP(A92,Clasificaciones!C:M,9,FALSE)</f>
        <v>41475000</v>
      </c>
      <c r="G92" s="80">
        <f t="shared" si="24"/>
        <v>66787500</v>
      </c>
      <c r="H92" s="26">
        <v>0</v>
      </c>
      <c r="I92" s="26">
        <v>0</v>
      </c>
      <c r="J92" s="26">
        <v>0</v>
      </c>
      <c r="K92" s="26">
        <v>0</v>
      </c>
      <c r="L92" s="26">
        <v>0</v>
      </c>
      <c r="M92" s="26">
        <v>0</v>
      </c>
      <c r="N92" s="26">
        <v>0</v>
      </c>
      <c r="O92" s="26">
        <v>0</v>
      </c>
      <c r="P92" s="26">
        <v>0</v>
      </c>
      <c r="Q92" s="26">
        <v>0</v>
      </c>
      <c r="R92" s="26">
        <v>0</v>
      </c>
      <c r="S92" s="26">
        <f t="shared" si="23"/>
        <v>-66787500</v>
      </c>
      <c r="T92" s="26">
        <v>0</v>
      </c>
      <c r="U92" s="26">
        <v>0</v>
      </c>
      <c r="V92" s="26">
        <v>0</v>
      </c>
      <c r="W92" s="26">
        <v>0</v>
      </c>
      <c r="X92" s="26">
        <v>0</v>
      </c>
      <c r="Y92" s="26">
        <v>0</v>
      </c>
      <c r="Z92" s="26">
        <f t="shared" si="22"/>
        <v>0</v>
      </c>
      <c r="AA92" s="95"/>
      <c r="AB92" s="95"/>
      <c r="AC92" s="95"/>
      <c r="AD92" s="95"/>
      <c r="AE92" s="95"/>
      <c r="AF92" s="95"/>
      <c r="AG92" s="95"/>
      <c r="AH92" s="95"/>
      <c r="AI92" s="95"/>
      <c r="AJ92" s="95"/>
      <c r="AK92" s="95"/>
      <c r="AL92" s="95"/>
      <c r="AM92" s="95"/>
      <c r="AN92" s="96"/>
      <c r="AO92" s="96"/>
      <c r="AP92" s="96"/>
      <c r="AQ92" s="96"/>
      <c r="AR92" s="96"/>
      <c r="AS92" s="96"/>
      <c r="AT92" s="96"/>
      <c r="AU92" s="96"/>
      <c r="AV92" s="96"/>
      <c r="AW92" s="96"/>
      <c r="AX92" s="96"/>
      <c r="AY92" s="96"/>
      <c r="AZ92" s="96"/>
      <c r="BA92" s="96"/>
    </row>
    <row r="93" spans="1:53" s="97" customFormat="1" ht="12" customHeight="1">
      <c r="A93" s="8">
        <v>1120116132</v>
      </c>
      <c r="B93" s="8" t="s">
        <v>1224</v>
      </c>
      <c r="C93" s="80">
        <f>+VLOOKUP(A93,Clasificaciones!C:I,5,FALSE)</f>
        <v>17714264</v>
      </c>
      <c r="D93" s="80">
        <v>0</v>
      </c>
      <c r="E93" s="80">
        <v>0</v>
      </c>
      <c r="F93" s="80">
        <f>+VLOOKUP(A93,Clasificaciones!C:M,9,FALSE)</f>
        <v>0</v>
      </c>
      <c r="G93" s="80">
        <f t="shared" si="24"/>
        <v>17714264</v>
      </c>
      <c r="H93" s="26">
        <v>0</v>
      </c>
      <c r="I93" s="26">
        <v>0</v>
      </c>
      <c r="J93" s="26">
        <v>0</v>
      </c>
      <c r="K93" s="26">
        <v>0</v>
      </c>
      <c r="L93" s="26">
        <v>0</v>
      </c>
      <c r="M93" s="26">
        <v>0</v>
      </c>
      <c r="N93" s="26">
        <v>0</v>
      </c>
      <c r="O93" s="26">
        <v>0</v>
      </c>
      <c r="P93" s="26">
        <v>0</v>
      </c>
      <c r="Q93" s="26">
        <v>0</v>
      </c>
      <c r="R93" s="26">
        <v>0</v>
      </c>
      <c r="S93" s="26">
        <f t="shared" si="23"/>
        <v>-17714264</v>
      </c>
      <c r="T93" s="26">
        <v>0</v>
      </c>
      <c r="U93" s="26">
        <v>0</v>
      </c>
      <c r="V93" s="26">
        <v>0</v>
      </c>
      <c r="W93" s="26">
        <v>0</v>
      </c>
      <c r="X93" s="26">
        <v>0</v>
      </c>
      <c r="Y93" s="26">
        <v>0</v>
      </c>
      <c r="Z93" s="26">
        <f t="shared" si="22"/>
        <v>0</v>
      </c>
      <c r="AA93" s="95"/>
      <c r="AB93" s="95"/>
      <c r="AC93" s="95"/>
      <c r="AD93" s="95"/>
      <c r="AE93" s="95"/>
      <c r="AF93" s="95"/>
      <c r="AG93" s="95"/>
      <c r="AH93" s="95"/>
      <c r="AI93" s="95"/>
      <c r="AJ93" s="95"/>
      <c r="AK93" s="95"/>
      <c r="AL93" s="95"/>
      <c r="AM93" s="95"/>
      <c r="AN93" s="96"/>
      <c r="AO93" s="96"/>
      <c r="AP93" s="96"/>
      <c r="AQ93" s="96"/>
      <c r="AR93" s="96"/>
      <c r="AS93" s="96"/>
      <c r="AT93" s="96"/>
      <c r="AU93" s="96"/>
      <c r="AV93" s="96"/>
      <c r="AW93" s="96"/>
      <c r="AX93" s="96"/>
      <c r="AY93" s="96"/>
      <c r="AZ93" s="96"/>
      <c r="BA93" s="96"/>
    </row>
    <row r="94" spans="1:53" s="94" customFormat="1" ht="12" customHeight="1">
      <c r="A94" s="8">
        <v>11201162</v>
      </c>
      <c r="B94" s="8" t="s">
        <v>671</v>
      </c>
      <c r="C94" s="80">
        <f>+VLOOKUP(A94,Clasificaciones!C:I,5,FALSE)</f>
        <v>0</v>
      </c>
      <c r="D94" s="80">
        <v>0</v>
      </c>
      <c r="E94" s="80">
        <v>0</v>
      </c>
      <c r="F94" s="80">
        <f>+VLOOKUP(A94,Clasificaciones!C:M,9,FALSE)</f>
        <v>0</v>
      </c>
      <c r="G94" s="80">
        <f t="shared" si="24"/>
        <v>0</v>
      </c>
      <c r="H94" s="26">
        <v>0</v>
      </c>
      <c r="I94" s="26">
        <v>0</v>
      </c>
      <c r="J94" s="26">
        <v>0</v>
      </c>
      <c r="K94" s="26">
        <v>0</v>
      </c>
      <c r="L94" s="26">
        <v>0</v>
      </c>
      <c r="M94" s="26">
        <v>0</v>
      </c>
      <c r="N94" s="26">
        <v>0</v>
      </c>
      <c r="O94" s="26">
        <v>0</v>
      </c>
      <c r="P94" s="26">
        <v>0</v>
      </c>
      <c r="Q94" s="26">
        <v>0</v>
      </c>
      <c r="R94" s="26">
        <v>0</v>
      </c>
      <c r="S94" s="26">
        <f t="shared" si="23"/>
        <v>0</v>
      </c>
      <c r="T94" s="26">
        <v>0</v>
      </c>
      <c r="U94" s="26">
        <v>0</v>
      </c>
      <c r="V94" s="26">
        <v>0</v>
      </c>
      <c r="W94" s="26">
        <v>0</v>
      </c>
      <c r="X94" s="26">
        <v>0</v>
      </c>
      <c r="Y94" s="26">
        <v>0</v>
      </c>
      <c r="Z94" s="26">
        <f t="shared" si="22"/>
        <v>0</v>
      </c>
      <c r="AA94" s="98"/>
      <c r="AB94" s="98"/>
      <c r="AC94" s="98"/>
      <c r="AD94" s="98"/>
      <c r="AE94" s="98"/>
      <c r="AF94" s="98"/>
      <c r="AG94" s="98"/>
      <c r="AH94" s="98"/>
      <c r="AI94" s="98"/>
      <c r="AJ94" s="98"/>
      <c r="AK94" s="98"/>
      <c r="AL94" s="98"/>
      <c r="AM94" s="98"/>
      <c r="AN94" s="93"/>
      <c r="AO94" s="93"/>
      <c r="AP94" s="93"/>
      <c r="AQ94" s="93"/>
      <c r="AR94" s="93"/>
      <c r="AS94" s="93"/>
      <c r="AT94" s="93"/>
      <c r="AU94" s="93"/>
      <c r="AV94" s="93"/>
      <c r="AW94" s="93"/>
      <c r="AX94" s="93"/>
      <c r="AY94" s="93"/>
      <c r="AZ94" s="93"/>
      <c r="BA94" s="93"/>
    </row>
    <row r="95" spans="1:53" s="97" customFormat="1" ht="12" customHeight="1">
      <c r="A95" s="8">
        <v>1120116201</v>
      </c>
      <c r="B95" s="8" t="s">
        <v>672</v>
      </c>
      <c r="C95" s="80">
        <f>+VLOOKUP(A95,Clasificaciones!C:I,5,FALSE)</f>
        <v>-3319152055</v>
      </c>
      <c r="D95" s="80">
        <v>0</v>
      </c>
      <c r="E95" s="80">
        <v>0</v>
      </c>
      <c r="F95" s="80">
        <f>+VLOOKUP(A95,Clasificaciones!C:M,9,FALSE)</f>
        <v>-3649070137</v>
      </c>
      <c r="G95" s="80">
        <f t="shared" si="24"/>
        <v>329918082</v>
      </c>
      <c r="H95" s="26">
        <v>0</v>
      </c>
      <c r="I95" s="26">
        <v>0</v>
      </c>
      <c r="J95" s="26">
        <v>0</v>
      </c>
      <c r="K95" s="26">
        <v>0</v>
      </c>
      <c r="L95" s="26">
        <v>0</v>
      </c>
      <c r="M95" s="26">
        <v>0</v>
      </c>
      <c r="N95" s="26">
        <v>0</v>
      </c>
      <c r="O95" s="26">
        <v>0</v>
      </c>
      <c r="P95" s="26">
        <v>0</v>
      </c>
      <c r="Q95" s="26">
        <v>0</v>
      </c>
      <c r="R95" s="26">
        <v>0</v>
      </c>
      <c r="S95" s="26">
        <f t="shared" si="23"/>
        <v>-329918082</v>
      </c>
      <c r="T95" s="26">
        <v>0</v>
      </c>
      <c r="U95" s="26">
        <v>0</v>
      </c>
      <c r="V95" s="26">
        <v>0</v>
      </c>
      <c r="W95" s="26">
        <v>0</v>
      </c>
      <c r="X95" s="26">
        <v>0</v>
      </c>
      <c r="Y95" s="26">
        <v>0</v>
      </c>
      <c r="Z95" s="26">
        <f t="shared" si="22"/>
        <v>0</v>
      </c>
      <c r="AA95" s="95"/>
      <c r="AB95" s="95"/>
      <c r="AC95" s="95"/>
      <c r="AD95" s="95"/>
      <c r="AE95" s="95"/>
      <c r="AF95" s="95"/>
      <c r="AG95" s="95"/>
      <c r="AH95" s="95"/>
      <c r="AI95" s="95"/>
      <c r="AJ95" s="95"/>
      <c r="AK95" s="95"/>
      <c r="AL95" s="95"/>
      <c r="AM95" s="95"/>
      <c r="AN95" s="96"/>
      <c r="AO95" s="96"/>
      <c r="AP95" s="96"/>
      <c r="AQ95" s="96"/>
      <c r="AR95" s="96"/>
      <c r="AS95" s="96"/>
      <c r="AT95" s="96"/>
      <c r="AU95" s="96"/>
      <c r="AV95" s="96"/>
      <c r="AW95" s="96"/>
      <c r="AX95" s="96"/>
      <c r="AY95" s="96"/>
      <c r="AZ95" s="96"/>
      <c r="BA95" s="96"/>
    </row>
    <row r="96" spans="1:53" s="97" customFormat="1" ht="12" customHeight="1">
      <c r="A96" s="8">
        <v>1120116203</v>
      </c>
      <c r="B96" s="8" t="s">
        <v>910</v>
      </c>
      <c r="C96" s="80">
        <f>+VLOOKUP(A96,Clasificaciones!C:I,5,FALSE)</f>
        <v>0</v>
      </c>
      <c r="D96" s="80">
        <v>0</v>
      </c>
      <c r="E96" s="80">
        <v>0</v>
      </c>
      <c r="F96" s="80">
        <f>+VLOOKUP(A96,Clasificaciones!C:M,9,FALSE)</f>
        <v>0</v>
      </c>
      <c r="G96" s="80">
        <f t="shared" si="24"/>
        <v>0</v>
      </c>
      <c r="H96" s="26">
        <v>0</v>
      </c>
      <c r="I96" s="26">
        <v>0</v>
      </c>
      <c r="J96" s="26">
        <v>0</v>
      </c>
      <c r="K96" s="26">
        <v>0</v>
      </c>
      <c r="L96" s="26">
        <v>0</v>
      </c>
      <c r="M96" s="26">
        <v>0</v>
      </c>
      <c r="N96" s="26">
        <v>0</v>
      </c>
      <c r="O96" s="26">
        <v>0</v>
      </c>
      <c r="P96" s="26">
        <v>0</v>
      </c>
      <c r="Q96" s="26">
        <v>0</v>
      </c>
      <c r="R96" s="26">
        <v>0</v>
      </c>
      <c r="S96" s="26">
        <f t="shared" si="23"/>
        <v>0</v>
      </c>
      <c r="T96" s="26">
        <v>0</v>
      </c>
      <c r="U96" s="26">
        <v>0</v>
      </c>
      <c r="V96" s="26">
        <v>0</v>
      </c>
      <c r="W96" s="26">
        <v>0</v>
      </c>
      <c r="X96" s="26">
        <v>0</v>
      </c>
      <c r="Y96" s="26">
        <v>0</v>
      </c>
      <c r="Z96" s="26">
        <f t="shared" si="22"/>
        <v>0</v>
      </c>
      <c r="AA96" s="95"/>
      <c r="AB96" s="95"/>
      <c r="AC96" s="95"/>
      <c r="AD96" s="95"/>
      <c r="AE96" s="95"/>
      <c r="AF96" s="95"/>
      <c r="AG96" s="95"/>
      <c r="AH96" s="95"/>
      <c r="AI96" s="95"/>
      <c r="AJ96" s="95"/>
      <c r="AK96" s="95"/>
      <c r="AL96" s="95"/>
      <c r="AM96" s="95"/>
      <c r="AN96" s="96"/>
      <c r="AO96" s="96"/>
      <c r="AP96" s="96"/>
      <c r="AQ96" s="96"/>
      <c r="AR96" s="96"/>
      <c r="AS96" s="96"/>
      <c r="AT96" s="96"/>
      <c r="AU96" s="96"/>
      <c r="AV96" s="96"/>
      <c r="AW96" s="96"/>
      <c r="AX96" s="96"/>
      <c r="AY96" s="96"/>
      <c r="AZ96" s="96"/>
      <c r="BA96" s="96"/>
    </row>
    <row r="97" spans="1:53" s="97" customFormat="1" ht="12" customHeight="1">
      <c r="A97" s="8">
        <v>1120116204</v>
      </c>
      <c r="B97" s="8" t="s">
        <v>849</v>
      </c>
      <c r="C97" s="80">
        <f>+VLOOKUP(A97,Clasificaciones!C:I,5,FALSE)</f>
        <v>-631229593</v>
      </c>
      <c r="D97" s="80">
        <v>0</v>
      </c>
      <c r="E97" s="80">
        <v>0</v>
      </c>
      <c r="F97" s="80">
        <f>+VLOOKUP(A97,Clasificaciones!C:M,9,FALSE)</f>
        <v>-876158271</v>
      </c>
      <c r="G97" s="80">
        <f t="shared" si="24"/>
        <v>244928678</v>
      </c>
      <c r="H97" s="26">
        <v>0</v>
      </c>
      <c r="I97" s="26">
        <v>0</v>
      </c>
      <c r="J97" s="26">
        <v>0</v>
      </c>
      <c r="K97" s="26">
        <v>0</v>
      </c>
      <c r="L97" s="26">
        <v>0</v>
      </c>
      <c r="M97" s="26">
        <v>0</v>
      </c>
      <c r="N97" s="26">
        <v>0</v>
      </c>
      <c r="O97" s="26">
        <v>0</v>
      </c>
      <c r="P97" s="26">
        <v>0</v>
      </c>
      <c r="Q97" s="26">
        <v>0</v>
      </c>
      <c r="R97" s="26">
        <v>0</v>
      </c>
      <c r="S97" s="26">
        <f t="shared" si="23"/>
        <v>-244928678</v>
      </c>
      <c r="T97" s="26">
        <v>0</v>
      </c>
      <c r="U97" s="26">
        <v>0</v>
      </c>
      <c r="V97" s="26">
        <v>0</v>
      </c>
      <c r="W97" s="26">
        <v>0</v>
      </c>
      <c r="X97" s="26">
        <v>0</v>
      </c>
      <c r="Y97" s="26">
        <v>0</v>
      </c>
      <c r="Z97" s="26">
        <f t="shared" si="22"/>
        <v>0</v>
      </c>
      <c r="AA97" s="95"/>
      <c r="AB97" s="95"/>
      <c r="AC97" s="95"/>
      <c r="AD97" s="95"/>
      <c r="AE97" s="95"/>
      <c r="AF97" s="95"/>
      <c r="AG97" s="95"/>
      <c r="AH97" s="95"/>
      <c r="AI97" s="95"/>
      <c r="AJ97" s="95"/>
      <c r="AK97" s="95"/>
      <c r="AL97" s="95"/>
      <c r="AM97" s="95"/>
      <c r="AN97" s="96"/>
      <c r="AO97" s="96"/>
      <c r="AP97" s="96"/>
      <c r="AQ97" s="96"/>
      <c r="AR97" s="96"/>
      <c r="AS97" s="96"/>
      <c r="AT97" s="96"/>
      <c r="AU97" s="96"/>
      <c r="AV97" s="96"/>
      <c r="AW97" s="96"/>
      <c r="AX97" s="96"/>
      <c r="AY97" s="96"/>
      <c r="AZ97" s="96"/>
      <c r="BA97" s="96"/>
    </row>
    <row r="98" spans="1:53" s="97" customFormat="1" ht="12" customHeight="1">
      <c r="A98" s="8">
        <v>1120116205</v>
      </c>
      <c r="B98" s="8" t="s">
        <v>673</v>
      </c>
      <c r="C98" s="80">
        <f>+VLOOKUP(A98,Clasificaciones!C:I,5,FALSE)</f>
        <v>-1260333564</v>
      </c>
      <c r="D98" s="80">
        <v>0</v>
      </c>
      <c r="E98" s="80">
        <v>0</v>
      </c>
      <c r="F98" s="80">
        <f>+VLOOKUP(A98,Clasificaciones!C:M,9,FALSE)</f>
        <v>-1156671548</v>
      </c>
      <c r="G98" s="80">
        <f t="shared" si="24"/>
        <v>-103662016</v>
      </c>
      <c r="H98" s="26">
        <v>0</v>
      </c>
      <c r="I98" s="26">
        <v>0</v>
      </c>
      <c r="J98" s="26">
        <v>0</v>
      </c>
      <c r="K98" s="26">
        <v>0</v>
      </c>
      <c r="L98" s="26">
        <v>0</v>
      </c>
      <c r="M98" s="26">
        <v>0</v>
      </c>
      <c r="N98" s="26">
        <v>0</v>
      </c>
      <c r="O98" s="26">
        <v>0</v>
      </c>
      <c r="P98" s="26">
        <v>0</v>
      </c>
      <c r="Q98" s="26">
        <v>0</v>
      </c>
      <c r="R98" s="26">
        <v>0</v>
      </c>
      <c r="S98" s="26">
        <f t="shared" si="23"/>
        <v>103662016</v>
      </c>
      <c r="T98" s="26">
        <v>0</v>
      </c>
      <c r="U98" s="26">
        <v>0</v>
      </c>
      <c r="V98" s="26">
        <v>0</v>
      </c>
      <c r="W98" s="26">
        <v>0</v>
      </c>
      <c r="X98" s="26">
        <v>0</v>
      </c>
      <c r="Y98" s="26">
        <v>0</v>
      </c>
      <c r="Z98" s="26">
        <f t="shared" si="22"/>
        <v>0</v>
      </c>
      <c r="AA98" s="95"/>
      <c r="AB98" s="95"/>
      <c r="AC98" s="95"/>
      <c r="AD98" s="95"/>
      <c r="AE98" s="95"/>
      <c r="AF98" s="95"/>
      <c r="AG98" s="95"/>
      <c r="AH98" s="95"/>
      <c r="AI98" s="95"/>
      <c r="AJ98" s="95"/>
      <c r="AK98" s="95"/>
      <c r="AL98" s="95"/>
      <c r="AM98" s="95"/>
      <c r="AN98" s="96"/>
      <c r="AO98" s="96"/>
      <c r="AP98" s="96"/>
      <c r="AQ98" s="96"/>
      <c r="AR98" s="96"/>
      <c r="AS98" s="96"/>
      <c r="AT98" s="96"/>
      <c r="AU98" s="96"/>
      <c r="AV98" s="96"/>
      <c r="AW98" s="96"/>
      <c r="AX98" s="96"/>
      <c r="AY98" s="96"/>
      <c r="AZ98" s="96"/>
      <c r="BA98" s="96"/>
    </row>
    <row r="99" spans="1:53" s="97" customFormat="1" ht="12" customHeight="1">
      <c r="A99" s="8">
        <v>1120116206</v>
      </c>
      <c r="B99" s="8" t="s">
        <v>674</v>
      </c>
      <c r="C99" s="80">
        <f>+VLOOKUP(A99,Clasificaciones!C:I,5,FALSE)</f>
        <v>-3447049871</v>
      </c>
      <c r="D99" s="80">
        <v>0</v>
      </c>
      <c r="E99" s="80">
        <v>0</v>
      </c>
      <c r="F99" s="80">
        <f>+VLOOKUP(A99,Clasificaciones!C:M,9,FALSE)</f>
        <v>-363487836</v>
      </c>
      <c r="G99" s="80">
        <f t="shared" si="24"/>
        <v>-3083562035</v>
      </c>
      <c r="H99" s="26">
        <v>0</v>
      </c>
      <c r="I99" s="26">
        <v>0</v>
      </c>
      <c r="J99" s="26">
        <v>0</v>
      </c>
      <c r="K99" s="26">
        <v>0</v>
      </c>
      <c r="L99" s="26">
        <v>0</v>
      </c>
      <c r="M99" s="26">
        <v>0</v>
      </c>
      <c r="N99" s="26">
        <v>0</v>
      </c>
      <c r="O99" s="26">
        <v>0</v>
      </c>
      <c r="P99" s="26">
        <v>0</v>
      </c>
      <c r="Q99" s="26">
        <v>0</v>
      </c>
      <c r="R99" s="26">
        <v>0</v>
      </c>
      <c r="S99" s="26">
        <f t="shared" si="23"/>
        <v>3083562035</v>
      </c>
      <c r="T99" s="26">
        <v>0</v>
      </c>
      <c r="U99" s="26">
        <v>0</v>
      </c>
      <c r="V99" s="26">
        <v>0</v>
      </c>
      <c r="W99" s="26">
        <v>0</v>
      </c>
      <c r="X99" s="26">
        <v>0</v>
      </c>
      <c r="Y99" s="26">
        <v>0</v>
      </c>
      <c r="Z99" s="26">
        <f t="shared" si="22"/>
        <v>0</v>
      </c>
      <c r="AA99" s="95"/>
      <c r="AB99" s="95"/>
      <c r="AC99" s="95"/>
      <c r="AD99" s="95"/>
      <c r="AE99" s="95"/>
      <c r="AF99" s="95"/>
      <c r="AG99" s="95"/>
      <c r="AH99" s="95"/>
      <c r="AI99" s="95"/>
      <c r="AJ99" s="95"/>
      <c r="AK99" s="95"/>
      <c r="AL99" s="95"/>
      <c r="AM99" s="95"/>
      <c r="AN99" s="96"/>
      <c r="AO99" s="96"/>
      <c r="AP99" s="96"/>
      <c r="AQ99" s="96"/>
      <c r="AR99" s="96"/>
      <c r="AS99" s="96"/>
      <c r="AT99" s="96"/>
      <c r="AU99" s="96"/>
      <c r="AV99" s="96"/>
      <c r="AW99" s="96"/>
      <c r="AX99" s="96"/>
      <c r="AY99" s="96"/>
      <c r="AZ99" s="96"/>
      <c r="BA99" s="96"/>
    </row>
    <row r="100" spans="1:53" s="94" customFormat="1" ht="12" customHeight="1">
      <c r="A100" s="8">
        <v>1120116207</v>
      </c>
      <c r="B100" s="8" t="s">
        <v>675</v>
      </c>
      <c r="C100" s="80">
        <f>+VLOOKUP(A100,Clasificaciones!C:I,5,FALSE)</f>
        <v>-17561301706</v>
      </c>
      <c r="D100" s="80">
        <v>0</v>
      </c>
      <c r="E100" s="80">
        <v>0</v>
      </c>
      <c r="F100" s="80">
        <f>+VLOOKUP(A100,Clasificaciones!C:M,9,FALSE)</f>
        <v>-13256785621</v>
      </c>
      <c r="G100" s="80">
        <f>+C100-F100+D100-E100</f>
        <v>-4304516085</v>
      </c>
      <c r="H100" s="26">
        <v>0</v>
      </c>
      <c r="I100" s="26">
        <v>0</v>
      </c>
      <c r="J100" s="26">
        <v>0</v>
      </c>
      <c r="K100" s="26">
        <v>0</v>
      </c>
      <c r="L100" s="26">
        <v>0</v>
      </c>
      <c r="M100" s="26">
        <v>0</v>
      </c>
      <c r="N100" s="26">
        <v>0</v>
      </c>
      <c r="O100" s="26">
        <v>0</v>
      </c>
      <c r="P100" s="26">
        <v>0</v>
      </c>
      <c r="Q100" s="26">
        <v>0</v>
      </c>
      <c r="R100" s="26">
        <v>0</v>
      </c>
      <c r="S100" s="26">
        <f t="shared" si="23"/>
        <v>4304516085</v>
      </c>
      <c r="T100" s="26">
        <v>0</v>
      </c>
      <c r="U100" s="26">
        <v>0</v>
      </c>
      <c r="V100" s="26">
        <v>0</v>
      </c>
      <c r="W100" s="26">
        <v>0</v>
      </c>
      <c r="X100" s="26">
        <v>0</v>
      </c>
      <c r="Y100" s="26">
        <v>0</v>
      </c>
      <c r="Z100" s="26">
        <f t="shared" si="22"/>
        <v>0</v>
      </c>
      <c r="AA100" s="98"/>
      <c r="AB100" s="98"/>
      <c r="AC100" s="98"/>
      <c r="AD100" s="98"/>
      <c r="AE100" s="98"/>
      <c r="AF100" s="98"/>
      <c r="AG100" s="98"/>
      <c r="AH100" s="98"/>
      <c r="AI100" s="98"/>
      <c r="AJ100" s="98"/>
      <c r="AK100" s="98"/>
      <c r="AL100" s="98"/>
      <c r="AM100" s="98"/>
      <c r="AN100" s="93"/>
      <c r="AO100" s="93"/>
      <c r="AP100" s="93"/>
      <c r="AQ100" s="93"/>
      <c r="AR100" s="93"/>
      <c r="AS100" s="93"/>
      <c r="AT100" s="93"/>
      <c r="AU100" s="93"/>
      <c r="AV100" s="93"/>
      <c r="AW100" s="93"/>
      <c r="AX100" s="93"/>
      <c r="AY100" s="93"/>
      <c r="AZ100" s="93"/>
      <c r="BA100" s="93"/>
    </row>
    <row r="101" spans="1:53" s="94" customFormat="1" ht="12" customHeight="1">
      <c r="A101" s="8">
        <v>1120116208</v>
      </c>
      <c r="B101" s="8" t="s">
        <v>1275</v>
      </c>
      <c r="C101" s="80">
        <f>+VLOOKUP(A101,Clasificaciones!C:I,5,FALSE)</f>
        <v>-8427277201</v>
      </c>
      <c r="D101" s="80">
        <v>0</v>
      </c>
      <c r="E101" s="80">
        <v>0</v>
      </c>
      <c r="F101" s="80">
        <f>+VLOOKUP(A101,Clasificaciones!C:M,9,FALSE)</f>
        <v>69</v>
      </c>
      <c r="G101" s="80">
        <f>+C101-F101+D101-E101</f>
        <v>-8427277270</v>
      </c>
      <c r="H101" s="26">
        <v>0</v>
      </c>
      <c r="I101" s="26">
        <v>0</v>
      </c>
      <c r="J101" s="26">
        <v>0</v>
      </c>
      <c r="K101" s="26">
        <v>0</v>
      </c>
      <c r="L101" s="26">
        <v>0</v>
      </c>
      <c r="M101" s="26">
        <v>0</v>
      </c>
      <c r="N101" s="26">
        <v>0</v>
      </c>
      <c r="O101" s="26">
        <v>0</v>
      </c>
      <c r="P101" s="26">
        <v>0</v>
      </c>
      <c r="Q101" s="26">
        <v>0</v>
      </c>
      <c r="R101" s="26">
        <v>0</v>
      </c>
      <c r="S101" s="26">
        <f t="shared" si="23"/>
        <v>8427277270</v>
      </c>
      <c r="T101" s="26">
        <v>0</v>
      </c>
      <c r="U101" s="26">
        <v>0</v>
      </c>
      <c r="V101" s="26">
        <v>0</v>
      </c>
      <c r="W101" s="26">
        <v>0</v>
      </c>
      <c r="X101" s="26">
        <v>0</v>
      </c>
      <c r="Y101" s="26">
        <v>0</v>
      </c>
      <c r="Z101" s="26">
        <f t="shared" si="22"/>
        <v>0</v>
      </c>
      <c r="AA101" s="98"/>
      <c r="AB101" s="98"/>
      <c r="AC101" s="98"/>
      <c r="AD101" s="98"/>
      <c r="AE101" s="98"/>
      <c r="AF101" s="98"/>
      <c r="AG101" s="98"/>
      <c r="AH101" s="98"/>
      <c r="AI101" s="98"/>
      <c r="AJ101" s="98"/>
      <c r="AK101" s="98"/>
      <c r="AL101" s="98"/>
      <c r="AM101" s="98"/>
      <c r="AN101" s="93"/>
      <c r="AO101" s="93"/>
      <c r="AP101" s="93"/>
      <c r="AQ101" s="93"/>
      <c r="AR101" s="93"/>
      <c r="AS101" s="93"/>
      <c r="AT101" s="93"/>
      <c r="AU101" s="93"/>
      <c r="AV101" s="93"/>
      <c r="AW101" s="93"/>
      <c r="AX101" s="93"/>
      <c r="AY101" s="93"/>
      <c r="AZ101" s="93"/>
      <c r="BA101" s="93"/>
    </row>
    <row r="102" spans="1:53" s="94" customFormat="1" ht="12" customHeight="1">
      <c r="A102" s="8">
        <v>1120116209</v>
      </c>
      <c r="B102" s="8" t="s">
        <v>911</v>
      </c>
      <c r="C102" s="80">
        <f>+VLOOKUP(A102,Clasificaciones!C:I,5,FALSE)</f>
        <v>0</v>
      </c>
      <c r="D102" s="80">
        <v>0</v>
      </c>
      <c r="E102" s="80">
        <v>0</v>
      </c>
      <c r="F102" s="80">
        <f>+VLOOKUP(A102,Clasificaciones!C:M,9,FALSE)</f>
        <v>0</v>
      </c>
      <c r="G102" s="80">
        <f t="shared" ref="G102:G111" si="29">+C102-F102+D102-E102</f>
        <v>0</v>
      </c>
      <c r="H102" s="26">
        <v>0</v>
      </c>
      <c r="I102" s="26">
        <v>0</v>
      </c>
      <c r="J102" s="26">
        <v>0</v>
      </c>
      <c r="K102" s="26">
        <v>0</v>
      </c>
      <c r="L102" s="26">
        <v>0</v>
      </c>
      <c r="M102" s="26">
        <v>0</v>
      </c>
      <c r="N102" s="26">
        <v>0</v>
      </c>
      <c r="O102" s="26">
        <v>0</v>
      </c>
      <c r="P102" s="26">
        <v>0</v>
      </c>
      <c r="Q102" s="26">
        <v>0</v>
      </c>
      <c r="R102" s="26">
        <v>0</v>
      </c>
      <c r="S102" s="26">
        <f t="shared" si="23"/>
        <v>0</v>
      </c>
      <c r="T102" s="26">
        <v>0</v>
      </c>
      <c r="U102" s="26">
        <v>0</v>
      </c>
      <c r="V102" s="26">
        <v>0</v>
      </c>
      <c r="W102" s="26">
        <v>0</v>
      </c>
      <c r="X102" s="26">
        <v>0</v>
      </c>
      <c r="Y102" s="26">
        <v>0</v>
      </c>
      <c r="Z102" s="26">
        <f t="shared" si="22"/>
        <v>0</v>
      </c>
      <c r="AA102" s="98"/>
      <c r="AB102" s="98"/>
      <c r="AC102" s="98"/>
      <c r="AD102" s="98"/>
      <c r="AE102" s="98"/>
      <c r="AF102" s="98"/>
      <c r="AG102" s="98"/>
      <c r="AH102" s="98"/>
      <c r="AI102" s="98"/>
      <c r="AJ102" s="98"/>
      <c r="AK102" s="98"/>
      <c r="AL102" s="98"/>
      <c r="AM102" s="98"/>
      <c r="AN102" s="93"/>
      <c r="AO102" s="93"/>
      <c r="AP102" s="93"/>
      <c r="AQ102" s="93"/>
      <c r="AR102" s="93"/>
      <c r="AS102" s="93"/>
      <c r="AT102" s="93"/>
      <c r="AU102" s="93"/>
      <c r="AV102" s="93"/>
      <c r="AW102" s="93"/>
      <c r="AX102" s="93"/>
      <c r="AY102" s="93"/>
      <c r="AZ102" s="93"/>
      <c r="BA102" s="93"/>
    </row>
    <row r="103" spans="1:53" s="94" customFormat="1" ht="12" customHeight="1">
      <c r="A103" s="8">
        <v>1120116214</v>
      </c>
      <c r="B103" s="8" t="s">
        <v>916</v>
      </c>
      <c r="C103" s="80">
        <f>+VLOOKUP(A103,Clasificaciones!C:I,5,FALSE)</f>
        <v>-753947</v>
      </c>
      <c r="D103" s="80">
        <v>0</v>
      </c>
      <c r="E103" s="80">
        <v>0</v>
      </c>
      <c r="F103" s="80">
        <f>+VLOOKUP(A103,Clasificaciones!C:M,9,FALSE)</f>
        <v>0</v>
      </c>
      <c r="G103" s="80">
        <f t="shared" ref="G103" si="30">+C103-F103+D103-E103</f>
        <v>-753947</v>
      </c>
      <c r="H103" s="26">
        <v>0</v>
      </c>
      <c r="I103" s="26">
        <v>0</v>
      </c>
      <c r="J103" s="26">
        <v>0</v>
      </c>
      <c r="K103" s="26">
        <v>0</v>
      </c>
      <c r="L103" s="26">
        <v>0</v>
      </c>
      <c r="M103" s="26">
        <v>0</v>
      </c>
      <c r="N103" s="26">
        <v>0</v>
      </c>
      <c r="O103" s="26">
        <v>0</v>
      </c>
      <c r="P103" s="26">
        <v>0</v>
      </c>
      <c r="Q103" s="26">
        <v>0</v>
      </c>
      <c r="R103" s="26">
        <v>0</v>
      </c>
      <c r="S103" s="26">
        <f t="shared" ref="S103" si="31">-G103</f>
        <v>753947</v>
      </c>
      <c r="T103" s="26">
        <v>0</v>
      </c>
      <c r="U103" s="26">
        <v>0</v>
      </c>
      <c r="V103" s="26">
        <v>0</v>
      </c>
      <c r="W103" s="26">
        <v>0</v>
      </c>
      <c r="X103" s="26">
        <v>0</v>
      </c>
      <c r="Y103" s="26">
        <v>0</v>
      </c>
      <c r="Z103" s="26">
        <f t="shared" ref="Z103" si="32">SUM(G103:Y103)</f>
        <v>0</v>
      </c>
      <c r="AA103" s="98"/>
      <c r="AB103" s="98"/>
      <c r="AC103" s="98"/>
      <c r="AD103" s="98"/>
      <c r="AE103" s="98"/>
      <c r="AF103" s="98"/>
      <c r="AG103" s="98"/>
      <c r="AH103" s="98"/>
      <c r="AI103" s="98"/>
      <c r="AJ103" s="98"/>
      <c r="AK103" s="98"/>
      <c r="AL103" s="98"/>
      <c r="AM103" s="98"/>
      <c r="AN103" s="93"/>
      <c r="AO103" s="93"/>
      <c r="AP103" s="93"/>
      <c r="AQ103" s="93"/>
      <c r="AR103" s="93"/>
      <c r="AS103" s="93"/>
      <c r="AT103" s="93"/>
      <c r="AU103" s="93"/>
      <c r="AV103" s="93"/>
      <c r="AW103" s="93"/>
      <c r="AX103" s="93"/>
      <c r="AY103" s="93"/>
      <c r="AZ103" s="93"/>
      <c r="BA103" s="93"/>
    </row>
    <row r="104" spans="1:53" s="94" customFormat="1" ht="12" customHeight="1">
      <c r="A104" s="8">
        <v>1120116217</v>
      </c>
      <c r="B104" s="8" t="s">
        <v>677</v>
      </c>
      <c r="C104" s="80">
        <f>+VLOOKUP(A104,Clasificaciones!C:I,5,FALSE)</f>
        <v>-22326692</v>
      </c>
      <c r="D104" s="80">
        <v>0</v>
      </c>
      <c r="E104" s="80">
        <v>0</v>
      </c>
      <c r="F104" s="80">
        <f>+VLOOKUP(A104,Clasificaciones!C:M,9,FALSE)</f>
        <v>-1495389292</v>
      </c>
      <c r="G104" s="80">
        <f t="shared" si="29"/>
        <v>1473062600</v>
      </c>
      <c r="H104" s="26">
        <v>0</v>
      </c>
      <c r="I104" s="26">
        <v>0</v>
      </c>
      <c r="J104" s="26">
        <v>0</v>
      </c>
      <c r="K104" s="26">
        <v>0</v>
      </c>
      <c r="L104" s="26">
        <v>0</v>
      </c>
      <c r="M104" s="26">
        <v>0</v>
      </c>
      <c r="N104" s="26">
        <v>0</v>
      </c>
      <c r="O104" s="26">
        <v>0</v>
      </c>
      <c r="P104" s="26">
        <v>0</v>
      </c>
      <c r="Q104" s="26">
        <v>0</v>
      </c>
      <c r="R104" s="26">
        <v>0</v>
      </c>
      <c r="S104" s="26">
        <f t="shared" si="23"/>
        <v>-1473062600</v>
      </c>
      <c r="T104" s="26">
        <v>0</v>
      </c>
      <c r="U104" s="26">
        <v>0</v>
      </c>
      <c r="V104" s="26">
        <v>0</v>
      </c>
      <c r="W104" s="26">
        <v>0</v>
      </c>
      <c r="X104" s="26">
        <v>0</v>
      </c>
      <c r="Y104" s="26">
        <v>0</v>
      </c>
      <c r="Z104" s="26">
        <f t="shared" si="22"/>
        <v>0</v>
      </c>
      <c r="AA104" s="98"/>
      <c r="AB104" s="98"/>
      <c r="AC104" s="98"/>
      <c r="AD104" s="98"/>
      <c r="AE104" s="98"/>
      <c r="AF104" s="98"/>
      <c r="AG104" s="98"/>
      <c r="AH104" s="98"/>
      <c r="AI104" s="98"/>
      <c r="AJ104" s="98"/>
      <c r="AK104" s="98"/>
      <c r="AL104" s="98"/>
      <c r="AM104" s="98"/>
      <c r="AN104" s="93"/>
      <c r="AO104" s="93"/>
      <c r="AP104" s="93"/>
      <c r="AQ104" s="93"/>
      <c r="AR104" s="93"/>
      <c r="AS104" s="93"/>
      <c r="AT104" s="93"/>
      <c r="AU104" s="93"/>
      <c r="AV104" s="93"/>
      <c r="AW104" s="93"/>
      <c r="AX104" s="93"/>
      <c r="AY104" s="93"/>
      <c r="AZ104" s="93"/>
      <c r="BA104" s="93"/>
    </row>
    <row r="105" spans="1:53" s="97" customFormat="1" ht="12" customHeight="1">
      <c r="A105" s="8">
        <v>1120116218</v>
      </c>
      <c r="B105" s="8" t="s">
        <v>678</v>
      </c>
      <c r="C105" s="80">
        <f>+VLOOKUP(A105,Clasificaciones!C:I,5,FALSE)</f>
        <v>-2011264759</v>
      </c>
      <c r="D105" s="80">
        <v>0</v>
      </c>
      <c r="E105" s="80">
        <v>0</v>
      </c>
      <c r="F105" s="80">
        <f>+VLOOKUP(A105,Clasificaciones!C:M,9,FALSE)</f>
        <v>-1343245691</v>
      </c>
      <c r="G105" s="80">
        <f t="shared" si="29"/>
        <v>-668019068</v>
      </c>
      <c r="H105" s="26">
        <v>0</v>
      </c>
      <c r="I105" s="26">
        <v>0</v>
      </c>
      <c r="J105" s="26">
        <v>0</v>
      </c>
      <c r="K105" s="26">
        <v>0</v>
      </c>
      <c r="L105" s="26">
        <v>0</v>
      </c>
      <c r="M105" s="26">
        <v>0</v>
      </c>
      <c r="N105" s="26">
        <v>0</v>
      </c>
      <c r="O105" s="26">
        <v>0</v>
      </c>
      <c r="P105" s="26">
        <v>0</v>
      </c>
      <c r="Q105" s="26">
        <v>0</v>
      </c>
      <c r="R105" s="26">
        <v>0</v>
      </c>
      <c r="S105" s="26">
        <f t="shared" si="23"/>
        <v>668019068</v>
      </c>
      <c r="T105" s="26">
        <v>0</v>
      </c>
      <c r="U105" s="26">
        <v>0</v>
      </c>
      <c r="V105" s="26">
        <v>0</v>
      </c>
      <c r="W105" s="26">
        <v>0</v>
      </c>
      <c r="X105" s="26">
        <v>0</v>
      </c>
      <c r="Y105" s="26">
        <v>0</v>
      </c>
      <c r="Z105" s="26">
        <f t="shared" si="22"/>
        <v>0</v>
      </c>
      <c r="AA105" s="95"/>
      <c r="AB105" s="95"/>
      <c r="AC105" s="95"/>
      <c r="AD105" s="95"/>
      <c r="AE105" s="95"/>
      <c r="AF105" s="95"/>
      <c r="AG105" s="95"/>
      <c r="AH105" s="95"/>
      <c r="AI105" s="95"/>
      <c r="AJ105" s="95"/>
      <c r="AK105" s="95"/>
      <c r="AL105" s="95"/>
      <c r="AM105" s="95"/>
      <c r="AN105" s="96"/>
      <c r="AO105" s="96"/>
      <c r="AP105" s="96"/>
      <c r="AQ105" s="96"/>
      <c r="AR105" s="96"/>
      <c r="AS105" s="96"/>
      <c r="AT105" s="96"/>
      <c r="AU105" s="96"/>
      <c r="AV105" s="96"/>
      <c r="AW105" s="96"/>
      <c r="AX105" s="96"/>
      <c r="AY105" s="96"/>
      <c r="AZ105" s="96"/>
      <c r="BA105" s="96"/>
    </row>
    <row r="106" spans="1:53" s="97" customFormat="1" ht="12" customHeight="1">
      <c r="A106" s="8">
        <v>1120116229</v>
      </c>
      <c r="B106" s="8" t="s">
        <v>679</v>
      </c>
      <c r="C106" s="80">
        <f>+VLOOKUP(A106,Clasificaciones!C:I,5,FALSE)</f>
        <v>-106354358</v>
      </c>
      <c r="D106" s="80">
        <v>0</v>
      </c>
      <c r="E106" s="80">
        <v>0</v>
      </c>
      <c r="F106" s="80">
        <f>+VLOOKUP(A106,Clasificaciones!C:M,9,FALSE)</f>
        <v>-40144890</v>
      </c>
      <c r="G106" s="80">
        <f t="shared" si="29"/>
        <v>-66209468</v>
      </c>
      <c r="H106" s="26">
        <v>0</v>
      </c>
      <c r="I106" s="26">
        <v>0</v>
      </c>
      <c r="J106" s="26">
        <v>0</v>
      </c>
      <c r="K106" s="26">
        <v>0</v>
      </c>
      <c r="L106" s="26">
        <v>0</v>
      </c>
      <c r="M106" s="26">
        <v>0</v>
      </c>
      <c r="N106" s="26">
        <v>0</v>
      </c>
      <c r="O106" s="26">
        <v>0</v>
      </c>
      <c r="P106" s="26">
        <v>0</v>
      </c>
      <c r="Q106" s="26">
        <v>0</v>
      </c>
      <c r="R106" s="26">
        <v>0</v>
      </c>
      <c r="S106" s="26">
        <f t="shared" si="23"/>
        <v>66209468</v>
      </c>
      <c r="T106" s="26">
        <v>0</v>
      </c>
      <c r="U106" s="26">
        <v>0</v>
      </c>
      <c r="V106" s="26">
        <v>0</v>
      </c>
      <c r="W106" s="26">
        <v>0</v>
      </c>
      <c r="X106" s="26">
        <v>0</v>
      </c>
      <c r="Y106" s="26">
        <v>0</v>
      </c>
      <c r="Z106" s="26">
        <f t="shared" si="22"/>
        <v>0</v>
      </c>
      <c r="AA106" s="95"/>
      <c r="AB106" s="95"/>
      <c r="AC106" s="95"/>
      <c r="AD106" s="95"/>
      <c r="AE106" s="95"/>
      <c r="AF106" s="95"/>
      <c r="AG106" s="95"/>
      <c r="AH106" s="95"/>
      <c r="AI106" s="95"/>
      <c r="AJ106" s="95"/>
      <c r="AK106" s="95"/>
      <c r="AL106" s="95"/>
      <c r="AM106" s="95"/>
      <c r="AN106" s="96"/>
      <c r="AO106" s="96"/>
      <c r="AP106" s="96"/>
      <c r="AQ106" s="96"/>
      <c r="AR106" s="96"/>
      <c r="AS106" s="96"/>
      <c r="AT106" s="96"/>
      <c r="AU106" s="96"/>
      <c r="AV106" s="96"/>
      <c r="AW106" s="96"/>
      <c r="AX106" s="96"/>
      <c r="AY106" s="96"/>
      <c r="AZ106" s="96"/>
      <c r="BA106" s="96"/>
    </row>
    <row r="107" spans="1:53" s="97" customFormat="1" ht="12" customHeight="1">
      <c r="A107" s="8">
        <v>1120116232</v>
      </c>
      <c r="B107" s="8" t="s">
        <v>931</v>
      </c>
      <c r="C107" s="80">
        <f>+VLOOKUP(A107,Clasificaciones!C:I,5,FALSE)</f>
        <v>-17355684</v>
      </c>
      <c r="D107" s="80">
        <v>0</v>
      </c>
      <c r="E107" s="80">
        <v>0</v>
      </c>
      <c r="F107" s="80">
        <f>+VLOOKUP(A107,Clasificaciones!C:M,9,FALSE)</f>
        <v>0</v>
      </c>
      <c r="G107" s="80">
        <f t="shared" si="29"/>
        <v>-17355684</v>
      </c>
      <c r="H107" s="26">
        <v>0</v>
      </c>
      <c r="I107" s="26">
        <v>0</v>
      </c>
      <c r="J107" s="26">
        <v>0</v>
      </c>
      <c r="K107" s="26">
        <v>0</v>
      </c>
      <c r="L107" s="26">
        <v>0</v>
      </c>
      <c r="M107" s="26">
        <v>0</v>
      </c>
      <c r="N107" s="26">
        <v>0</v>
      </c>
      <c r="O107" s="26">
        <v>0</v>
      </c>
      <c r="P107" s="26">
        <v>0</v>
      </c>
      <c r="Q107" s="26">
        <v>0</v>
      </c>
      <c r="R107" s="26">
        <v>0</v>
      </c>
      <c r="S107" s="26">
        <f t="shared" ref="S107" si="33">-G107</f>
        <v>17355684</v>
      </c>
      <c r="T107" s="26">
        <v>0</v>
      </c>
      <c r="U107" s="26">
        <v>0</v>
      </c>
      <c r="V107" s="26">
        <v>0</v>
      </c>
      <c r="W107" s="26">
        <v>0</v>
      </c>
      <c r="X107" s="26">
        <v>0</v>
      </c>
      <c r="Y107" s="26">
        <v>0</v>
      </c>
      <c r="Z107" s="26">
        <f t="shared" si="22"/>
        <v>0</v>
      </c>
      <c r="AA107" s="95"/>
      <c r="AB107" s="95"/>
      <c r="AC107" s="95"/>
      <c r="AD107" s="95"/>
      <c r="AE107" s="95"/>
      <c r="AF107" s="95"/>
      <c r="AG107" s="95"/>
      <c r="AH107" s="95"/>
      <c r="AI107" s="95"/>
      <c r="AJ107" s="95"/>
      <c r="AK107" s="95"/>
      <c r="AL107" s="95"/>
      <c r="AM107" s="95"/>
      <c r="AN107" s="96"/>
      <c r="AO107" s="96"/>
      <c r="AP107" s="96"/>
      <c r="AQ107" s="96"/>
      <c r="AR107" s="96"/>
      <c r="AS107" s="96"/>
      <c r="AT107" s="96"/>
      <c r="AU107" s="96"/>
      <c r="AV107" s="96"/>
      <c r="AW107" s="96"/>
      <c r="AX107" s="96"/>
      <c r="AY107" s="96"/>
      <c r="AZ107" s="96"/>
      <c r="BA107" s="96"/>
    </row>
    <row r="108" spans="1:53" s="97" customFormat="1" ht="12" customHeight="1">
      <c r="A108" s="8">
        <v>11203</v>
      </c>
      <c r="B108" s="8" t="s">
        <v>150</v>
      </c>
      <c r="C108" s="80">
        <f>+VLOOKUP(A108,Clasificaciones!C:I,5,FALSE)</f>
        <v>0</v>
      </c>
      <c r="D108" s="80">
        <v>0</v>
      </c>
      <c r="E108" s="80">
        <v>0</v>
      </c>
      <c r="F108" s="80">
        <f>+VLOOKUP(A108,Clasificaciones!C:M,9,FALSE)</f>
        <v>0</v>
      </c>
      <c r="G108" s="80">
        <f t="shared" si="29"/>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c r="Z108" s="26">
        <f t="shared" si="22"/>
        <v>0</v>
      </c>
      <c r="AA108" s="95"/>
      <c r="AB108" s="95"/>
      <c r="AC108" s="95"/>
      <c r="AD108" s="95"/>
      <c r="AE108" s="95"/>
      <c r="AF108" s="95"/>
      <c r="AG108" s="95"/>
      <c r="AH108" s="95"/>
      <c r="AI108" s="95"/>
      <c r="AJ108" s="95"/>
      <c r="AK108" s="95"/>
      <c r="AL108" s="95"/>
      <c r="AM108" s="95"/>
      <c r="AN108" s="96"/>
      <c r="AO108" s="96"/>
      <c r="AP108" s="96"/>
      <c r="AQ108" s="96"/>
      <c r="AR108" s="96"/>
      <c r="AS108" s="96"/>
      <c r="AT108" s="96"/>
      <c r="AU108" s="96"/>
      <c r="AV108" s="96"/>
      <c r="AW108" s="96"/>
      <c r="AX108" s="96"/>
      <c r="AY108" s="96"/>
      <c r="AZ108" s="96"/>
      <c r="BA108" s="96"/>
    </row>
    <row r="109" spans="1:53" s="97" customFormat="1" ht="12" customHeight="1">
      <c r="A109" s="8">
        <v>112031</v>
      </c>
      <c r="B109" s="8" t="s">
        <v>680</v>
      </c>
      <c r="C109" s="80">
        <f>+VLOOKUP(A109,Clasificaciones!C:I,5,FALSE)</f>
        <v>0</v>
      </c>
      <c r="D109" s="80">
        <v>0</v>
      </c>
      <c r="E109" s="80">
        <v>0</v>
      </c>
      <c r="F109" s="80">
        <f>+VLOOKUP(A109,Clasificaciones!C:M,9,FALSE)</f>
        <v>0</v>
      </c>
      <c r="G109" s="80">
        <f t="shared" si="29"/>
        <v>0</v>
      </c>
      <c r="H109" s="26">
        <v>0</v>
      </c>
      <c r="I109" s="26">
        <v>0</v>
      </c>
      <c r="J109" s="26">
        <v>0</v>
      </c>
      <c r="K109" s="26">
        <v>0</v>
      </c>
      <c r="L109" s="26">
        <v>0</v>
      </c>
      <c r="M109" s="26">
        <v>0</v>
      </c>
      <c r="N109" s="26">
        <v>0</v>
      </c>
      <c r="O109" s="26">
        <v>0</v>
      </c>
      <c r="P109" s="26">
        <v>0</v>
      </c>
      <c r="Q109" s="26">
        <v>0</v>
      </c>
      <c r="R109" s="26">
        <v>0</v>
      </c>
      <c r="S109" s="26">
        <v>0</v>
      </c>
      <c r="T109" s="26">
        <v>0</v>
      </c>
      <c r="U109" s="26">
        <v>0</v>
      </c>
      <c r="V109" s="26">
        <v>0</v>
      </c>
      <c r="W109" s="26">
        <v>0</v>
      </c>
      <c r="X109" s="26">
        <v>0</v>
      </c>
      <c r="Y109" s="26">
        <v>0</v>
      </c>
      <c r="Z109" s="26">
        <f t="shared" si="22"/>
        <v>0</v>
      </c>
      <c r="AA109" s="95"/>
      <c r="AB109" s="95"/>
      <c r="AC109" s="95"/>
      <c r="AD109" s="95"/>
      <c r="AE109" s="95"/>
      <c r="AF109" s="95"/>
      <c r="AG109" s="95"/>
      <c r="AH109" s="95"/>
      <c r="AI109" s="95"/>
      <c r="AJ109" s="95"/>
      <c r="AK109" s="95"/>
      <c r="AL109" s="95"/>
      <c r="AM109" s="95"/>
      <c r="AN109" s="96"/>
      <c r="AO109" s="96"/>
      <c r="AP109" s="96"/>
      <c r="AQ109" s="96"/>
      <c r="AR109" s="96"/>
      <c r="AS109" s="96"/>
      <c r="AT109" s="96"/>
      <c r="AU109" s="96"/>
      <c r="AV109" s="96"/>
      <c r="AW109" s="96"/>
      <c r="AX109" s="96"/>
      <c r="AY109" s="96"/>
      <c r="AZ109" s="96"/>
      <c r="BA109" s="96"/>
    </row>
    <row r="110" spans="1:53" s="97" customFormat="1" ht="12" customHeight="1">
      <c r="A110" s="8">
        <v>11203101</v>
      </c>
      <c r="B110" s="8" t="s">
        <v>681</v>
      </c>
      <c r="C110" s="80">
        <f>+VLOOKUP(A110,Clasificaciones!C:I,5,FALSE)</f>
        <v>0</v>
      </c>
      <c r="D110" s="80">
        <v>0</v>
      </c>
      <c r="E110" s="80">
        <v>0</v>
      </c>
      <c r="F110" s="80">
        <f>+VLOOKUP(A110,Clasificaciones!C:M,9,FALSE)</f>
        <v>0</v>
      </c>
      <c r="G110" s="80">
        <f t="shared" si="29"/>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f t="shared" si="22"/>
        <v>0</v>
      </c>
      <c r="AA110" s="95"/>
      <c r="AB110" s="95"/>
      <c r="AC110" s="95"/>
      <c r="AD110" s="95"/>
      <c r="AE110" s="95"/>
      <c r="AF110" s="95"/>
      <c r="AG110" s="95"/>
      <c r="AH110" s="95"/>
      <c r="AI110" s="95"/>
      <c r="AJ110" s="95"/>
      <c r="AK110" s="95"/>
      <c r="AL110" s="95"/>
      <c r="AM110" s="95"/>
      <c r="AN110" s="96"/>
      <c r="AO110" s="96"/>
      <c r="AP110" s="96"/>
      <c r="AQ110" s="96"/>
      <c r="AR110" s="96"/>
      <c r="AS110" s="96"/>
      <c r="AT110" s="96"/>
      <c r="AU110" s="96"/>
      <c r="AV110" s="96"/>
      <c r="AW110" s="96"/>
      <c r="AX110" s="96"/>
      <c r="AY110" s="96"/>
      <c r="AZ110" s="96"/>
      <c r="BA110" s="96"/>
    </row>
    <row r="111" spans="1:53" s="97" customFormat="1" ht="12" customHeight="1">
      <c r="A111" s="8">
        <v>1120310101</v>
      </c>
      <c r="B111" s="8" t="s">
        <v>682</v>
      </c>
      <c r="C111" s="80">
        <f>+VLOOKUP(A111,Clasificaciones!C:I,5,FALSE)</f>
        <v>43291000000</v>
      </c>
      <c r="D111" s="80">
        <v>0</v>
      </c>
      <c r="E111" s="80">
        <v>0</v>
      </c>
      <c r="F111" s="80">
        <f>+VLOOKUP(A111,Clasificaciones!C:M,9,FALSE)</f>
        <v>45276000000</v>
      </c>
      <c r="G111" s="80">
        <f t="shared" si="29"/>
        <v>-1985000000</v>
      </c>
      <c r="H111" s="26">
        <v>0</v>
      </c>
      <c r="I111" s="26">
        <v>0</v>
      </c>
      <c r="J111" s="26">
        <v>0</v>
      </c>
      <c r="K111" s="26">
        <v>0</v>
      </c>
      <c r="L111" s="26">
        <v>0</v>
      </c>
      <c r="M111" s="26">
        <v>0</v>
      </c>
      <c r="N111" s="26">
        <v>0</v>
      </c>
      <c r="O111" s="26">
        <v>0</v>
      </c>
      <c r="P111" s="26">
        <v>0</v>
      </c>
      <c r="Q111" s="26">
        <v>0</v>
      </c>
      <c r="R111" s="26">
        <f>-G111</f>
        <v>1985000000</v>
      </c>
      <c r="S111" s="26">
        <v>0</v>
      </c>
      <c r="T111" s="26">
        <v>0</v>
      </c>
      <c r="U111" s="26">
        <v>0</v>
      </c>
      <c r="V111" s="26">
        <v>0</v>
      </c>
      <c r="W111" s="26">
        <v>0</v>
      </c>
      <c r="X111" s="26">
        <v>0</v>
      </c>
      <c r="Y111" s="26">
        <v>0</v>
      </c>
      <c r="Z111" s="26">
        <f t="shared" si="22"/>
        <v>0</v>
      </c>
      <c r="AA111" s="95"/>
      <c r="AB111" s="95"/>
      <c r="AC111" s="95"/>
      <c r="AD111" s="95"/>
      <c r="AE111" s="95"/>
      <c r="AF111" s="95"/>
      <c r="AG111" s="95"/>
      <c r="AH111" s="95"/>
      <c r="AI111" s="95"/>
      <c r="AJ111" s="95"/>
      <c r="AK111" s="95"/>
      <c r="AL111" s="95"/>
      <c r="AM111" s="95"/>
      <c r="AN111" s="96"/>
      <c r="AO111" s="96"/>
      <c r="AP111" s="96"/>
      <c r="AQ111" s="96"/>
      <c r="AR111" s="96"/>
      <c r="AS111" s="96"/>
      <c r="AT111" s="96"/>
      <c r="AU111" s="96"/>
      <c r="AV111" s="96"/>
      <c r="AW111" s="96"/>
      <c r="AX111" s="96"/>
      <c r="AY111" s="96"/>
      <c r="AZ111" s="96"/>
      <c r="BA111" s="96"/>
    </row>
    <row r="112" spans="1:53" s="97" customFormat="1" ht="12" customHeight="1">
      <c r="A112" s="8">
        <v>1120310102</v>
      </c>
      <c r="B112" s="8" t="s">
        <v>683</v>
      </c>
      <c r="C112" s="80">
        <f>+VLOOKUP(A112,Clasificaciones!C:I,5,FALSE)</f>
        <v>105051587654</v>
      </c>
      <c r="D112" s="80">
        <v>0</v>
      </c>
      <c r="E112" s="80">
        <v>0</v>
      </c>
      <c r="F112" s="80">
        <f>+VLOOKUP(A112,Clasificaciones!C:M,9,FALSE)</f>
        <v>5125624260</v>
      </c>
      <c r="G112" s="80">
        <f>+C112-F112+D112-E112</f>
        <v>99925963394</v>
      </c>
      <c r="H112" s="26">
        <v>0</v>
      </c>
      <c r="I112" s="26">
        <v>0</v>
      </c>
      <c r="J112" s="26">
        <v>0</v>
      </c>
      <c r="K112" s="26">
        <v>0</v>
      </c>
      <c r="L112" s="26">
        <v>0</v>
      </c>
      <c r="M112" s="26">
        <v>0</v>
      </c>
      <c r="N112" s="26">
        <v>0</v>
      </c>
      <c r="O112" s="26">
        <v>0</v>
      </c>
      <c r="P112" s="26">
        <v>0</v>
      </c>
      <c r="Q112" s="26">
        <v>0</v>
      </c>
      <c r="R112" s="26">
        <f>-G112</f>
        <v>-99925963394</v>
      </c>
      <c r="S112" s="26">
        <v>0</v>
      </c>
      <c r="T112" s="26">
        <v>0</v>
      </c>
      <c r="U112" s="26">
        <v>0</v>
      </c>
      <c r="V112" s="26">
        <v>0</v>
      </c>
      <c r="W112" s="26">
        <v>0</v>
      </c>
      <c r="X112" s="26">
        <v>0</v>
      </c>
      <c r="Y112" s="26">
        <v>0</v>
      </c>
      <c r="Z112" s="26">
        <f t="shared" si="22"/>
        <v>0</v>
      </c>
      <c r="AA112" s="95"/>
      <c r="AB112" s="95"/>
      <c r="AC112" s="95"/>
      <c r="AD112" s="95"/>
      <c r="AE112" s="95"/>
      <c r="AF112" s="95"/>
      <c r="AG112" s="95"/>
      <c r="AH112" s="95"/>
      <c r="AI112" s="95"/>
      <c r="AJ112" s="95"/>
      <c r="AK112" s="95"/>
      <c r="AL112" s="95"/>
      <c r="AM112" s="95"/>
      <c r="AN112" s="96"/>
      <c r="AO112" s="96"/>
      <c r="AP112" s="96"/>
      <c r="AQ112" s="96"/>
      <c r="AR112" s="96"/>
      <c r="AS112" s="96"/>
      <c r="AT112" s="96"/>
      <c r="AU112" s="96"/>
      <c r="AV112" s="96"/>
      <c r="AW112" s="96"/>
      <c r="AX112" s="96"/>
      <c r="AY112" s="96"/>
      <c r="AZ112" s="96"/>
      <c r="BA112" s="96"/>
    </row>
    <row r="113" spans="1:53" s="97" customFormat="1" ht="12" customHeight="1">
      <c r="A113" s="8">
        <v>1120310103</v>
      </c>
      <c r="B113" s="8" t="s">
        <v>1184</v>
      </c>
      <c r="C113" s="80">
        <f>+VLOOKUP(A113,Clasificaciones!C:I,5,FALSE)</f>
        <v>9850000000</v>
      </c>
      <c r="D113" s="80">
        <v>0</v>
      </c>
      <c r="E113" s="80">
        <v>0</v>
      </c>
      <c r="F113" s="80">
        <f>+VLOOKUP(A113,Clasificaciones!C:M,9,FALSE)</f>
        <v>4000000000</v>
      </c>
      <c r="G113" s="80">
        <f t="shared" ref="G113:G116" si="34">+C113-F113+D113-E113</f>
        <v>5850000000</v>
      </c>
      <c r="H113" s="26">
        <v>0</v>
      </c>
      <c r="I113" s="26">
        <v>0</v>
      </c>
      <c r="J113" s="26">
        <v>0</v>
      </c>
      <c r="K113" s="26">
        <v>0</v>
      </c>
      <c r="L113" s="26">
        <v>0</v>
      </c>
      <c r="M113" s="26">
        <v>0</v>
      </c>
      <c r="N113" s="26">
        <v>0</v>
      </c>
      <c r="O113" s="26">
        <v>0</v>
      </c>
      <c r="P113" s="26">
        <v>0</v>
      </c>
      <c r="Q113" s="26">
        <v>0</v>
      </c>
      <c r="R113" s="26">
        <f>-G113</f>
        <v>-5850000000</v>
      </c>
      <c r="S113" s="26">
        <v>0</v>
      </c>
      <c r="T113" s="26">
        <v>0</v>
      </c>
      <c r="U113" s="26">
        <v>0</v>
      </c>
      <c r="V113" s="26">
        <v>0</v>
      </c>
      <c r="W113" s="26">
        <v>0</v>
      </c>
      <c r="X113" s="26">
        <v>0</v>
      </c>
      <c r="Y113" s="26">
        <v>0</v>
      </c>
      <c r="Z113" s="26">
        <f t="shared" si="22"/>
        <v>0</v>
      </c>
      <c r="AA113" s="95"/>
      <c r="AB113" s="95"/>
      <c r="AC113" s="95"/>
      <c r="AD113" s="95"/>
      <c r="AE113" s="95"/>
      <c r="AF113" s="95"/>
      <c r="AG113" s="95"/>
      <c r="AH113" s="95"/>
      <c r="AI113" s="95"/>
      <c r="AJ113" s="95"/>
      <c r="AK113" s="95"/>
      <c r="AL113" s="95"/>
      <c r="AM113" s="95"/>
      <c r="AN113" s="96"/>
      <c r="AO113" s="96"/>
      <c r="AP113" s="96"/>
      <c r="AQ113" s="96"/>
      <c r="AR113" s="96"/>
      <c r="AS113" s="96"/>
      <c r="AT113" s="96"/>
      <c r="AU113" s="96"/>
      <c r="AV113" s="96"/>
      <c r="AW113" s="96"/>
      <c r="AX113" s="96"/>
      <c r="AY113" s="96"/>
      <c r="AZ113" s="96"/>
      <c r="BA113" s="96"/>
    </row>
    <row r="114" spans="1:53" s="97" customFormat="1" ht="12" customHeight="1">
      <c r="A114" s="8">
        <v>1120310104</v>
      </c>
      <c r="B114" s="8" t="s">
        <v>1269</v>
      </c>
      <c r="C114" s="80">
        <f>+VLOOKUP(A114,Clasificaciones!C:I,5,FALSE)</f>
        <v>0</v>
      </c>
      <c r="D114" s="80">
        <v>0</v>
      </c>
      <c r="E114" s="80">
        <v>0</v>
      </c>
      <c r="F114" s="80">
        <f>+VLOOKUP(A114,Clasificaciones!C:M,9,FALSE)</f>
        <v>16787697422</v>
      </c>
      <c r="G114" s="80">
        <f t="shared" ref="G114:G115" si="35">+C114-F114+D114-E114</f>
        <v>-16787697422</v>
      </c>
      <c r="H114" s="26">
        <v>0</v>
      </c>
      <c r="I114" s="26">
        <v>0</v>
      </c>
      <c r="J114" s="26">
        <v>0</v>
      </c>
      <c r="K114" s="26">
        <v>0</v>
      </c>
      <c r="L114" s="26">
        <v>0</v>
      </c>
      <c r="M114" s="26">
        <v>0</v>
      </c>
      <c r="N114" s="26">
        <v>0</v>
      </c>
      <c r="O114" s="26">
        <v>0</v>
      </c>
      <c r="P114" s="26">
        <v>0</v>
      </c>
      <c r="Q114" s="26">
        <v>0</v>
      </c>
      <c r="R114" s="26">
        <f>-G114</f>
        <v>16787697422</v>
      </c>
      <c r="S114" s="26">
        <v>0</v>
      </c>
      <c r="T114" s="26">
        <v>0</v>
      </c>
      <c r="U114" s="26">
        <v>0</v>
      </c>
      <c r="V114" s="26">
        <v>0</v>
      </c>
      <c r="W114" s="26">
        <v>0</v>
      </c>
      <c r="X114" s="26">
        <v>0</v>
      </c>
      <c r="Y114" s="26">
        <v>0</v>
      </c>
      <c r="Z114" s="26">
        <f t="shared" si="22"/>
        <v>0</v>
      </c>
      <c r="AA114" s="95"/>
      <c r="AB114" s="95"/>
      <c r="AC114" s="95"/>
      <c r="AD114" s="95"/>
      <c r="AE114" s="95"/>
      <c r="AF114" s="95"/>
      <c r="AG114" s="95"/>
      <c r="AH114" s="95"/>
      <c r="AI114" s="95"/>
      <c r="AJ114" s="95"/>
      <c r="AK114" s="95"/>
      <c r="AL114" s="95"/>
      <c r="AM114" s="95"/>
      <c r="AN114" s="96"/>
      <c r="AO114" s="96"/>
      <c r="AP114" s="96"/>
      <c r="AQ114" s="96"/>
      <c r="AR114" s="96"/>
      <c r="AS114" s="96"/>
      <c r="AT114" s="96"/>
      <c r="AU114" s="96"/>
      <c r="AV114" s="96"/>
      <c r="AW114" s="96"/>
      <c r="AX114" s="96"/>
      <c r="AY114" s="96"/>
      <c r="AZ114" s="96"/>
      <c r="BA114" s="96"/>
    </row>
    <row r="115" spans="1:53" s="97" customFormat="1" ht="12" customHeight="1">
      <c r="A115" s="8">
        <v>112032</v>
      </c>
      <c r="B115" s="8" t="s">
        <v>941</v>
      </c>
      <c r="C115" s="80">
        <f>+VLOOKUP(A115,Clasificaciones!C:I,5,FALSE)</f>
        <v>0</v>
      </c>
      <c r="D115" s="80">
        <v>0</v>
      </c>
      <c r="E115" s="80">
        <v>0</v>
      </c>
      <c r="F115" s="80">
        <f>+VLOOKUP(A115,Clasificaciones!C:M,9,FALSE)</f>
        <v>0</v>
      </c>
      <c r="G115" s="80">
        <f t="shared" si="35"/>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f t="shared" ref="Z115" si="36">SUM(G115:Y115)</f>
        <v>0</v>
      </c>
      <c r="AA115" s="95"/>
      <c r="AB115" s="95"/>
      <c r="AC115" s="95"/>
      <c r="AD115" s="95"/>
      <c r="AE115" s="95"/>
      <c r="AF115" s="95"/>
      <c r="AG115" s="95"/>
      <c r="AH115" s="95"/>
      <c r="AI115" s="95"/>
      <c r="AJ115" s="95"/>
      <c r="AK115" s="95"/>
      <c r="AL115" s="95"/>
      <c r="AM115" s="95"/>
      <c r="AN115" s="96"/>
      <c r="AO115" s="96"/>
      <c r="AP115" s="96"/>
      <c r="AQ115" s="96"/>
      <c r="AR115" s="96"/>
      <c r="AS115" s="96"/>
      <c r="AT115" s="96"/>
      <c r="AU115" s="96"/>
      <c r="AV115" s="96"/>
      <c r="AW115" s="96"/>
      <c r="AX115" s="96"/>
      <c r="AY115" s="96"/>
      <c r="AZ115" s="96"/>
      <c r="BA115" s="96"/>
    </row>
    <row r="116" spans="1:53" s="97" customFormat="1" ht="12" customHeight="1">
      <c r="A116" s="8">
        <v>11203201</v>
      </c>
      <c r="B116" s="8" t="s">
        <v>941</v>
      </c>
      <c r="C116" s="80">
        <f>+VLOOKUP(A116,Clasificaciones!C:I,5,FALSE)</f>
        <v>0</v>
      </c>
      <c r="D116" s="80">
        <v>0</v>
      </c>
      <c r="E116" s="80">
        <v>0</v>
      </c>
      <c r="F116" s="80">
        <f>+VLOOKUP(A116,Clasificaciones!C:M,9,FALSE)</f>
        <v>0</v>
      </c>
      <c r="G116" s="80">
        <f t="shared" si="34"/>
        <v>0</v>
      </c>
      <c r="H116" s="26">
        <v>0</v>
      </c>
      <c r="I116" s="26">
        <v>0</v>
      </c>
      <c r="J116" s="26">
        <v>0</v>
      </c>
      <c r="K116" s="26">
        <v>0</v>
      </c>
      <c r="L116" s="26">
        <v>0</v>
      </c>
      <c r="M116" s="26">
        <v>0</v>
      </c>
      <c r="N116" s="26">
        <v>0</v>
      </c>
      <c r="O116" s="26">
        <v>0</v>
      </c>
      <c r="P116" s="26">
        <v>0</v>
      </c>
      <c r="Q116" s="26">
        <v>0</v>
      </c>
      <c r="R116" s="26">
        <f t="shared" ref="R116:R127" si="37">-G116</f>
        <v>0</v>
      </c>
      <c r="S116" s="26">
        <v>0</v>
      </c>
      <c r="T116" s="26">
        <v>0</v>
      </c>
      <c r="U116" s="26">
        <v>0</v>
      </c>
      <c r="V116" s="26">
        <v>0</v>
      </c>
      <c r="W116" s="26">
        <v>0</v>
      </c>
      <c r="X116" s="26">
        <v>0</v>
      </c>
      <c r="Y116" s="26">
        <v>0</v>
      </c>
      <c r="Z116" s="26">
        <f t="shared" si="22"/>
        <v>0</v>
      </c>
      <c r="AA116" s="95"/>
      <c r="AB116" s="95"/>
      <c r="AC116" s="95"/>
      <c r="AD116" s="95"/>
      <c r="AE116" s="95"/>
      <c r="AF116" s="95"/>
      <c r="AG116" s="95"/>
      <c r="AH116" s="95"/>
      <c r="AI116" s="95"/>
      <c r="AJ116" s="95"/>
      <c r="AK116" s="95"/>
      <c r="AL116" s="95"/>
      <c r="AM116" s="95"/>
      <c r="AN116" s="96"/>
      <c r="AO116" s="96"/>
      <c r="AP116" s="96"/>
      <c r="AQ116" s="96"/>
      <c r="AR116" s="96"/>
      <c r="AS116" s="96"/>
      <c r="AT116" s="96"/>
      <c r="AU116" s="96"/>
      <c r="AV116" s="96"/>
      <c r="AW116" s="96"/>
      <c r="AX116" s="96"/>
      <c r="AY116" s="96"/>
      <c r="AZ116" s="96"/>
      <c r="BA116" s="96"/>
    </row>
    <row r="117" spans="1:53" s="97" customFormat="1" ht="12" customHeight="1">
      <c r="A117" s="8">
        <v>1120320114</v>
      </c>
      <c r="B117" s="8" t="s">
        <v>779</v>
      </c>
      <c r="C117" s="80">
        <f>+VLOOKUP(A117,Clasificaciones!C:I,5,FALSE)</f>
        <v>0</v>
      </c>
      <c r="D117" s="80">
        <v>0</v>
      </c>
      <c r="E117" s="80">
        <v>0</v>
      </c>
      <c r="F117" s="80">
        <f>+VLOOKUP(A117,Clasificaciones!C:M,9,FALSE)</f>
        <v>63246150</v>
      </c>
      <c r="G117" s="80">
        <f>+C117-F117+D117-E117</f>
        <v>-63246150</v>
      </c>
      <c r="H117" s="26">
        <v>0</v>
      </c>
      <c r="I117" s="26">
        <v>0</v>
      </c>
      <c r="J117" s="26">
        <v>0</v>
      </c>
      <c r="K117" s="26">
        <v>0</v>
      </c>
      <c r="L117" s="26">
        <v>0</v>
      </c>
      <c r="M117" s="26">
        <v>0</v>
      </c>
      <c r="N117" s="26">
        <v>0</v>
      </c>
      <c r="O117" s="26">
        <v>0</v>
      </c>
      <c r="P117" s="26">
        <v>0</v>
      </c>
      <c r="Q117" s="26">
        <v>0</v>
      </c>
      <c r="R117" s="26">
        <f t="shared" si="37"/>
        <v>63246150</v>
      </c>
      <c r="S117" s="26">
        <v>0</v>
      </c>
      <c r="T117" s="26">
        <v>0</v>
      </c>
      <c r="U117" s="26">
        <v>0</v>
      </c>
      <c r="V117" s="26">
        <v>0</v>
      </c>
      <c r="W117" s="26">
        <v>0</v>
      </c>
      <c r="X117" s="26">
        <v>0</v>
      </c>
      <c r="Y117" s="26">
        <v>0</v>
      </c>
      <c r="Z117" s="26">
        <f t="shared" si="22"/>
        <v>0</v>
      </c>
      <c r="AA117" s="95"/>
      <c r="AB117" s="95"/>
      <c r="AC117" s="95"/>
      <c r="AD117" s="95"/>
      <c r="AE117" s="95"/>
      <c r="AF117" s="95"/>
      <c r="AG117" s="95"/>
      <c r="AH117" s="95"/>
      <c r="AI117" s="95"/>
      <c r="AJ117" s="95"/>
      <c r="AK117" s="95"/>
      <c r="AL117" s="95"/>
      <c r="AM117" s="95"/>
      <c r="AN117" s="96"/>
      <c r="AO117" s="96"/>
      <c r="AP117" s="96"/>
      <c r="AQ117" s="96"/>
      <c r="AR117" s="96"/>
      <c r="AS117" s="96"/>
      <c r="AT117" s="96"/>
      <c r="AU117" s="96"/>
      <c r="AV117" s="96"/>
      <c r="AW117" s="96"/>
      <c r="AX117" s="96"/>
      <c r="AY117" s="96"/>
      <c r="AZ117" s="96"/>
      <c r="BA117" s="96"/>
    </row>
    <row r="118" spans="1:53" s="97" customFormat="1" ht="12" customHeight="1">
      <c r="A118" s="8">
        <v>1120320104</v>
      </c>
      <c r="B118" s="8" t="s">
        <v>766</v>
      </c>
      <c r="C118" s="80">
        <f>+VLOOKUP(A118,Clasificaciones!C:I,5,FALSE)</f>
        <v>633370061</v>
      </c>
      <c r="D118" s="80">
        <v>0</v>
      </c>
      <c r="E118" s="80">
        <v>0</v>
      </c>
      <c r="F118" s="80">
        <f>+VLOOKUP(A118,Clasificaciones!C:M,9,FALSE)</f>
        <v>0</v>
      </c>
      <c r="G118" s="80">
        <f t="shared" ref="G118" si="38">+C118-F118+D118-E118</f>
        <v>633370061</v>
      </c>
      <c r="H118" s="26">
        <v>0</v>
      </c>
      <c r="I118" s="26">
        <v>0</v>
      </c>
      <c r="J118" s="26">
        <v>0</v>
      </c>
      <c r="K118" s="26">
        <v>0</v>
      </c>
      <c r="L118" s="26">
        <v>0</v>
      </c>
      <c r="M118" s="26">
        <v>0</v>
      </c>
      <c r="N118" s="26">
        <v>0</v>
      </c>
      <c r="O118" s="26">
        <v>0</v>
      </c>
      <c r="P118" s="26">
        <v>0</v>
      </c>
      <c r="Q118" s="26">
        <v>0</v>
      </c>
      <c r="R118" s="26">
        <f t="shared" ref="R118" si="39">-G118</f>
        <v>-633370061</v>
      </c>
      <c r="S118" s="26">
        <v>0</v>
      </c>
      <c r="T118" s="26">
        <v>0</v>
      </c>
      <c r="U118" s="26">
        <v>0</v>
      </c>
      <c r="V118" s="26">
        <v>0</v>
      </c>
      <c r="W118" s="26">
        <v>0</v>
      </c>
      <c r="X118" s="26">
        <v>0</v>
      </c>
      <c r="Y118" s="26">
        <v>0</v>
      </c>
      <c r="Z118" s="26">
        <f t="shared" ref="Z118" si="40">SUM(G118:Y118)</f>
        <v>0</v>
      </c>
      <c r="AA118" s="95"/>
      <c r="AB118" s="95"/>
      <c r="AC118" s="95"/>
      <c r="AD118" s="95"/>
      <c r="AE118" s="95"/>
      <c r="AF118" s="95"/>
      <c r="AG118" s="95"/>
      <c r="AH118" s="95"/>
      <c r="AI118" s="95"/>
      <c r="AJ118" s="95"/>
      <c r="AK118" s="95"/>
      <c r="AL118" s="95"/>
      <c r="AM118" s="95"/>
      <c r="AN118" s="96"/>
      <c r="AO118" s="96"/>
      <c r="AP118" s="96"/>
      <c r="AQ118" s="96"/>
      <c r="AR118" s="96"/>
      <c r="AS118" s="96"/>
      <c r="AT118" s="96"/>
      <c r="AU118" s="96"/>
      <c r="AV118" s="96"/>
      <c r="AW118" s="96"/>
      <c r="AX118" s="96"/>
      <c r="AY118" s="96"/>
      <c r="AZ118" s="96"/>
      <c r="BA118" s="96"/>
    </row>
    <row r="119" spans="1:53" s="97" customFormat="1" ht="12" customHeight="1">
      <c r="A119" s="8">
        <v>1120320107</v>
      </c>
      <c r="B119" s="8" t="s">
        <v>515</v>
      </c>
      <c r="C119" s="80">
        <f>+VLOOKUP(A119,Clasificaciones!C:I,5,FALSE)</f>
        <v>0</v>
      </c>
      <c r="D119" s="80">
        <v>0</v>
      </c>
      <c r="E119" s="80">
        <v>0</v>
      </c>
      <c r="F119" s="80">
        <f>+VLOOKUP(A119,Clasificaciones!C:M,9,FALSE)</f>
        <v>0</v>
      </c>
      <c r="G119" s="80">
        <f t="shared" ref="G119:G128" si="41">+C119-F119+D119-E119</f>
        <v>0</v>
      </c>
      <c r="H119" s="26">
        <v>0</v>
      </c>
      <c r="I119" s="26">
        <v>0</v>
      </c>
      <c r="J119" s="26">
        <v>0</v>
      </c>
      <c r="K119" s="26">
        <v>0</v>
      </c>
      <c r="L119" s="26">
        <v>0</v>
      </c>
      <c r="M119" s="26">
        <v>0</v>
      </c>
      <c r="N119" s="26">
        <v>0</v>
      </c>
      <c r="O119" s="26">
        <v>0</v>
      </c>
      <c r="P119" s="26">
        <v>0</v>
      </c>
      <c r="Q119" s="26">
        <v>0</v>
      </c>
      <c r="R119" s="26">
        <f t="shared" si="37"/>
        <v>0</v>
      </c>
      <c r="S119" s="26">
        <v>0</v>
      </c>
      <c r="T119" s="26">
        <v>0</v>
      </c>
      <c r="U119" s="26">
        <v>0</v>
      </c>
      <c r="V119" s="26">
        <v>0</v>
      </c>
      <c r="W119" s="26">
        <v>0</v>
      </c>
      <c r="X119" s="26">
        <v>0</v>
      </c>
      <c r="Y119" s="26">
        <v>0</v>
      </c>
      <c r="Z119" s="26">
        <f t="shared" si="22"/>
        <v>0</v>
      </c>
      <c r="AA119" s="95"/>
      <c r="AB119" s="95"/>
      <c r="AC119" s="95"/>
      <c r="AD119" s="95"/>
      <c r="AE119" s="95"/>
      <c r="AF119" s="95"/>
      <c r="AG119" s="95"/>
      <c r="AH119" s="95"/>
      <c r="AI119" s="95"/>
      <c r="AJ119" s="95"/>
      <c r="AK119" s="95"/>
      <c r="AL119" s="95"/>
      <c r="AM119" s="95"/>
      <c r="AN119" s="96"/>
      <c r="AO119" s="96"/>
      <c r="AP119" s="96"/>
      <c r="AQ119" s="96"/>
      <c r="AR119" s="96"/>
      <c r="AS119" s="96"/>
      <c r="AT119" s="96"/>
      <c r="AU119" s="96"/>
      <c r="AV119" s="96"/>
      <c r="AW119" s="96"/>
      <c r="AX119" s="96"/>
      <c r="AY119" s="96"/>
      <c r="AZ119" s="96"/>
      <c r="BA119" s="96"/>
    </row>
    <row r="120" spans="1:53" s="97" customFormat="1" ht="12" customHeight="1">
      <c r="A120" s="8">
        <v>1120320108</v>
      </c>
      <c r="B120" s="8" t="s">
        <v>769</v>
      </c>
      <c r="C120" s="80">
        <f>+VLOOKUP(A120,Clasificaciones!C:I,5,FALSE)</f>
        <v>320021925</v>
      </c>
      <c r="D120" s="80">
        <v>0</v>
      </c>
      <c r="E120" s="80">
        <v>0</v>
      </c>
      <c r="F120" s="80">
        <f>+VLOOKUP(A120,Clasificaciones!C:M,9,FALSE)</f>
        <v>0</v>
      </c>
      <c r="G120" s="80">
        <f t="shared" ref="G120" si="42">+C120-F120+D120-E120</f>
        <v>320021925</v>
      </c>
      <c r="H120" s="26">
        <v>0</v>
      </c>
      <c r="I120" s="26">
        <v>0</v>
      </c>
      <c r="J120" s="26">
        <v>0</v>
      </c>
      <c r="K120" s="26">
        <v>0</v>
      </c>
      <c r="L120" s="26">
        <v>0</v>
      </c>
      <c r="M120" s="26">
        <v>0</v>
      </c>
      <c r="N120" s="26">
        <v>0</v>
      </c>
      <c r="O120" s="26">
        <v>0</v>
      </c>
      <c r="P120" s="26">
        <v>0</v>
      </c>
      <c r="Q120" s="26">
        <v>0</v>
      </c>
      <c r="R120" s="26">
        <f t="shared" ref="R120" si="43">-G120</f>
        <v>-320021925</v>
      </c>
      <c r="S120" s="26">
        <v>0</v>
      </c>
      <c r="T120" s="26">
        <v>0</v>
      </c>
      <c r="U120" s="26">
        <v>0</v>
      </c>
      <c r="V120" s="26">
        <v>0</v>
      </c>
      <c r="W120" s="26">
        <v>0</v>
      </c>
      <c r="X120" s="26">
        <v>0</v>
      </c>
      <c r="Y120" s="26">
        <v>0</v>
      </c>
      <c r="Z120" s="26">
        <f t="shared" ref="Z120" si="44">SUM(G120:Y120)</f>
        <v>0</v>
      </c>
      <c r="AA120" s="95"/>
      <c r="AB120" s="95"/>
      <c r="AC120" s="95"/>
      <c r="AD120" s="95"/>
      <c r="AE120" s="95"/>
      <c r="AF120" s="95"/>
      <c r="AG120" s="95"/>
      <c r="AH120" s="95"/>
      <c r="AI120" s="95"/>
      <c r="AJ120" s="95"/>
      <c r="AK120" s="95"/>
      <c r="AL120" s="95"/>
      <c r="AM120" s="95"/>
      <c r="AN120" s="96"/>
      <c r="AO120" s="96"/>
      <c r="AP120" s="96"/>
      <c r="AQ120" s="96"/>
      <c r="AR120" s="96"/>
      <c r="AS120" s="96"/>
      <c r="AT120" s="96"/>
      <c r="AU120" s="96"/>
      <c r="AV120" s="96"/>
      <c r="AW120" s="96"/>
      <c r="AX120" s="96"/>
      <c r="AY120" s="96"/>
      <c r="AZ120" s="96"/>
      <c r="BA120" s="96"/>
    </row>
    <row r="121" spans="1:53" s="97" customFormat="1" ht="12" customHeight="1">
      <c r="A121" s="8">
        <v>1120320117</v>
      </c>
      <c r="B121" s="8" t="s">
        <v>773</v>
      </c>
      <c r="C121" s="80">
        <f>+VLOOKUP(A121,Clasificaciones!C:I,5,FALSE)</f>
        <v>25000000</v>
      </c>
      <c r="D121" s="80">
        <v>0</v>
      </c>
      <c r="E121" s="80">
        <v>0</v>
      </c>
      <c r="F121" s="80">
        <f>+VLOOKUP(A121,Clasificaciones!C:M,9,FALSE)</f>
        <v>0</v>
      </c>
      <c r="G121" s="80">
        <f t="shared" ref="G121" si="45">+C121-F121+D121-E121</f>
        <v>25000000</v>
      </c>
      <c r="H121" s="26">
        <v>0</v>
      </c>
      <c r="I121" s="26">
        <v>0</v>
      </c>
      <c r="J121" s="26">
        <v>0</v>
      </c>
      <c r="K121" s="26">
        <v>0</v>
      </c>
      <c r="L121" s="26">
        <v>0</v>
      </c>
      <c r="M121" s="26">
        <v>0</v>
      </c>
      <c r="N121" s="26">
        <v>0</v>
      </c>
      <c r="O121" s="26">
        <v>0</v>
      </c>
      <c r="P121" s="26">
        <v>0</v>
      </c>
      <c r="Q121" s="26">
        <v>0</v>
      </c>
      <c r="R121" s="26">
        <f t="shared" ref="R121" si="46">-G121</f>
        <v>-25000000</v>
      </c>
      <c r="S121" s="26">
        <v>0</v>
      </c>
      <c r="T121" s="26">
        <v>0</v>
      </c>
      <c r="U121" s="26">
        <v>0</v>
      </c>
      <c r="V121" s="26">
        <v>0</v>
      </c>
      <c r="W121" s="26">
        <v>0</v>
      </c>
      <c r="X121" s="26">
        <v>0</v>
      </c>
      <c r="Y121" s="26">
        <v>0</v>
      </c>
      <c r="Z121" s="26">
        <f t="shared" ref="Z121" si="47">SUM(G121:Y121)</f>
        <v>0</v>
      </c>
      <c r="AA121" s="95"/>
      <c r="AB121" s="95"/>
      <c r="AC121" s="95"/>
      <c r="AD121" s="95"/>
      <c r="AE121" s="95"/>
      <c r="AF121" s="95"/>
      <c r="AG121" s="95"/>
      <c r="AH121" s="95"/>
      <c r="AI121" s="95"/>
      <c r="AJ121" s="95"/>
      <c r="AK121" s="95"/>
      <c r="AL121" s="95"/>
      <c r="AM121" s="95"/>
      <c r="AN121" s="96"/>
      <c r="AO121" s="96"/>
      <c r="AP121" s="96"/>
      <c r="AQ121" s="96"/>
      <c r="AR121" s="96"/>
      <c r="AS121" s="96"/>
      <c r="AT121" s="96"/>
      <c r="AU121" s="96"/>
      <c r="AV121" s="96"/>
      <c r="AW121" s="96"/>
      <c r="AX121" s="96"/>
      <c r="AY121" s="96"/>
      <c r="AZ121" s="96"/>
      <c r="BA121" s="96"/>
    </row>
    <row r="122" spans="1:53" s="97" customFormat="1" ht="12" customHeight="1">
      <c r="A122" s="8">
        <v>11203202</v>
      </c>
      <c r="B122" s="8" t="s">
        <v>1225</v>
      </c>
      <c r="C122" s="80">
        <f>+VLOOKUP(A122,Clasificaciones!C:I,5,FALSE)</f>
        <v>0</v>
      </c>
      <c r="D122" s="80">
        <v>0</v>
      </c>
      <c r="E122" s="80">
        <v>0</v>
      </c>
      <c r="F122" s="80">
        <f>+VLOOKUP(A122,Clasificaciones!C:M,9,FALSE)</f>
        <v>0</v>
      </c>
      <c r="G122" s="80">
        <f t="shared" si="41"/>
        <v>0</v>
      </c>
      <c r="H122" s="26">
        <v>0</v>
      </c>
      <c r="I122" s="26">
        <v>0</v>
      </c>
      <c r="J122" s="26">
        <v>0</v>
      </c>
      <c r="K122" s="26">
        <v>0</v>
      </c>
      <c r="L122" s="26">
        <v>0</v>
      </c>
      <c r="M122" s="26">
        <v>0</v>
      </c>
      <c r="N122" s="26">
        <v>0</v>
      </c>
      <c r="O122" s="26">
        <v>0</v>
      </c>
      <c r="P122" s="26">
        <v>0</v>
      </c>
      <c r="Q122" s="26">
        <v>0</v>
      </c>
      <c r="R122" s="26">
        <f t="shared" si="37"/>
        <v>0</v>
      </c>
      <c r="S122" s="26">
        <v>0</v>
      </c>
      <c r="T122" s="26">
        <v>0</v>
      </c>
      <c r="U122" s="26">
        <v>0</v>
      </c>
      <c r="V122" s="26">
        <v>0</v>
      </c>
      <c r="W122" s="26">
        <v>0</v>
      </c>
      <c r="X122" s="26">
        <v>0</v>
      </c>
      <c r="Y122" s="26">
        <v>0</v>
      </c>
      <c r="Z122" s="26">
        <f t="shared" si="22"/>
        <v>0</v>
      </c>
      <c r="AA122" s="95"/>
      <c r="AB122" s="95"/>
      <c r="AC122" s="95"/>
      <c r="AD122" s="95"/>
      <c r="AE122" s="95"/>
      <c r="AF122" s="95"/>
      <c r="AG122" s="95"/>
      <c r="AH122" s="95"/>
      <c r="AI122" s="95"/>
      <c r="AJ122" s="95"/>
      <c r="AK122" s="95"/>
      <c r="AL122" s="95"/>
      <c r="AM122" s="95"/>
      <c r="AN122" s="96"/>
      <c r="AO122" s="96"/>
      <c r="AP122" s="96"/>
      <c r="AQ122" s="96"/>
      <c r="AR122" s="96"/>
      <c r="AS122" s="96"/>
      <c r="AT122" s="96"/>
      <c r="AU122" s="96"/>
      <c r="AV122" s="96"/>
      <c r="AW122" s="96"/>
      <c r="AX122" s="96"/>
      <c r="AY122" s="96"/>
      <c r="AZ122" s="96"/>
      <c r="BA122" s="96"/>
    </row>
    <row r="123" spans="1:53" s="97" customFormat="1" ht="12" customHeight="1">
      <c r="A123" s="8">
        <v>1120320201</v>
      </c>
      <c r="B123" s="8" t="s">
        <v>945</v>
      </c>
      <c r="C123" s="80">
        <f>+VLOOKUP(A123,Clasificaciones!C:I,5,FALSE)</f>
        <v>2375000</v>
      </c>
      <c r="D123" s="80">
        <v>0</v>
      </c>
      <c r="E123" s="80">
        <v>0</v>
      </c>
      <c r="F123" s="80">
        <f>+VLOOKUP(A123,Clasificaciones!C:M,9,FALSE)</f>
        <v>0</v>
      </c>
      <c r="G123" s="80">
        <f t="shared" ref="G123" si="48">+C123-F123+D123-E123</f>
        <v>2375000</v>
      </c>
      <c r="H123" s="26">
        <v>0</v>
      </c>
      <c r="I123" s="26">
        <v>0</v>
      </c>
      <c r="J123" s="26">
        <v>0</v>
      </c>
      <c r="K123" s="26">
        <v>0</v>
      </c>
      <c r="L123" s="26">
        <v>0</v>
      </c>
      <c r="M123" s="26">
        <v>0</v>
      </c>
      <c r="N123" s="26">
        <v>0</v>
      </c>
      <c r="O123" s="26">
        <v>0</v>
      </c>
      <c r="P123" s="26">
        <v>0</v>
      </c>
      <c r="Q123" s="26">
        <v>0</v>
      </c>
      <c r="R123" s="26">
        <f t="shared" ref="R123" si="49">-G123</f>
        <v>-2375000</v>
      </c>
      <c r="S123" s="26">
        <v>0</v>
      </c>
      <c r="T123" s="26">
        <v>0</v>
      </c>
      <c r="U123" s="26">
        <v>0</v>
      </c>
      <c r="V123" s="26">
        <v>0</v>
      </c>
      <c r="W123" s="26">
        <v>0</v>
      </c>
      <c r="X123" s="26">
        <v>0</v>
      </c>
      <c r="Y123" s="26">
        <v>0</v>
      </c>
      <c r="Z123" s="26">
        <f t="shared" ref="Z123" si="50">SUM(G123:Y123)</f>
        <v>0</v>
      </c>
      <c r="AA123" s="95"/>
      <c r="AB123" s="95"/>
      <c r="AC123" s="95"/>
      <c r="AD123" s="95"/>
      <c r="AE123" s="95"/>
      <c r="AF123" s="95"/>
      <c r="AG123" s="95"/>
      <c r="AH123" s="95"/>
      <c r="AI123" s="95"/>
      <c r="AJ123" s="95"/>
      <c r="AK123" s="95"/>
      <c r="AL123" s="95"/>
      <c r="AM123" s="95"/>
      <c r="AN123" s="96"/>
      <c r="AO123" s="96"/>
      <c r="AP123" s="96"/>
      <c r="AQ123" s="96"/>
      <c r="AR123" s="96"/>
      <c r="AS123" s="96"/>
      <c r="AT123" s="96"/>
      <c r="AU123" s="96"/>
      <c r="AV123" s="96"/>
      <c r="AW123" s="96"/>
      <c r="AX123" s="96"/>
      <c r="AY123" s="96"/>
      <c r="AZ123" s="96"/>
      <c r="BA123" s="96"/>
    </row>
    <row r="124" spans="1:53" s="97" customFormat="1" ht="12" customHeight="1">
      <c r="A124" s="8">
        <v>1120320202</v>
      </c>
      <c r="B124" s="8" t="s">
        <v>1226</v>
      </c>
      <c r="C124" s="80">
        <f>+VLOOKUP(A124,Clasificaciones!C:I,5,FALSE)</f>
        <v>4879184</v>
      </c>
      <c r="D124" s="80">
        <v>0</v>
      </c>
      <c r="E124" s="80">
        <v>0</v>
      </c>
      <c r="F124" s="80">
        <f>+VLOOKUP(A124,Clasificaciones!C:M,9,FALSE)</f>
        <v>713671</v>
      </c>
      <c r="G124" s="80">
        <f t="shared" si="41"/>
        <v>4165513</v>
      </c>
      <c r="H124" s="26">
        <v>0</v>
      </c>
      <c r="I124" s="26">
        <v>0</v>
      </c>
      <c r="J124" s="26">
        <v>0</v>
      </c>
      <c r="K124" s="26">
        <v>0</v>
      </c>
      <c r="L124" s="26">
        <v>0</v>
      </c>
      <c r="M124" s="26">
        <v>0</v>
      </c>
      <c r="N124" s="26">
        <v>0</v>
      </c>
      <c r="O124" s="26">
        <v>0</v>
      </c>
      <c r="P124" s="26">
        <v>0</v>
      </c>
      <c r="Q124" s="26">
        <v>0</v>
      </c>
      <c r="R124" s="26">
        <f t="shared" si="37"/>
        <v>-4165513</v>
      </c>
      <c r="S124" s="26">
        <v>0</v>
      </c>
      <c r="T124" s="26">
        <v>0</v>
      </c>
      <c r="U124" s="26">
        <v>0</v>
      </c>
      <c r="V124" s="26">
        <v>0</v>
      </c>
      <c r="W124" s="26">
        <v>0</v>
      </c>
      <c r="X124" s="26">
        <v>0</v>
      </c>
      <c r="Y124" s="26">
        <v>0</v>
      </c>
      <c r="Z124" s="26">
        <f t="shared" si="22"/>
        <v>0</v>
      </c>
      <c r="AA124" s="95"/>
      <c r="AB124" s="95"/>
      <c r="AC124" s="95"/>
      <c r="AD124" s="95"/>
      <c r="AE124" s="95"/>
      <c r="AF124" s="95"/>
      <c r="AG124" s="95"/>
      <c r="AH124" s="95"/>
      <c r="AI124" s="95"/>
      <c r="AJ124" s="95"/>
      <c r="AK124" s="95"/>
      <c r="AL124" s="95"/>
      <c r="AM124" s="95"/>
      <c r="AN124" s="96"/>
      <c r="AO124" s="96"/>
      <c r="AP124" s="96"/>
      <c r="AQ124" s="96"/>
      <c r="AR124" s="96"/>
      <c r="AS124" s="96"/>
      <c r="AT124" s="96"/>
      <c r="AU124" s="96"/>
      <c r="AV124" s="96"/>
      <c r="AW124" s="96"/>
      <c r="AX124" s="96"/>
      <c r="AY124" s="96"/>
      <c r="AZ124" s="96"/>
      <c r="BA124" s="96"/>
    </row>
    <row r="125" spans="1:53" s="97" customFormat="1" ht="12" customHeight="1">
      <c r="A125" s="8">
        <v>11203203</v>
      </c>
      <c r="B125" s="8" t="s">
        <v>1227</v>
      </c>
      <c r="C125" s="80">
        <f>+VLOOKUP(A125,Clasificaciones!C:I,5,FALSE)</f>
        <v>0</v>
      </c>
      <c r="D125" s="80">
        <v>0</v>
      </c>
      <c r="E125" s="80">
        <v>0</v>
      </c>
      <c r="F125" s="80">
        <f>+VLOOKUP(A125,Clasificaciones!C:M,9,FALSE)</f>
        <v>0</v>
      </c>
      <c r="G125" s="80">
        <f t="shared" si="41"/>
        <v>0</v>
      </c>
      <c r="H125" s="26">
        <v>0</v>
      </c>
      <c r="I125" s="26">
        <v>0</v>
      </c>
      <c r="J125" s="26">
        <v>0</v>
      </c>
      <c r="K125" s="26">
        <v>0</v>
      </c>
      <c r="L125" s="26">
        <v>0</v>
      </c>
      <c r="M125" s="26">
        <v>0</v>
      </c>
      <c r="N125" s="26">
        <v>0</v>
      </c>
      <c r="O125" s="26">
        <v>0</v>
      </c>
      <c r="P125" s="26">
        <v>0</v>
      </c>
      <c r="Q125" s="26">
        <v>0</v>
      </c>
      <c r="R125" s="26">
        <f t="shared" si="37"/>
        <v>0</v>
      </c>
      <c r="S125" s="26">
        <v>0</v>
      </c>
      <c r="T125" s="26">
        <v>0</v>
      </c>
      <c r="U125" s="26">
        <v>0</v>
      </c>
      <c r="V125" s="26">
        <v>0</v>
      </c>
      <c r="W125" s="26">
        <v>0</v>
      </c>
      <c r="X125" s="26">
        <v>0</v>
      </c>
      <c r="Y125" s="26">
        <v>0</v>
      </c>
      <c r="Z125" s="26">
        <f t="shared" si="22"/>
        <v>0</v>
      </c>
      <c r="AA125" s="95"/>
      <c r="AB125" s="95"/>
      <c r="AC125" s="95"/>
      <c r="AD125" s="95"/>
      <c r="AE125" s="95"/>
      <c r="AF125" s="95"/>
      <c r="AG125" s="95"/>
      <c r="AH125" s="95"/>
      <c r="AI125" s="95"/>
      <c r="AJ125" s="95"/>
      <c r="AK125" s="95"/>
      <c r="AL125" s="95"/>
      <c r="AM125" s="95"/>
      <c r="AN125" s="96"/>
      <c r="AO125" s="96"/>
      <c r="AP125" s="96"/>
      <c r="AQ125" s="96"/>
      <c r="AR125" s="96"/>
      <c r="AS125" s="96"/>
      <c r="AT125" s="96"/>
      <c r="AU125" s="96"/>
      <c r="AV125" s="96"/>
      <c r="AW125" s="96"/>
      <c r="AX125" s="96"/>
      <c r="AY125" s="96"/>
      <c r="AZ125" s="96"/>
      <c r="BA125" s="96"/>
    </row>
    <row r="126" spans="1:53" s="97" customFormat="1" ht="12" customHeight="1">
      <c r="A126" s="8">
        <v>1120320301</v>
      </c>
      <c r="B126" s="8" t="s">
        <v>946</v>
      </c>
      <c r="C126" s="80">
        <f>+VLOOKUP(A126,Clasificaciones!C:I,5,FALSE)</f>
        <v>-2355479</v>
      </c>
      <c r="D126" s="80">
        <v>0</v>
      </c>
      <c r="E126" s="80">
        <v>0</v>
      </c>
      <c r="F126" s="80">
        <f>+VLOOKUP(A126,Clasificaciones!C:M,9,FALSE)</f>
        <v>0</v>
      </c>
      <c r="G126" s="80">
        <f t="shared" ref="G126" si="51">+C126-F126+D126-E126</f>
        <v>-2355479</v>
      </c>
      <c r="H126" s="26">
        <v>0</v>
      </c>
      <c r="I126" s="26">
        <v>0</v>
      </c>
      <c r="J126" s="26">
        <v>0</v>
      </c>
      <c r="K126" s="26">
        <v>0</v>
      </c>
      <c r="L126" s="26">
        <v>0</v>
      </c>
      <c r="M126" s="26">
        <v>0</v>
      </c>
      <c r="N126" s="26">
        <v>0</v>
      </c>
      <c r="O126" s="26">
        <v>0</v>
      </c>
      <c r="P126" s="26">
        <v>0</v>
      </c>
      <c r="Q126" s="26">
        <v>0</v>
      </c>
      <c r="R126" s="26">
        <f t="shared" ref="R126" si="52">-G126</f>
        <v>2355479</v>
      </c>
      <c r="S126" s="26">
        <v>0</v>
      </c>
      <c r="T126" s="26">
        <v>0</v>
      </c>
      <c r="U126" s="26">
        <v>0</v>
      </c>
      <c r="V126" s="26">
        <v>0</v>
      </c>
      <c r="W126" s="26">
        <v>0</v>
      </c>
      <c r="X126" s="26">
        <v>0</v>
      </c>
      <c r="Y126" s="26">
        <v>0</v>
      </c>
      <c r="Z126" s="26">
        <f t="shared" ref="Z126" si="53">SUM(G126:Y126)</f>
        <v>0</v>
      </c>
      <c r="AA126" s="95"/>
      <c r="AB126" s="95"/>
      <c r="AC126" s="95"/>
      <c r="AD126" s="95"/>
      <c r="AE126" s="95"/>
      <c r="AF126" s="95"/>
      <c r="AG126" s="95"/>
      <c r="AH126" s="95"/>
      <c r="AI126" s="95"/>
      <c r="AJ126" s="95"/>
      <c r="AK126" s="95"/>
      <c r="AL126" s="95"/>
      <c r="AM126" s="95"/>
      <c r="AN126" s="96"/>
      <c r="AO126" s="96"/>
      <c r="AP126" s="96"/>
      <c r="AQ126" s="96"/>
      <c r="AR126" s="96"/>
      <c r="AS126" s="96"/>
      <c r="AT126" s="96"/>
      <c r="AU126" s="96"/>
      <c r="AV126" s="96"/>
      <c r="AW126" s="96"/>
      <c r="AX126" s="96"/>
      <c r="AY126" s="96"/>
      <c r="AZ126" s="96"/>
      <c r="BA126" s="96"/>
    </row>
    <row r="127" spans="1:53" s="97" customFormat="1" ht="12" customHeight="1">
      <c r="A127" s="8">
        <v>1120320302</v>
      </c>
      <c r="B127" s="8" t="s">
        <v>1228</v>
      </c>
      <c r="C127" s="80">
        <f>+VLOOKUP(A127,Clasificaciones!C:I,5,FALSE)</f>
        <v>-2744460</v>
      </c>
      <c r="D127" s="80">
        <v>0</v>
      </c>
      <c r="E127" s="80">
        <v>0</v>
      </c>
      <c r="F127" s="80">
        <f>+VLOOKUP(A127,Clasificaciones!C:M,9,FALSE)</f>
        <v>-539152</v>
      </c>
      <c r="G127" s="80">
        <f t="shared" si="41"/>
        <v>-2205308</v>
      </c>
      <c r="H127" s="26">
        <v>0</v>
      </c>
      <c r="I127" s="26">
        <v>0</v>
      </c>
      <c r="J127" s="26">
        <v>0</v>
      </c>
      <c r="K127" s="26">
        <v>0</v>
      </c>
      <c r="L127" s="26">
        <v>0</v>
      </c>
      <c r="M127" s="26">
        <v>0</v>
      </c>
      <c r="N127" s="26">
        <v>0</v>
      </c>
      <c r="O127" s="26">
        <v>0</v>
      </c>
      <c r="P127" s="26">
        <v>0</v>
      </c>
      <c r="Q127" s="26">
        <v>0</v>
      </c>
      <c r="R127" s="26">
        <f t="shared" si="37"/>
        <v>2205308</v>
      </c>
      <c r="S127" s="26">
        <v>0</v>
      </c>
      <c r="T127" s="26">
        <v>0</v>
      </c>
      <c r="U127" s="26">
        <v>0</v>
      </c>
      <c r="V127" s="26">
        <v>0</v>
      </c>
      <c r="W127" s="26">
        <v>0</v>
      </c>
      <c r="X127" s="26">
        <v>0</v>
      </c>
      <c r="Y127" s="26">
        <v>0</v>
      </c>
      <c r="Z127" s="26">
        <f t="shared" si="22"/>
        <v>0</v>
      </c>
      <c r="AA127" s="95"/>
      <c r="AB127" s="95"/>
      <c r="AC127" s="95"/>
      <c r="AD127" s="95"/>
      <c r="AE127" s="95"/>
      <c r="AF127" s="95"/>
      <c r="AG127" s="95"/>
      <c r="AH127" s="95"/>
      <c r="AI127" s="95"/>
      <c r="AJ127" s="95"/>
      <c r="AK127" s="95"/>
      <c r="AL127" s="95"/>
      <c r="AM127" s="95"/>
      <c r="AN127" s="96"/>
      <c r="AO127" s="96"/>
      <c r="AP127" s="96"/>
      <c r="AQ127" s="96"/>
      <c r="AR127" s="96"/>
      <c r="AS127" s="96"/>
      <c r="AT127" s="96"/>
      <c r="AU127" s="96"/>
      <c r="AV127" s="96"/>
      <c r="AW127" s="96"/>
      <c r="AX127" s="96"/>
      <c r="AY127" s="96"/>
      <c r="AZ127" s="96"/>
      <c r="BA127" s="96"/>
    </row>
    <row r="128" spans="1:53" s="94" customFormat="1" ht="12" customHeight="1">
      <c r="A128" s="8">
        <v>113</v>
      </c>
      <c r="B128" s="8" t="s">
        <v>684</v>
      </c>
      <c r="C128" s="80">
        <f>+VLOOKUP(A128,Clasificaciones!C:I,5,FALSE)</f>
        <v>0</v>
      </c>
      <c r="D128" s="80">
        <v>0</v>
      </c>
      <c r="E128" s="80">
        <v>0</v>
      </c>
      <c r="F128" s="80">
        <f>+VLOOKUP(A128,Clasificaciones!C:M,9,FALSE)</f>
        <v>0</v>
      </c>
      <c r="G128" s="80">
        <f t="shared" si="41"/>
        <v>0</v>
      </c>
      <c r="H128" s="26">
        <v>0</v>
      </c>
      <c r="I128" s="26">
        <v>0</v>
      </c>
      <c r="J128" s="26">
        <v>0</v>
      </c>
      <c r="K128" s="26">
        <v>0</v>
      </c>
      <c r="L128" s="26">
        <v>0</v>
      </c>
      <c r="M128" s="26">
        <v>0</v>
      </c>
      <c r="N128" s="26">
        <v>0</v>
      </c>
      <c r="O128" s="26">
        <v>0</v>
      </c>
      <c r="P128" s="26">
        <v>0</v>
      </c>
      <c r="Q128" s="26">
        <v>0</v>
      </c>
      <c r="R128" s="26">
        <v>0</v>
      </c>
      <c r="S128" s="26">
        <v>0</v>
      </c>
      <c r="T128" s="26">
        <v>0</v>
      </c>
      <c r="U128" s="26">
        <v>0</v>
      </c>
      <c r="V128" s="26">
        <v>0</v>
      </c>
      <c r="W128" s="26">
        <v>0</v>
      </c>
      <c r="X128" s="26">
        <v>0</v>
      </c>
      <c r="Y128" s="26">
        <v>0</v>
      </c>
      <c r="Z128" s="26">
        <f t="shared" si="22"/>
        <v>0</v>
      </c>
      <c r="AA128" s="98"/>
      <c r="AB128" s="98"/>
      <c r="AC128" s="98"/>
      <c r="AD128" s="98"/>
      <c r="AE128" s="98"/>
      <c r="AF128" s="98"/>
      <c r="AG128" s="98"/>
      <c r="AH128" s="98"/>
      <c r="AI128" s="98"/>
      <c r="AJ128" s="98"/>
      <c r="AK128" s="98"/>
      <c r="AL128" s="98"/>
      <c r="AM128" s="98"/>
      <c r="AN128" s="93"/>
      <c r="AO128" s="93"/>
      <c r="AP128" s="93"/>
      <c r="AQ128" s="93"/>
      <c r="AR128" s="93"/>
      <c r="AS128" s="93"/>
      <c r="AT128" s="93"/>
      <c r="AU128" s="93"/>
      <c r="AV128" s="93"/>
      <c r="AW128" s="93"/>
      <c r="AX128" s="93"/>
      <c r="AY128" s="93"/>
      <c r="AZ128" s="93"/>
      <c r="BA128" s="93"/>
    </row>
    <row r="129" spans="1:53" s="97" customFormat="1" ht="12" customHeight="1">
      <c r="A129" s="8">
        <v>11301</v>
      </c>
      <c r="B129" s="8" t="s">
        <v>335</v>
      </c>
      <c r="C129" s="80">
        <f>+VLOOKUP(A129,Clasificaciones!C:I,5,FALSE)</f>
        <v>0</v>
      </c>
      <c r="D129" s="80">
        <v>0</v>
      </c>
      <c r="E129" s="80">
        <v>0</v>
      </c>
      <c r="F129" s="80">
        <f>+VLOOKUP(A129,Clasificaciones!C:M,9,FALSE)</f>
        <v>0</v>
      </c>
      <c r="G129" s="80">
        <f>+C129-F129+D129-E129</f>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c r="Z129" s="26">
        <f t="shared" si="22"/>
        <v>0</v>
      </c>
      <c r="AA129" s="95"/>
      <c r="AB129" s="95"/>
      <c r="AC129" s="95"/>
      <c r="AD129" s="95"/>
      <c r="AE129" s="95"/>
      <c r="AF129" s="95"/>
      <c r="AG129" s="95"/>
      <c r="AH129" s="95"/>
      <c r="AI129" s="95"/>
      <c r="AJ129" s="95"/>
      <c r="AK129" s="95"/>
      <c r="AL129" s="95"/>
      <c r="AM129" s="95"/>
      <c r="AN129" s="96"/>
      <c r="AO129" s="96"/>
      <c r="AP129" s="96"/>
      <c r="AQ129" s="96"/>
      <c r="AR129" s="96"/>
      <c r="AS129" s="96"/>
      <c r="AT129" s="96"/>
      <c r="AU129" s="96"/>
      <c r="AV129" s="96"/>
      <c r="AW129" s="96"/>
      <c r="AX129" s="96"/>
      <c r="AY129" s="96"/>
      <c r="AZ129" s="96"/>
      <c r="BA129" s="96"/>
    </row>
    <row r="130" spans="1:53" s="97" customFormat="1" ht="12" customHeight="1">
      <c r="A130" s="8">
        <v>1130101</v>
      </c>
      <c r="B130" s="8" t="s">
        <v>685</v>
      </c>
      <c r="C130" s="80">
        <f>+VLOOKUP(A130,Clasificaciones!C:I,5,FALSE)</f>
        <v>0</v>
      </c>
      <c r="D130" s="80">
        <v>0</v>
      </c>
      <c r="E130" s="80">
        <v>0</v>
      </c>
      <c r="F130" s="80">
        <f>+VLOOKUP(A130,Clasificaciones!C:M,9,FALSE)</f>
        <v>0</v>
      </c>
      <c r="G130" s="80">
        <f t="shared" ref="G130:G136" si="54">+C130-F130+D130-E130</f>
        <v>0</v>
      </c>
      <c r="H130" s="26">
        <f>-G130</f>
        <v>0</v>
      </c>
      <c r="I130" s="26">
        <v>0</v>
      </c>
      <c r="J130" s="26">
        <v>0</v>
      </c>
      <c r="K130" s="26">
        <v>0</v>
      </c>
      <c r="L130" s="26">
        <v>0</v>
      </c>
      <c r="M130" s="26">
        <v>0</v>
      </c>
      <c r="N130" s="26">
        <v>0</v>
      </c>
      <c r="O130" s="26">
        <v>0</v>
      </c>
      <c r="P130" s="26">
        <v>0</v>
      </c>
      <c r="Q130" s="26">
        <v>0</v>
      </c>
      <c r="R130" s="26">
        <v>0</v>
      </c>
      <c r="S130" s="26">
        <v>0</v>
      </c>
      <c r="T130" s="26">
        <v>0</v>
      </c>
      <c r="U130" s="26">
        <v>0</v>
      </c>
      <c r="V130" s="26">
        <v>0</v>
      </c>
      <c r="W130" s="26">
        <v>0</v>
      </c>
      <c r="X130" s="26">
        <v>0</v>
      </c>
      <c r="Y130" s="26">
        <v>0</v>
      </c>
      <c r="Z130" s="26">
        <f t="shared" si="22"/>
        <v>0</v>
      </c>
      <c r="AA130" s="95"/>
      <c r="AB130" s="95"/>
      <c r="AC130" s="95"/>
      <c r="AD130" s="95"/>
      <c r="AE130" s="95"/>
      <c r="AF130" s="95"/>
      <c r="AG130" s="95"/>
      <c r="AH130" s="95"/>
      <c r="AI130" s="95"/>
      <c r="AJ130" s="95"/>
      <c r="AK130" s="95"/>
      <c r="AL130" s="95"/>
      <c r="AM130" s="95"/>
      <c r="AN130" s="96"/>
      <c r="AO130" s="96"/>
      <c r="AP130" s="96"/>
      <c r="AQ130" s="96"/>
      <c r="AR130" s="96"/>
      <c r="AS130" s="96"/>
      <c r="AT130" s="96"/>
      <c r="AU130" s="96"/>
      <c r="AV130" s="96"/>
      <c r="AW130" s="96"/>
      <c r="AX130" s="96"/>
      <c r="AY130" s="96"/>
      <c r="AZ130" s="96"/>
      <c r="BA130" s="96"/>
    </row>
    <row r="131" spans="1:53" s="97" customFormat="1" ht="12" customHeight="1">
      <c r="A131" s="8">
        <v>113010101</v>
      </c>
      <c r="B131" s="8" t="s">
        <v>686</v>
      </c>
      <c r="C131" s="80">
        <f>+VLOOKUP(A131,Clasificaciones!C:I,5,FALSE)</f>
        <v>7317954</v>
      </c>
      <c r="D131" s="80">
        <v>0</v>
      </c>
      <c r="E131" s="80">
        <v>0</v>
      </c>
      <c r="F131" s="80">
        <f>+VLOOKUP(A131,Clasificaciones!C:M,9,FALSE)</f>
        <v>61105608</v>
      </c>
      <c r="G131" s="80">
        <f t="shared" si="54"/>
        <v>-53787654</v>
      </c>
      <c r="H131" s="26">
        <f>-G131</f>
        <v>53787654</v>
      </c>
      <c r="I131" s="26">
        <v>0</v>
      </c>
      <c r="J131" s="26">
        <v>0</v>
      </c>
      <c r="K131" s="26">
        <v>0</v>
      </c>
      <c r="L131" s="26">
        <v>0</v>
      </c>
      <c r="M131" s="26">
        <v>0</v>
      </c>
      <c r="N131" s="26">
        <v>0</v>
      </c>
      <c r="O131" s="26">
        <v>0</v>
      </c>
      <c r="P131" s="26">
        <v>0</v>
      </c>
      <c r="Q131" s="26">
        <v>0</v>
      </c>
      <c r="R131" s="26">
        <v>0</v>
      </c>
      <c r="S131" s="26">
        <v>0</v>
      </c>
      <c r="T131" s="26">
        <v>0</v>
      </c>
      <c r="U131" s="26">
        <v>0</v>
      </c>
      <c r="V131" s="26">
        <v>0</v>
      </c>
      <c r="W131" s="26">
        <v>0</v>
      </c>
      <c r="X131" s="26">
        <v>0</v>
      </c>
      <c r="Y131" s="26">
        <v>0</v>
      </c>
      <c r="Z131" s="26">
        <f t="shared" si="22"/>
        <v>0</v>
      </c>
      <c r="AA131" s="95"/>
      <c r="AB131" s="95"/>
      <c r="AC131" s="95"/>
      <c r="AD131" s="95"/>
      <c r="AE131" s="95"/>
      <c r="AF131" s="95"/>
      <c r="AG131" s="95"/>
      <c r="AH131" s="95"/>
      <c r="AI131" s="95"/>
      <c r="AJ131" s="95"/>
      <c r="AK131" s="95"/>
      <c r="AL131" s="95"/>
      <c r="AM131" s="95"/>
      <c r="AN131" s="96"/>
      <c r="AO131" s="96"/>
      <c r="AP131" s="96"/>
      <c r="AQ131" s="96"/>
      <c r="AR131" s="96"/>
      <c r="AS131" s="96"/>
      <c r="AT131" s="96"/>
      <c r="AU131" s="96"/>
      <c r="AV131" s="96"/>
      <c r="AW131" s="96"/>
      <c r="AX131" s="96"/>
      <c r="AY131" s="96"/>
      <c r="AZ131" s="96"/>
      <c r="BA131" s="96"/>
    </row>
    <row r="132" spans="1:53" s="97" customFormat="1" ht="12" customHeight="1">
      <c r="A132" s="8">
        <v>113010102</v>
      </c>
      <c r="B132" s="8" t="s">
        <v>687</v>
      </c>
      <c r="C132" s="80">
        <f>+VLOOKUP(A132,Clasificaciones!C:I,5,FALSE)</f>
        <v>4085508</v>
      </c>
      <c r="D132" s="80">
        <v>0</v>
      </c>
      <c r="E132" s="80">
        <v>0</v>
      </c>
      <c r="F132" s="80">
        <f>+VLOOKUP(A132,Clasificaciones!C:M,9,FALSE)</f>
        <v>11910755</v>
      </c>
      <c r="G132" s="80">
        <f t="shared" si="54"/>
        <v>-7825247</v>
      </c>
      <c r="H132" s="26">
        <f>-G132</f>
        <v>7825247</v>
      </c>
      <c r="I132" s="26">
        <v>0</v>
      </c>
      <c r="J132" s="26">
        <v>0</v>
      </c>
      <c r="K132" s="26">
        <v>0</v>
      </c>
      <c r="L132" s="26">
        <v>0</v>
      </c>
      <c r="M132" s="26">
        <v>0</v>
      </c>
      <c r="N132" s="26">
        <v>0</v>
      </c>
      <c r="O132" s="26">
        <v>0</v>
      </c>
      <c r="P132" s="26">
        <v>0</v>
      </c>
      <c r="Q132" s="26">
        <v>0</v>
      </c>
      <c r="R132" s="26">
        <v>0</v>
      </c>
      <c r="S132" s="26">
        <v>0</v>
      </c>
      <c r="T132" s="26">
        <v>0</v>
      </c>
      <c r="U132" s="26">
        <v>0</v>
      </c>
      <c r="V132" s="26">
        <v>0</v>
      </c>
      <c r="W132" s="26">
        <v>0</v>
      </c>
      <c r="X132" s="26">
        <v>0</v>
      </c>
      <c r="Y132" s="26">
        <v>0</v>
      </c>
      <c r="Z132" s="26">
        <f t="shared" si="22"/>
        <v>0</v>
      </c>
      <c r="AA132" s="95"/>
      <c r="AB132" s="95"/>
      <c r="AC132" s="95"/>
      <c r="AD132" s="95"/>
      <c r="AE132" s="95"/>
      <c r="AF132" s="95"/>
      <c r="AG132" s="95"/>
      <c r="AH132" s="95"/>
      <c r="AI132" s="95"/>
      <c r="AJ132" s="95"/>
      <c r="AK132" s="95"/>
      <c r="AL132" s="95"/>
      <c r="AM132" s="95"/>
      <c r="AN132" s="96"/>
      <c r="AO132" s="96"/>
      <c r="AP132" s="96"/>
      <c r="AQ132" s="96"/>
      <c r="AR132" s="96"/>
      <c r="AS132" s="96"/>
      <c r="AT132" s="96"/>
      <c r="AU132" s="96"/>
      <c r="AV132" s="96"/>
      <c r="AW132" s="96"/>
      <c r="AX132" s="96"/>
      <c r="AY132" s="96"/>
      <c r="AZ132" s="96"/>
      <c r="BA132" s="96"/>
    </row>
    <row r="133" spans="1:53" s="97" customFormat="1" ht="12" customHeight="1">
      <c r="A133" s="8">
        <v>1130102</v>
      </c>
      <c r="B133" s="8" t="s">
        <v>516</v>
      </c>
      <c r="C133" s="80">
        <f>+VLOOKUP(A133,Clasificaciones!C:I,5,FALSE)</f>
        <v>0</v>
      </c>
      <c r="D133" s="80">
        <v>0</v>
      </c>
      <c r="E133" s="80">
        <v>0</v>
      </c>
      <c r="F133" s="80">
        <f>+VLOOKUP(A133,Clasificaciones!C:M,9,FALSE)</f>
        <v>0</v>
      </c>
      <c r="G133" s="80">
        <f t="shared" si="54"/>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c r="Z133" s="26">
        <f t="shared" si="22"/>
        <v>0</v>
      </c>
      <c r="AA133" s="95"/>
      <c r="AB133" s="95"/>
      <c r="AC133" s="95"/>
      <c r="AD133" s="95"/>
      <c r="AE133" s="95"/>
      <c r="AF133" s="95"/>
      <c r="AG133" s="95"/>
      <c r="AH133" s="95"/>
      <c r="AI133" s="95"/>
      <c r="AJ133" s="95"/>
      <c r="AK133" s="95"/>
      <c r="AL133" s="95"/>
      <c r="AM133" s="95"/>
      <c r="AN133" s="96"/>
      <c r="AO133" s="96"/>
      <c r="AP133" s="96"/>
      <c r="AQ133" s="96"/>
      <c r="AR133" s="96"/>
      <c r="AS133" s="96"/>
      <c r="AT133" s="96"/>
      <c r="AU133" s="96"/>
      <c r="AV133" s="96"/>
      <c r="AW133" s="96"/>
      <c r="AX133" s="96"/>
      <c r="AY133" s="96"/>
      <c r="AZ133" s="96"/>
      <c r="BA133" s="96"/>
    </row>
    <row r="134" spans="1:53" s="97" customFormat="1" ht="12" customHeight="1">
      <c r="A134" s="8">
        <v>113010201</v>
      </c>
      <c r="B134" s="8" t="s">
        <v>1185</v>
      </c>
      <c r="C134" s="80">
        <f>+VLOOKUP(A134,Clasificaciones!C:I,5,FALSE)</f>
        <v>307876</v>
      </c>
      <c r="D134" s="80">
        <v>0</v>
      </c>
      <c r="E134" s="80">
        <v>0</v>
      </c>
      <c r="F134" s="80">
        <f>+VLOOKUP(A134,Clasificaciones!C:M,9,FALSE)</f>
        <v>3975686</v>
      </c>
      <c r="G134" s="80">
        <f t="shared" si="54"/>
        <v>-3667810</v>
      </c>
      <c r="H134" s="26">
        <f>-G134</f>
        <v>3667810</v>
      </c>
      <c r="I134" s="26">
        <v>0</v>
      </c>
      <c r="J134" s="26"/>
      <c r="K134" s="26">
        <v>0</v>
      </c>
      <c r="L134" s="26">
        <v>0</v>
      </c>
      <c r="M134" s="26">
        <v>0</v>
      </c>
      <c r="N134" s="26">
        <v>0</v>
      </c>
      <c r="O134" s="26">
        <v>0</v>
      </c>
      <c r="P134" s="26">
        <v>0</v>
      </c>
      <c r="Q134" s="26">
        <v>0</v>
      </c>
      <c r="R134" s="26">
        <v>0</v>
      </c>
      <c r="S134" s="26">
        <v>0</v>
      </c>
      <c r="T134" s="26">
        <v>0</v>
      </c>
      <c r="U134" s="26">
        <v>0</v>
      </c>
      <c r="V134" s="26">
        <v>0</v>
      </c>
      <c r="W134" s="26">
        <v>0</v>
      </c>
      <c r="X134" s="26">
        <v>0</v>
      </c>
      <c r="Y134" s="26">
        <v>0</v>
      </c>
      <c r="Z134" s="26">
        <f t="shared" si="22"/>
        <v>0</v>
      </c>
      <c r="AA134" s="95"/>
      <c r="AB134" s="95"/>
      <c r="AC134" s="95"/>
      <c r="AD134" s="95"/>
      <c r="AE134" s="95"/>
      <c r="AF134" s="95"/>
      <c r="AG134" s="95"/>
      <c r="AH134" s="95"/>
      <c r="AI134" s="95"/>
      <c r="AJ134" s="95"/>
      <c r="AK134" s="95"/>
      <c r="AL134" s="95"/>
      <c r="AM134" s="95"/>
      <c r="AN134" s="96"/>
      <c r="AO134" s="96"/>
      <c r="AP134" s="96"/>
      <c r="AQ134" s="96"/>
      <c r="AR134" s="96"/>
      <c r="AS134" s="96"/>
      <c r="AT134" s="96"/>
      <c r="AU134" s="96"/>
      <c r="AV134" s="96"/>
      <c r="AW134" s="96"/>
      <c r="AX134" s="96"/>
      <c r="AY134" s="96"/>
      <c r="AZ134" s="96"/>
      <c r="BA134" s="96"/>
    </row>
    <row r="135" spans="1:53" s="94" customFormat="1" ht="12" customHeight="1">
      <c r="A135" s="8">
        <v>113010202</v>
      </c>
      <c r="B135" s="8" t="s">
        <v>1186</v>
      </c>
      <c r="C135" s="80">
        <f>+VLOOKUP(A135,Clasificaciones!C:I,5,FALSE)</f>
        <v>2266969</v>
      </c>
      <c r="D135" s="80">
        <v>0</v>
      </c>
      <c r="E135" s="80">
        <v>0</v>
      </c>
      <c r="F135" s="80">
        <f>+VLOOKUP(A135,Clasificaciones!C:M,9,FALSE)</f>
        <v>2997734</v>
      </c>
      <c r="G135" s="80">
        <f t="shared" si="54"/>
        <v>-730765</v>
      </c>
      <c r="H135" s="26">
        <f>-G135</f>
        <v>730765</v>
      </c>
      <c r="I135" s="26">
        <v>0</v>
      </c>
      <c r="J135" s="26"/>
      <c r="K135" s="26">
        <v>0</v>
      </c>
      <c r="L135" s="26">
        <v>0</v>
      </c>
      <c r="M135" s="26">
        <v>0</v>
      </c>
      <c r="N135" s="26">
        <v>0</v>
      </c>
      <c r="O135" s="26">
        <v>0</v>
      </c>
      <c r="P135" s="26">
        <v>0</v>
      </c>
      <c r="Q135" s="26">
        <v>0</v>
      </c>
      <c r="R135" s="26">
        <v>0</v>
      </c>
      <c r="S135" s="26">
        <v>0</v>
      </c>
      <c r="T135" s="26">
        <v>0</v>
      </c>
      <c r="U135" s="26">
        <v>0</v>
      </c>
      <c r="V135" s="26">
        <v>0</v>
      </c>
      <c r="W135" s="26">
        <v>0</v>
      </c>
      <c r="X135" s="26">
        <v>0</v>
      </c>
      <c r="Y135" s="26">
        <v>0</v>
      </c>
      <c r="Z135" s="26">
        <f t="shared" si="22"/>
        <v>0</v>
      </c>
      <c r="AA135" s="98"/>
      <c r="AB135" s="98"/>
      <c r="AC135" s="98"/>
      <c r="AD135" s="98"/>
      <c r="AE135" s="98"/>
      <c r="AF135" s="98"/>
      <c r="AG135" s="98"/>
      <c r="AH135" s="98"/>
      <c r="AI135" s="98"/>
      <c r="AJ135" s="98"/>
      <c r="AK135" s="98"/>
      <c r="AL135" s="98"/>
      <c r="AM135" s="98"/>
      <c r="AN135" s="93"/>
      <c r="AO135" s="93"/>
      <c r="AP135" s="93"/>
      <c r="AQ135" s="93"/>
      <c r="AR135" s="93"/>
      <c r="AS135" s="93"/>
      <c r="AT135" s="93"/>
      <c r="AU135" s="93"/>
      <c r="AV135" s="93"/>
      <c r="AW135" s="93"/>
      <c r="AX135" s="93"/>
      <c r="AY135" s="93"/>
      <c r="AZ135" s="93"/>
      <c r="BA135" s="93"/>
    </row>
    <row r="136" spans="1:53" s="94" customFormat="1" ht="12" customHeight="1">
      <c r="A136" s="8">
        <v>11302</v>
      </c>
      <c r="B136" s="8" t="s">
        <v>688</v>
      </c>
      <c r="C136" s="80">
        <f>+VLOOKUP(A136,Clasificaciones!C:I,5,FALSE)</f>
        <v>0</v>
      </c>
      <c r="D136" s="80">
        <v>0</v>
      </c>
      <c r="E136" s="80">
        <v>0</v>
      </c>
      <c r="F136" s="80">
        <f>+VLOOKUP(A136,Clasificaciones!C:M,9,FALSE)</f>
        <v>0</v>
      </c>
      <c r="G136" s="80">
        <f t="shared" si="54"/>
        <v>0</v>
      </c>
      <c r="H136" s="26">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c r="Z136" s="26">
        <f t="shared" si="22"/>
        <v>0</v>
      </c>
      <c r="AA136" s="98"/>
      <c r="AB136" s="98"/>
      <c r="AC136" s="98"/>
      <c r="AD136" s="98"/>
      <c r="AE136" s="98"/>
      <c r="AF136" s="98"/>
      <c r="AG136" s="98"/>
      <c r="AH136" s="98"/>
      <c r="AI136" s="98"/>
      <c r="AJ136" s="98"/>
      <c r="AK136" s="98"/>
      <c r="AL136" s="98"/>
      <c r="AM136" s="98"/>
      <c r="AN136" s="93"/>
      <c r="AO136" s="93"/>
      <c r="AP136" s="93"/>
      <c r="AQ136" s="93"/>
      <c r="AR136" s="93"/>
      <c r="AS136" s="93"/>
      <c r="AT136" s="93"/>
      <c r="AU136" s="93"/>
      <c r="AV136" s="93"/>
      <c r="AW136" s="93"/>
      <c r="AX136" s="93"/>
      <c r="AY136" s="93"/>
      <c r="AZ136" s="93"/>
      <c r="BA136" s="93"/>
    </row>
    <row r="137" spans="1:53" s="94" customFormat="1" ht="12" customHeight="1">
      <c r="A137" s="8">
        <v>1130202</v>
      </c>
      <c r="B137" s="8" t="s">
        <v>689</v>
      </c>
      <c r="C137" s="80">
        <f>+VLOOKUP(A137,Clasificaciones!C:I,5,FALSE)</f>
        <v>0</v>
      </c>
      <c r="D137" s="80">
        <v>0</v>
      </c>
      <c r="E137" s="80">
        <v>0</v>
      </c>
      <c r="F137" s="80">
        <f>+VLOOKUP(A137,Clasificaciones!C:M,9,FALSE)</f>
        <v>0</v>
      </c>
      <c r="G137" s="80">
        <f>+C137-F137+D137-E137</f>
        <v>0</v>
      </c>
      <c r="H137" s="26">
        <v>0</v>
      </c>
      <c r="I137" s="26">
        <v>0</v>
      </c>
      <c r="J137" s="26">
        <v>0</v>
      </c>
      <c r="K137" s="26">
        <v>0</v>
      </c>
      <c r="L137" s="26">
        <v>0</v>
      </c>
      <c r="M137" s="26">
        <v>0</v>
      </c>
      <c r="N137" s="26">
        <v>0</v>
      </c>
      <c r="O137" s="26">
        <v>0</v>
      </c>
      <c r="P137" s="26">
        <v>0</v>
      </c>
      <c r="Q137" s="26">
        <v>0</v>
      </c>
      <c r="R137" s="26">
        <v>0</v>
      </c>
      <c r="S137" s="26">
        <v>0</v>
      </c>
      <c r="T137" s="26">
        <v>0</v>
      </c>
      <c r="U137" s="26">
        <v>0</v>
      </c>
      <c r="V137" s="26">
        <v>0</v>
      </c>
      <c r="W137" s="26">
        <v>0</v>
      </c>
      <c r="X137" s="26">
        <v>0</v>
      </c>
      <c r="Y137" s="26">
        <v>0</v>
      </c>
      <c r="Z137" s="26">
        <f t="shared" si="22"/>
        <v>0</v>
      </c>
      <c r="AA137" s="98"/>
      <c r="AB137" s="98"/>
      <c r="AC137" s="98"/>
      <c r="AD137" s="98"/>
      <c r="AE137" s="98"/>
      <c r="AF137" s="98"/>
      <c r="AG137" s="98"/>
      <c r="AH137" s="98"/>
      <c r="AI137" s="98"/>
      <c r="AJ137" s="98"/>
      <c r="AK137" s="98"/>
      <c r="AL137" s="98"/>
      <c r="AM137" s="98"/>
      <c r="AN137" s="93"/>
      <c r="AO137" s="93"/>
      <c r="AP137" s="93"/>
      <c r="AQ137" s="93"/>
      <c r="AR137" s="93"/>
      <c r="AS137" s="93"/>
      <c r="AT137" s="93"/>
      <c r="AU137" s="93"/>
      <c r="AV137" s="93"/>
      <c r="AW137" s="93"/>
      <c r="AX137" s="93"/>
      <c r="AY137" s="93"/>
      <c r="AZ137" s="93"/>
      <c r="BA137" s="93"/>
    </row>
    <row r="138" spans="1:53" s="94" customFormat="1" ht="12" customHeight="1">
      <c r="A138" s="8">
        <v>113020201</v>
      </c>
      <c r="B138" s="8" t="s">
        <v>952</v>
      </c>
      <c r="C138" s="80">
        <f>+VLOOKUP(A138,Clasificaciones!C:I,5,FALSE)</f>
        <v>3300000</v>
      </c>
      <c r="D138" s="80">
        <v>0</v>
      </c>
      <c r="E138" s="80">
        <v>0</v>
      </c>
      <c r="F138" s="80">
        <f>+VLOOKUP(A138,Clasificaciones!C:M,9,FALSE)</f>
        <v>3300000</v>
      </c>
      <c r="G138" s="80">
        <f t="shared" ref="G138:G205" si="55">+C138-F138+D138-E138</f>
        <v>0</v>
      </c>
      <c r="H138" s="26">
        <f>-G138</f>
        <v>0</v>
      </c>
      <c r="I138" s="26">
        <v>0</v>
      </c>
      <c r="J138" s="26">
        <v>0</v>
      </c>
      <c r="K138" s="26">
        <v>0</v>
      </c>
      <c r="L138" s="26">
        <v>0</v>
      </c>
      <c r="M138" s="26">
        <v>0</v>
      </c>
      <c r="N138" s="26">
        <v>0</v>
      </c>
      <c r="O138" s="26">
        <v>0</v>
      </c>
      <c r="P138" s="26">
        <v>0</v>
      </c>
      <c r="Q138" s="26">
        <v>0</v>
      </c>
      <c r="R138" s="26">
        <v>0</v>
      </c>
      <c r="S138" s="26">
        <v>0</v>
      </c>
      <c r="T138" s="26">
        <v>0</v>
      </c>
      <c r="U138" s="26">
        <v>0</v>
      </c>
      <c r="V138" s="26">
        <v>0</v>
      </c>
      <c r="W138" s="26">
        <v>0</v>
      </c>
      <c r="X138" s="26">
        <v>0</v>
      </c>
      <c r="Y138" s="26">
        <v>0</v>
      </c>
      <c r="Z138" s="26">
        <f t="shared" si="22"/>
        <v>0</v>
      </c>
      <c r="AA138" s="98"/>
      <c r="AB138" s="98"/>
      <c r="AC138" s="98"/>
      <c r="AD138" s="98"/>
      <c r="AE138" s="98"/>
      <c r="AF138" s="98"/>
      <c r="AG138" s="98"/>
      <c r="AH138" s="98"/>
      <c r="AI138" s="98"/>
      <c r="AJ138" s="98"/>
      <c r="AK138" s="98"/>
      <c r="AL138" s="98"/>
      <c r="AM138" s="98"/>
      <c r="AN138" s="93"/>
      <c r="AO138" s="93"/>
      <c r="AP138" s="93"/>
      <c r="AQ138" s="93"/>
      <c r="AR138" s="93"/>
      <c r="AS138" s="93"/>
      <c r="AT138" s="93"/>
      <c r="AU138" s="93"/>
      <c r="AV138" s="93"/>
      <c r="AW138" s="93"/>
      <c r="AX138" s="93"/>
      <c r="AY138" s="93"/>
      <c r="AZ138" s="93"/>
      <c r="BA138" s="93"/>
    </row>
    <row r="139" spans="1:53" s="97" customFormat="1" ht="12" customHeight="1">
      <c r="A139" s="8">
        <v>1130203</v>
      </c>
      <c r="B139" s="8" t="s">
        <v>162</v>
      </c>
      <c r="C139" s="80">
        <f>+VLOOKUP(A139,Clasificaciones!C:I,5,FALSE)</f>
        <v>0</v>
      </c>
      <c r="D139" s="80">
        <v>0</v>
      </c>
      <c r="E139" s="80">
        <v>0</v>
      </c>
      <c r="F139" s="80">
        <f>+VLOOKUP(A139,Clasificaciones!C:M,9,FALSE)</f>
        <v>0</v>
      </c>
      <c r="G139" s="80">
        <f t="shared" si="55"/>
        <v>0</v>
      </c>
      <c r="H139" s="26">
        <v>0</v>
      </c>
      <c r="I139" s="26">
        <v>0</v>
      </c>
      <c r="J139" s="26">
        <v>0</v>
      </c>
      <c r="K139" s="26">
        <v>0</v>
      </c>
      <c r="L139" s="26">
        <v>0</v>
      </c>
      <c r="M139" s="26">
        <v>0</v>
      </c>
      <c r="N139" s="26">
        <v>0</v>
      </c>
      <c r="O139" s="26">
        <v>0</v>
      </c>
      <c r="P139" s="26">
        <v>0</v>
      </c>
      <c r="Q139" s="26">
        <v>0</v>
      </c>
      <c r="R139" s="26">
        <v>0</v>
      </c>
      <c r="S139" s="26">
        <v>0</v>
      </c>
      <c r="T139" s="26">
        <v>0</v>
      </c>
      <c r="U139" s="26">
        <v>0</v>
      </c>
      <c r="V139" s="26">
        <v>0</v>
      </c>
      <c r="W139" s="26">
        <v>0</v>
      </c>
      <c r="X139" s="26">
        <v>0</v>
      </c>
      <c r="Y139" s="26">
        <v>0</v>
      </c>
      <c r="Z139" s="26">
        <f t="shared" si="22"/>
        <v>0</v>
      </c>
      <c r="AA139" s="95"/>
      <c r="AB139" s="95"/>
      <c r="AC139" s="95"/>
      <c r="AD139" s="95"/>
      <c r="AE139" s="95"/>
      <c r="AF139" s="95"/>
      <c r="AG139" s="95"/>
      <c r="AH139" s="95"/>
      <c r="AI139" s="95"/>
      <c r="AJ139" s="95"/>
      <c r="AK139" s="95"/>
      <c r="AL139" s="95"/>
      <c r="AM139" s="95"/>
      <c r="AN139" s="96"/>
      <c r="AO139" s="96"/>
      <c r="AP139" s="96"/>
      <c r="AQ139" s="96"/>
      <c r="AR139" s="96"/>
      <c r="AS139" s="96"/>
      <c r="AT139" s="96"/>
      <c r="AU139" s="96"/>
      <c r="AV139" s="96"/>
      <c r="AW139" s="96"/>
      <c r="AX139" s="96"/>
      <c r="AY139" s="96"/>
      <c r="AZ139" s="96"/>
      <c r="BA139" s="96"/>
    </row>
    <row r="140" spans="1:53" s="97" customFormat="1" ht="12" customHeight="1">
      <c r="A140" s="8">
        <v>113020301</v>
      </c>
      <c r="B140" s="8" t="s">
        <v>691</v>
      </c>
      <c r="C140" s="80">
        <f>+VLOOKUP(A140,Clasificaciones!C:I,5,FALSE)</f>
        <v>2264174</v>
      </c>
      <c r="D140" s="80">
        <v>0</v>
      </c>
      <c r="E140" s="80">
        <v>0</v>
      </c>
      <c r="F140" s="80">
        <f>+VLOOKUP(A140,Clasificaciones!C:M,9,FALSE)</f>
        <v>51047566</v>
      </c>
      <c r="G140" s="80">
        <f t="shared" si="55"/>
        <v>-48783392</v>
      </c>
      <c r="H140" s="26">
        <f>-G140</f>
        <v>48783392</v>
      </c>
      <c r="I140" s="26">
        <v>0</v>
      </c>
      <c r="J140" s="26"/>
      <c r="K140" s="26">
        <v>0</v>
      </c>
      <c r="L140" s="26">
        <v>0</v>
      </c>
      <c r="M140" s="26">
        <v>0</v>
      </c>
      <c r="N140" s="26">
        <v>0</v>
      </c>
      <c r="O140" s="26">
        <v>0</v>
      </c>
      <c r="P140" s="26">
        <v>0</v>
      </c>
      <c r="Q140" s="26">
        <v>0</v>
      </c>
      <c r="R140" s="26">
        <v>0</v>
      </c>
      <c r="S140" s="26">
        <v>0</v>
      </c>
      <c r="T140" s="26">
        <v>0</v>
      </c>
      <c r="U140" s="26">
        <v>0</v>
      </c>
      <c r="V140" s="26">
        <v>0</v>
      </c>
      <c r="W140" s="26">
        <v>0</v>
      </c>
      <c r="X140" s="26">
        <v>0</v>
      </c>
      <c r="Y140" s="26">
        <v>0</v>
      </c>
      <c r="Z140" s="26">
        <f t="shared" si="22"/>
        <v>0</v>
      </c>
      <c r="AA140" s="95"/>
      <c r="AB140" s="95"/>
      <c r="AC140" s="95"/>
      <c r="AD140" s="95"/>
      <c r="AE140" s="95"/>
      <c r="AF140" s="95"/>
      <c r="AG140" s="95"/>
      <c r="AH140" s="95"/>
      <c r="AI140" s="95"/>
      <c r="AJ140" s="95"/>
      <c r="AK140" s="95"/>
      <c r="AL140" s="95"/>
      <c r="AM140" s="95"/>
      <c r="AN140" s="96"/>
      <c r="AO140" s="96"/>
      <c r="AP140" s="96"/>
      <c r="AQ140" s="96"/>
      <c r="AR140" s="96"/>
      <c r="AS140" s="96"/>
      <c r="AT140" s="96"/>
      <c r="AU140" s="96"/>
      <c r="AV140" s="96"/>
      <c r="AW140" s="96"/>
      <c r="AX140" s="96"/>
      <c r="AY140" s="96"/>
      <c r="AZ140" s="96"/>
      <c r="BA140" s="96"/>
    </row>
    <row r="141" spans="1:53" s="97" customFormat="1" ht="12" customHeight="1">
      <c r="A141" s="8">
        <v>113020302</v>
      </c>
      <c r="B141" s="8" t="s">
        <v>692</v>
      </c>
      <c r="C141" s="80">
        <f>+VLOOKUP(A141,Clasificaciones!C:I,5,FALSE)</f>
        <v>0</v>
      </c>
      <c r="D141" s="80">
        <v>0</v>
      </c>
      <c r="E141" s="80">
        <v>0</v>
      </c>
      <c r="F141" s="80">
        <f>+VLOOKUP(A141,Clasificaciones!C:M,9,FALSE)</f>
        <v>1448246165</v>
      </c>
      <c r="G141" s="80">
        <f>+C141-F141+D141-E141</f>
        <v>-1448246165</v>
      </c>
      <c r="H141" s="26">
        <f>-G141</f>
        <v>1448246165</v>
      </c>
      <c r="I141" s="26">
        <v>0</v>
      </c>
      <c r="J141" s="26"/>
      <c r="K141" s="26">
        <v>0</v>
      </c>
      <c r="L141" s="26">
        <v>0</v>
      </c>
      <c r="M141" s="26">
        <v>0</v>
      </c>
      <c r="N141" s="26">
        <v>0</v>
      </c>
      <c r="O141" s="26">
        <v>0</v>
      </c>
      <c r="P141" s="26">
        <v>0</v>
      </c>
      <c r="Q141" s="26">
        <v>0</v>
      </c>
      <c r="R141" s="26">
        <v>0</v>
      </c>
      <c r="S141" s="26">
        <v>0</v>
      </c>
      <c r="T141" s="26">
        <v>0</v>
      </c>
      <c r="U141" s="26">
        <v>0</v>
      </c>
      <c r="V141" s="26">
        <v>0</v>
      </c>
      <c r="W141" s="26">
        <v>0</v>
      </c>
      <c r="X141" s="26">
        <v>0</v>
      </c>
      <c r="Y141" s="26">
        <v>0</v>
      </c>
      <c r="Z141" s="26">
        <f t="shared" si="22"/>
        <v>0</v>
      </c>
      <c r="AA141" s="95"/>
      <c r="AB141" s="95"/>
      <c r="AC141" s="95"/>
      <c r="AD141" s="95"/>
      <c r="AE141" s="95"/>
      <c r="AF141" s="95"/>
      <c r="AG141" s="95"/>
      <c r="AH141" s="95"/>
      <c r="AI141" s="95"/>
      <c r="AJ141" s="95"/>
      <c r="AK141" s="95"/>
      <c r="AL141" s="95"/>
      <c r="AM141" s="95"/>
      <c r="AN141" s="96"/>
      <c r="AO141" s="96"/>
      <c r="AP141" s="96"/>
      <c r="AQ141" s="96"/>
      <c r="AR141" s="96"/>
      <c r="AS141" s="96"/>
      <c r="AT141" s="96"/>
      <c r="AU141" s="96"/>
      <c r="AV141" s="96"/>
      <c r="AW141" s="96"/>
      <c r="AX141" s="96"/>
      <c r="AY141" s="96"/>
      <c r="AZ141" s="96"/>
      <c r="BA141" s="96"/>
    </row>
    <row r="142" spans="1:53" s="94" customFormat="1" ht="12" customHeight="1">
      <c r="A142" s="8">
        <v>11303</v>
      </c>
      <c r="B142" s="8" t="s">
        <v>693</v>
      </c>
      <c r="C142" s="80">
        <f>+VLOOKUP(A142,Clasificaciones!C:I,5,FALSE)</f>
        <v>0</v>
      </c>
      <c r="D142" s="80">
        <v>0</v>
      </c>
      <c r="E142" s="80">
        <v>0</v>
      </c>
      <c r="F142" s="80">
        <f>+VLOOKUP(A142,Clasificaciones!C:M,9,FALSE)</f>
        <v>0</v>
      </c>
      <c r="G142" s="80">
        <f t="shared" si="55"/>
        <v>0</v>
      </c>
      <c r="H142" s="26">
        <v>0</v>
      </c>
      <c r="I142" s="26">
        <v>0</v>
      </c>
      <c r="J142" s="26">
        <f t="shared" ref="J142" si="56">-G142</f>
        <v>0</v>
      </c>
      <c r="K142" s="26">
        <v>0</v>
      </c>
      <c r="L142" s="26">
        <v>0</v>
      </c>
      <c r="M142" s="26">
        <v>0</v>
      </c>
      <c r="N142" s="26">
        <v>0</v>
      </c>
      <c r="O142" s="26">
        <v>0</v>
      </c>
      <c r="P142" s="26">
        <v>0</v>
      </c>
      <c r="Q142" s="26">
        <v>0</v>
      </c>
      <c r="R142" s="26">
        <v>0</v>
      </c>
      <c r="S142" s="26">
        <v>0</v>
      </c>
      <c r="T142" s="26">
        <v>0</v>
      </c>
      <c r="U142" s="26">
        <v>0</v>
      </c>
      <c r="V142" s="26">
        <v>0</v>
      </c>
      <c r="W142" s="26">
        <v>0</v>
      </c>
      <c r="X142" s="26">
        <v>0</v>
      </c>
      <c r="Y142" s="26">
        <v>0</v>
      </c>
      <c r="Z142" s="26">
        <f t="shared" si="22"/>
        <v>0</v>
      </c>
      <c r="AA142" s="98"/>
      <c r="AB142" s="98"/>
      <c r="AC142" s="98"/>
      <c r="AD142" s="98"/>
      <c r="AE142" s="98"/>
      <c r="AF142" s="98"/>
      <c r="AG142" s="98"/>
      <c r="AH142" s="98"/>
      <c r="AI142" s="98"/>
      <c r="AJ142" s="98"/>
      <c r="AK142" s="98"/>
      <c r="AL142" s="98"/>
      <c r="AM142" s="98"/>
      <c r="AN142" s="93"/>
      <c r="AO142" s="93"/>
      <c r="AP142" s="93"/>
      <c r="AQ142" s="93"/>
      <c r="AR142" s="93"/>
      <c r="AS142" s="93"/>
      <c r="AT142" s="93"/>
      <c r="AU142" s="93"/>
      <c r="AV142" s="93"/>
      <c r="AW142" s="93"/>
      <c r="AX142" s="93"/>
      <c r="AY142" s="93"/>
      <c r="AZ142" s="93"/>
      <c r="BA142" s="93"/>
    </row>
    <row r="143" spans="1:53" s="97" customFormat="1" ht="12" customHeight="1">
      <c r="A143" s="8">
        <v>1130301</v>
      </c>
      <c r="B143" s="8" t="s">
        <v>694</v>
      </c>
      <c r="C143" s="80">
        <f>+VLOOKUP(A143,Clasificaciones!C:I,5,FALSE)</f>
        <v>0</v>
      </c>
      <c r="D143" s="80">
        <v>0</v>
      </c>
      <c r="E143" s="80">
        <v>0</v>
      </c>
      <c r="F143" s="80">
        <f>+VLOOKUP(A143,Clasificaciones!C:M,9,FALSE)</f>
        <v>0</v>
      </c>
      <c r="G143" s="80">
        <f t="shared" si="55"/>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f t="shared" si="22"/>
        <v>0</v>
      </c>
      <c r="AA143" s="95"/>
      <c r="AB143" s="95"/>
      <c r="AC143" s="95"/>
      <c r="AD143" s="95"/>
      <c r="AE143" s="95"/>
      <c r="AF143" s="95"/>
      <c r="AG143" s="95"/>
      <c r="AH143" s="95"/>
      <c r="AI143" s="95"/>
      <c r="AJ143" s="95"/>
      <c r="AK143" s="95"/>
      <c r="AL143" s="95"/>
      <c r="AM143" s="95"/>
      <c r="AN143" s="96"/>
      <c r="AO143" s="96"/>
      <c r="AP143" s="96"/>
      <c r="AQ143" s="96"/>
      <c r="AR143" s="96"/>
      <c r="AS143" s="96"/>
      <c r="AT143" s="96"/>
      <c r="AU143" s="96"/>
      <c r="AV143" s="96"/>
      <c r="AW143" s="96"/>
      <c r="AX143" s="96"/>
      <c r="AY143" s="96"/>
      <c r="AZ143" s="96"/>
      <c r="BA143" s="96"/>
    </row>
    <row r="144" spans="1:53" s="97" customFormat="1" ht="12" customHeight="1">
      <c r="A144" s="8">
        <v>113030101</v>
      </c>
      <c r="B144" s="8" t="s">
        <v>694</v>
      </c>
      <c r="C144" s="80">
        <f>+VLOOKUP(A144,Clasificaciones!C:I,5,FALSE)</f>
        <v>1954392</v>
      </c>
      <c r="D144" s="80">
        <v>0</v>
      </c>
      <c r="E144" s="80">
        <v>0</v>
      </c>
      <c r="F144" s="80">
        <f>+VLOOKUP(A144,Clasificaciones!C:M,9,FALSE)</f>
        <v>0</v>
      </c>
      <c r="G144" s="80">
        <f t="shared" si="55"/>
        <v>1954392</v>
      </c>
      <c r="H144" s="26">
        <v>0</v>
      </c>
      <c r="I144" s="26">
        <v>0</v>
      </c>
      <c r="J144" s="26">
        <v>0</v>
      </c>
      <c r="K144" s="26">
        <v>0</v>
      </c>
      <c r="L144" s="26">
        <f>-G144</f>
        <v>-1954392</v>
      </c>
      <c r="M144" s="26">
        <v>0</v>
      </c>
      <c r="N144" s="26">
        <v>0</v>
      </c>
      <c r="O144" s="26">
        <v>0</v>
      </c>
      <c r="P144" s="26">
        <v>0</v>
      </c>
      <c r="Q144" s="26">
        <v>0</v>
      </c>
      <c r="R144" s="26">
        <v>0</v>
      </c>
      <c r="S144" s="26">
        <v>0</v>
      </c>
      <c r="T144" s="26">
        <v>0</v>
      </c>
      <c r="U144" s="26">
        <v>0</v>
      </c>
      <c r="V144" s="26">
        <v>0</v>
      </c>
      <c r="W144" s="26">
        <v>0</v>
      </c>
      <c r="X144" s="26">
        <v>0</v>
      </c>
      <c r="Y144" s="26">
        <v>0</v>
      </c>
      <c r="Z144" s="26">
        <f t="shared" si="22"/>
        <v>0</v>
      </c>
      <c r="AA144" s="95"/>
      <c r="AB144" s="95"/>
      <c r="AC144" s="95"/>
      <c r="AD144" s="95"/>
      <c r="AE144" s="95"/>
      <c r="AF144" s="95"/>
      <c r="AG144" s="95"/>
      <c r="AH144" s="95"/>
      <c r="AI144" s="95"/>
      <c r="AJ144" s="95"/>
      <c r="AK144" s="95"/>
      <c r="AL144" s="95"/>
      <c r="AM144" s="95"/>
      <c r="AN144" s="96"/>
      <c r="AO144" s="96"/>
      <c r="AP144" s="96"/>
      <c r="AQ144" s="96"/>
      <c r="AR144" s="96"/>
      <c r="AS144" s="96"/>
      <c r="AT144" s="96"/>
      <c r="AU144" s="96"/>
      <c r="AV144" s="96"/>
      <c r="AW144" s="96"/>
      <c r="AX144" s="96"/>
      <c r="AY144" s="96"/>
      <c r="AZ144" s="96"/>
      <c r="BA144" s="96"/>
    </row>
    <row r="145" spans="1:53" s="97" customFormat="1" ht="12" customHeight="1">
      <c r="A145" s="8">
        <v>113030102</v>
      </c>
      <c r="B145" s="8" t="s">
        <v>694</v>
      </c>
      <c r="C145" s="80">
        <f>+VLOOKUP(A145,Clasificaciones!C:I,5,FALSE)</f>
        <v>11282538</v>
      </c>
      <c r="D145" s="80">
        <v>0</v>
      </c>
      <c r="E145" s="80">
        <v>0</v>
      </c>
      <c r="F145" s="80">
        <f>+VLOOKUP(A145,Clasificaciones!C:M,9,FALSE)</f>
        <v>2</v>
      </c>
      <c r="G145" s="80">
        <f t="shared" si="55"/>
        <v>11282536</v>
      </c>
      <c r="H145" s="26">
        <f>-G145</f>
        <v>-11282536</v>
      </c>
      <c r="I145" s="26">
        <v>0</v>
      </c>
      <c r="J145" s="26"/>
      <c r="K145" s="26">
        <v>0</v>
      </c>
      <c r="L145" s="26">
        <v>0</v>
      </c>
      <c r="M145" s="26">
        <v>0</v>
      </c>
      <c r="N145" s="26">
        <v>0</v>
      </c>
      <c r="O145" s="26">
        <v>0</v>
      </c>
      <c r="P145" s="26">
        <v>0</v>
      </c>
      <c r="Q145" s="26">
        <v>0</v>
      </c>
      <c r="R145" s="26">
        <v>0</v>
      </c>
      <c r="S145" s="26">
        <v>0</v>
      </c>
      <c r="T145" s="26">
        <v>0</v>
      </c>
      <c r="U145" s="26">
        <v>0</v>
      </c>
      <c r="V145" s="26">
        <v>0</v>
      </c>
      <c r="W145" s="26">
        <v>0</v>
      </c>
      <c r="X145" s="26">
        <v>0</v>
      </c>
      <c r="Y145" s="26">
        <v>0</v>
      </c>
      <c r="Z145" s="26">
        <f t="shared" si="22"/>
        <v>0</v>
      </c>
      <c r="AA145" s="95"/>
      <c r="AB145" s="95"/>
      <c r="AC145" s="95"/>
      <c r="AD145" s="95"/>
      <c r="AE145" s="95"/>
      <c r="AF145" s="95"/>
      <c r="AG145" s="95"/>
      <c r="AH145" s="95"/>
      <c r="AI145" s="95"/>
      <c r="AJ145" s="95"/>
      <c r="AK145" s="95"/>
      <c r="AL145" s="95"/>
      <c r="AM145" s="95"/>
      <c r="AN145" s="96"/>
      <c r="AO145" s="96"/>
      <c r="AP145" s="96"/>
      <c r="AQ145" s="96"/>
      <c r="AR145" s="96"/>
      <c r="AS145" s="96"/>
      <c r="AT145" s="96"/>
      <c r="AU145" s="96"/>
      <c r="AV145" s="96"/>
      <c r="AW145" s="96"/>
      <c r="AX145" s="96"/>
      <c r="AY145" s="96"/>
      <c r="AZ145" s="96"/>
      <c r="BA145" s="96"/>
    </row>
    <row r="146" spans="1:53" s="97" customFormat="1" ht="12" customHeight="1">
      <c r="A146" s="8">
        <v>11308</v>
      </c>
      <c r="B146" s="8" t="s">
        <v>696</v>
      </c>
      <c r="C146" s="80">
        <f>+VLOOKUP(A146,Clasificaciones!C:I,5,FALSE)</f>
        <v>0</v>
      </c>
      <c r="D146" s="80">
        <v>0</v>
      </c>
      <c r="E146" s="80">
        <v>0</v>
      </c>
      <c r="F146" s="80">
        <f>+VLOOKUP(A146,Clasificaciones!C:M,9,FALSE)</f>
        <v>0</v>
      </c>
      <c r="G146" s="80">
        <f t="shared" si="55"/>
        <v>0</v>
      </c>
      <c r="H146" s="26">
        <v>0</v>
      </c>
      <c r="I146" s="26">
        <v>0</v>
      </c>
      <c r="J146" s="26">
        <f>-G146</f>
        <v>0</v>
      </c>
      <c r="K146" s="26">
        <v>0</v>
      </c>
      <c r="L146" s="26">
        <v>0</v>
      </c>
      <c r="M146" s="26">
        <v>0</v>
      </c>
      <c r="N146" s="26">
        <v>0</v>
      </c>
      <c r="O146" s="26">
        <v>0</v>
      </c>
      <c r="P146" s="26">
        <v>0</v>
      </c>
      <c r="Q146" s="26">
        <v>0</v>
      </c>
      <c r="R146" s="26">
        <v>0</v>
      </c>
      <c r="S146" s="26">
        <v>0</v>
      </c>
      <c r="T146" s="26">
        <v>0</v>
      </c>
      <c r="U146" s="26">
        <v>0</v>
      </c>
      <c r="V146" s="26">
        <v>0</v>
      </c>
      <c r="W146" s="26">
        <v>0</v>
      </c>
      <c r="X146" s="26">
        <v>0</v>
      </c>
      <c r="Y146" s="26">
        <v>0</v>
      </c>
      <c r="Z146" s="26">
        <f t="shared" si="22"/>
        <v>0</v>
      </c>
      <c r="AA146" s="95"/>
      <c r="AB146" s="95"/>
      <c r="AC146" s="95"/>
      <c r="AD146" s="95"/>
      <c r="AE146" s="95"/>
      <c r="AF146" s="95"/>
      <c r="AG146" s="95"/>
      <c r="AH146" s="95"/>
      <c r="AI146" s="95"/>
      <c r="AJ146" s="95"/>
      <c r="AK146" s="95"/>
      <c r="AL146" s="95"/>
      <c r="AM146" s="95"/>
      <c r="AN146" s="96"/>
      <c r="AO146" s="96"/>
      <c r="AP146" s="96"/>
      <c r="AQ146" s="96"/>
      <c r="AR146" s="96"/>
      <c r="AS146" s="96"/>
      <c r="AT146" s="96"/>
      <c r="AU146" s="96"/>
      <c r="AV146" s="96"/>
      <c r="AW146" s="96"/>
      <c r="AX146" s="96"/>
      <c r="AY146" s="96"/>
      <c r="AZ146" s="96"/>
      <c r="BA146" s="96"/>
    </row>
    <row r="147" spans="1:53" s="97" customFormat="1" ht="12" customHeight="1">
      <c r="A147" s="8">
        <v>1130801</v>
      </c>
      <c r="B147" s="8" t="s">
        <v>697</v>
      </c>
      <c r="C147" s="80">
        <f>+VLOOKUP(A147,Clasificaciones!C:I,5,FALSE)</f>
        <v>121527025</v>
      </c>
      <c r="D147" s="80">
        <v>0</v>
      </c>
      <c r="E147" s="80">
        <v>0</v>
      </c>
      <c r="F147" s="80">
        <f>+VLOOKUP(A147,Clasificaciones!C:M,9,FALSE)</f>
        <v>263473908</v>
      </c>
      <c r="G147" s="80">
        <f>+C147-F147+D147-E147</f>
        <v>-141946883</v>
      </c>
      <c r="H147" s="26">
        <v>0</v>
      </c>
      <c r="I147" s="26">
        <v>0</v>
      </c>
      <c r="J147" s="26">
        <v>0</v>
      </c>
      <c r="K147" s="26">
        <v>0</v>
      </c>
      <c r="L147" s="26">
        <v>0</v>
      </c>
      <c r="M147" s="26">
        <f>-G147</f>
        <v>141946883</v>
      </c>
      <c r="N147" s="26">
        <v>0</v>
      </c>
      <c r="O147" s="26">
        <v>0</v>
      </c>
      <c r="P147" s="26">
        <v>0</v>
      </c>
      <c r="Q147" s="26">
        <v>0</v>
      </c>
      <c r="R147" s="26">
        <v>0</v>
      </c>
      <c r="S147" s="26">
        <v>0</v>
      </c>
      <c r="T147" s="26">
        <v>0</v>
      </c>
      <c r="U147" s="26">
        <v>0</v>
      </c>
      <c r="V147" s="26">
        <v>0</v>
      </c>
      <c r="W147" s="26">
        <v>0</v>
      </c>
      <c r="X147" s="26">
        <v>0</v>
      </c>
      <c r="Y147" s="26">
        <v>0</v>
      </c>
      <c r="Z147" s="26">
        <f t="shared" si="22"/>
        <v>0</v>
      </c>
      <c r="AA147" s="95"/>
      <c r="AB147" s="95"/>
      <c r="AC147" s="95"/>
      <c r="AD147" s="95"/>
      <c r="AE147" s="95"/>
      <c r="AF147" s="95"/>
      <c r="AG147" s="95"/>
      <c r="AH147" s="95"/>
      <c r="AI147" s="95"/>
      <c r="AJ147" s="95"/>
      <c r="AK147" s="95"/>
      <c r="AL147" s="95"/>
      <c r="AM147" s="95"/>
      <c r="AN147" s="96"/>
      <c r="AO147" s="96"/>
      <c r="AP147" s="96"/>
      <c r="AQ147" s="96"/>
      <c r="AR147" s="96"/>
      <c r="AS147" s="96"/>
      <c r="AT147" s="96"/>
      <c r="AU147" s="96"/>
      <c r="AV147" s="96"/>
      <c r="AW147" s="96"/>
      <c r="AX147" s="96"/>
      <c r="AY147" s="96"/>
      <c r="AZ147" s="96"/>
      <c r="BA147" s="96"/>
    </row>
    <row r="148" spans="1:53" s="97" customFormat="1" ht="12" customHeight="1">
      <c r="A148" s="8">
        <v>1130802</v>
      </c>
      <c r="B148" s="8" t="s">
        <v>744</v>
      </c>
      <c r="C148" s="80">
        <f>+VLOOKUP(A148,Clasificaciones!C:I,5,FALSE)</f>
        <v>0</v>
      </c>
      <c r="D148" s="80">
        <v>0</v>
      </c>
      <c r="E148" s="80">
        <v>0</v>
      </c>
      <c r="F148" s="80">
        <f>+VLOOKUP(A148,Clasificaciones!C:M,9,FALSE)</f>
        <v>0</v>
      </c>
      <c r="G148" s="80">
        <f t="shared" si="55"/>
        <v>0</v>
      </c>
      <c r="H148" s="26">
        <v>0</v>
      </c>
      <c r="I148" s="26">
        <v>0</v>
      </c>
      <c r="J148" s="26">
        <v>0</v>
      </c>
      <c r="K148" s="26">
        <v>0</v>
      </c>
      <c r="L148" s="26">
        <v>0</v>
      </c>
      <c r="M148" s="26">
        <v>0</v>
      </c>
      <c r="N148" s="26">
        <v>0</v>
      </c>
      <c r="O148" s="26">
        <v>0</v>
      </c>
      <c r="P148" s="26">
        <v>0</v>
      </c>
      <c r="Q148" s="26">
        <v>0</v>
      </c>
      <c r="R148" s="26">
        <v>0</v>
      </c>
      <c r="S148" s="26">
        <v>0</v>
      </c>
      <c r="T148" s="26">
        <v>0</v>
      </c>
      <c r="U148" s="26">
        <v>0</v>
      </c>
      <c r="V148" s="26">
        <v>0</v>
      </c>
      <c r="W148" s="26">
        <v>0</v>
      </c>
      <c r="X148" s="26">
        <v>0</v>
      </c>
      <c r="Y148" s="26">
        <v>0</v>
      </c>
      <c r="Z148" s="26">
        <f t="shared" si="22"/>
        <v>0</v>
      </c>
      <c r="AA148" s="95"/>
      <c r="AB148" s="95"/>
      <c r="AC148" s="95"/>
      <c r="AD148" s="95"/>
      <c r="AE148" s="95"/>
      <c r="AF148" s="95"/>
      <c r="AG148" s="95"/>
      <c r="AH148" s="95"/>
      <c r="AI148" s="95"/>
      <c r="AJ148" s="95"/>
      <c r="AK148" s="95"/>
      <c r="AL148" s="95"/>
      <c r="AM148" s="95"/>
      <c r="AN148" s="96"/>
      <c r="AO148" s="96"/>
      <c r="AP148" s="96"/>
      <c r="AQ148" s="96"/>
      <c r="AR148" s="96"/>
      <c r="AS148" s="96"/>
      <c r="AT148" s="96"/>
      <c r="AU148" s="96"/>
      <c r="AV148" s="96"/>
      <c r="AW148" s="96"/>
      <c r="AX148" s="96"/>
      <c r="AY148" s="96"/>
      <c r="AZ148" s="96"/>
      <c r="BA148" s="96"/>
    </row>
    <row r="149" spans="1:53" s="97" customFormat="1" ht="12" customHeight="1">
      <c r="A149" s="8">
        <v>113080201</v>
      </c>
      <c r="B149" s="8" t="s">
        <v>960</v>
      </c>
      <c r="C149" s="80">
        <f>+VLOOKUP(A149,Clasificaciones!C:I,5,FALSE)</f>
        <v>0</v>
      </c>
      <c r="D149" s="80">
        <v>0</v>
      </c>
      <c r="E149" s="80">
        <v>0</v>
      </c>
      <c r="F149" s="80">
        <f>+VLOOKUP(A149,Clasificaciones!C:M,9,FALSE)</f>
        <v>0</v>
      </c>
      <c r="G149" s="80">
        <f t="shared" si="55"/>
        <v>0</v>
      </c>
      <c r="H149" s="26">
        <v>0</v>
      </c>
      <c r="I149" s="26">
        <v>0</v>
      </c>
      <c r="J149" s="26">
        <f>-G149</f>
        <v>0</v>
      </c>
      <c r="K149" s="26">
        <v>0</v>
      </c>
      <c r="L149" s="26">
        <v>0</v>
      </c>
      <c r="M149" s="26">
        <v>0</v>
      </c>
      <c r="N149" s="26">
        <v>0</v>
      </c>
      <c r="O149" s="26">
        <v>0</v>
      </c>
      <c r="P149" s="26">
        <v>0</v>
      </c>
      <c r="Q149" s="26">
        <v>0</v>
      </c>
      <c r="R149" s="26">
        <v>0</v>
      </c>
      <c r="S149" s="26">
        <v>0</v>
      </c>
      <c r="T149" s="26">
        <v>0</v>
      </c>
      <c r="U149" s="26">
        <v>0</v>
      </c>
      <c r="V149" s="26">
        <v>0</v>
      </c>
      <c r="W149" s="26">
        <v>0</v>
      </c>
      <c r="X149" s="26">
        <v>0</v>
      </c>
      <c r="Y149" s="26">
        <v>0</v>
      </c>
      <c r="Z149" s="26">
        <f t="shared" si="22"/>
        <v>0</v>
      </c>
      <c r="AA149" s="95"/>
      <c r="AB149" s="95"/>
      <c r="AC149" s="95"/>
      <c r="AD149" s="95"/>
      <c r="AE149" s="95"/>
      <c r="AF149" s="95"/>
      <c r="AG149" s="95"/>
      <c r="AH149" s="95"/>
      <c r="AI149" s="95"/>
      <c r="AJ149" s="95"/>
      <c r="AK149" s="95"/>
      <c r="AL149" s="95"/>
      <c r="AM149" s="95"/>
      <c r="AN149" s="96"/>
      <c r="AO149" s="96"/>
      <c r="AP149" s="96"/>
      <c r="AQ149" s="96"/>
      <c r="AR149" s="96"/>
      <c r="AS149" s="96"/>
      <c r="AT149" s="96"/>
      <c r="AU149" s="96"/>
      <c r="AV149" s="96"/>
      <c r="AW149" s="96"/>
      <c r="AX149" s="96"/>
      <c r="AY149" s="96"/>
      <c r="AZ149" s="96"/>
      <c r="BA149" s="96"/>
    </row>
    <row r="150" spans="1:53" s="97" customFormat="1" ht="12" customHeight="1">
      <c r="A150" s="8">
        <v>1130803</v>
      </c>
      <c r="B150" s="8" t="s">
        <v>962</v>
      </c>
      <c r="C150" s="80">
        <f>+VLOOKUP(A150,Clasificaciones!C:I,5,FALSE)</f>
        <v>0</v>
      </c>
      <c r="D150" s="80">
        <v>0</v>
      </c>
      <c r="E150" s="80">
        <v>0</v>
      </c>
      <c r="F150" s="80">
        <f>+VLOOKUP(A150,Clasificaciones!C:M,9,FALSE)</f>
        <v>0</v>
      </c>
      <c r="G150" s="80">
        <f t="shared" si="55"/>
        <v>0</v>
      </c>
      <c r="H150" s="26">
        <v>0</v>
      </c>
      <c r="I150" s="26">
        <v>0</v>
      </c>
      <c r="J150" s="26"/>
      <c r="K150" s="26">
        <v>0</v>
      </c>
      <c r="L150" s="26">
        <f>-G150</f>
        <v>0</v>
      </c>
      <c r="M150" s="26">
        <v>0</v>
      </c>
      <c r="N150" s="26">
        <v>0</v>
      </c>
      <c r="O150" s="26">
        <v>0</v>
      </c>
      <c r="P150" s="26">
        <v>0</v>
      </c>
      <c r="Q150" s="26">
        <v>0</v>
      </c>
      <c r="R150" s="26">
        <v>0</v>
      </c>
      <c r="S150" s="26">
        <v>0</v>
      </c>
      <c r="T150" s="26">
        <v>0</v>
      </c>
      <c r="U150" s="26">
        <v>0</v>
      </c>
      <c r="V150" s="26">
        <v>0</v>
      </c>
      <c r="W150" s="26">
        <v>0</v>
      </c>
      <c r="X150" s="26">
        <v>0</v>
      </c>
      <c r="Y150" s="26">
        <v>0</v>
      </c>
      <c r="Z150" s="26">
        <f t="shared" si="22"/>
        <v>0</v>
      </c>
      <c r="AA150" s="95"/>
      <c r="AB150" s="95"/>
      <c r="AC150" s="95"/>
      <c r="AD150" s="95"/>
      <c r="AE150" s="95"/>
      <c r="AF150" s="95"/>
      <c r="AG150" s="95"/>
      <c r="AH150" s="95"/>
      <c r="AI150" s="95"/>
      <c r="AJ150" s="95"/>
      <c r="AK150" s="95"/>
      <c r="AL150" s="95"/>
      <c r="AM150" s="95"/>
      <c r="AN150" s="96"/>
      <c r="AO150" s="96"/>
      <c r="AP150" s="96"/>
      <c r="AQ150" s="96"/>
      <c r="AR150" s="96"/>
      <c r="AS150" s="96"/>
      <c r="AT150" s="96"/>
      <c r="AU150" s="96"/>
      <c r="AV150" s="96"/>
      <c r="AW150" s="96"/>
      <c r="AX150" s="96"/>
      <c r="AY150" s="96"/>
      <c r="AZ150" s="96"/>
      <c r="BA150" s="96"/>
    </row>
    <row r="151" spans="1:53" s="97" customFormat="1" ht="12" customHeight="1">
      <c r="A151" s="8">
        <v>1130804</v>
      </c>
      <c r="B151" s="8" t="s">
        <v>261</v>
      </c>
      <c r="C151" s="80">
        <f>+VLOOKUP(A151,Clasificaciones!C:I,5,FALSE)</f>
        <v>43548</v>
      </c>
      <c r="D151" s="80">
        <v>0</v>
      </c>
      <c r="E151" s="80">
        <v>0</v>
      </c>
      <c r="F151" s="80">
        <f>+VLOOKUP(A151,Clasificaciones!C:M,9,FALSE)</f>
        <v>0</v>
      </c>
      <c r="G151" s="80">
        <f t="shared" si="55"/>
        <v>43548</v>
      </c>
      <c r="H151" s="26">
        <v>0</v>
      </c>
      <c r="I151" s="26">
        <v>0</v>
      </c>
      <c r="J151" s="26"/>
      <c r="K151" s="26">
        <v>0</v>
      </c>
      <c r="L151" s="26">
        <f>-G151</f>
        <v>-43548</v>
      </c>
      <c r="M151" s="26">
        <v>0</v>
      </c>
      <c r="N151" s="26">
        <v>0</v>
      </c>
      <c r="O151" s="26">
        <v>0</v>
      </c>
      <c r="P151" s="26">
        <v>0</v>
      </c>
      <c r="Q151" s="26">
        <v>0</v>
      </c>
      <c r="R151" s="26">
        <v>0</v>
      </c>
      <c r="S151" s="26">
        <v>0</v>
      </c>
      <c r="T151" s="26">
        <v>0</v>
      </c>
      <c r="U151" s="26">
        <v>0</v>
      </c>
      <c r="V151" s="26">
        <v>0</v>
      </c>
      <c r="W151" s="26">
        <v>0</v>
      </c>
      <c r="X151" s="26">
        <v>0</v>
      </c>
      <c r="Y151" s="26">
        <v>0</v>
      </c>
      <c r="Z151" s="26">
        <f t="shared" si="22"/>
        <v>0</v>
      </c>
      <c r="AA151" s="95"/>
      <c r="AB151" s="95"/>
      <c r="AC151" s="95"/>
      <c r="AD151" s="95"/>
      <c r="AE151" s="95"/>
      <c r="AF151" s="95"/>
      <c r="AG151" s="95"/>
      <c r="AH151" s="95"/>
      <c r="AI151" s="95"/>
      <c r="AJ151" s="95"/>
      <c r="AK151" s="95"/>
      <c r="AL151" s="95"/>
      <c r="AM151" s="95"/>
      <c r="AN151" s="96"/>
      <c r="AO151" s="96"/>
      <c r="AP151" s="96"/>
      <c r="AQ151" s="96"/>
      <c r="AR151" s="96"/>
      <c r="AS151" s="96"/>
      <c r="AT151" s="96"/>
      <c r="AU151" s="96"/>
      <c r="AV151" s="96"/>
      <c r="AW151" s="96"/>
      <c r="AX151" s="96"/>
      <c r="AY151" s="96"/>
      <c r="AZ151" s="96"/>
      <c r="BA151" s="96"/>
    </row>
    <row r="152" spans="1:53" s="97" customFormat="1" ht="12" customHeight="1">
      <c r="A152" s="8">
        <v>1130807</v>
      </c>
      <c r="B152" s="8" t="s">
        <v>1560</v>
      </c>
      <c r="C152" s="80">
        <f>+VLOOKUP(A152,Clasificaciones!C:I,5,FALSE)</f>
        <v>99961674</v>
      </c>
      <c r="D152" s="80">
        <v>0</v>
      </c>
      <c r="E152" s="80">
        <v>0</v>
      </c>
      <c r="F152" s="80">
        <f>+VLOOKUP(A152,Clasificaciones!C:M,9,FALSE)</f>
        <v>0</v>
      </c>
      <c r="G152" s="80">
        <f t="shared" ref="G152" si="57">+C152-F152+D152-E152</f>
        <v>99961674</v>
      </c>
      <c r="H152" s="26">
        <v>0</v>
      </c>
      <c r="I152" s="26">
        <v>0</v>
      </c>
      <c r="J152" s="26"/>
      <c r="K152" s="26">
        <v>0</v>
      </c>
      <c r="L152" s="26">
        <f>-G152</f>
        <v>-99961674</v>
      </c>
      <c r="M152" s="26">
        <v>0</v>
      </c>
      <c r="N152" s="26">
        <v>0</v>
      </c>
      <c r="O152" s="26">
        <v>0</v>
      </c>
      <c r="P152" s="26">
        <v>0</v>
      </c>
      <c r="Q152" s="26">
        <v>0</v>
      </c>
      <c r="R152" s="26">
        <v>0</v>
      </c>
      <c r="S152" s="26">
        <v>0</v>
      </c>
      <c r="T152" s="26">
        <v>0</v>
      </c>
      <c r="U152" s="26">
        <v>0</v>
      </c>
      <c r="V152" s="26">
        <v>0</v>
      </c>
      <c r="W152" s="26">
        <v>0</v>
      </c>
      <c r="X152" s="26">
        <v>0</v>
      </c>
      <c r="Y152" s="26">
        <v>0</v>
      </c>
      <c r="Z152" s="26">
        <f t="shared" ref="Z152" si="58">SUM(G152:Y152)</f>
        <v>0</v>
      </c>
      <c r="AA152" s="95"/>
      <c r="AB152" s="95"/>
      <c r="AC152" s="95"/>
      <c r="AD152" s="95"/>
      <c r="AE152" s="95"/>
      <c r="AF152" s="95"/>
      <c r="AG152" s="95"/>
      <c r="AH152" s="95"/>
      <c r="AI152" s="95"/>
      <c r="AJ152" s="95"/>
      <c r="AK152" s="95"/>
      <c r="AL152" s="95"/>
      <c r="AM152" s="95"/>
      <c r="AN152" s="96"/>
      <c r="AO152" s="96"/>
      <c r="AP152" s="96"/>
      <c r="AQ152" s="96"/>
      <c r="AR152" s="96"/>
      <c r="AS152" s="96"/>
      <c r="AT152" s="96"/>
      <c r="AU152" s="96"/>
      <c r="AV152" s="96"/>
      <c r="AW152" s="96"/>
      <c r="AX152" s="96"/>
      <c r="AY152" s="96"/>
      <c r="AZ152" s="96"/>
      <c r="BA152" s="96"/>
    </row>
    <row r="153" spans="1:53" s="97" customFormat="1" ht="12" customHeight="1">
      <c r="A153" s="8">
        <v>1130805</v>
      </c>
      <c r="B153" s="8" t="s">
        <v>698</v>
      </c>
      <c r="C153" s="80">
        <f>+VLOOKUP(A153,Clasificaciones!C:I,5,FALSE)</f>
        <v>0</v>
      </c>
      <c r="D153" s="80">
        <v>0</v>
      </c>
      <c r="E153" s="80">
        <v>0</v>
      </c>
      <c r="F153" s="80">
        <f>+VLOOKUP(A153,Clasificaciones!C:M,9,FALSE)</f>
        <v>129477</v>
      </c>
      <c r="G153" s="80">
        <f t="shared" si="55"/>
        <v>-129477</v>
      </c>
      <c r="H153" s="26">
        <v>0</v>
      </c>
      <c r="I153" s="26">
        <v>0</v>
      </c>
      <c r="J153" s="26"/>
      <c r="K153" s="26">
        <v>0</v>
      </c>
      <c r="L153" s="26">
        <f>-G153</f>
        <v>129477</v>
      </c>
      <c r="M153" s="26">
        <v>0</v>
      </c>
      <c r="N153" s="26">
        <v>0</v>
      </c>
      <c r="O153" s="26">
        <v>0</v>
      </c>
      <c r="P153" s="26">
        <v>0</v>
      </c>
      <c r="Q153" s="26">
        <v>0</v>
      </c>
      <c r="R153" s="26">
        <v>0</v>
      </c>
      <c r="S153" s="26">
        <v>0</v>
      </c>
      <c r="T153" s="26">
        <v>0</v>
      </c>
      <c r="U153" s="26">
        <v>0</v>
      </c>
      <c r="V153" s="26">
        <v>0</v>
      </c>
      <c r="W153" s="26">
        <v>0</v>
      </c>
      <c r="X153" s="26">
        <v>0</v>
      </c>
      <c r="Y153" s="26">
        <v>0</v>
      </c>
      <c r="Z153" s="26">
        <f t="shared" ref="Z153:Z218" si="59">SUM(G153:Y153)</f>
        <v>0</v>
      </c>
      <c r="AA153" s="95"/>
      <c r="AB153" s="95"/>
      <c r="AC153" s="95"/>
      <c r="AD153" s="95"/>
      <c r="AE153" s="95"/>
      <c r="AF153" s="95"/>
      <c r="AG153" s="95"/>
      <c r="AH153" s="95"/>
      <c r="AI153" s="95"/>
      <c r="AJ153" s="95"/>
      <c r="AK153" s="95"/>
      <c r="AL153" s="95"/>
      <c r="AM153" s="95"/>
      <c r="AN153" s="96"/>
      <c r="AO153" s="96"/>
      <c r="AP153" s="96"/>
      <c r="AQ153" s="96"/>
      <c r="AR153" s="96"/>
      <c r="AS153" s="96"/>
      <c r="AT153" s="96"/>
      <c r="AU153" s="96"/>
      <c r="AV153" s="96"/>
      <c r="AW153" s="96"/>
      <c r="AX153" s="96"/>
      <c r="AY153" s="96"/>
      <c r="AZ153" s="96"/>
      <c r="BA153" s="96"/>
    </row>
    <row r="154" spans="1:53" s="97" customFormat="1" ht="12" customHeight="1">
      <c r="A154" s="8">
        <v>11309</v>
      </c>
      <c r="B154" s="8" t="s">
        <v>699</v>
      </c>
      <c r="C154" s="80">
        <f>+VLOOKUP(A154,Clasificaciones!C:I,5,FALSE)</f>
        <v>0</v>
      </c>
      <c r="D154" s="80">
        <v>0</v>
      </c>
      <c r="E154" s="80">
        <v>0</v>
      </c>
      <c r="F154" s="80">
        <f>+VLOOKUP(A154,Clasificaciones!C:M,9,FALSE)</f>
        <v>0</v>
      </c>
      <c r="G154" s="80">
        <f t="shared" si="55"/>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c r="Z154" s="26">
        <f t="shared" si="59"/>
        <v>0</v>
      </c>
      <c r="AA154" s="95"/>
      <c r="AB154" s="95"/>
      <c r="AC154" s="95"/>
      <c r="AD154" s="95"/>
      <c r="AE154" s="95"/>
      <c r="AF154" s="95"/>
      <c r="AG154" s="95"/>
      <c r="AH154" s="95"/>
      <c r="AI154" s="95"/>
      <c r="AJ154" s="95"/>
      <c r="AK154" s="95"/>
      <c r="AL154" s="95"/>
      <c r="AM154" s="95"/>
      <c r="AN154" s="96"/>
      <c r="AO154" s="96"/>
      <c r="AP154" s="96"/>
      <c r="AQ154" s="96"/>
      <c r="AR154" s="96"/>
      <c r="AS154" s="96"/>
      <c r="AT154" s="96"/>
      <c r="AU154" s="96"/>
      <c r="AV154" s="96"/>
      <c r="AW154" s="96"/>
      <c r="AX154" s="96"/>
      <c r="AY154" s="96"/>
      <c r="AZ154" s="96"/>
      <c r="BA154" s="96"/>
    </row>
    <row r="155" spans="1:53" s="97" customFormat="1" ht="12" customHeight="1">
      <c r="A155" s="8">
        <v>1130901</v>
      </c>
      <c r="B155" s="8" t="s">
        <v>964</v>
      </c>
      <c r="C155" s="80">
        <f>+VLOOKUP(A155,Clasificaciones!C:I,5,FALSE)</f>
        <v>0</v>
      </c>
      <c r="D155" s="80">
        <v>0</v>
      </c>
      <c r="E155" s="80">
        <v>0</v>
      </c>
      <c r="F155" s="80">
        <f>+VLOOKUP(A155,Clasificaciones!C:M,9,FALSE)</f>
        <v>0</v>
      </c>
      <c r="G155" s="80">
        <f t="shared" si="55"/>
        <v>0</v>
      </c>
      <c r="H155" s="26">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f t="shared" si="59"/>
        <v>0</v>
      </c>
      <c r="AA155" s="95"/>
      <c r="AB155" s="95"/>
      <c r="AC155" s="95"/>
      <c r="AD155" s="95"/>
      <c r="AE155" s="95"/>
      <c r="AF155" s="95"/>
      <c r="AG155" s="95"/>
      <c r="AH155" s="95"/>
      <c r="AI155" s="95"/>
      <c r="AJ155" s="95"/>
      <c r="AK155" s="95"/>
      <c r="AL155" s="95"/>
      <c r="AM155" s="95"/>
      <c r="AN155" s="96"/>
      <c r="AO155" s="96"/>
      <c r="AP155" s="96"/>
      <c r="AQ155" s="96"/>
      <c r="AR155" s="96"/>
      <c r="AS155" s="96"/>
      <c r="AT155" s="96"/>
      <c r="AU155" s="96"/>
      <c r="AV155" s="96"/>
      <c r="AW155" s="96"/>
      <c r="AX155" s="96"/>
      <c r="AY155" s="96"/>
      <c r="AZ155" s="96"/>
      <c r="BA155" s="96"/>
    </row>
    <row r="156" spans="1:53" s="97" customFormat="1" ht="12" customHeight="1">
      <c r="A156" s="8">
        <v>113090101</v>
      </c>
      <c r="B156" s="8" t="s">
        <v>267</v>
      </c>
      <c r="C156" s="80">
        <f>+VLOOKUP(A156,Clasificaciones!C:I,5,FALSE)</f>
        <v>0</v>
      </c>
      <c r="D156" s="80">
        <v>0</v>
      </c>
      <c r="E156" s="80">
        <v>0</v>
      </c>
      <c r="F156" s="80">
        <f>+VLOOKUP(A156,Clasificaciones!C:M,9,FALSE)</f>
        <v>0</v>
      </c>
      <c r="G156" s="80">
        <f t="shared" si="55"/>
        <v>0</v>
      </c>
      <c r="H156" s="26">
        <v>0</v>
      </c>
      <c r="I156" s="26">
        <v>0</v>
      </c>
      <c r="J156" s="26">
        <v>0</v>
      </c>
      <c r="K156" s="26">
        <v>0</v>
      </c>
      <c r="L156" s="26">
        <f>-G156</f>
        <v>0</v>
      </c>
      <c r="M156" s="26">
        <v>0</v>
      </c>
      <c r="N156" s="26">
        <v>0</v>
      </c>
      <c r="O156" s="26">
        <v>0</v>
      </c>
      <c r="P156" s="26">
        <v>0</v>
      </c>
      <c r="Q156" s="26">
        <v>0</v>
      </c>
      <c r="R156" s="26">
        <v>0</v>
      </c>
      <c r="S156" s="26">
        <v>0</v>
      </c>
      <c r="T156" s="26">
        <v>0</v>
      </c>
      <c r="U156" s="26">
        <v>0</v>
      </c>
      <c r="V156" s="26">
        <v>0</v>
      </c>
      <c r="W156" s="26">
        <v>0</v>
      </c>
      <c r="X156" s="26">
        <v>0</v>
      </c>
      <c r="Y156" s="26">
        <v>0</v>
      </c>
      <c r="Z156" s="26">
        <f t="shared" si="59"/>
        <v>0</v>
      </c>
      <c r="AA156" s="95"/>
      <c r="AB156" s="95"/>
      <c r="AC156" s="95"/>
      <c r="AD156" s="95"/>
      <c r="AE156" s="95"/>
      <c r="AF156" s="95"/>
      <c r="AG156" s="95"/>
      <c r="AH156" s="95"/>
      <c r="AI156" s="95"/>
      <c r="AJ156" s="95"/>
      <c r="AK156" s="95"/>
      <c r="AL156" s="95"/>
      <c r="AM156" s="95"/>
      <c r="AN156" s="96"/>
      <c r="AO156" s="96"/>
      <c r="AP156" s="96"/>
      <c r="AQ156" s="96"/>
      <c r="AR156" s="96"/>
      <c r="AS156" s="96"/>
      <c r="AT156" s="96"/>
      <c r="AU156" s="96"/>
      <c r="AV156" s="96"/>
      <c r="AW156" s="96"/>
      <c r="AX156" s="96"/>
      <c r="AY156" s="96"/>
      <c r="AZ156" s="96"/>
      <c r="BA156" s="96"/>
    </row>
    <row r="157" spans="1:53" s="94" customFormat="1" ht="12" customHeight="1">
      <c r="A157" s="8">
        <v>113090102</v>
      </c>
      <c r="B157" s="8" t="s">
        <v>965</v>
      </c>
      <c r="C157" s="80">
        <f>+VLOOKUP(A157,Clasificaciones!C:I,5,FALSE)</f>
        <v>0</v>
      </c>
      <c r="D157" s="80">
        <v>0</v>
      </c>
      <c r="E157" s="80">
        <v>0</v>
      </c>
      <c r="F157" s="80">
        <f>+VLOOKUP(A157,Clasificaciones!C:M,9,FALSE)</f>
        <v>0</v>
      </c>
      <c r="G157" s="80">
        <f t="shared" si="55"/>
        <v>0</v>
      </c>
      <c r="H157" s="26">
        <v>0</v>
      </c>
      <c r="I157" s="26">
        <v>0</v>
      </c>
      <c r="J157" s="26">
        <v>0</v>
      </c>
      <c r="K157" s="26">
        <v>0</v>
      </c>
      <c r="L157" s="26">
        <f>-G157</f>
        <v>0</v>
      </c>
      <c r="M157" s="26">
        <v>0</v>
      </c>
      <c r="N157" s="26">
        <v>0</v>
      </c>
      <c r="O157" s="26">
        <v>0</v>
      </c>
      <c r="P157" s="26">
        <v>0</v>
      </c>
      <c r="Q157" s="26">
        <v>0</v>
      </c>
      <c r="R157" s="26">
        <v>0</v>
      </c>
      <c r="S157" s="26">
        <v>0</v>
      </c>
      <c r="T157" s="26">
        <v>0</v>
      </c>
      <c r="U157" s="26">
        <v>0</v>
      </c>
      <c r="V157" s="26">
        <v>0</v>
      </c>
      <c r="W157" s="26">
        <v>0</v>
      </c>
      <c r="X157" s="26">
        <v>0</v>
      </c>
      <c r="Y157" s="26">
        <v>0</v>
      </c>
      <c r="Z157" s="26">
        <f t="shared" si="59"/>
        <v>0</v>
      </c>
      <c r="AA157" s="98"/>
      <c r="AB157" s="98"/>
      <c r="AC157" s="98"/>
      <c r="AD157" s="98"/>
      <c r="AE157" s="98"/>
      <c r="AF157" s="98"/>
      <c r="AG157" s="98"/>
      <c r="AH157" s="98"/>
      <c r="AI157" s="98"/>
      <c r="AJ157" s="98"/>
      <c r="AK157" s="98"/>
      <c r="AL157" s="98"/>
      <c r="AM157" s="98"/>
      <c r="AN157" s="93"/>
      <c r="AO157" s="93"/>
      <c r="AP157" s="93"/>
      <c r="AQ157" s="93"/>
      <c r="AR157" s="93"/>
      <c r="AS157" s="93"/>
      <c r="AT157" s="93"/>
      <c r="AU157" s="93"/>
      <c r="AV157" s="93"/>
      <c r="AW157" s="93"/>
      <c r="AX157" s="93"/>
      <c r="AY157" s="93"/>
      <c r="AZ157" s="93"/>
      <c r="BA157" s="93"/>
    </row>
    <row r="158" spans="1:53" s="97" customFormat="1" ht="12" customHeight="1">
      <c r="A158" s="8">
        <v>1130902</v>
      </c>
      <c r="B158" s="8" t="s">
        <v>700</v>
      </c>
      <c r="C158" s="80">
        <f>+VLOOKUP(A158,Clasificaciones!C:I,5,FALSE)</f>
        <v>0</v>
      </c>
      <c r="D158" s="80">
        <v>0</v>
      </c>
      <c r="E158" s="80">
        <v>0</v>
      </c>
      <c r="F158" s="80">
        <f>+VLOOKUP(A158,Clasificaciones!C:M,9,FALSE)</f>
        <v>0</v>
      </c>
      <c r="G158" s="80">
        <f t="shared" si="55"/>
        <v>0</v>
      </c>
      <c r="H158" s="26">
        <v>0</v>
      </c>
      <c r="I158" s="26">
        <v>0</v>
      </c>
      <c r="J158" s="26">
        <f>-G158</f>
        <v>0</v>
      </c>
      <c r="K158" s="26">
        <v>0</v>
      </c>
      <c r="L158" s="26">
        <v>0</v>
      </c>
      <c r="M158" s="26">
        <v>0</v>
      </c>
      <c r="N158" s="26">
        <v>0</v>
      </c>
      <c r="O158" s="26">
        <v>0</v>
      </c>
      <c r="P158" s="26">
        <v>0</v>
      </c>
      <c r="Q158" s="26">
        <v>0</v>
      </c>
      <c r="R158" s="26">
        <v>0</v>
      </c>
      <c r="S158" s="26">
        <v>0</v>
      </c>
      <c r="T158" s="26">
        <v>0</v>
      </c>
      <c r="U158" s="26">
        <v>0</v>
      </c>
      <c r="V158" s="26">
        <v>0</v>
      </c>
      <c r="W158" s="26">
        <v>0</v>
      </c>
      <c r="X158" s="26">
        <v>0</v>
      </c>
      <c r="Y158" s="26">
        <v>0</v>
      </c>
      <c r="Z158" s="26">
        <f t="shared" si="59"/>
        <v>0</v>
      </c>
      <c r="AA158" s="95"/>
      <c r="AB158" s="95"/>
      <c r="AC158" s="95"/>
      <c r="AD158" s="95"/>
      <c r="AE158" s="95"/>
      <c r="AF158" s="95"/>
      <c r="AG158" s="95"/>
      <c r="AH158" s="95"/>
      <c r="AI158" s="95"/>
      <c r="AJ158" s="95"/>
      <c r="AK158" s="95"/>
      <c r="AL158" s="95"/>
      <c r="AM158" s="95"/>
      <c r="AN158" s="96"/>
      <c r="AO158" s="96"/>
      <c r="AP158" s="96"/>
      <c r="AQ158" s="96"/>
      <c r="AR158" s="96"/>
      <c r="AS158" s="96"/>
      <c r="AT158" s="96"/>
      <c r="AU158" s="96"/>
      <c r="AV158" s="96"/>
      <c r="AW158" s="96"/>
      <c r="AX158" s="96"/>
      <c r="AY158" s="96"/>
      <c r="AZ158" s="96"/>
      <c r="BA158" s="96"/>
    </row>
    <row r="159" spans="1:53" s="97" customFormat="1" ht="12" customHeight="1">
      <c r="A159" s="8">
        <v>113090201</v>
      </c>
      <c r="B159" s="8" t="s">
        <v>701</v>
      </c>
      <c r="C159" s="80">
        <f>+VLOOKUP(A159,Clasificaciones!C:I,5,FALSE)</f>
        <v>0</v>
      </c>
      <c r="D159" s="80">
        <v>0</v>
      </c>
      <c r="E159" s="80">
        <v>0</v>
      </c>
      <c r="F159" s="80">
        <f>+VLOOKUP(A159,Clasificaciones!C:M,9,FALSE)</f>
        <v>2276738</v>
      </c>
      <c r="G159" s="80">
        <f t="shared" si="55"/>
        <v>-2276738</v>
      </c>
      <c r="H159" s="26">
        <v>0</v>
      </c>
      <c r="I159" s="26">
        <v>0</v>
      </c>
      <c r="J159" s="26"/>
      <c r="K159" s="26">
        <v>0</v>
      </c>
      <c r="L159" s="26">
        <f>-G159</f>
        <v>2276738</v>
      </c>
      <c r="M159" s="26">
        <v>0</v>
      </c>
      <c r="N159" s="26">
        <v>0</v>
      </c>
      <c r="O159" s="26">
        <v>0</v>
      </c>
      <c r="P159" s="26">
        <v>0</v>
      </c>
      <c r="Q159" s="26">
        <v>0</v>
      </c>
      <c r="R159" s="26">
        <v>0</v>
      </c>
      <c r="S159" s="26">
        <v>0</v>
      </c>
      <c r="T159" s="26">
        <v>0</v>
      </c>
      <c r="U159" s="26">
        <v>0</v>
      </c>
      <c r="V159" s="26">
        <v>0</v>
      </c>
      <c r="W159" s="26">
        <v>0</v>
      </c>
      <c r="X159" s="26">
        <v>0</v>
      </c>
      <c r="Y159" s="26">
        <v>0</v>
      </c>
      <c r="Z159" s="26">
        <f t="shared" si="59"/>
        <v>0</v>
      </c>
      <c r="AA159" s="95"/>
      <c r="AB159" s="95"/>
      <c r="AC159" s="95"/>
      <c r="AD159" s="95"/>
      <c r="AE159" s="95"/>
      <c r="AF159" s="95"/>
      <c r="AG159" s="95"/>
      <c r="AH159" s="95"/>
      <c r="AI159" s="95"/>
      <c r="AJ159" s="95"/>
      <c r="AK159" s="95"/>
      <c r="AL159" s="95"/>
      <c r="AM159" s="95"/>
      <c r="AN159" s="96"/>
      <c r="AO159" s="96"/>
      <c r="AP159" s="96"/>
      <c r="AQ159" s="96"/>
      <c r="AR159" s="96"/>
      <c r="AS159" s="96"/>
      <c r="AT159" s="96"/>
      <c r="AU159" s="96"/>
      <c r="AV159" s="96"/>
      <c r="AW159" s="96"/>
      <c r="AX159" s="96"/>
      <c r="AY159" s="96"/>
      <c r="AZ159" s="96"/>
      <c r="BA159" s="96"/>
    </row>
    <row r="160" spans="1:53" s="97" customFormat="1" ht="12" customHeight="1">
      <c r="A160" s="8">
        <v>115</v>
      </c>
      <c r="B160" s="8" t="s">
        <v>292</v>
      </c>
      <c r="C160" s="80">
        <f>+VLOOKUP(A160,Clasificaciones!C:I,5,FALSE)</f>
        <v>0</v>
      </c>
      <c r="D160" s="80">
        <v>0</v>
      </c>
      <c r="E160" s="80">
        <v>0</v>
      </c>
      <c r="F160" s="80">
        <f>+VLOOKUP(A160,Clasificaciones!C:M,9,FALSE)</f>
        <v>0</v>
      </c>
      <c r="G160" s="80">
        <f t="shared" si="55"/>
        <v>0</v>
      </c>
      <c r="H160" s="26">
        <v>0</v>
      </c>
      <c r="I160" s="26">
        <v>0</v>
      </c>
      <c r="J160" s="26">
        <f>-G160</f>
        <v>0</v>
      </c>
      <c r="K160" s="26">
        <v>0</v>
      </c>
      <c r="L160" s="26">
        <v>0</v>
      </c>
      <c r="M160" s="26">
        <v>0</v>
      </c>
      <c r="N160" s="26">
        <v>0</v>
      </c>
      <c r="O160" s="26">
        <v>0</v>
      </c>
      <c r="P160" s="26">
        <v>0</v>
      </c>
      <c r="Q160" s="26">
        <v>0</v>
      </c>
      <c r="R160" s="26">
        <v>0</v>
      </c>
      <c r="S160" s="26">
        <v>0</v>
      </c>
      <c r="T160" s="26">
        <v>0</v>
      </c>
      <c r="U160" s="26">
        <v>0</v>
      </c>
      <c r="V160" s="26">
        <v>0</v>
      </c>
      <c r="W160" s="26">
        <v>0</v>
      </c>
      <c r="X160" s="26">
        <v>0</v>
      </c>
      <c r="Y160" s="26">
        <v>0</v>
      </c>
      <c r="Z160" s="26">
        <f t="shared" si="59"/>
        <v>0</v>
      </c>
      <c r="AA160" s="95"/>
      <c r="AB160" s="95"/>
      <c r="AC160" s="95"/>
      <c r="AD160" s="95"/>
      <c r="AE160" s="95"/>
      <c r="AF160" s="95"/>
      <c r="AG160" s="95"/>
      <c r="AH160" s="95"/>
      <c r="AI160" s="95"/>
      <c r="AJ160" s="95"/>
      <c r="AK160" s="95"/>
      <c r="AL160" s="95"/>
      <c r="AM160" s="95"/>
      <c r="AN160" s="96"/>
      <c r="AO160" s="96"/>
      <c r="AP160" s="96"/>
      <c r="AQ160" s="96"/>
      <c r="AR160" s="96"/>
      <c r="AS160" s="96"/>
      <c r="AT160" s="96"/>
      <c r="AU160" s="96"/>
      <c r="AV160" s="96"/>
      <c r="AW160" s="96"/>
      <c r="AX160" s="96"/>
      <c r="AY160" s="96"/>
      <c r="AZ160" s="96"/>
      <c r="BA160" s="96"/>
    </row>
    <row r="161" spans="1:53" s="97" customFormat="1" ht="12" customHeight="1">
      <c r="A161" s="8">
        <v>11501</v>
      </c>
      <c r="B161" s="8" t="s">
        <v>262</v>
      </c>
      <c r="C161" s="80">
        <f>+VLOOKUP(A161,Clasificaciones!C:I,5,FALSE)</f>
        <v>0</v>
      </c>
      <c r="D161" s="80">
        <v>0</v>
      </c>
      <c r="E161" s="80">
        <v>0</v>
      </c>
      <c r="F161" s="80">
        <f>+VLOOKUP(A161,Clasificaciones!C:M,9,FALSE)</f>
        <v>0</v>
      </c>
      <c r="G161" s="80">
        <f t="shared" si="55"/>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c r="Z161" s="26">
        <f t="shared" si="59"/>
        <v>0</v>
      </c>
      <c r="AA161" s="95"/>
      <c r="AB161" s="95"/>
      <c r="AC161" s="95"/>
      <c r="AD161" s="95"/>
      <c r="AE161" s="95"/>
      <c r="AF161" s="95"/>
      <c r="AG161" s="95"/>
      <c r="AH161" s="95"/>
      <c r="AI161" s="95"/>
      <c r="AJ161" s="95"/>
      <c r="AK161" s="95"/>
      <c r="AL161" s="95"/>
      <c r="AM161" s="95"/>
      <c r="AN161" s="96"/>
      <c r="AO161" s="96"/>
      <c r="AP161" s="96"/>
      <c r="AQ161" s="96"/>
      <c r="AR161" s="96"/>
      <c r="AS161" s="96"/>
      <c r="AT161" s="96"/>
      <c r="AU161" s="96"/>
      <c r="AV161" s="96"/>
      <c r="AW161" s="96"/>
      <c r="AX161" s="96"/>
      <c r="AY161" s="96"/>
      <c r="AZ161" s="96"/>
      <c r="BA161" s="96"/>
    </row>
    <row r="162" spans="1:53" s="94" customFormat="1" ht="12" customHeight="1">
      <c r="A162" s="8">
        <v>1150101</v>
      </c>
      <c r="B162" s="8" t="s">
        <v>702</v>
      </c>
      <c r="C162" s="80">
        <f>+VLOOKUP(A162,Clasificaciones!C:I,5,FALSE)</f>
        <v>0</v>
      </c>
      <c r="D162" s="80">
        <v>0</v>
      </c>
      <c r="E162" s="80">
        <v>0</v>
      </c>
      <c r="F162" s="80">
        <f>+VLOOKUP(A162,Clasificaciones!C:M,9,FALSE)</f>
        <v>0</v>
      </c>
      <c r="G162" s="80">
        <f t="shared" si="55"/>
        <v>0</v>
      </c>
      <c r="H162" s="26">
        <v>0</v>
      </c>
      <c r="I162" s="26">
        <v>0</v>
      </c>
      <c r="J162" s="26">
        <f>-G162</f>
        <v>0</v>
      </c>
      <c r="K162" s="26">
        <v>0</v>
      </c>
      <c r="L162" s="26">
        <v>0</v>
      </c>
      <c r="M162" s="26">
        <v>0</v>
      </c>
      <c r="N162" s="26">
        <v>0</v>
      </c>
      <c r="O162" s="26">
        <v>0</v>
      </c>
      <c r="P162" s="26">
        <v>0</v>
      </c>
      <c r="Q162" s="26">
        <v>0</v>
      </c>
      <c r="R162" s="26">
        <v>0</v>
      </c>
      <c r="S162" s="26">
        <v>0</v>
      </c>
      <c r="T162" s="26">
        <v>0</v>
      </c>
      <c r="U162" s="26">
        <v>0</v>
      </c>
      <c r="V162" s="26">
        <v>0</v>
      </c>
      <c r="W162" s="26">
        <v>0</v>
      </c>
      <c r="X162" s="26">
        <v>0</v>
      </c>
      <c r="Y162" s="26">
        <v>0</v>
      </c>
      <c r="Z162" s="26">
        <f t="shared" si="59"/>
        <v>0</v>
      </c>
      <c r="AA162" s="98"/>
      <c r="AB162" s="98"/>
      <c r="AC162" s="98"/>
      <c r="AD162" s="98"/>
      <c r="AE162" s="98"/>
      <c r="AF162" s="98"/>
      <c r="AG162" s="98"/>
      <c r="AH162" s="98"/>
      <c r="AI162" s="98"/>
      <c r="AJ162" s="98"/>
      <c r="AK162" s="98"/>
      <c r="AL162" s="98"/>
      <c r="AM162" s="98"/>
      <c r="AN162" s="93"/>
      <c r="AO162" s="93"/>
      <c r="AP162" s="93"/>
      <c r="AQ162" s="93"/>
      <c r="AR162" s="93"/>
      <c r="AS162" s="93"/>
      <c r="AT162" s="93"/>
      <c r="AU162" s="93"/>
      <c r="AV162" s="93"/>
      <c r="AW162" s="93"/>
      <c r="AX162" s="93"/>
      <c r="AY162" s="93"/>
      <c r="AZ162" s="93"/>
      <c r="BA162" s="93"/>
    </row>
    <row r="163" spans="1:53" s="97" customFormat="1" ht="12" customHeight="1">
      <c r="A163" s="8">
        <v>1150102</v>
      </c>
      <c r="B163" s="8" t="s">
        <v>170</v>
      </c>
      <c r="C163" s="80">
        <f>+VLOOKUP(A163,Clasificaciones!C:I,5,FALSE)</f>
        <v>41324400</v>
      </c>
      <c r="D163" s="80">
        <v>0</v>
      </c>
      <c r="E163" s="80">
        <v>0</v>
      </c>
      <c r="F163" s="80">
        <f>+VLOOKUP(A163,Clasificaciones!C:M,9,FALSE)</f>
        <v>0</v>
      </c>
      <c r="G163" s="80">
        <f t="shared" si="55"/>
        <v>41324400</v>
      </c>
      <c r="H163" s="26">
        <v>0</v>
      </c>
      <c r="I163" s="26">
        <v>0</v>
      </c>
      <c r="J163" s="26">
        <v>0</v>
      </c>
      <c r="K163" s="26">
        <v>0</v>
      </c>
      <c r="L163" s="26">
        <f>-G163</f>
        <v>-41324400</v>
      </c>
      <c r="M163" s="26">
        <v>0</v>
      </c>
      <c r="N163" s="26">
        <v>0</v>
      </c>
      <c r="O163" s="26">
        <v>0</v>
      </c>
      <c r="P163" s="26">
        <v>0</v>
      </c>
      <c r="Q163" s="26">
        <v>0</v>
      </c>
      <c r="R163" s="26">
        <v>0</v>
      </c>
      <c r="S163" s="26">
        <v>0</v>
      </c>
      <c r="T163" s="26">
        <v>0</v>
      </c>
      <c r="U163" s="26">
        <v>0</v>
      </c>
      <c r="V163" s="26">
        <v>0</v>
      </c>
      <c r="W163" s="26">
        <v>0</v>
      </c>
      <c r="X163" s="26">
        <v>0</v>
      </c>
      <c r="Y163" s="26">
        <v>0</v>
      </c>
      <c r="Z163" s="26">
        <f t="shared" si="59"/>
        <v>0</v>
      </c>
      <c r="AA163" s="95"/>
      <c r="AB163" s="95"/>
      <c r="AC163" s="95"/>
      <c r="AD163" s="95"/>
      <c r="AE163" s="95"/>
      <c r="AF163" s="95"/>
      <c r="AG163" s="95"/>
      <c r="AH163" s="95"/>
      <c r="AI163" s="95"/>
      <c r="AJ163" s="95"/>
      <c r="AK163" s="95"/>
      <c r="AL163" s="95"/>
      <c r="AM163" s="95"/>
      <c r="AN163" s="96"/>
      <c r="AO163" s="96"/>
      <c r="AP163" s="96"/>
      <c r="AQ163" s="96"/>
      <c r="AR163" s="96"/>
      <c r="AS163" s="96"/>
      <c r="AT163" s="96"/>
      <c r="AU163" s="96"/>
      <c r="AV163" s="96"/>
      <c r="AW163" s="96"/>
      <c r="AX163" s="96"/>
      <c r="AY163" s="96"/>
      <c r="AZ163" s="96"/>
      <c r="BA163" s="96"/>
    </row>
    <row r="164" spans="1:53" s="97" customFormat="1" ht="12" customHeight="1">
      <c r="A164" s="8">
        <v>1150103</v>
      </c>
      <c r="B164" s="8" t="s">
        <v>971</v>
      </c>
      <c r="C164" s="80">
        <f>+VLOOKUP(A164,Clasificaciones!C:I,5,FALSE)</f>
        <v>4355833</v>
      </c>
      <c r="D164" s="80">
        <v>0</v>
      </c>
      <c r="E164" s="80">
        <v>0</v>
      </c>
      <c r="F164" s="80">
        <f>+VLOOKUP(A164,Clasificaciones!C:M,9,FALSE)</f>
        <v>2472234</v>
      </c>
      <c r="G164" s="80">
        <f t="shared" si="55"/>
        <v>1883599</v>
      </c>
      <c r="H164" s="26">
        <v>0</v>
      </c>
      <c r="I164" s="26">
        <v>0</v>
      </c>
      <c r="J164" s="26"/>
      <c r="K164" s="26">
        <v>0</v>
      </c>
      <c r="L164" s="26">
        <f>-G164</f>
        <v>-1883599</v>
      </c>
      <c r="M164" s="26">
        <v>0</v>
      </c>
      <c r="N164" s="26">
        <v>0</v>
      </c>
      <c r="O164" s="26">
        <v>0</v>
      </c>
      <c r="P164" s="26">
        <v>0</v>
      </c>
      <c r="Q164" s="26">
        <v>0</v>
      </c>
      <c r="R164" s="26">
        <v>0</v>
      </c>
      <c r="S164" s="26">
        <v>0</v>
      </c>
      <c r="T164" s="26">
        <v>0</v>
      </c>
      <c r="U164" s="26">
        <v>0</v>
      </c>
      <c r="V164" s="26">
        <v>0</v>
      </c>
      <c r="W164" s="26">
        <v>0</v>
      </c>
      <c r="X164" s="26">
        <v>0</v>
      </c>
      <c r="Y164" s="26">
        <v>0</v>
      </c>
      <c r="Z164" s="26">
        <f t="shared" si="59"/>
        <v>0</v>
      </c>
      <c r="AA164" s="95"/>
      <c r="AB164" s="95"/>
      <c r="AC164" s="95"/>
      <c r="AD164" s="95"/>
      <c r="AE164" s="95"/>
      <c r="AF164" s="95"/>
      <c r="AG164" s="95"/>
      <c r="AH164" s="95"/>
      <c r="AI164" s="95"/>
      <c r="AJ164" s="95"/>
      <c r="AK164" s="95"/>
      <c r="AL164" s="95"/>
      <c r="AM164" s="95"/>
      <c r="AN164" s="96"/>
      <c r="AO164" s="96"/>
      <c r="AP164" s="96"/>
      <c r="AQ164" s="96"/>
      <c r="AR164" s="96"/>
      <c r="AS164" s="96"/>
      <c r="AT164" s="96"/>
      <c r="AU164" s="96"/>
      <c r="AV164" s="96"/>
      <c r="AW164" s="96"/>
      <c r="AX164" s="96"/>
      <c r="AY164" s="96"/>
      <c r="AZ164" s="96"/>
      <c r="BA164" s="96"/>
    </row>
    <row r="165" spans="1:53" s="94" customFormat="1" ht="12" customHeight="1">
      <c r="A165" s="8">
        <v>1150104</v>
      </c>
      <c r="B165" s="8" t="s">
        <v>703</v>
      </c>
      <c r="C165" s="80">
        <f>+VLOOKUP(A165,Clasificaciones!C:I,5,FALSE)</f>
        <v>52333572</v>
      </c>
      <c r="D165" s="80">
        <v>0</v>
      </c>
      <c r="E165" s="80">
        <v>0</v>
      </c>
      <c r="F165" s="80">
        <f>+VLOOKUP(A165,Clasificaciones!C:M,9,FALSE)</f>
        <v>0</v>
      </c>
      <c r="G165" s="80">
        <f t="shared" si="55"/>
        <v>52333572</v>
      </c>
      <c r="H165" s="26">
        <v>0</v>
      </c>
      <c r="I165" s="26">
        <v>0</v>
      </c>
      <c r="J165" s="26">
        <v>0</v>
      </c>
      <c r="K165" s="26">
        <v>0</v>
      </c>
      <c r="L165" s="26">
        <f>-G165</f>
        <v>-52333572</v>
      </c>
      <c r="M165" s="26">
        <v>0</v>
      </c>
      <c r="N165" s="26">
        <v>0</v>
      </c>
      <c r="O165" s="26">
        <v>0</v>
      </c>
      <c r="P165" s="26">
        <v>0</v>
      </c>
      <c r="Q165" s="26">
        <v>0</v>
      </c>
      <c r="R165" s="26">
        <v>0</v>
      </c>
      <c r="S165" s="26">
        <v>0</v>
      </c>
      <c r="T165" s="26">
        <v>0</v>
      </c>
      <c r="U165" s="26">
        <v>0</v>
      </c>
      <c r="V165" s="26">
        <v>0</v>
      </c>
      <c r="W165" s="26">
        <v>0</v>
      </c>
      <c r="X165" s="26">
        <v>0</v>
      </c>
      <c r="Y165" s="26">
        <v>0</v>
      </c>
      <c r="Z165" s="26">
        <f t="shared" si="59"/>
        <v>0</v>
      </c>
      <c r="AA165" s="98"/>
      <c r="AB165" s="98"/>
      <c r="AC165" s="98"/>
      <c r="AD165" s="98"/>
      <c r="AE165" s="98"/>
      <c r="AF165" s="98"/>
      <c r="AG165" s="98"/>
      <c r="AH165" s="98"/>
      <c r="AI165" s="98"/>
      <c r="AJ165" s="98"/>
      <c r="AK165" s="98"/>
      <c r="AL165" s="98"/>
      <c r="AM165" s="98"/>
      <c r="AN165" s="93"/>
      <c r="AO165" s="93"/>
      <c r="AP165" s="93"/>
      <c r="AQ165" s="93"/>
      <c r="AR165" s="93"/>
      <c r="AS165" s="93"/>
      <c r="AT165" s="93"/>
      <c r="AU165" s="93"/>
      <c r="AV165" s="93"/>
      <c r="AW165" s="93"/>
      <c r="AX165" s="93"/>
      <c r="AY165" s="93"/>
      <c r="AZ165" s="93"/>
      <c r="BA165" s="93"/>
    </row>
    <row r="166" spans="1:53" s="94" customFormat="1" ht="12" customHeight="1">
      <c r="A166" s="8">
        <v>1150105</v>
      </c>
      <c r="B166" s="8" t="s">
        <v>1231</v>
      </c>
      <c r="C166" s="80">
        <f>+VLOOKUP(A166,Clasificaciones!C:I,5,FALSE)</f>
        <v>1801930</v>
      </c>
      <c r="D166" s="80">
        <v>0</v>
      </c>
      <c r="E166" s="80">
        <v>0</v>
      </c>
      <c r="F166" s="80">
        <f>+VLOOKUP(A166,Clasificaciones!C:M,9,FALSE)</f>
        <v>12613510</v>
      </c>
      <c r="G166" s="80">
        <f t="shared" si="55"/>
        <v>-10811580</v>
      </c>
      <c r="H166" s="26">
        <v>0</v>
      </c>
      <c r="I166" s="26">
        <v>0</v>
      </c>
      <c r="J166" s="26"/>
      <c r="K166" s="26">
        <v>0</v>
      </c>
      <c r="L166" s="26">
        <f t="shared" ref="L166:L168" si="60">-G166</f>
        <v>10811580</v>
      </c>
      <c r="M166" s="26">
        <v>0</v>
      </c>
      <c r="N166" s="26">
        <v>0</v>
      </c>
      <c r="O166" s="26">
        <v>0</v>
      </c>
      <c r="P166" s="26">
        <v>0</v>
      </c>
      <c r="Q166" s="26">
        <v>0</v>
      </c>
      <c r="R166" s="26">
        <v>0</v>
      </c>
      <c r="S166" s="26">
        <v>0</v>
      </c>
      <c r="T166" s="26">
        <v>0</v>
      </c>
      <c r="U166" s="26">
        <v>0</v>
      </c>
      <c r="V166" s="26">
        <v>0</v>
      </c>
      <c r="W166" s="26">
        <v>0</v>
      </c>
      <c r="X166" s="26">
        <v>0</v>
      </c>
      <c r="Y166" s="26">
        <v>0</v>
      </c>
      <c r="Z166" s="26">
        <f t="shared" si="59"/>
        <v>0</v>
      </c>
      <c r="AA166" s="98"/>
      <c r="AB166" s="98"/>
      <c r="AC166" s="98"/>
      <c r="AD166" s="98"/>
      <c r="AE166" s="98"/>
      <c r="AF166" s="98"/>
      <c r="AG166" s="98"/>
      <c r="AH166" s="98"/>
      <c r="AI166" s="98"/>
      <c r="AJ166" s="98"/>
      <c r="AK166" s="98"/>
      <c r="AL166" s="98"/>
      <c r="AM166" s="98"/>
      <c r="AN166" s="93"/>
      <c r="AO166" s="93"/>
      <c r="AP166" s="93"/>
      <c r="AQ166" s="93"/>
      <c r="AR166" s="93"/>
      <c r="AS166" s="93"/>
      <c r="AT166" s="93"/>
      <c r="AU166" s="93"/>
      <c r="AV166" s="93"/>
      <c r="AW166" s="93"/>
      <c r="AX166" s="93"/>
      <c r="AY166" s="93"/>
      <c r="AZ166" s="93"/>
      <c r="BA166" s="93"/>
    </row>
    <row r="167" spans="1:53" s="94" customFormat="1" ht="12" customHeight="1">
      <c r="A167" s="8">
        <v>1150106</v>
      </c>
      <c r="B167" s="8" t="s">
        <v>1232</v>
      </c>
      <c r="C167" s="80">
        <f>+VLOOKUP(A167,Clasificaciones!C:I,5,FALSE)</f>
        <v>1366824</v>
      </c>
      <c r="D167" s="80">
        <v>0</v>
      </c>
      <c r="E167" s="80">
        <v>0</v>
      </c>
      <c r="F167" s="80">
        <f>+VLOOKUP(A167,Clasificaciones!C:M,9,FALSE)</f>
        <v>1360304</v>
      </c>
      <c r="G167" s="80">
        <f t="shared" si="55"/>
        <v>6520</v>
      </c>
      <c r="H167" s="26">
        <v>0</v>
      </c>
      <c r="I167" s="26">
        <v>0</v>
      </c>
      <c r="J167" s="26"/>
      <c r="K167" s="26">
        <v>0</v>
      </c>
      <c r="L167" s="26">
        <f t="shared" si="60"/>
        <v>-6520</v>
      </c>
      <c r="M167" s="26">
        <v>0</v>
      </c>
      <c r="N167" s="26">
        <v>0</v>
      </c>
      <c r="O167" s="26">
        <v>0</v>
      </c>
      <c r="P167" s="26">
        <v>0</v>
      </c>
      <c r="Q167" s="26">
        <v>0</v>
      </c>
      <c r="R167" s="26">
        <v>0</v>
      </c>
      <c r="S167" s="26">
        <v>0</v>
      </c>
      <c r="T167" s="26">
        <v>0</v>
      </c>
      <c r="U167" s="26">
        <v>0</v>
      </c>
      <c r="V167" s="26">
        <v>0</v>
      </c>
      <c r="W167" s="26">
        <v>0</v>
      </c>
      <c r="X167" s="26">
        <v>0</v>
      </c>
      <c r="Y167" s="26">
        <v>0</v>
      </c>
      <c r="Z167" s="26">
        <f t="shared" si="59"/>
        <v>0</v>
      </c>
      <c r="AA167" s="98"/>
      <c r="AB167" s="98"/>
      <c r="AC167" s="98"/>
      <c r="AD167" s="98"/>
      <c r="AE167" s="98"/>
      <c r="AF167" s="98"/>
      <c r="AG167" s="98"/>
      <c r="AH167" s="98"/>
      <c r="AI167" s="98"/>
      <c r="AJ167" s="98"/>
      <c r="AK167" s="98"/>
      <c r="AL167" s="98"/>
      <c r="AM167" s="98"/>
      <c r="AN167" s="93"/>
      <c r="AO167" s="93"/>
      <c r="AP167" s="93"/>
      <c r="AQ167" s="93"/>
      <c r="AR167" s="93"/>
      <c r="AS167" s="93"/>
      <c r="AT167" s="93"/>
      <c r="AU167" s="93"/>
      <c r="AV167" s="93"/>
      <c r="AW167" s="93"/>
      <c r="AX167" s="93"/>
      <c r="AY167" s="93"/>
      <c r="AZ167" s="93"/>
      <c r="BA167" s="93"/>
    </row>
    <row r="168" spans="1:53" s="94" customFormat="1" ht="12" customHeight="1">
      <c r="A168" s="8">
        <v>1150107</v>
      </c>
      <c r="B168" s="8" t="s">
        <v>1249</v>
      </c>
      <c r="C168" s="80">
        <f>+VLOOKUP(A168,Clasificaciones!C:I,5,FALSE)</f>
        <v>0</v>
      </c>
      <c r="D168" s="80">
        <v>0</v>
      </c>
      <c r="E168" s="80">
        <v>0</v>
      </c>
      <c r="F168" s="80">
        <f>+VLOOKUP(A168,Clasificaciones!C:M,9,FALSE)</f>
        <v>5866855</v>
      </c>
      <c r="G168" s="80">
        <f t="shared" ref="G168" si="61">+C168-F168+D168-E168</f>
        <v>-5866855</v>
      </c>
      <c r="H168" s="26">
        <v>0</v>
      </c>
      <c r="I168" s="26">
        <v>0</v>
      </c>
      <c r="J168" s="26"/>
      <c r="K168" s="26">
        <v>0</v>
      </c>
      <c r="L168" s="26">
        <f t="shared" si="60"/>
        <v>5866855</v>
      </c>
      <c r="M168" s="26">
        <v>0</v>
      </c>
      <c r="N168" s="26">
        <v>0</v>
      </c>
      <c r="O168" s="26">
        <v>0</v>
      </c>
      <c r="P168" s="26">
        <v>0</v>
      </c>
      <c r="Q168" s="26">
        <v>0</v>
      </c>
      <c r="R168" s="26">
        <v>0</v>
      </c>
      <c r="S168" s="26">
        <v>0</v>
      </c>
      <c r="T168" s="26">
        <v>0</v>
      </c>
      <c r="U168" s="26">
        <v>0</v>
      </c>
      <c r="V168" s="26">
        <v>0</v>
      </c>
      <c r="W168" s="26">
        <v>0</v>
      </c>
      <c r="X168" s="26">
        <v>0</v>
      </c>
      <c r="Y168" s="26">
        <v>0</v>
      </c>
      <c r="Z168" s="26">
        <f t="shared" si="59"/>
        <v>0</v>
      </c>
      <c r="AA168" s="98"/>
      <c r="AB168" s="98"/>
      <c r="AC168" s="98"/>
      <c r="AD168" s="98"/>
      <c r="AE168" s="98"/>
      <c r="AF168" s="98"/>
      <c r="AG168" s="98"/>
      <c r="AH168" s="98"/>
      <c r="AI168" s="98"/>
      <c r="AJ168" s="98"/>
      <c r="AK168" s="98"/>
      <c r="AL168" s="98"/>
      <c r="AM168" s="98"/>
      <c r="AN168" s="93"/>
      <c r="AO168" s="93"/>
      <c r="AP168" s="93"/>
      <c r="AQ168" s="93"/>
      <c r="AR168" s="93"/>
      <c r="AS168" s="93"/>
      <c r="AT168" s="93"/>
      <c r="AU168" s="93"/>
      <c r="AV168" s="93"/>
      <c r="AW168" s="93"/>
      <c r="AX168" s="93"/>
      <c r="AY168" s="93"/>
      <c r="AZ168" s="93"/>
      <c r="BA168" s="93"/>
    </row>
    <row r="169" spans="1:53" s="97" customFormat="1" ht="12" customHeight="1">
      <c r="A169" s="8">
        <v>11502</v>
      </c>
      <c r="B169" s="8" t="s">
        <v>704</v>
      </c>
      <c r="C169" s="80">
        <f>+VLOOKUP(A169,Clasificaciones!C:I,5,FALSE)</f>
        <v>0</v>
      </c>
      <c r="D169" s="80">
        <v>0</v>
      </c>
      <c r="E169" s="80">
        <v>0</v>
      </c>
      <c r="F169" s="80">
        <f>+VLOOKUP(A169,Clasificaciones!C:M,9,FALSE)</f>
        <v>0</v>
      </c>
      <c r="G169" s="80">
        <f t="shared" si="55"/>
        <v>0</v>
      </c>
      <c r="H169" s="26">
        <v>0</v>
      </c>
      <c r="I169" s="26">
        <v>0</v>
      </c>
      <c r="J169" s="26">
        <v>0</v>
      </c>
      <c r="K169" s="26">
        <v>0</v>
      </c>
      <c r="L169" s="26">
        <v>0</v>
      </c>
      <c r="M169" s="26">
        <v>0</v>
      </c>
      <c r="N169" s="26">
        <v>0</v>
      </c>
      <c r="O169" s="26">
        <v>0</v>
      </c>
      <c r="P169" s="26">
        <v>0</v>
      </c>
      <c r="Q169" s="26">
        <v>0</v>
      </c>
      <c r="R169" s="26">
        <v>0</v>
      </c>
      <c r="S169" s="26">
        <v>0</v>
      </c>
      <c r="T169" s="26">
        <v>0</v>
      </c>
      <c r="U169" s="26">
        <v>0</v>
      </c>
      <c r="V169" s="26">
        <v>0</v>
      </c>
      <c r="W169" s="26">
        <v>0</v>
      </c>
      <c r="X169" s="26">
        <v>0</v>
      </c>
      <c r="Y169" s="26">
        <v>0</v>
      </c>
      <c r="Z169" s="26">
        <f t="shared" si="59"/>
        <v>0</v>
      </c>
      <c r="AA169" s="95"/>
      <c r="AB169" s="95"/>
      <c r="AC169" s="95"/>
      <c r="AD169" s="95"/>
      <c r="AE169" s="95"/>
      <c r="AF169" s="95"/>
      <c r="AG169" s="95"/>
      <c r="AH169" s="95"/>
      <c r="AI169" s="95"/>
      <c r="AJ169" s="95"/>
      <c r="AK169" s="95"/>
      <c r="AL169" s="95"/>
      <c r="AM169" s="95"/>
      <c r="AN169" s="96"/>
      <c r="AO169" s="96"/>
      <c r="AP169" s="96"/>
      <c r="AQ169" s="96"/>
      <c r="AR169" s="96"/>
      <c r="AS169" s="96"/>
      <c r="AT169" s="96"/>
      <c r="AU169" s="96"/>
      <c r="AV169" s="96"/>
      <c r="AW169" s="96"/>
      <c r="AX169" s="96"/>
      <c r="AY169" s="96"/>
      <c r="AZ169" s="96"/>
      <c r="BA169" s="96"/>
    </row>
    <row r="170" spans="1:53" s="97" customFormat="1" ht="12" customHeight="1">
      <c r="A170" s="8">
        <v>1150205</v>
      </c>
      <c r="B170" s="8" t="s">
        <v>517</v>
      </c>
      <c r="C170" s="80">
        <f>+VLOOKUP(A170,Clasificaciones!C:I,5,FALSE)</f>
        <v>2776611</v>
      </c>
      <c r="D170" s="80">
        <v>0</v>
      </c>
      <c r="E170" s="80">
        <v>0</v>
      </c>
      <c r="F170" s="80">
        <f>+VLOOKUP(A170,Clasificaciones!C:M,9,FALSE)</f>
        <v>6444980</v>
      </c>
      <c r="G170" s="80">
        <f t="shared" si="55"/>
        <v>-3668369</v>
      </c>
      <c r="H170" s="26">
        <v>0</v>
      </c>
      <c r="I170" s="26">
        <v>0</v>
      </c>
      <c r="J170" s="26"/>
      <c r="K170" s="26">
        <v>0</v>
      </c>
      <c r="L170" s="26">
        <f>-G170</f>
        <v>3668369</v>
      </c>
      <c r="M170" s="26">
        <v>0</v>
      </c>
      <c r="N170" s="26">
        <v>0</v>
      </c>
      <c r="O170" s="26">
        <v>0</v>
      </c>
      <c r="P170" s="26">
        <v>0</v>
      </c>
      <c r="Q170" s="26">
        <v>0</v>
      </c>
      <c r="R170" s="26">
        <v>0</v>
      </c>
      <c r="S170" s="26">
        <v>0</v>
      </c>
      <c r="T170" s="26">
        <v>0</v>
      </c>
      <c r="U170" s="26">
        <v>0</v>
      </c>
      <c r="V170" s="26">
        <v>0</v>
      </c>
      <c r="W170" s="26">
        <v>0</v>
      </c>
      <c r="X170" s="26">
        <v>0</v>
      </c>
      <c r="Y170" s="26">
        <v>0</v>
      </c>
      <c r="Z170" s="26">
        <f t="shared" si="59"/>
        <v>0</v>
      </c>
      <c r="AA170" s="95"/>
      <c r="AB170" s="95"/>
      <c r="AC170" s="95"/>
      <c r="AD170" s="95"/>
      <c r="AE170" s="95"/>
      <c r="AF170" s="95"/>
      <c r="AG170" s="95"/>
      <c r="AH170" s="95"/>
      <c r="AI170" s="95"/>
      <c r="AJ170" s="95"/>
      <c r="AK170" s="95"/>
      <c r="AL170" s="95"/>
      <c r="AM170" s="95"/>
      <c r="AN170" s="96"/>
      <c r="AO170" s="96"/>
      <c r="AP170" s="96"/>
      <c r="AQ170" s="96"/>
      <c r="AR170" s="96"/>
      <c r="AS170" s="96"/>
      <c r="AT170" s="96"/>
      <c r="AU170" s="96"/>
      <c r="AV170" s="96"/>
      <c r="AW170" s="96"/>
      <c r="AX170" s="96"/>
      <c r="AY170" s="96"/>
      <c r="AZ170" s="96"/>
      <c r="BA170" s="96"/>
    </row>
    <row r="171" spans="1:53" s="97" customFormat="1" ht="12" customHeight="1">
      <c r="A171" s="8">
        <v>12</v>
      </c>
      <c r="B171" s="8" t="s">
        <v>7</v>
      </c>
      <c r="C171" s="80">
        <f>+VLOOKUP(A171,Clasificaciones!C:I,5,FALSE)</f>
        <v>0</v>
      </c>
      <c r="D171" s="80">
        <v>0</v>
      </c>
      <c r="E171" s="80">
        <v>0</v>
      </c>
      <c r="F171" s="80">
        <f>+VLOOKUP(A171,Clasificaciones!C:M,9,FALSE)</f>
        <v>0</v>
      </c>
      <c r="G171" s="80">
        <f t="shared" si="55"/>
        <v>0</v>
      </c>
      <c r="H171" s="26">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c r="Z171" s="26">
        <f t="shared" si="59"/>
        <v>0</v>
      </c>
      <c r="AA171" s="95"/>
      <c r="AB171" s="95"/>
      <c r="AC171" s="95"/>
      <c r="AD171" s="95"/>
      <c r="AE171" s="95"/>
      <c r="AF171" s="95"/>
      <c r="AG171" s="95"/>
      <c r="AH171" s="95"/>
      <c r="AI171" s="95"/>
      <c r="AJ171" s="95"/>
      <c r="AK171" s="95"/>
      <c r="AL171" s="95"/>
      <c r="AM171" s="95"/>
      <c r="AN171" s="96"/>
      <c r="AO171" s="96"/>
      <c r="AP171" s="96"/>
      <c r="AQ171" s="96"/>
      <c r="AR171" s="96"/>
      <c r="AS171" s="96"/>
      <c r="AT171" s="96"/>
      <c r="AU171" s="96"/>
      <c r="AV171" s="96"/>
      <c r="AW171" s="96"/>
      <c r="AX171" s="96"/>
      <c r="AY171" s="96"/>
      <c r="AZ171" s="96"/>
      <c r="BA171" s="96"/>
    </row>
    <row r="172" spans="1:53" s="97" customFormat="1" ht="12" customHeight="1">
      <c r="A172" s="8">
        <v>121</v>
      </c>
      <c r="B172" s="8" t="s">
        <v>152</v>
      </c>
      <c r="C172" s="80">
        <f>+VLOOKUP(A172,Clasificaciones!C:I,5,FALSE)</f>
        <v>0</v>
      </c>
      <c r="D172" s="80">
        <v>0</v>
      </c>
      <c r="E172" s="80">
        <v>0</v>
      </c>
      <c r="F172" s="80">
        <f>+VLOOKUP(A172,Clasificaciones!C:M,9,FALSE)</f>
        <v>0</v>
      </c>
      <c r="G172" s="80">
        <f t="shared" si="55"/>
        <v>0</v>
      </c>
      <c r="H172" s="26">
        <v>0</v>
      </c>
      <c r="I172" s="26">
        <v>0</v>
      </c>
      <c r="J172" s="26">
        <v>0</v>
      </c>
      <c r="K172" s="26">
        <v>0</v>
      </c>
      <c r="L172" s="26">
        <v>0</v>
      </c>
      <c r="M172" s="26">
        <v>0</v>
      </c>
      <c r="N172" s="26">
        <v>0</v>
      </c>
      <c r="O172" s="26">
        <v>0</v>
      </c>
      <c r="P172" s="26">
        <v>0</v>
      </c>
      <c r="Q172" s="26">
        <v>0</v>
      </c>
      <c r="R172" s="26">
        <v>0</v>
      </c>
      <c r="S172" s="26">
        <v>0</v>
      </c>
      <c r="T172" s="26">
        <v>0</v>
      </c>
      <c r="U172" s="26">
        <v>0</v>
      </c>
      <c r="V172" s="26">
        <v>0</v>
      </c>
      <c r="W172" s="26">
        <v>0</v>
      </c>
      <c r="X172" s="26">
        <v>0</v>
      </c>
      <c r="Y172" s="26">
        <v>0</v>
      </c>
      <c r="Z172" s="26">
        <f t="shared" si="59"/>
        <v>0</v>
      </c>
      <c r="AA172" s="95"/>
      <c r="AB172" s="95"/>
      <c r="AC172" s="95"/>
      <c r="AD172" s="95"/>
      <c r="AE172" s="95"/>
      <c r="AF172" s="95"/>
      <c r="AG172" s="95"/>
      <c r="AH172" s="95"/>
      <c r="AI172" s="95"/>
      <c r="AJ172" s="95"/>
      <c r="AK172" s="95"/>
      <c r="AL172" s="95"/>
      <c r="AM172" s="95"/>
      <c r="AN172" s="96"/>
      <c r="AO172" s="96"/>
      <c r="AP172" s="96"/>
      <c r="AQ172" s="96"/>
      <c r="AR172" s="96"/>
      <c r="AS172" s="96"/>
      <c r="AT172" s="96"/>
      <c r="AU172" s="96"/>
      <c r="AV172" s="96"/>
      <c r="AW172" s="96"/>
      <c r="AX172" s="96"/>
      <c r="AY172" s="96"/>
      <c r="AZ172" s="96"/>
      <c r="BA172" s="96"/>
    </row>
    <row r="173" spans="1:53" s="97" customFormat="1" ht="12" customHeight="1">
      <c r="A173" s="8">
        <v>12101</v>
      </c>
      <c r="B173" s="8" t="s">
        <v>705</v>
      </c>
      <c r="C173" s="80">
        <f>+VLOOKUP(A173,Clasificaciones!C:I,5,FALSE)</f>
        <v>0</v>
      </c>
      <c r="D173" s="80">
        <v>0</v>
      </c>
      <c r="E173" s="80">
        <v>0</v>
      </c>
      <c r="F173" s="80">
        <f>+VLOOKUP(A173,Clasificaciones!C:M,9,FALSE)</f>
        <v>0</v>
      </c>
      <c r="G173" s="80">
        <f t="shared" si="55"/>
        <v>0</v>
      </c>
      <c r="H173" s="26">
        <v>0</v>
      </c>
      <c r="I173" s="26">
        <v>0</v>
      </c>
      <c r="J173" s="26">
        <v>0</v>
      </c>
      <c r="K173" s="26">
        <v>0</v>
      </c>
      <c r="L173" s="26">
        <v>0</v>
      </c>
      <c r="M173" s="26">
        <v>0</v>
      </c>
      <c r="N173" s="26">
        <f>-G173</f>
        <v>0</v>
      </c>
      <c r="O173" s="26">
        <v>0</v>
      </c>
      <c r="P173" s="26">
        <v>0</v>
      </c>
      <c r="Q173" s="26">
        <v>0</v>
      </c>
      <c r="R173" s="26">
        <v>0</v>
      </c>
      <c r="S173" s="26">
        <v>0</v>
      </c>
      <c r="T173" s="26">
        <v>0</v>
      </c>
      <c r="U173" s="26">
        <v>0</v>
      </c>
      <c r="V173" s="26">
        <v>0</v>
      </c>
      <c r="W173" s="26">
        <v>0</v>
      </c>
      <c r="X173" s="26">
        <v>0</v>
      </c>
      <c r="Y173" s="26">
        <v>0</v>
      </c>
      <c r="Z173" s="26">
        <f t="shared" si="59"/>
        <v>0</v>
      </c>
      <c r="AA173" s="95"/>
      <c r="AB173" s="95"/>
      <c r="AC173" s="95"/>
      <c r="AD173" s="95"/>
      <c r="AE173" s="95"/>
      <c r="AF173" s="95"/>
      <c r="AG173" s="95"/>
      <c r="AH173" s="95"/>
      <c r="AI173" s="95"/>
      <c r="AJ173" s="95"/>
      <c r="AK173" s="95"/>
      <c r="AL173" s="95"/>
      <c r="AM173" s="95"/>
      <c r="AN173" s="96"/>
      <c r="AO173" s="96"/>
      <c r="AP173" s="96"/>
      <c r="AQ173" s="96"/>
      <c r="AR173" s="96"/>
      <c r="AS173" s="96"/>
      <c r="AT173" s="96"/>
      <c r="AU173" s="96"/>
      <c r="AV173" s="96"/>
      <c r="AW173" s="96"/>
      <c r="AX173" s="96"/>
      <c r="AY173" s="96"/>
      <c r="AZ173" s="96"/>
      <c r="BA173" s="96"/>
    </row>
    <row r="174" spans="1:53" s="97" customFormat="1" ht="12" customHeight="1">
      <c r="A174" s="8">
        <v>121011</v>
      </c>
      <c r="B174" s="8" t="s">
        <v>706</v>
      </c>
      <c r="C174" s="80">
        <f>+VLOOKUP(A174,Clasificaciones!C:I,5,FALSE)</f>
        <v>0</v>
      </c>
      <c r="D174" s="80">
        <v>0</v>
      </c>
      <c r="E174" s="80">
        <v>0</v>
      </c>
      <c r="F174" s="80">
        <f>+VLOOKUP(A174,Clasificaciones!C:M,9,FALSE)</f>
        <v>0</v>
      </c>
      <c r="G174" s="80">
        <f t="shared" si="55"/>
        <v>0</v>
      </c>
      <c r="H174" s="26">
        <v>0</v>
      </c>
      <c r="I174" s="26">
        <v>0</v>
      </c>
      <c r="J174" s="26">
        <v>0</v>
      </c>
      <c r="K174" s="26">
        <v>0</v>
      </c>
      <c r="L174" s="26">
        <v>0</v>
      </c>
      <c r="M174" s="26">
        <v>0</v>
      </c>
      <c r="N174" s="26">
        <v>0</v>
      </c>
      <c r="O174" s="26">
        <v>0</v>
      </c>
      <c r="P174" s="26">
        <v>0</v>
      </c>
      <c r="Q174" s="26">
        <v>0</v>
      </c>
      <c r="R174" s="26">
        <v>0</v>
      </c>
      <c r="S174" s="26">
        <v>0</v>
      </c>
      <c r="T174" s="26">
        <v>0</v>
      </c>
      <c r="U174" s="26">
        <v>0</v>
      </c>
      <c r="V174" s="26">
        <v>0</v>
      </c>
      <c r="W174" s="26">
        <v>0</v>
      </c>
      <c r="X174" s="26">
        <v>0</v>
      </c>
      <c r="Y174" s="26">
        <v>0</v>
      </c>
      <c r="Z174" s="26">
        <f t="shared" si="59"/>
        <v>0</v>
      </c>
      <c r="AA174" s="95"/>
      <c r="AB174" s="95"/>
      <c r="AC174" s="95"/>
      <c r="AD174" s="95"/>
      <c r="AE174" s="95"/>
      <c r="AF174" s="95"/>
      <c r="AG174" s="95"/>
      <c r="AH174" s="95"/>
      <c r="AI174" s="95"/>
      <c r="AJ174" s="95"/>
      <c r="AK174" s="95"/>
      <c r="AL174" s="95"/>
      <c r="AM174" s="95"/>
      <c r="AN174" s="96"/>
      <c r="AO174" s="96"/>
      <c r="AP174" s="96"/>
      <c r="AQ174" s="96"/>
      <c r="AR174" s="96"/>
      <c r="AS174" s="96"/>
      <c r="AT174" s="96"/>
      <c r="AU174" s="96"/>
      <c r="AV174" s="96"/>
      <c r="AW174" s="96"/>
      <c r="AX174" s="96"/>
      <c r="AY174" s="96"/>
      <c r="AZ174" s="96"/>
      <c r="BA174" s="96"/>
    </row>
    <row r="175" spans="1:53" s="97" customFormat="1" ht="12" customHeight="1">
      <c r="A175" s="8">
        <v>1120211101</v>
      </c>
      <c r="B175" s="8" t="s">
        <v>148</v>
      </c>
      <c r="C175" s="80">
        <f>+VLOOKUP(A175,Clasificaciones!C:I,5,FALSE)</f>
        <v>0</v>
      </c>
      <c r="D175" s="80">
        <v>0</v>
      </c>
      <c r="E175" s="80">
        <v>0</v>
      </c>
      <c r="F175" s="80">
        <f>+VLOOKUP(A175,Clasificaciones!C:M,9,FALSE)</f>
        <v>0</v>
      </c>
      <c r="G175" s="80">
        <f t="shared" si="55"/>
        <v>0</v>
      </c>
      <c r="H175" s="26">
        <v>0</v>
      </c>
      <c r="I175" s="26">
        <v>0</v>
      </c>
      <c r="J175" s="26">
        <v>0</v>
      </c>
      <c r="K175" s="26">
        <v>0</v>
      </c>
      <c r="L175" s="26">
        <v>0</v>
      </c>
      <c r="M175" s="26">
        <v>0</v>
      </c>
      <c r="N175" s="26">
        <v>0</v>
      </c>
      <c r="O175" s="26">
        <v>0</v>
      </c>
      <c r="P175" s="26">
        <v>0</v>
      </c>
      <c r="Q175" s="26">
        <v>0</v>
      </c>
      <c r="R175" s="26">
        <f>-G175</f>
        <v>0</v>
      </c>
      <c r="S175" s="26">
        <v>0</v>
      </c>
      <c r="T175" s="26">
        <v>0</v>
      </c>
      <c r="U175" s="26">
        <v>0</v>
      </c>
      <c r="V175" s="26">
        <v>0</v>
      </c>
      <c r="W175" s="26">
        <v>0</v>
      </c>
      <c r="X175" s="26">
        <v>0</v>
      </c>
      <c r="Y175" s="26">
        <v>0</v>
      </c>
      <c r="Z175" s="26">
        <f t="shared" si="59"/>
        <v>0</v>
      </c>
      <c r="AA175" s="95"/>
      <c r="AB175" s="95"/>
      <c r="AC175" s="95"/>
      <c r="AD175" s="95"/>
      <c r="AE175" s="95"/>
      <c r="AF175" s="95"/>
      <c r="AG175" s="95"/>
      <c r="AH175" s="95"/>
      <c r="AI175" s="95"/>
      <c r="AJ175" s="95"/>
      <c r="AK175" s="95"/>
      <c r="AL175" s="95"/>
      <c r="AM175" s="95"/>
      <c r="AN175" s="96"/>
      <c r="AO175" s="96"/>
      <c r="AP175" s="96"/>
      <c r="AQ175" s="96"/>
      <c r="AR175" s="96"/>
      <c r="AS175" s="96"/>
      <c r="AT175" s="96"/>
      <c r="AU175" s="96"/>
      <c r="AV175" s="96"/>
      <c r="AW175" s="96"/>
      <c r="AX175" s="96"/>
      <c r="AY175" s="96"/>
      <c r="AZ175" s="96"/>
      <c r="BA175" s="96"/>
    </row>
    <row r="176" spans="1:53" s="97" customFormat="1" ht="12" customHeight="1">
      <c r="A176" s="8">
        <v>112021501</v>
      </c>
      <c r="B176" s="8" t="s">
        <v>513</v>
      </c>
      <c r="C176" s="80">
        <f>+VLOOKUP(A176,Clasificaciones!C:I,5,FALSE)</f>
        <v>0</v>
      </c>
      <c r="D176" s="80">
        <v>0</v>
      </c>
      <c r="E176" s="80">
        <v>0</v>
      </c>
      <c r="F176" s="80">
        <f>+VLOOKUP(A176,Clasificaciones!C:M,9,FALSE)</f>
        <v>0</v>
      </c>
      <c r="G176" s="80">
        <f t="shared" si="55"/>
        <v>0</v>
      </c>
      <c r="H176" s="26">
        <v>0</v>
      </c>
      <c r="I176" s="26">
        <v>0</v>
      </c>
      <c r="J176" s="26">
        <v>0</v>
      </c>
      <c r="K176" s="26">
        <v>0</v>
      </c>
      <c r="L176" s="26">
        <v>0</v>
      </c>
      <c r="M176" s="26">
        <v>0</v>
      </c>
      <c r="N176" s="26">
        <v>0</v>
      </c>
      <c r="O176" s="26">
        <v>0</v>
      </c>
      <c r="P176" s="26">
        <v>0</v>
      </c>
      <c r="Q176" s="26">
        <v>0</v>
      </c>
      <c r="R176" s="26">
        <v>0</v>
      </c>
      <c r="S176" s="26">
        <v>0</v>
      </c>
      <c r="T176" s="26">
        <f>-G176</f>
        <v>0</v>
      </c>
      <c r="U176" s="26">
        <v>0</v>
      </c>
      <c r="V176" s="26">
        <v>0</v>
      </c>
      <c r="W176" s="26">
        <v>0</v>
      </c>
      <c r="X176" s="26">
        <v>0</v>
      </c>
      <c r="Y176" s="26">
        <v>0</v>
      </c>
      <c r="Z176" s="26">
        <f t="shared" si="59"/>
        <v>0</v>
      </c>
      <c r="AA176" s="95"/>
      <c r="AB176" s="95"/>
      <c r="AC176" s="95"/>
      <c r="AD176" s="95"/>
      <c r="AE176" s="95"/>
      <c r="AF176" s="95"/>
      <c r="AG176" s="95"/>
      <c r="AH176" s="95"/>
      <c r="AI176" s="95"/>
      <c r="AJ176" s="95"/>
      <c r="AK176" s="95"/>
      <c r="AL176" s="95"/>
      <c r="AM176" s="95"/>
      <c r="AN176" s="96"/>
      <c r="AO176" s="96"/>
      <c r="AP176" s="96"/>
      <c r="AQ176" s="96"/>
      <c r="AR176" s="96"/>
      <c r="AS176" s="96"/>
      <c r="AT176" s="96"/>
      <c r="AU176" s="96"/>
      <c r="AV176" s="96"/>
      <c r="AW176" s="96"/>
      <c r="AX176" s="96"/>
      <c r="AY176" s="96"/>
      <c r="AZ176" s="96"/>
      <c r="BA176" s="96"/>
    </row>
    <row r="177" spans="1:53" s="97" customFormat="1" ht="12" customHeight="1">
      <c r="A177" s="8">
        <v>112021502</v>
      </c>
      <c r="B177" s="8" t="s">
        <v>514</v>
      </c>
      <c r="C177" s="80">
        <f>+VLOOKUP(A177,Clasificaciones!C:I,5,FALSE)</f>
        <v>0</v>
      </c>
      <c r="D177" s="80">
        <v>0</v>
      </c>
      <c r="E177" s="80">
        <v>0</v>
      </c>
      <c r="F177" s="80">
        <f>+VLOOKUP(A177,Clasificaciones!C:M,9,FALSE)</f>
        <v>0</v>
      </c>
      <c r="G177" s="80">
        <f t="shared" si="55"/>
        <v>0</v>
      </c>
      <c r="H177" s="26">
        <v>0</v>
      </c>
      <c r="I177" s="26">
        <v>0</v>
      </c>
      <c r="J177" s="26">
        <v>0</v>
      </c>
      <c r="K177" s="26">
        <v>0</v>
      </c>
      <c r="L177" s="26">
        <v>0</v>
      </c>
      <c r="M177" s="26">
        <v>0</v>
      </c>
      <c r="N177" s="26">
        <v>0</v>
      </c>
      <c r="O177" s="26">
        <v>0</v>
      </c>
      <c r="P177" s="26">
        <v>0</v>
      </c>
      <c r="Q177" s="26">
        <v>0</v>
      </c>
      <c r="R177" s="26">
        <v>0</v>
      </c>
      <c r="S177" s="26">
        <v>0</v>
      </c>
      <c r="T177" s="26">
        <f>-G177</f>
        <v>0</v>
      </c>
      <c r="U177" s="26">
        <v>0</v>
      </c>
      <c r="V177" s="26">
        <v>0</v>
      </c>
      <c r="W177" s="26">
        <v>0</v>
      </c>
      <c r="X177" s="26">
        <v>0</v>
      </c>
      <c r="Y177" s="26">
        <v>0</v>
      </c>
      <c r="Z177" s="26">
        <f t="shared" si="59"/>
        <v>0</v>
      </c>
      <c r="AA177" s="95"/>
      <c r="AB177" s="95"/>
      <c r="AC177" s="95"/>
      <c r="AD177" s="95"/>
      <c r="AE177" s="95"/>
      <c r="AF177" s="95"/>
      <c r="AG177" s="95"/>
      <c r="AH177" s="95"/>
      <c r="AI177" s="95"/>
      <c r="AJ177" s="95"/>
      <c r="AK177" s="95"/>
      <c r="AL177" s="95"/>
      <c r="AM177" s="95"/>
      <c r="AN177" s="96"/>
      <c r="AO177" s="96"/>
      <c r="AP177" s="96"/>
      <c r="AQ177" s="96"/>
      <c r="AR177" s="96"/>
      <c r="AS177" s="96"/>
      <c r="AT177" s="96"/>
      <c r="AU177" s="96"/>
      <c r="AV177" s="96"/>
      <c r="AW177" s="96"/>
      <c r="AX177" s="96"/>
      <c r="AY177" s="96"/>
      <c r="AZ177" s="96"/>
      <c r="BA177" s="96"/>
    </row>
    <row r="178" spans="1:53" s="97" customFormat="1" ht="12" customHeight="1">
      <c r="A178" s="8">
        <v>12101103</v>
      </c>
      <c r="B178" s="8" t="s">
        <v>659</v>
      </c>
      <c r="C178" s="80">
        <f>+VLOOKUP(A178,Clasificaciones!C:I,5,FALSE)</f>
        <v>0</v>
      </c>
      <c r="D178" s="80">
        <v>0</v>
      </c>
      <c r="E178" s="80">
        <v>0</v>
      </c>
      <c r="F178" s="80">
        <f>+VLOOKUP(A178,Clasificaciones!C:M,9,FALSE)</f>
        <v>0</v>
      </c>
      <c r="G178" s="80">
        <f t="shared" si="55"/>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c r="Z178" s="26">
        <f t="shared" si="59"/>
        <v>0</v>
      </c>
      <c r="AA178" s="95"/>
      <c r="AB178" s="95"/>
      <c r="AC178" s="95"/>
      <c r="AD178" s="95"/>
      <c r="AE178" s="95"/>
      <c r="AF178" s="95"/>
      <c r="AG178" s="95"/>
      <c r="AH178" s="95"/>
      <c r="AI178" s="95"/>
      <c r="AJ178" s="95"/>
      <c r="AK178" s="95"/>
      <c r="AL178" s="95"/>
      <c r="AM178" s="95"/>
      <c r="AN178" s="96"/>
      <c r="AO178" s="96"/>
      <c r="AP178" s="96"/>
      <c r="AQ178" s="96"/>
      <c r="AR178" s="96"/>
      <c r="AS178" s="96"/>
      <c r="AT178" s="96"/>
      <c r="AU178" s="96"/>
      <c r="AV178" s="96"/>
      <c r="AW178" s="96"/>
      <c r="AX178" s="96"/>
      <c r="AY178" s="96"/>
      <c r="AZ178" s="96"/>
      <c r="BA178" s="96"/>
    </row>
    <row r="179" spans="1:53" s="94" customFormat="1" ht="12" customHeight="1">
      <c r="A179" s="8">
        <v>1210110301</v>
      </c>
      <c r="B179" s="8" t="s">
        <v>401</v>
      </c>
      <c r="C179" s="80">
        <f>+VLOOKUP(A179,Clasificaciones!C:I,5,FALSE)</f>
        <v>4999000000</v>
      </c>
      <c r="D179" s="80">
        <v>0</v>
      </c>
      <c r="E179" s="80">
        <v>0</v>
      </c>
      <c r="F179" s="80">
        <f>+VLOOKUP(A179,Clasificaciones!C:M,9,FALSE)</f>
        <v>4999000000</v>
      </c>
      <c r="G179" s="80">
        <f>+C179-F179+D179-E179</f>
        <v>0</v>
      </c>
      <c r="H179" s="26">
        <v>0</v>
      </c>
      <c r="I179" s="26">
        <v>0</v>
      </c>
      <c r="J179" s="26">
        <v>0</v>
      </c>
      <c r="K179" s="26">
        <v>0</v>
      </c>
      <c r="L179" s="26">
        <v>0</v>
      </c>
      <c r="M179" s="26">
        <v>0</v>
      </c>
      <c r="N179" s="26">
        <f>-G179</f>
        <v>0</v>
      </c>
      <c r="O179" s="26">
        <v>0</v>
      </c>
      <c r="P179" s="26">
        <v>0</v>
      </c>
      <c r="Q179" s="26">
        <v>0</v>
      </c>
      <c r="R179" s="26">
        <v>0</v>
      </c>
      <c r="S179" s="26">
        <v>0</v>
      </c>
      <c r="T179" s="26">
        <v>0</v>
      </c>
      <c r="U179" s="26">
        <v>0</v>
      </c>
      <c r="V179" s="26">
        <v>0</v>
      </c>
      <c r="W179" s="26">
        <v>0</v>
      </c>
      <c r="X179" s="26">
        <v>0</v>
      </c>
      <c r="Y179" s="26">
        <v>0</v>
      </c>
      <c r="Z179" s="26">
        <f t="shared" si="59"/>
        <v>0</v>
      </c>
      <c r="AA179" s="98"/>
      <c r="AB179" s="98"/>
      <c r="AC179" s="98"/>
      <c r="AD179" s="98"/>
      <c r="AE179" s="98"/>
      <c r="AF179" s="98"/>
      <c r="AG179" s="98"/>
      <c r="AH179" s="98"/>
      <c r="AI179" s="98"/>
      <c r="AJ179" s="98"/>
      <c r="AK179" s="98"/>
      <c r="AL179" s="98"/>
      <c r="AM179" s="98"/>
      <c r="AN179" s="93"/>
      <c r="AO179" s="93"/>
      <c r="AP179" s="93"/>
      <c r="AQ179" s="93"/>
      <c r="AR179" s="93"/>
      <c r="AS179" s="93"/>
      <c r="AT179" s="93"/>
      <c r="AU179" s="93"/>
      <c r="AV179" s="93"/>
      <c r="AW179" s="93"/>
      <c r="AX179" s="93"/>
      <c r="AY179" s="93"/>
      <c r="AZ179" s="93"/>
      <c r="BA179" s="93"/>
    </row>
    <row r="180" spans="1:53" s="97" customFormat="1" ht="12" customHeight="1">
      <c r="A180" s="8">
        <v>12101108</v>
      </c>
      <c r="B180" s="8" t="s">
        <v>505</v>
      </c>
      <c r="C180" s="80">
        <f>+VLOOKUP(A180,Clasificaciones!C:I,5,FALSE)</f>
        <v>0</v>
      </c>
      <c r="D180" s="80">
        <v>0</v>
      </c>
      <c r="E180" s="80">
        <v>0</v>
      </c>
      <c r="F180" s="80">
        <f>+VLOOKUP(A180,Clasificaciones!C:M,9,FALSE)</f>
        <v>0</v>
      </c>
      <c r="G180" s="80">
        <f t="shared" si="55"/>
        <v>0</v>
      </c>
      <c r="H180" s="26">
        <v>0</v>
      </c>
      <c r="I180" s="26">
        <v>0</v>
      </c>
      <c r="J180" s="26">
        <v>0</v>
      </c>
      <c r="K180" s="26">
        <v>0</v>
      </c>
      <c r="L180" s="26">
        <v>0</v>
      </c>
      <c r="M180" s="26">
        <v>0</v>
      </c>
      <c r="N180" s="26">
        <v>0</v>
      </c>
      <c r="O180" s="26">
        <v>0</v>
      </c>
      <c r="P180" s="26">
        <v>0</v>
      </c>
      <c r="Q180" s="26">
        <v>0</v>
      </c>
      <c r="R180" s="26">
        <v>0</v>
      </c>
      <c r="S180" s="26">
        <v>0</v>
      </c>
      <c r="T180" s="26">
        <v>0</v>
      </c>
      <c r="U180" s="26">
        <v>0</v>
      </c>
      <c r="V180" s="26">
        <v>0</v>
      </c>
      <c r="W180" s="26">
        <v>0</v>
      </c>
      <c r="X180" s="26">
        <v>0</v>
      </c>
      <c r="Y180" s="26">
        <v>0</v>
      </c>
      <c r="Z180" s="26">
        <f t="shared" si="59"/>
        <v>0</v>
      </c>
      <c r="AA180" s="95"/>
      <c r="AB180" s="95"/>
      <c r="AC180" s="95"/>
      <c r="AD180" s="95"/>
      <c r="AE180" s="95"/>
      <c r="AF180" s="95"/>
      <c r="AG180" s="95"/>
      <c r="AH180" s="95"/>
      <c r="AI180" s="95"/>
      <c r="AJ180" s="95"/>
      <c r="AK180" s="95"/>
      <c r="AL180" s="95"/>
      <c r="AM180" s="95"/>
      <c r="AN180" s="96"/>
      <c r="AO180" s="96"/>
      <c r="AP180" s="96"/>
      <c r="AQ180" s="96"/>
      <c r="AR180" s="96"/>
      <c r="AS180" s="96"/>
      <c r="AT180" s="96"/>
      <c r="AU180" s="96"/>
      <c r="AV180" s="96"/>
      <c r="AW180" s="96"/>
      <c r="AX180" s="96"/>
      <c r="AY180" s="96"/>
      <c r="AZ180" s="96"/>
      <c r="BA180" s="96"/>
    </row>
    <row r="181" spans="1:53" s="97" customFormat="1" ht="12" customHeight="1">
      <c r="A181" s="8">
        <v>1210110801</v>
      </c>
      <c r="B181" s="8" t="s">
        <v>382</v>
      </c>
      <c r="C181" s="80">
        <f>+VLOOKUP(A181,Clasificaciones!C:I,5,FALSE)</f>
        <v>3454158107</v>
      </c>
      <c r="D181" s="80">
        <v>0</v>
      </c>
      <c r="E181" s="788">
        <f>+D386</f>
        <v>1406751239</v>
      </c>
      <c r="F181" s="80">
        <f>+VLOOKUP(A181,Clasificaciones!C:M,9,FALSE)</f>
        <v>2047406868</v>
      </c>
      <c r="G181" s="80">
        <f t="shared" si="55"/>
        <v>0</v>
      </c>
      <c r="H181" s="26">
        <v>0</v>
      </c>
      <c r="I181" s="26">
        <v>0</v>
      </c>
      <c r="J181" s="26">
        <v>0</v>
      </c>
      <c r="K181" s="26">
        <v>0</v>
      </c>
      <c r="L181" s="26">
        <v>0</v>
      </c>
      <c r="M181" s="26">
        <v>0</v>
      </c>
      <c r="N181" s="26">
        <v>0</v>
      </c>
      <c r="O181" s="26">
        <v>0</v>
      </c>
      <c r="P181" s="26">
        <v>0</v>
      </c>
      <c r="Q181" s="26">
        <f>-G181</f>
        <v>0</v>
      </c>
      <c r="R181" s="26">
        <v>0</v>
      </c>
      <c r="S181" s="26">
        <v>0</v>
      </c>
      <c r="T181" s="26">
        <v>0</v>
      </c>
      <c r="U181" s="26">
        <v>0</v>
      </c>
      <c r="V181" s="26">
        <v>0</v>
      </c>
      <c r="W181" s="26">
        <v>0</v>
      </c>
      <c r="X181" s="26">
        <v>0</v>
      </c>
      <c r="Y181" s="26">
        <v>0</v>
      </c>
      <c r="Z181" s="26">
        <f t="shared" si="59"/>
        <v>0</v>
      </c>
      <c r="AA181" s="95"/>
      <c r="AB181" s="95"/>
      <c r="AC181" s="95"/>
      <c r="AD181" s="95"/>
      <c r="AE181" s="95"/>
      <c r="AF181" s="95"/>
      <c r="AG181" s="95"/>
      <c r="AH181" s="95"/>
      <c r="AI181" s="95"/>
      <c r="AJ181" s="95"/>
      <c r="AK181" s="95"/>
      <c r="AL181" s="95"/>
      <c r="AM181" s="95"/>
      <c r="AN181" s="96"/>
      <c r="AO181" s="96"/>
      <c r="AP181" s="96"/>
      <c r="AQ181" s="96"/>
      <c r="AR181" s="96"/>
      <c r="AS181" s="96"/>
      <c r="AT181" s="96"/>
      <c r="AU181" s="96"/>
      <c r="AV181" s="96"/>
      <c r="AW181" s="96"/>
      <c r="AX181" s="96"/>
      <c r="AY181" s="96"/>
      <c r="AZ181" s="96"/>
      <c r="BA181" s="96"/>
    </row>
    <row r="182" spans="1:53" s="97" customFormat="1" ht="12" customHeight="1">
      <c r="A182" s="8">
        <v>12103</v>
      </c>
      <c r="B182" s="8" t="s">
        <v>707</v>
      </c>
      <c r="C182" s="80">
        <f>+VLOOKUP(A182,Clasificaciones!C:I,5,FALSE)</f>
        <v>0</v>
      </c>
      <c r="D182" s="80">
        <v>0</v>
      </c>
      <c r="E182" s="80">
        <v>0</v>
      </c>
      <c r="F182" s="80">
        <f>+VLOOKUP(A182,Clasificaciones!C:M,9,FALSE)</f>
        <v>0</v>
      </c>
      <c r="G182" s="80">
        <f t="shared" si="55"/>
        <v>0</v>
      </c>
      <c r="H182" s="26">
        <v>0</v>
      </c>
      <c r="I182" s="26">
        <v>0</v>
      </c>
      <c r="J182" s="26">
        <v>0</v>
      </c>
      <c r="K182" s="26">
        <v>0</v>
      </c>
      <c r="L182" s="26">
        <v>0</v>
      </c>
      <c r="M182" s="26">
        <v>0</v>
      </c>
      <c r="N182" s="26">
        <v>0</v>
      </c>
      <c r="O182" s="26">
        <v>0</v>
      </c>
      <c r="P182" s="26">
        <v>0</v>
      </c>
      <c r="Q182" s="26">
        <f>-G182</f>
        <v>0</v>
      </c>
      <c r="R182" s="26">
        <v>0</v>
      </c>
      <c r="S182" s="26">
        <v>0</v>
      </c>
      <c r="T182" s="26">
        <v>0</v>
      </c>
      <c r="U182" s="26">
        <v>0</v>
      </c>
      <c r="V182" s="26">
        <v>0</v>
      </c>
      <c r="W182" s="26">
        <v>0</v>
      </c>
      <c r="X182" s="26">
        <v>0</v>
      </c>
      <c r="Y182" s="26">
        <v>0</v>
      </c>
      <c r="Z182" s="26">
        <f t="shared" si="59"/>
        <v>0</v>
      </c>
      <c r="AA182" s="95"/>
      <c r="AB182" s="95"/>
      <c r="AC182" s="95"/>
      <c r="AD182" s="95"/>
      <c r="AE182" s="95"/>
      <c r="AF182" s="95"/>
      <c r="AG182" s="95"/>
      <c r="AH182" s="95"/>
      <c r="AI182" s="95"/>
      <c r="AJ182" s="95"/>
      <c r="AK182" s="95"/>
      <c r="AL182" s="95"/>
      <c r="AM182" s="95"/>
      <c r="AN182" s="96"/>
      <c r="AO182" s="96"/>
      <c r="AP182" s="96"/>
      <c r="AQ182" s="96"/>
      <c r="AR182" s="96"/>
      <c r="AS182" s="96"/>
      <c r="AT182" s="96"/>
      <c r="AU182" s="96"/>
      <c r="AV182" s="96"/>
      <c r="AW182" s="96"/>
      <c r="AX182" s="96"/>
      <c r="AY182" s="96"/>
      <c r="AZ182" s="96"/>
      <c r="BA182" s="96"/>
    </row>
    <row r="183" spans="1:53" s="97" customFormat="1" ht="12" customHeight="1">
      <c r="A183" s="8">
        <v>1210301</v>
      </c>
      <c r="B183" s="8" t="s">
        <v>708</v>
      </c>
      <c r="C183" s="80">
        <f>+VLOOKUP(A183,Clasificaciones!C:I,5,FALSE)</f>
        <v>900000000</v>
      </c>
      <c r="D183" s="80">
        <v>0</v>
      </c>
      <c r="E183" s="80">
        <v>0</v>
      </c>
      <c r="F183" s="80">
        <f>+VLOOKUP(A183,Clasificaciones!C:M,9,FALSE)</f>
        <v>900000000</v>
      </c>
      <c r="G183" s="80">
        <f t="shared" si="55"/>
        <v>0</v>
      </c>
      <c r="H183" s="26">
        <v>0</v>
      </c>
      <c r="I183" s="26">
        <v>0</v>
      </c>
      <c r="J183" s="26">
        <v>0</v>
      </c>
      <c r="K183" s="26">
        <v>0</v>
      </c>
      <c r="L183" s="26">
        <v>0</v>
      </c>
      <c r="M183" s="26">
        <v>0</v>
      </c>
      <c r="N183" s="26">
        <v>0</v>
      </c>
      <c r="O183" s="26">
        <v>0</v>
      </c>
      <c r="P183" s="26">
        <v>0</v>
      </c>
      <c r="Q183" s="26">
        <f>-G183</f>
        <v>0</v>
      </c>
      <c r="R183" s="26">
        <v>0</v>
      </c>
      <c r="S183" s="26">
        <v>0</v>
      </c>
      <c r="T183" s="26">
        <v>0</v>
      </c>
      <c r="U183" s="26">
        <v>0</v>
      </c>
      <c r="V183" s="26">
        <v>0</v>
      </c>
      <c r="W183" s="26">
        <v>0</v>
      </c>
      <c r="X183" s="26">
        <v>0</v>
      </c>
      <c r="Y183" s="26">
        <v>0</v>
      </c>
      <c r="Z183" s="26">
        <f t="shared" si="59"/>
        <v>0</v>
      </c>
      <c r="AA183" s="95"/>
      <c r="AB183" s="95"/>
      <c r="AC183" s="95"/>
      <c r="AD183" s="95"/>
      <c r="AE183" s="95"/>
      <c r="AF183" s="95"/>
      <c r="AG183" s="95"/>
      <c r="AH183" s="95"/>
      <c r="AI183" s="95"/>
      <c r="AJ183" s="95"/>
      <c r="AK183" s="95"/>
      <c r="AL183" s="95"/>
      <c r="AM183" s="95"/>
      <c r="AN183" s="96"/>
      <c r="AO183" s="96"/>
      <c r="AP183" s="96"/>
      <c r="AQ183" s="96"/>
      <c r="AR183" s="96"/>
      <c r="AS183" s="96"/>
      <c r="AT183" s="96"/>
      <c r="AU183" s="96"/>
      <c r="AV183" s="96"/>
      <c r="AW183" s="96"/>
      <c r="AX183" s="96"/>
      <c r="AY183" s="96"/>
      <c r="AZ183" s="96"/>
      <c r="BA183" s="96"/>
    </row>
    <row r="184" spans="1:53" s="97" customFormat="1" ht="12" customHeight="1">
      <c r="A184" s="8">
        <v>127</v>
      </c>
      <c r="B184" s="8" t="s">
        <v>709</v>
      </c>
      <c r="C184" s="80">
        <f>+VLOOKUP(A184,Clasificaciones!C:I,5,FALSE)</f>
        <v>0</v>
      </c>
      <c r="D184" s="80">
        <v>0</v>
      </c>
      <c r="E184" s="80">
        <v>0</v>
      </c>
      <c r="F184" s="80">
        <f>+VLOOKUP(A184,Clasificaciones!C:M,9,FALSE)</f>
        <v>0</v>
      </c>
      <c r="G184" s="80">
        <f t="shared" si="55"/>
        <v>0</v>
      </c>
      <c r="H184" s="26">
        <v>0</v>
      </c>
      <c r="I184" s="26">
        <v>0</v>
      </c>
      <c r="J184" s="26">
        <v>0</v>
      </c>
      <c r="K184" s="26">
        <v>0</v>
      </c>
      <c r="L184" s="26">
        <v>0</v>
      </c>
      <c r="M184" s="26">
        <v>0</v>
      </c>
      <c r="N184" s="26">
        <v>0</v>
      </c>
      <c r="O184" s="26">
        <v>0</v>
      </c>
      <c r="P184" s="26">
        <v>0</v>
      </c>
      <c r="Q184" s="26">
        <v>0</v>
      </c>
      <c r="R184" s="26">
        <v>0</v>
      </c>
      <c r="S184" s="26">
        <v>0</v>
      </c>
      <c r="T184" s="26">
        <v>0</v>
      </c>
      <c r="U184" s="26">
        <v>0</v>
      </c>
      <c r="V184" s="26">
        <v>0</v>
      </c>
      <c r="W184" s="26">
        <v>0</v>
      </c>
      <c r="X184" s="26">
        <v>0</v>
      </c>
      <c r="Y184" s="26">
        <v>0</v>
      </c>
      <c r="Z184" s="26">
        <f t="shared" si="59"/>
        <v>0</v>
      </c>
      <c r="AA184" s="95"/>
      <c r="AB184" s="95"/>
      <c r="AC184" s="95"/>
      <c r="AD184" s="95"/>
      <c r="AE184" s="95"/>
      <c r="AF184" s="95"/>
      <c r="AG184" s="95"/>
      <c r="AH184" s="95"/>
      <c r="AI184" s="95"/>
      <c r="AJ184" s="95"/>
      <c r="AK184" s="95"/>
      <c r="AL184" s="95"/>
      <c r="AM184" s="95"/>
      <c r="AN184" s="96"/>
      <c r="AO184" s="96"/>
      <c r="AP184" s="96"/>
      <c r="AQ184" s="96"/>
      <c r="AR184" s="96"/>
      <c r="AS184" s="96"/>
      <c r="AT184" s="96"/>
      <c r="AU184" s="96"/>
      <c r="AV184" s="96"/>
      <c r="AW184" s="96"/>
      <c r="AX184" s="96"/>
      <c r="AY184" s="96"/>
      <c r="AZ184" s="96"/>
      <c r="BA184" s="96"/>
    </row>
    <row r="185" spans="1:53" s="97" customFormat="1" ht="12" customHeight="1">
      <c r="A185" s="8">
        <v>12701</v>
      </c>
      <c r="B185" s="8" t="s">
        <v>710</v>
      </c>
      <c r="C185" s="80">
        <f>+VLOOKUP(A185,Clasificaciones!C:I,5,FALSE)</f>
        <v>0</v>
      </c>
      <c r="D185" s="80">
        <v>0</v>
      </c>
      <c r="E185" s="80">
        <v>0</v>
      </c>
      <c r="F185" s="80">
        <f>+VLOOKUP(A185,Clasificaciones!C:M,9,FALSE)</f>
        <v>0</v>
      </c>
      <c r="G185" s="80">
        <f t="shared" si="55"/>
        <v>0</v>
      </c>
      <c r="H185" s="26">
        <v>0</v>
      </c>
      <c r="I185" s="26">
        <v>0</v>
      </c>
      <c r="J185" s="26">
        <v>0</v>
      </c>
      <c r="K185" s="26">
        <v>0</v>
      </c>
      <c r="L185" s="26">
        <v>0</v>
      </c>
      <c r="M185" s="26">
        <v>0</v>
      </c>
      <c r="N185" s="26">
        <v>0</v>
      </c>
      <c r="O185" s="26">
        <v>0</v>
      </c>
      <c r="P185" s="26">
        <v>0</v>
      </c>
      <c r="Q185" s="26">
        <f>-G185</f>
        <v>0</v>
      </c>
      <c r="R185" s="26">
        <v>0</v>
      </c>
      <c r="S185" s="26">
        <v>0</v>
      </c>
      <c r="T185" s="26">
        <v>0</v>
      </c>
      <c r="U185" s="26">
        <v>0</v>
      </c>
      <c r="V185" s="26">
        <v>0</v>
      </c>
      <c r="W185" s="26">
        <v>0</v>
      </c>
      <c r="X185" s="26">
        <v>0</v>
      </c>
      <c r="Y185" s="26">
        <v>0</v>
      </c>
      <c r="Z185" s="26">
        <f t="shared" si="59"/>
        <v>0</v>
      </c>
      <c r="AA185" s="95"/>
      <c r="AB185" s="95"/>
      <c r="AC185" s="95"/>
      <c r="AD185" s="95"/>
      <c r="AE185" s="95"/>
      <c r="AF185" s="95"/>
      <c r="AG185" s="95"/>
      <c r="AH185" s="95"/>
      <c r="AI185" s="95"/>
      <c r="AJ185" s="95"/>
      <c r="AK185" s="95"/>
      <c r="AL185" s="95"/>
      <c r="AM185" s="95"/>
      <c r="AN185" s="96"/>
      <c r="AO185" s="96"/>
      <c r="AP185" s="96"/>
      <c r="AQ185" s="96"/>
      <c r="AR185" s="96"/>
      <c r="AS185" s="96"/>
      <c r="AT185" s="96"/>
      <c r="AU185" s="96"/>
      <c r="AV185" s="96"/>
      <c r="AW185" s="96"/>
      <c r="AX185" s="96"/>
      <c r="AY185" s="96"/>
      <c r="AZ185" s="96"/>
      <c r="BA185" s="96"/>
    </row>
    <row r="186" spans="1:53" s="97" customFormat="1" ht="12" customHeight="1">
      <c r="A186" s="8">
        <v>1270102</v>
      </c>
      <c r="B186" s="8" t="s">
        <v>153</v>
      </c>
      <c r="C186" s="80">
        <f>+VLOOKUP(A186,Clasificaciones!C:I,5,FALSE)</f>
        <v>122540485</v>
      </c>
      <c r="D186" s="80">
        <v>0</v>
      </c>
      <c r="E186" s="80">
        <v>0</v>
      </c>
      <c r="F186" s="80">
        <f>+VLOOKUP(A186,Clasificaciones!C:M,9,FALSE)</f>
        <v>122540485</v>
      </c>
      <c r="G186" s="80">
        <f t="shared" si="55"/>
        <v>0</v>
      </c>
      <c r="H186" s="26">
        <v>0</v>
      </c>
      <c r="I186" s="26">
        <v>0</v>
      </c>
      <c r="J186" s="26">
        <v>0</v>
      </c>
      <c r="K186" s="26">
        <v>0</v>
      </c>
      <c r="L186" s="26">
        <v>0</v>
      </c>
      <c r="M186" s="26">
        <v>0</v>
      </c>
      <c r="N186" s="26">
        <v>0</v>
      </c>
      <c r="O186" s="26">
        <v>0</v>
      </c>
      <c r="P186" s="26">
        <v>0</v>
      </c>
      <c r="Q186" s="26">
        <f>-G186</f>
        <v>0</v>
      </c>
      <c r="R186" s="26">
        <v>0</v>
      </c>
      <c r="S186" s="26">
        <v>0</v>
      </c>
      <c r="T186" s="26">
        <v>0</v>
      </c>
      <c r="U186" s="26">
        <v>0</v>
      </c>
      <c r="V186" s="26">
        <v>0</v>
      </c>
      <c r="W186" s="26">
        <v>0</v>
      </c>
      <c r="X186" s="26">
        <v>0</v>
      </c>
      <c r="Y186" s="26">
        <v>0</v>
      </c>
      <c r="Z186" s="26">
        <f t="shared" si="59"/>
        <v>0</v>
      </c>
      <c r="AA186" s="95"/>
      <c r="AB186" s="95"/>
      <c r="AC186" s="95"/>
      <c r="AD186" s="95"/>
      <c r="AE186" s="95"/>
      <c r="AF186" s="95"/>
      <c r="AG186" s="95"/>
      <c r="AH186" s="95"/>
      <c r="AI186" s="95"/>
      <c r="AJ186" s="95"/>
      <c r="AK186" s="95"/>
      <c r="AL186" s="95"/>
      <c r="AM186" s="95"/>
      <c r="AN186" s="96"/>
      <c r="AO186" s="96"/>
      <c r="AP186" s="96"/>
      <c r="AQ186" s="96"/>
      <c r="AR186" s="96"/>
      <c r="AS186" s="96"/>
      <c r="AT186" s="96"/>
      <c r="AU186" s="96"/>
      <c r="AV186" s="96"/>
      <c r="AW186" s="96"/>
      <c r="AX186" s="96"/>
      <c r="AY186" s="96"/>
      <c r="AZ186" s="96"/>
      <c r="BA186" s="96"/>
    </row>
    <row r="187" spans="1:53" s="97" customFormat="1" ht="12" customHeight="1">
      <c r="A187" s="8">
        <v>1270103</v>
      </c>
      <c r="B187" s="8" t="s">
        <v>1154</v>
      </c>
      <c r="C187" s="80">
        <f>+VLOOKUP(A187,Clasificaciones!C:I,5,FALSE)</f>
        <v>250626991</v>
      </c>
      <c r="D187" s="80">
        <v>0</v>
      </c>
      <c r="E187" s="80">
        <v>0</v>
      </c>
      <c r="F187" s="80">
        <f>+VLOOKUP(A187,Clasificaciones!C:M,9,FALSE)</f>
        <v>249008778</v>
      </c>
      <c r="G187" s="80">
        <f t="shared" si="55"/>
        <v>1618213</v>
      </c>
      <c r="H187" s="26">
        <v>0</v>
      </c>
      <c r="I187" s="26">
        <v>0</v>
      </c>
      <c r="J187" s="26">
        <v>0</v>
      </c>
      <c r="K187" s="26">
        <v>0</v>
      </c>
      <c r="L187" s="26">
        <v>0</v>
      </c>
      <c r="M187" s="26">
        <v>0</v>
      </c>
      <c r="N187" s="26">
        <v>0</v>
      </c>
      <c r="O187" s="26">
        <v>0</v>
      </c>
      <c r="P187" s="26">
        <v>0</v>
      </c>
      <c r="Q187" s="26">
        <f t="shared" ref="Q187:Q189" si="62">-G187</f>
        <v>-1618213</v>
      </c>
      <c r="R187" s="26">
        <v>0</v>
      </c>
      <c r="S187" s="26">
        <v>0</v>
      </c>
      <c r="T187" s="26">
        <v>0</v>
      </c>
      <c r="U187" s="26">
        <v>0</v>
      </c>
      <c r="V187" s="26">
        <v>0</v>
      </c>
      <c r="W187" s="26">
        <v>0</v>
      </c>
      <c r="X187" s="26">
        <v>0</v>
      </c>
      <c r="Y187" s="26">
        <v>0</v>
      </c>
      <c r="Z187" s="26">
        <f t="shared" si="59"/>
        <v>0</v>
      </c>
      <c r="AA187" s="95"/>
      <c r="AB187" s="95"/>
      <c r="AC187" s="95"/>
      <c r="AD187" s="95"/>
      <c r="AE187" s="95"/>
      <c r="AF187" s="95"/>
      <c r="AG187" s="95"/>
      <c r="AH187" s="95"/>
      <c r="AI187" s="95"/>
      <c r="AJ187" s="95"/>
      <c r="AK187" s="95"/>
      <c r="AL187" s="95"/>
      <c r="AM187" s="95"/>
      <c r="AN187" s="96"/>
      <c r="AO187" s="96"/>
      <c r="AP187" s="96"/>
      <c r="AQ187" s="96"/>
      <c r="AR187" s="96"/>
      <c r="AS187" s="96"/>
      <c r="AT187" s="96"/>
      <c r="AU187" s="96"/>
      <c r="AV187" s="96"/>
      <c r="AW187" s="96"/>
      <c r="AX187" s="96"/>
      <c r="AY187" s="96"/>
      <c r="AZ187" s="96"/>
      <c r="BA187" s="96"/>
    </row>
    <row r="188" spans="1:53" s="97" customFormat="1" ht="12" customHeight="1">
      <c r="A188" s="8">
        <v>1270104</v>
      </c>
      <c r="B188" s="8" t="s">
        <v>712</v>
      </c>
      <c r="C188" s="80">
        <f>+VLOOKUP(A188,Clasificaciones!C:I,5,FALSE)</f>
        <v>468274422</v>
      </c>
      <c r="D188" s="80">
        <v>0</v>
      </c>
      <c r="E188" s="80">
        <v>0</v>
      </c>
      <c r="F188" s="80">
        <f>+VLOOKUP(A188,Clasificaciones!C:M,9,FALSE)</f>
        <v>357508232</v>
      </c>
      <c r="G188" s="80">
        <f t="shared" si="55"/>
        <v>110766190</v>
      </c>
      <c r="H188" s="26">
        <v>0</v>
      </c>
      <c r="I188" s="26">
        <v>0</v>
      </c>
      <c r="J188" s="26">
        <v>0</v>
      </c>
      <c r="K188" s="26">
        <v>0</v>
      </c>
      <c r="L188" s="26">
        <v>0</v>
      </c>
      <c r="M188" s="26">
        <v>0</v>
      </c>
      <c r="N188" s="26">
        <v>0</v>
      </c>
      <c r="O188" s="26">
        <v>0</v>
      </c>
      <c r="P188" s="26">
        <v>0</v>
      </c>
      <c r="Q188" s="26">
        <f t="shared" si="62"/>
        <v>-110766190</v>
      </c>
      <c r="R188" s="26">
        <v>0</v>
      </c>
      <c r="S188" s="26">
        <v>0</v>
      </c>
      <c r="T188" s="26">
        <v>0</v>
      </c>
      <c r="U188" s="26">
        <v>0</v>
      </c>
      <c r="V188" s="26">
        <v>0</v>
      </c>
      <c r="W188" s="26">
        <v>0</v>
      </c>
      <c r="X188" s="26">
        <v>0</v>
      </c>
      <c r="Y188" s="26">
        <v>0</v>
      </c>
      <c r="Z188" s="26">
        <f t="shared" si="59"/>
        <v>0</v>
      </c>
      <c r="AA188" s="95"/>
      <c r="AB188" s="95"/>
      <c r="AC188" s="95"/>
      <c r="AD188" s="95"/>
      <c r="AE188" s="95"/>
      <c r="AF188" s="95"/>
      <c r="AG188" s="95"/>
      <c r="AH188" s="95"/>
      <c r="AI188" s="95"/>
      <c r="AJ188" s="95"/>
      <c r="AK188" s="95"/>
      <c r="AL188" s="95"/>
      <c r="AM188" s="95"/>
      <c r="AN188" s="96"/>
      <c r="AO188" s="96"/>
      <c r="AP188" s="96"/>
      <c r="AQ188" s="96"/>
      <c r="AR188" s="96"/>
      <c r="AS188" s="96"/>
      <c r="AT188" s="96"/>
      <c r="AU188" s="96"/>
      <c r="AV188" s="96"/>
      <c r="AW188" s="96"/>
      <c r="AX188" s="96"/>
      <c r="AY188" s="96"/>
      <c r="AZ188" s="96"/>
      <c r="BA188" s="96"/>
    </row>
    <row r="189" spans="1:53" s="97" customFormat="1" ht="12" customHeight="1">
      <c r="A189" s="8">
        <v>1270107</v>
      </c>
      <c r="B189" s="8" t="s">
        <v>997</v>
      </c>
      <c r="C189" s="80">
        <f>+VLOOKUP(A189,Clasificaciones!C:I,5,FALSE)</f>
        <v>316522493</v>
      </c>
      <c r="D189" s="80">
        <v>0</v>
      </c>
      <c r="E189" s="80">
        <v>0</v>
      </c>
      <c r="F189" s="80">
        <f>+VLOOKUP(A189,Clasificaciones!C:M,9,FALSE)</f>
        <v>316522493</v>
      </c>
      <c r="G189" s="80">
        <f t="shared" si="55"/>
        <v>0</v>
      </c>
      <c r="H189" s="26">
        <v>0</v>
      </c>
      <c r="I189" s="26">
        <v>0</v>
      </c>
      <c r="J189" s="26">
        <v>0</v>
      </c>
      <c r="K189" s="26">
        <v>0</v>
      </c>
      <c r="L189" s="26">
        <v>0</v>
      </c>
      <c r="M189" s="26">
        <v>0</v>
      </c>
      <c r="N189" s="26">
        <v>0</v>
      </c>
      <c r="O189" s="26">
        <v>0</v>
      </c>
      <c r="P189" s="26">
        <v>0</v>
      </c>
      <c r="Q189" s="26">
        <f t="shared" si="62"/>
        <v>0</v>
      </c>
      <c r="R189" s="26">
        <v>0</v>
      </c>
      <c r="S189" s="26">
        <v>0</v>
      </c>
      <c r="T189" s="26">
        <v>0</v>
      </c>
      <c r="U189" s="26">
        <v>0</v>
      </c>
      <c r="V189" s="26">
        <v>0</v>
      </c>
      <c r="W189" s="26">
        <v>0</v>
      </c>
      <c r="X189" s="26">
        <v>0</v>
      </c>
      <c r="Y189" s="26">
        <v>0</v>
      </c>
      <c r="Z189" s="26">
        <f t="shared" si="59"/>
        <v>0</v>
      </c>
      <c r="AA189" s="95"/>
      <c r="AB189" s="95"/>
      <c r="AC189" s="95"/>
      <c r="AD189" s="95"/>
      <c r="AE189" s="95"/>
      <c r="AF189" s="95"/>
      <c r="AG189" s="95"/>
      <c r="AH189" s="95"/>
      <c r="AI189" s="95"/>
      <c r="AJ189" s="95"/>
      <c r="AK189" s="95"/>
      <c r="AL189" s="95"/>
      <c r="AM189" s="95"/>
      <c r="AN189" s="96"/>
      <c r="AO189" s="96"/>
      <c r="AP189" s="96"/>
      <c r="AQ189" s="96"/>
      <c r="AR189" s="96"/>
      <c r="AS189" s="96"/>
      <c r="AT189" s="96"/>
      <c r="AU189" s="96"/>
      <c r="AV189" s="96"/>
      <c r="AW189" s="96"/>
      <c r="AX189" s="96"/>
      <c r="AY189" s="96"/>
      <c r="AZ189" s="96"/>
      <c r="BA189" s="96"/>
    </row>
    <row r="190" spans="1:53" s="97" customFormat="1" ht="12" customHeight="1">
      <c r="A190" s="8">
        <v>1270120</v>
      </c>
      <c r="B190" s="8" t="s">
        <v>713</v>
      </c>
      <c r="C190" s="80">
        <f>+VLOOKUP(A190,Clasificaciones!C:I,5,FALSE)</f>
        <v>0</v>
      </c>
      <c r="D190" s="80">
        <v>0</v>
      </c>
      <c r="E190" s="80">
        <v>0</v>
      </c>
      <c r="F190" s="80">
        <f>+VLOOKUP(A190,Clasificaciones!C:M,9,FALSE)</f>
        <v>0</v>
      </c>
      <c r="G190" s="80">
        <f t="shared" si="55"/>
        <v>0</v>
      </c>
      <c r="H190" s="26">
        <v>0</v>
      </c>
      <c r="I190" s="26">
        <v>0</v>
      </c>
      <c r="J190" s="26">
        <v>0</v>
      </c>
      <c r="K190" s="26">
        <v>0</v>
      </c>
      <c r="L190" s="26">
        <v>0</v>
      </c>
      <c r="M190" s="26">
        <v>0</v>
      </c>
      <c r="N190" s="26">
        <v>0</v>
      </c>
      <c r="O190" s="26">
        <v>0</v>
      </c>
      <c r="P190" s="26">
        <v>0</v>
      </c>
      <c r="Q190" s="26">
        <v>0</v>
      </c>
      <c r="R190" s="26">
        <v>0</v>
      </c>
      <c r="S190" s="26">
        <v>0</v>
      </c>
      <c r="T190" s="26">
        <v>0</v>
      </c>
      <c r="U190" s="26">
        <v>0</v>
      </c>
      <c r="V190" s="26">
        <v>0</v>
      </c>
      <c r="W190" s="26">
        <v>0</v>
      </c>
      <c r="X190" s="26">
        <v>0</v>
      </c>
      <c r="Y190" s="26">
        <v>0</v>
      </c>
      <c r="Z190" s="26">
        <f t="shared" si="59"/>
        <v>0</v>
      </c>
      <c r="AA190" s="95"/>
      <c r="AB190" s="95"/>
      <c r="AC190" s="95"/>
      <c r="AD190" s="95"/>
      <c r="AE190" s="95"/>
      <c r="AF190" s="95"/>
      <c r="AG190" s="95"/>
      <c r="AH190" s="95"/>
      <c r="AI190" s="95"/>
      <c r="AJ190" s="95"/>
      <c r="AK190" s="95"/>
      <c r="AL190" s="95"/>
      <c r="AM190" s="95"/>
      <c r="AN190" s="96"/>
      <c r="AO190" s="96"/>
      <c r="AP190" s="96"/>
      <c r="AQ190" s="96"/>
      <c r="AR190" s="96"/>
      <c r="AS190" s="96"/>
      <c r="AT190" s="96"/>
      <c r="AU190" s="96"/>
      <c r="AV190" s="96"/>
      <c r="AW190" s="96"/>
      <c r="AX190" s="96"/>
      <c r="AY190" s="96"/>
      <c r="AZ190" s="96"/>
      <c r="BA190" s="96"/>
    </row>
    <row r="191" spans="1:53" s="97" customFormat="1" ht="12" customHeight="1">
      <c r="A191" s="8">
        <v>127012002</v>
      </c>
      <c r="B191" s="8" t="s">
        <v>990</v>
      </c>
      <c r="C191" s="80">
        <f>+VLOOKUP(A191,Clasificaciones!C:I,5,FALSE)</f>
        <v>-5514324</v>
      </c>
      <c r="D191" s="788">
        <f>+E469</f>
        <v>5514324</v>
      </c>
      <c r="E191" s="80">
        <v>0</v>
      </c>
      <c r="F191" s="80">
        <f>+VLOOKUP(A191,Clasificaciones!C:M,9,FALSE)</f>
        <v>0</v>
      </c>
      <c r="G191" s="80">
        <f>+C191-F191+D191-E191</f>
        <v>0</v>
      </c>
      <c r="H191" s="26">
        <v>0</v>
      </c>
      <c r="I191" s="26">
        <v>0</v>
      </c>
      <c r="J191" s="26">
        <v>0</v>
      </c>
      <c r="K191" s="26">
        <v>0</v>
      </c>
      <c r="L191" s="26">
        <v>0</v>
      </c>
      <c r="M191" s="26">
        <v>0</v>
      </c>
      <c r="N191" s="26">
        <v>0</v>
      </c>
      <c r="O191" s="26">
        <v>0</v>
      </c>
      <c r="P191" s="26">
        <v>0</v>
      </c>
      <c r="Q191" s="26">
        <v>0</v>
      </c>
      <c r="R191" s="26">
        <v>0</v>
      </c>
      <c r="S191" s="26">
        <v>0</v>
      </c>
      <c r="T191" s="26">
        <v>0</v>
      </c>
      <c r="U191" s="26">
        <v>0</v>
      </c>
      <c r="V191" s="26">
        <v>0</v>
      </c>
      <c r="W191" s="26">
        <v>0</v>
      </c>
      <c r="X191" s="26">
        <v>0</v>
      </c>
      <c r="Y191" s="26">
        <v>0</v>
      </c>
      <c r="Z191" s="26">
        <f t="shared" ref="Z191" si="63">SUM(G191:Y191)</f>
        <v>0</v>
      </c>
      <c r="AA191" s="95"/>
      <c r="AB191" s="95"/>
      <c r="AC191" s="95"/>
      <c r="AD191" s="95"/>
      <c r="AE191" s="95"/>
      <c r="AF191" s="95"/>
      <c r="AG191" s="95"/>
      <c r="AH191" s="95"/>
      <c r="AI191" s="95"/>
      <c r="AJ191" s="95"/>
      <c r="AK191" s="95"/>
      <c r="AL191" s="95"/>
      <c r="AM191" s="95"/>
      <c r="AN191" s="96"/>
      <c r="AO191" s="96"/>
      <c r="AP191" s="96"/>
      <c r="AQ191" s="96"/>
      <c r="AR191" s="96"/>
      <c r="AS191" s="96"/>
      <c r="AT191" s="96"/>
      <c r="AU191" s="96"/>
      <c r="AV191" s="96"/>
      <c r="AW191" s="96"/>
      <c r="AX191" s="96"/>
      <c r="AY191" s="96"/>
      <c r="AZ191" s="96"/>
      <c r="BA191" s="96"/>
    </row>
    <row r="192" spans="1:53" s="97" customFormat="1" ht="12" customHeight="1">
      <c r="A192" s="8">
        <v>127012003</v>
      </c>
      <c r="B192" s="8" t="s">
        <v>714</v>
      </c>
      <c r="C192" s="80">
        <f>+VLOOKUP(A192,Clasificaciones!C:I,5,FALSE)</f>
        <v>-37890753</v>
      </c>
      <c r="D192" s="788">
        <f>+E467</f>
        <v>37302276</v>
      </c>
      <c r="E192" s="80">
        <v>0</v>
      </c>
      <c r="F192" s="80">
        <f>+VLOOKUP(A192,Clasificaciones!C:M,9,FALSE)</f>
        <v>-588477</v>
      </c>
      <c r="G192" s="80">
        <f>+C192-F192+D192-E192</f>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f t="shared" si="59"/>
        <v>0</v>
      </c>
      <c r="AA192" s="95"/>
      <c r="AB192" s="95"/>
      <c r="AC192" s="95"/>
      <c r="AD192" s="95"/>
      <c r="AE192" s="95"/>
      <c r="AF192" s="95"/>
      <c r="AG192" s="95"/>
      <c r="AH192" s="95"/>
      <c r="AI192" s="95"/>
      <c r="AJ192" s="95"/>
      <c r="AK192" s="95"/>
      <c r="AL192" s="95"/>
      <c r="AM192" s="95"/>
      <c r="AN192" s="96"/>
      <c r="AO192" s="96"/>
      <c r="AP192" s="96"/>
      <c r="AQ192" s="96"/>
      <c r="AR192" s="96"/>
      <c r="AS192" s="96"/>
      <c r="AT192" s="96"/>
      <c r="AU192" s="96"/>
      <c r="AV192" s="96"/>
      <c r="AW192" s="96"/>
      <c r="AX192" s="96"/>
      <c r="AY192" s="96"/>
      <c r="AZ192" s="96"/>
      <c r="BA192" s="96"/>
    </row>
    <row r="193" spans="1:53" s="94" customFormat="1" ht="12" customHeight="1">
      <c r="A193" s="8">
        <v>127012004</v>
      </c>
      <c r="B193" s="8" t="s">
        <v>715</v>
      </c>
      <c r="C193" s="80">
        <f>+VLOOKUP(A193,Clasificaciones!C:I,5,FALSE)</f>
        <v>-42128849</v>
      </c>
      <c r="D193" s="788">
        <f>+E468</f>
        <v>32175738</v>
      </c>
      <c r="E193" s="80">
        <v>0</v>
      </c>
      <c r="F193" s="80">
        <f>+VLOOKUP(A193,Clasificaciones!C:M,9,FALSE)</f>
        <v>-9953111</v>
      </c>
      <c r="G193" s="80">
        <f t="shared" ref="G193" si="64">+C193-F193+D193-E193</f>
        <v>0</v>
      </c>
      <c r="H193" s="26">
        <v>0</v>
      </c>
      <c r="I193" s="26">
        <v>0</v>
      </c>
      <c r="J193" s="26">
        <v>0</v>
      </c>
      <c r="K193" s="26">
        <v>0</v>
      </c>
      <c r="L193" s="26">
        <v>0</v>
      </c>
      <c r="M193" s="26">
        <v>0</v>
      </c>
      <c r="N193" s="26">
        <v>0</v>
      </c>
      <c r="O193" s="26">
        <v>0</v>
      </c>
      <c r="P193" s="26">
        <v>0</v>
      </c>
      <c r="Q193" s="26">
        <v>0</v>
      </c>
      <c r="R193" s="26">
        <v>0</v>
      </c>
      <c r="S193" s="26">
        <v>0</v>
      </c>
      <c r="T193" s="26">
        <v>0</v>
      </c>
      <c r="U193" s="26">
        <v>0</v>
      </c>
      <c r="V193" s="26">
        <v>0</v>
      </c>
      <c r="W193" s="26">
        <v>0</v>
      </c>
      <c r="X193" s="26">
        <v>0</v>
      </c>
      <c r="Y193" s="26">
        <v>0</v>
      </c>
      <c r="Z193" s="26">
        <f t="shared" ref="Z193" si="65">SUM(G193:Y193)</f>
        <v>0</v>
      </c>
      <c r="AA193" s="98"/>
      <c r="AB193" s="98"/>
      <c r="AC193" s="98"/>
      <c r="AD193" s="98"/>
      <c r="AE193" s="98"/>
      <c r="AF193" s="98"/>
      <c r="AG193" s="98"/>
      <c r="AH193" s="98"/>
      <c r="AI193" s="98"/>
      <c r="AJ193" s="98"/>
      <c r="AK193" s="98"/>
      <c r="AL193" s="98"/>
      <c r="AM193" s="98"/>
      <c r="AN193" s="93"/>
      <c r="AO193" s="93"/>
      <c r="AP193" s="93"/>
      <c r="AQ193" s="93"/>
      <c r="AR193" s="93"/>
      <c r="AS193" s="93"/>
      <c r="AT193" s="93"/>
      <c r="AU193" s="93"/>
      <c r="AV193" s="93"/>
      <c r="AW193" s="93"/>
      <c r="AX193" s="93"/>
      <c r="AY193" s="93"/>
      <c r="AZ193" s="93"/>
      <c r="BA193" s="93"/>
    </row>
    <row r="194" spans="1:53" s="94" customFormat="1" ht="12" customHeight="1">
      <c r="A194" s="8">
        <v>127012006</v>
      </c>
      <c r="B194" s="8" t="s">
        <v>1501</v>
      </c>
      <c r="C194" s="80">
        <f>+VLOOKUP(A194,Clasificaciones!C:I,5,FALSE)</f>
        <v>-14243514</v>
      </c>
      <c r="D194" s="788">
        <f>+E470</f>
        <v>14243514</v>
      </c>
      <c r="E194" s="80">
        <v>0</v>
      </c>
      <c r="F194" s="80">
        <f>+VLOOKUP(A194,Clasificaciones!C:M,9,FALSE)</f>
        <v>0</v>
      </c>
      <c r="G194" s="80">
        <f t="shared" si="55"/>
        <v>0</v>
      </c>
      <c r="H194" s="26">
        <v>0</v>
      </c>
      <c r="I194" s="26">
        <v>0</v>
      </c>
      <c r="J194" s="26">
        <v>0</v>
      </c>
      <c r="K194" s="26">
        <v>0</v>
      </c>
      <c r="L194" s="26">
        <v>0</v>
      </c>
      <c r="M194" s="26">
        <v>0</v>
      </c>
      <c r="N194" s="26">
        <v>0</v>
      </c>
      <c r="O194" s="26">
        <v>0</v>
      </c>
      <c r="P194" s="26">
        <v>0</v>
      </c>
      <c r="Q194" s="26">
        <v>0</v>
      </c>
      <c r="R194" s="26">
        <v>0</v>
      </c>
      <c r="S194" s="26">
        <v>0</v>
      </c>
      <c r="T194" s="26">
        <v>0</v>
      </c>
      <c r="U194" s="26">
        <v>0</v>
      </c>
      <c r="V194" s="26">
        <v>0</v>
      </c>
      <c r="W194" s="26">
        <v>0</v>
      </c>
      <c r="X194" s="26">
        <v>0</v>
      </c>
      <c r="Y194" s="26">
        <v>0</v>
      </c>
      <c r="Z194" s="26">
        <f t="shared" si="59"/>
        <v>0</v>
      </c>
      <c r="AA194" s="98"/>
      <c r="AB194" s="98"/>
      <c r="AC194" s="98"/>
      <c r="AD194" s="98"/>
      <c r="AE194" s="98"/>
      <c r="AF194" s="98"/>
      <c r="AG194" s="98"/>
      <c r="AH194" s="98"/>
      <c r="AI194" s="98"/>
      <c r="AJ194" s="98"/>
      <c r="AK194" s="98"/>
      <c r="AL194" s="98"/>
      <c r="AM194" s="98"/>
      <c r="AN194" s="93"/>
      <c r="AO194" s="93"/>
      <c r="AP194" s="93"/>
      <c r="AQ194" s="93"/>
      <c r="AR194" s="93"/>
      <c r="AS194" s="93"/>
      <c r="AT194" s="93"/>
      <c r="AU194" s="93"/>
      <c r="AV194" s="93"/>
      <c r="AW194" s="93"/>
      <c r="AX194" s="93"/>
      <c r="AY194" s="93"/>
      <c r="AZ194" s="93"/>
      <c r="BA194" s="93"/>
    </row>
    <row r="195" spans="1:53" s="94" customFormat="1" ht="12" customHeight="1">
      <c r="A195" s="8">
        <v>128</v>
      </c>
      <c r="B195" s="8" t="s">
        <v>716</v>
      </c>
      <c r="C195" s="80">
        <f>+VLOOKUP(A195,Clasificaciones!C:I,5,FALSE)</f>
        <v>0</v>
      </c>
      <c r="D195" s="80">
        <v>0</v>
      </c>
      <c r="E195" s="80">
        <v>0</v>
      </c>
      <c r="F195" s="80">
        <f>+VLOOKUP(A195,Clasificaciones!C:M,9,FALSE)</f>
        <v>0</v>
      </c>
      <c r="G195" s="80">
        <f t="shared" si="55"/>
        <v>0</v>
      </c>
      <c r="H195" s="26">
        <v>0</v>
      </c>
      <c r="I195" s="26">
        <v>0</v>
      </c>
      <c r="J195" s="26">
        <v>0</v>
      </c>
      <c r="K195" s="26">
        <v>0</v>
      </c>
      <c r="L195" s="26">
        <v>0</v>
      </c>
      <c r="M195" s="26">
        <v>0</v>
      </c>
      <c r="N195" s="26">
        <v>0</v>
      </c>
      <c r="O195" s="26">
        <v>0</v>
      </c>
      <c r="P195" s="26">
        <v>0</v>
      </c>
      <c r="Q195" s="26">
        <v>0</v>
      </c>
      <c r="R195" s="26">
        <v>0</v>
      </c>
      <c r="S195" s="26">
        <v>0</v>
      </c>
      <c r="T195" s="26">
        <v>0</v>
      </c>
      <c r="U195" s="26">
        <v>0</v>
      </c>
      <c r="V195" s="26">
        <v>0</v>
      </c>
      <c r="W195" s="26">
        <v>0</v>
      </c>
      <c r="X195" s="26">
        <v>0</v>
      </c>
      <c r="Y195" s="26">
        <v>0</v>
      </c>
      <c r="Z195" s="26">
        <f t="shared" si="59"/>
        <v>0</v>
      </c>
      <c r="AA195" s="98"/>
      <c r="AB195" s="98"/>
      <c r="AC195" s="98"/>
      <c r="AD195" s="98"/>
      <c r="AE195" s="98"/>
      <c r="AF195" s="98"/>
      <c r="AG195" s="98"/>
      <c r="AH195" s="98"/>
      <c r="AI195" s="98"/>
      <c r="AJ195" s="98"/>
      <c r="AK195" s="98"/>
      <c r="AL195" s="98"/>
      <c r="AM195" s="98"/>
      <c r="AN195" s="93"/>
      <c r="AO195" s="93"/>
      <c r="AP195" s="93"/>
      <c r="AQ195" s="93"/>
      <c r="AR195" s="93"/>
      <c r="AS195" s="93"/>
      <c r="AT195" s="93"/>
      <c r="AU195" s="93"/>
      <c r="AV195" s="93"/>
      <c r="AW195" s="93"/>
      <c r="AX195" s="93"/>
      <c r="AY195" s="93"/>
      <c r="AZ195" s="93"/>
      <c r="BA195" s="93"/>
    </row>
    <row r="196" spans="1:53" s="97" customFormat="1" ht="12" customHeight="1">
      <c r="A196" s="8">
        <v>12801</v>
      </c>
      <c r="B196" s="8" t="s">
        <v>94</v>
      </c>
      <c r="C196" s="80">
        <f>+VLOOKUP(A196,Clasificaciones!C:I,5,FALSE)</f>
        <v>0</v>
      </c>
      <c r="D196" s="80">
        <v>0</v>
      </c>
      <c r="E196" s="80">
        <v>0</v>
      </c>
      <c r="F196" s="80">
        <f>+VLOOKUP(A196,Clasificaciones!C:M,9,FALSE)</f>
        <v>0</v>
      </c>
      <c r="G196" s="80">
        <f t="shared" si="55"/>
        <v>0</v>
      </c>
      <c r="H196" s="26">
        <v>0</v>
      </c>
      <c r="I196" s="26">
        <v>0</v>
      </c>
      <c r="J196" s="26">
        <f>-G196</f>
        <v>0</v>
      </c>
      <c r="K196" s="26">
        <v>0</v>
      </c>
      <c r="L196" s="26">
        <v>0</v>
      </c>
      <c r="M196" s="26">
        <v>0</v>
      </c>
      <c r="N196" s="26">
        <v>0</v>
      </c>
      <c r="O196" s="26">
        <v>0</v>
      </c>
      <c r="P196" s="26">
        <v>0</v>
      </c>
      <c r="Q196" s="26">
        <v>0</v>
      </c>
      <c r="R196" s="26">
        <v>0</v>
      </c>
      <c r="S196" s="26">
        <v>0</v>
      </c>
      <c r="T196" s="26">
        <v>0</v>
      </c>
      <c r="U196" s="26">
        <v>0</v>
      </c>
      <c r="V196" s="26">
        <v>0</v>
      </c>
      <c r="W196" s="26">
        <v>0</v>
      </c>
      <c r="X196" s="26">
        <v>0</v>
      </c>
      <c r="Y196" s="26">
        <v>0</v>
      </c>
      <c r="Z196" s="26">
        <f t="shared" si="59"/>
        <v>0</v>
      </c>
      <c r="AA196" s="95"/>
      <c r="AB196" s="95"/>
      <c r="AC196" s="95"/>
      <c r="AD196" s="95"/>
      <c r="AE196" s="95"/>
      <c r="AF196" s="95"/>
      <c r="AG196" s="95"/>
      <c r="AH196" s="95"/>
      <c r="AI196" s="95"/>
      <c r="AJ196" s="95"/>
      <c r="AK196" s="95"/>
      <c r="AL196" s="95"/>
      <c r="AM196" s="95"/>
      <c r="AN196" s="96"/>
      <c r="AO196" s="96"/>
      <c r="AP196" s="96"/>
      <c r="AQ196" s="96"/>
      <c r="AR196" s="96"/>
      <c r="AS196" s="96"/>
      <c r="AT196" s="96"/>
      <c r="AU196" s="96"/>
      <c r="AV196" s="96"/>
      <c r="AW196" s="96"/>
      <c r="AX196" s="96"/>
      <c r="AY196" s="96"/>
      <c r="AZ196" s="96"/>
      <c r="BA196" s="96"/>
    </row>
    <row r="197" spans="1:53" s="97" customFormat="1" ht="12" customHeight="1">
      <c r="A197" s="8">
        <v>1280102</v>
      </c>
      <c r="B197" s="8" t="s">
        <v>717</v>
      </c>
      <c r="C197" s="80">
        <f>+VLOOKUP(A197,Clasificaciones!C:I,5,FALSE)</f>
        <v>424253188</v>
      </c>
      <c r="D197" s="80">
        <v>0</v>
      </c>
      <c r="E197" s="80">
        <v>0</v>
      </c>
      <c r="F197" s="80">
        <f>+VLOOKUP(A197,Clasificaciones!C:M,9,FALSE)</f>
        <v>345173952</v>
      </c>
      <c r="G197" s="80">
        <f t="shared" si="55"/>
        <v>79079236</v>
      </c>
      <c r="H197" s="26">
        <v>0</v>
      </c>
      <c r="I197" s="26">
        <v>0</v>
      </c>
      <c r="J197" s="26"/>
      <c r="K197" s="26">
        <v>0</v>
      </c>
      <c r="L197" s="26">
        <f t="shared" ref="L197:L198" si="66">-G197</f>
        <v>-79079236</v>
      </c>
      <c r="M197" s="26">
        <v>0</v>
      </c>
      <c r="N197" s="26">
        <v>0</v>
      </c>
      <c r="O197" s="26">
        <v>0</v>
      </c>
      <c r="P197" s="26">
        <v>0</v>
      </c>
      <c r="Q197" s="26">
        <v>0</v>
      </c>
      <c r="R197" s="26">
        <v>0</v>
      </c>
      <c r="S197" s="26">
        <v>0</v>
      </c>
      <c r="T197" s="26">
        <v>0</v>
      </c>
      <c r="U197" s="26">
        <v>0</v>
      </c>
      <c r="V197" s="26">
        <v>0</v>
      </c>
      <c r="W197" s="26">
        <v>0</v>
      </c>
      <c r="X197" s="26">
        <v>0</v>
      </c>
      <c r="Y197" s="26">
        <v>0</v>
      </c>
      <c r="Z197" s="26">
        <f t="shared" si="59"/>
        <v>0</v>
      </c>
      <c r="AA197" s="95"/>
      <c r="AB197" s="95"/>
      <c r="AC197" s="95"/>
      <c r="AD197" s="95"/>
      <c r="AE197" s="95"/>
      <c r="AF197" s="95"/>
      <c r="AG197" s="95"/>
      <c r="AH197" s="95"/>
      <c r="AI197" s="95"/>
      <c r="AJ197" s="95"/>
      <c r="AK197" s="95"/>
      <c r="AL197" s="95"/>
      <c r="AM197" s="95"/>
      <c r="AN197" s="96"/>
      <c r="AO197" s="96"/>
      <c r="AP197" s="96"/>
      <c r="AQ197" s="96"/>
      <c r="AR197" s="96"/>
      <c r="AS197" s="96"/>
      <c r="AT197" s="96"/>
      <c r="AU197" s="96"/>
      <c r="AV197" s="96"/>
      <c r="AW197" s="96"/>
      <c r="AX197" s="96"/>
      <c r="AY197" s="96"/>
      <c r="AZ197" s="96"/>
      <c r="BA197" s="96"/>
    </row>
    <row r="198" spans="1:53" s="97" customFormat="1" ht="12" customHeight="1">
      <c r="A198" s="8">
        <v>12802</v>
      </c>
      <c r="B198" s="8" t="s">
        <v>718</v>
      </c>
      <c r="C198" s="80">
        <f>+VLOOKUP(A198,Clasificaciones!C:I,5,FALSE)</f>
        <v>697338814</v>
      </c>
      <c r="D198" s="80">
        <v>0</v>
      </c>
      <c r="E198" s="80">
        <v>0</v>
      </c>
      <c r="F198" s="80">
        <f>+VLOOKUP(A198,Clasificaciones!C:M,9,FALSE)</f>
        <v>690611542</v>
      </c>
      <c r="G198" s="80">
        <f t="shared" si="55"/>
        <v>6727272</v>
      </c>
      <c r="H198" s="26">
        <v>0</v>
      </c>
      <c r="I198" s="26">
        <v>0</v>
      </c>
      <c r="J198" s="26"/>
      <c r="K198" s="26">
        <v>0</v>
      </c>
      <c r="L198" s="26">
        <f t="shared" si="66"/>
        <v>-6727272</v>
      </c>
      <c r="M198" s="26">
        <v>0</v>
      </c>
      <c r="N198" s="26">
        <v>0</v>
      </c>
      <c r="O198" s="26">
        <v>0</v>
      </c>
      <c r="P198" s="26">
        <v>0</v>
      </c>
      <c r="Q198" s="26">
        <v>0</v>
      </c>
      <c r="R198" s="26">
        <v>0</v>
      </c>
      <c r="S198" s="26">
        <v>0</v>
      </c>
      <c r="T198" s="26">
        <v>0</v>
      </c>
      <c r="U198" s="26">
        <v>0</v>
      </c>
      <c r="V198" s="26">
        <v>0</v>
      </c>
      <c r="W198" s="26">
        <v>0</v>
      </c>
      <c r="X198" s="26">
        <v>0</v>
      </c>
      <c r="Y198" s="26">
        <v>0</v>
      </c>
      <c r="Z198" s="26">
        <f t="shared" si="59"/>
        <v>0</v>
      </c>
      <c r="AA198" s="95"/>
      <c r="AB198" s="95"/>
      <c r="AC198" s="95"/>
      <c r="AD198" s="95"/>
      <c r="AE198" s="95"/>
      <c r="AF198" s="95"/>
      <c r="AG198" s="95"/>
      <c r="AH198" s="95"/>
      <c r="AI198" s="95"/>
      <c r="AJ198" s="95"/>
      <c r="AK198" s="95"/>
      <c r="AL198" s="95"/>
      <c r="AM198" s="95"/>
      <c r="AN198" s="96"/>
      <c r="AO198" s="96"/>
      <c r="AP198" s="96"/>
      <c r="AQ198" s="96"/>
      <c r="AR198" s="96"/>
      <c r="AS198" s="96"/>
      <c r="AT198" s="96"/>
      <c r="AU198" s="96"/>
      <c r="AV198" s="96"/>
      <c r="AW198" s="96"/>
      <c r="AX198" s="96"/>
      <c r="AY198" s="96"/>
      <c r="AZ198" s="96"/>
      <c r="BA198" s="96"/>
    </row>
    <row r="199" spans="1:53" s="97" customFormat="1" ht="12" customHeight="1">
      <c r="A199" s="8">
        <v>12803</v>
      </c>
      <c r="B199" s="8" t="s">
        <v>95</v>
      </c>
      <c r="C199" s="80">
        <f>+VLOOKUP(A199,Clasificaciones!C:I,5,FALSE)</f>
        <v>8000000</v>
      </c>
      <c r="D199" s="80">
        <v>0</v>
      </c>
      <c r="E199" s="80">
        <v>0</v>
      </c>
      <c r="F199" s="80">
        <f>+VLOOKUP(A199,Clasificaciones!C:M,9,FALSE)</f>
        <v>8000000</v>
      </c>
      <c r="G199" s="80">
        <f t="shared" si="55"/>
        <v>0</v>
      </c>
      <c r="H199" s="26">
        <v>0</v>
      </c>
      <c r="I199" s="26">
        <v>0</v>
      </c>
      <c r="J199" s="26">
        <f t="shared" ref="J199:J200" si="67">-G199</f>
        <v>0</v>
      </c>
      <c r="K199" s="26">
        <v>0</v>
      </c>
      <c r="L199" s="26">
        <v>0</v>
      </c>
      <c r="M199" s="26">
        <v>0</v>
      </c>
      <c r="N199" s="26">
        <v>0</v>
      </c>
      <c r="O199" s="26">
        <v>0</v>
      </c>
      <c r="P199" s="26">
        <v>0</v>
      </c>
      <c r="Q199" s="26">
        <v>0</v>
      </c>
      <c r="R199" s="26">
        <v>0</v>
      </c>
      <c r="S199" s="26">
        <v>0</v>
      </c>
      <c r="T199" s="26">
        <v>0</v>
      </c>
      <c r="U199" s="26">
        <v>0</v>
      </c>
      <c r="V199" s="26">
        <v>0</v>
      </c>
      <c r="W199" s="26">
        <v>0</v>
      </c>
      <c r="X199" s="26">
        <v>0</v>
      </c>
      <c r="Y199" s="26">
        <v>0</v>
      </c>
      <c r="Z199" s="26">
        <f t="shared" si="59"/>
        <v>0</v>
      </c>
      <c r="AA199" s="95"/>
      <c r="AB199" s="95"/>
      <c r="AC199" s="95"/>
      <c r="AD199" s="95"/>
      <c r="AE199" s="95"/>
      <c r="AF199" s="95"/>
      <c r="AG199" s="95"/>
      <c r="AH199" s="95"/>
      <c r="AI199" s="95"/>
      <c r="AJ199" s="95"/>
      <c r="AK199" s="95"/>
      <c r="AL199" s="95"/>
      <c r="AM199" s="95"/>
      <c r="AN199" s="96"/>
      <c r="AO199" s="96"/>
      <c r="AP199" s="96"/>
      <c r="AQ199" s="96"/>
      <c r="AR199" s="96"/>
      <c r="AS199" s="96"/>
      <c r="AT199" s="96"/>
      <c r="AU199" s="96"/>
      <c r="AV199" s="96"/>
      <c r="AW199" s="96"/>
      <c r="AX199" s="96"/>
      <c r="AY199" s="96"/>
      <c r="AZ199" s="96"/>
      <c r="BA199" s="96"/>
    </row>
    <row r="200" spans="1:53" s="97" customFormat="1" ht="12" customHeight="1">
      <c r="A200" s="8">
        <v>12804</v>
      </c>
      <c r="B200" s="8" t="s">
        <v>263</v>
      </c>
      <c r="C200" s="80">
        <f>+VLOOKUP(A200,Clasificaciones!C:I,5,FALSE)</f>
        <v>0</v>
      </c>
      <c r="D200" s="80">
        <v>0</v>
      </c>
      <c r="E200" s="80">
        <v>0</v>
      </c>
      <c r="F200" s="80">
        <f>+VLOOKUP(A200,Clasificaciones!C:M,9,FALSE)</f>
        <v>0</v>
      </c>
      <c r="G200" s="80">
        <f t="shared" si="55"/>
        <v>0</v>
      </c>
      <c r="H200" s="26">
        <v>0</v>
      </c>
      <c r="I200" s="26">
        <v>0</v>
      </c>
      <c r="J200" s="26">
        <f t="shared" si="67"/>
        <v>0</v>
      </c>
      <c r="K200" s="26">
        <v>0</v>
      </c>
      <c r="L200" s="26">
        <v>0</v>
      </c>
      <c r="M200" s="26">
        <v>0</v>
      </c>
      <c r="N200" s="26">
        <v>0</v>
      </c>
      <c r="O200" s="26">
        <v>0</v>
      </c>
      <c r="P200" s="26">
        <v>0</v>
      </c>
      <c r="Q200" s="26">
        <v>0</v>
      </c>
      <c r="R200" s="26">
        <v>0</v>
      </c>
      <c r="S200" s="26">
        <v>0</v>
      </c>
      <c r="T200" s="26">
        <v>0</v>
      </c>
      <c r="U200" s="26">
        <v>0</v>
      </c>
      <c r="V200" s="26">
        <v>0</v>
      </c>
      <c r="W200" s="26">
        <v>0</v>
      </c>
      <c r="X200" s="26">
        <v>0</v>
      </c>
      <c r="Y200" s="26">
        <v>0</v>
      </c>
      <c r="Z200" s="26">
        <f t="shared" si="59"/>
        <v>0</v>
      </c>
      <c r="AA200" s="95"/>
      <c r="AB200" s="95"/>
      <c r="AC200" s="95"/>
      <c r="AD200" s="95"/>
      <c r="AE200" s="95"/>
      <c r="AF200" s="95"/>
      <c r="AG200" s="95"/>
      <c r="AH200" s="95"/>
      <c r="AI200" s="95"/>
      <c r="AJ200" s="95"/>
      <c r="AK200" s="95"/>
      <c r="AL200" s="95"/>
      <c r="AM200" s="95"/>
      <c r="AN200" s="96"/>
      <c r="AO200" s="96"/>
      <c r="AP200" s="96"/>
      <c r="AQ200" s="96"/>
      <c r="AR200" s="96"/>
      <c r="AS200" s="96"/>
      <c r="AT200" s="96"/>
      <c r="AU200" s="96"/>
      <c r="AV200" s="96"/>
      <c r="AW200" s="96"/>
      <c r="AX200" s="96"/>
      <c r="AY200" s="96"/>
      <c r="AZ200" s="96"/>
      <c r="BA200" s="96"/>
    </row>
    <row r="201" spans="1:53" s="97" customFormat="1" ht="12" customHeight="1">
      <c r="A201" s="8">
        <v>1280401</v>
      </c>
      <c r="B201" s="8" t="s">
        <v>155</v>
      </c>
      <c r="C201" s="80">
        <f>+VLOOKUP(A201,Clasificaciones!C:I,5,FALSE)</f>
        <v>57764419</v>
      </c>
      <c r="D201" s="80">
        <v>0</v>
      </c>
      <c r="E201" s="80">
        <v>0</v>
      </c>
      <c r="F201" s="80">
        <f>+VLOOKUP(A201,Clasificaciones!C:M,9,FALSE)</f>
        <v>57764419</v>
      </c>
      <c r="G201" s="80">
        <f t="shared" si="55"/>
        <v>0</v>
      </c>
      <c r="H201" s="26">
        <v>0</v>
      </c>
      <c r="I201" s="26">
        <v>0</v>
      </c>
      <c r="J201" s="26">
        <v>0</v>
      </c>
      <c r="K201" s="26">
        <v>0</v>
      </c>
      <c r="L201" s="26">
        <v>0</v>
      </c>
      <c r="M201" s="26">
        <v>0</v>
      </c>
      <c r="N201" s="26">
        <v>0</v>
      </c>
      <c r="O201" s="26">
        <v>0</v>
      </c>
      <c r="P201" s="26">
        <v>0</v>
      </c>
      <c r="Q201" s="26">
        <v>0</v>
      </c>
      <c r="R201" s="26">
        <v>0</v>
      </c>
      <c r="S201" s="26">
        <v>0</v>
      </c>
      <c r="T201" s="26">
        <v>0</v>
      </c>
      <c r="U201" s="26">
        <v>0</v>
      </c>
      <c r="V201" s="26">
        <v>0</v>
      </c>
      <c r="W201" s="26">
        <v>0</v>
      </c>
      <c r="X201" s="26">
        <v>0</v>
      </c>
      <c r="Y201" s="26">
        <v>0</v>
      </c>
      <c r="Z201" s="26">
        <f t="shared" si="59"/>
        <v>0</v>
      </c>
      <c r="AA201" s="95"/>
      <c r="AB201" s="95"/>
      <c r="AC201" s="95"/>
      <c r="AD201" s="95"/>
      <c r="AE201" s="95"/>
      <c r="AF201" s="95"/>
      <c r="AG201" s="95"/>
      <c r="AH201" s="95"/>
      <c r="AI201" s="95"/>
      <c r="AJ201" s="95"/>
      <c r="AK201" s="95"/>
      <c r="AL201" s="95"/>
      <c r="AM201" s="95"/>
      <c r="AN201" s="96"/>
      <c r="AO201" s="96"/>
      <c r="AP201" s="96"/>
      <c r="AQ201" s="96"/>
      <c r="AR201" s="96"/>
      <c r="AS201" s="96"/>
      <c r="AT201" s="96"/>
      <c r="AU201" s="96"/>
      <c r="AV201" s="96"/>
      <c r="AW201" s="96"/>
      <c r="AX201" s="96"/>
      <c r="AY201" s="96"/>
      <c r="AZ201" s="96"/>
      <c r="BA201" s="96"/>
    </row>
    <row r="202" spans="1:53" s="97" customFormat="1" ht="12" customHeight="1">
      <c r="A202" s="8">
        <v>12808</v>
      </c>
      <c r="B202" s="8" t="s">
        <v>1250</v>
      </c>
      <c r="C202" s="80">
        <f>+VLOOKUP(A202,Clasificaciones!C:I,5,FALSE)</f>
        <v>150232250</v>
      </c>
      <c r="D202" s="80">
        <v>0</v>
      </c>
      <c r="E202" s="80">
        <v>0</v>
      </c>
      <c r="F202" s="80">
        <f>+VLOOKUP(A202,Clasificaciones!C:M,9,FALSE)</f>
        <v>45425205</v>
      </c>
      <c r="G202" s="80">
        <f t="shared" ref="G202" si="68">+C202-F202+D202-E202</f>
        <v>104807045</v>
      </c>
      <c r="H202" s="26">
        <v>0</v>
      </c>
      <c r="I202" s="26">
        <v>0</v>
      </c>
      <c r="J202" s="26"/>
      <c r="K202" s="26">
        <v>0</v>
      </c>
      <c r="L202" s="26">
        <f>-G202</f>
        <v>-104807045</v>
      </c>
      <c r="M202" s="26">
        <v>0</v>
      </c>
      <c r="N202" s="26">
        <v>0</v>
      </c>
      <c r="O202" s="26">
        <v>0</v>
      </c>
      <c r="P202" s="26">
        <v>0</v>
      </c>
      <c r="Q202" s="26">
        <v>0</v>
      </c>
      <c r="R202" s="26">
        <v>0</v>
      </c>
      <c r="S202" s="26">
        <v>0</v>
      </c>
      <c r="T202" s="26">
        <v>0</v>
      </c>
      <c r="U202" s="26">
        <v>0</v>
      </c>
      <c r="V202" s="26">
        <v>0</v>
      </c>
      <c r="W202" s="26">
        <v>0</v>
      </c>
      <c r="X202" s="26">
        <v>0</v>
      </c>
      <c r="Y202" s="26">
        <v>0</v>
      </c>
      <c r="Z202" s="26">
        <f t="shared" si="59"/>
        <v>0</v>
      </c>
      <c r="AA202" s="95"/>
      <c r="AB202" s="95"/>
      <c r="AC202" s="95"/>
      <c r="AD202" s="95"/>
      <c r="AE202" s="95"/>
      <c r="AF202" s="95"/>
      <c r="AG202" s="95"/>
      <c r="AH202" s="95"/>
      <c r="AI202" s="95"/>
      <c r="AJ202" s="95"/>
      <c r="AK202" s="95"/>
      <c r="AL202" s="95"/>
      <c r="AM202" s="95"/>
      <c r="AN202" s="96"/>
      <c r="AO202" s="96"/>
      <c r="AP202" s="96"/>
      <c r="AQ202" s="96"/>
      <c r="AR202" s="96"/>
      <c r="AS202" s="96"/>
      <c r="AT202" s="96"/>
      <c r="AU202" s="96"/>
      <c r="AV202" s="96"/>
      <c r="AW202" s="96"/>
      <c r="AX202" s="96"/>
      <c r="AY202" s="96"/>
      <c r="AZ202" s="96"/>
      <c r="BA202" s="96"/>
    </row>
    <row r="203" spans="1:53" s="94" customFormat="1" ht="12" customHeight="1">
      <c r="A203" s="8">
        <v>12820</v>
      </c>
      <c r="B203" s="8" t="s">
        <v>720</v>
      </c>
      <c r="C203" s="80">
        <f>+VLOOKUP(A203,Clasificaciones!C:I,5,FALSE)</f>
        <v>0</v>
      </c>
      <c r="D203" s="80">
        <v>0</v>
      </c>
      <c r="E203" s="80">
        <v>0</v>
      </c>
      <c r="F203" s="80">
        <f>+VLOOKUP(A203,Clasificaciones!C:M,9,FALSE)</f>
        <v>0</v>
      </c>
      <c r="G203" s="80">
        <f t="shared" si="55"/>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c r="Z203" s="26">
        <f t="shared" si="59"/>
        <v>0</v>
      </c>
      <c r="AA203" s="98"/>
      <c r="AB203" s="98"/>
      <c r="AC203" s="98"/>
      <c r="AD203" s="98"/>
      <c r="AE203" s="98"/>
      <c r="AF203" s="98"/>
      <c r="AG203" s="98"/>
      <c r="AH203" s="98"/>
      <c r="AI203" s="98"/>
      <c r="AJ203" s="98"/>
      <c r="AK203" s="98"/>
      <c r="AL203" s="98"/>
      <c r="AM203" s="98"/>
      <c r="AN203" s="93"/>
      <c r="AO203" s="93"/>
      <c r="AP203" s="93"/>
      <c r="AQ203" s="93"/>
      <c r="AR203" s="93"/>
      <c r="AS203" s="93"/>
      <c r="AT203" s="93"/>
      <c r="AU203" s="93"/>
      <c r="AV203" s="93"/>
      <c r="AW203" s="93"/>
      <c r="AX203" s="93"/>
      <c r="AY203" s="93"/>
      <c r="AZ203" s="93"/>
      <c r="BA203" s="93"/>
    </row>
    <row r="204" spans="1:53" s="97" customFormat="1" ht="12" customHeight="1">
      <c r="A204" s="8">
        <v>1282001</v>
      </c>
      <c r="B204" s="8" t="s">
        <v>94</v>
      </c>
      <c r="C204" s="80">
        <f>+VLOOKUP(A204,Clasificaciones!C:I,5,FALSE)</f>
        <v>-73550328</v>
      </c>
      <c r="D204" s="788">
        <f>+E474</f>
        <v>34517394</v>
      </c>
      <c r="E204" s="80">
        <v>0</v>
      </c>
      <c r="F204" s="80">
        <f>+VLOOKUP(A204,Clasificaciones!C:M,9,FALSE)</f>
        <v>-39032934</v>
      </c>
      <c r="G204" s="80">
        <f t="shared" si="55"/>
        <v>0</v>
      </c>
      <c r="H204" s="26">
        <v>0</v>
      </c>
      <c r="I204" s="26">
        <v>0</v>
      </c>
      <c r="J204" s="26">
        <v>0</v>
      </c>
      <c r="K204" s="26">
        <v>0</v>
      </c>
      <c r="L204" s="26">
        <v>0</v>
      </c>
      <c r="M204" s="26">
        <v>0</v>
      </c>
      <c r="N204" s="26">
        <v>0</v>
      </c>
      <c r="O204" s="26">
        <v>0</v>
      </c>
      <c r="P204" s="26">
        <v>0</v>
      </c>
      <c r="Q204" s="26">
        <f t="shared" ref="Q204:Q206" si="69">-G204</f>
        <v>0</v>
      </c>
      <c r="R204" s="26">
        <v>0</v>
      </c>
      <c r="S204" s="26">
        <v>0</v>
      </c>
      <c r="T204" s="26">
        <v>0</v>
      </c>
      <c r="U204" s="26">
        <v>0</v>
      </c>
      <c r="V204" s="26">
        <v>0</v>
      </c>
      <c r="W204" s="26">
        <v>0</v>
      </c>
      <c r="X204" s="26">
        <v>0</v>
      </c>
      <c r="Y204" s="26">
        <v>0</v>
      </c>
      <c r="Z204" s="26">
        <f t="shared" si="59"/>
        <v>0</v>
      </c>
      <c r="AA204" s="95"/>
      <c r="AB204" s="95"/>
      <c r="AC204" s="95"/>
      <c r="AD204" s="95"/>
      <c r="AE204" s="95"/>
      <c r="AF204" s="95"/>
      <c r="AG204" s="95"/>
      <c r="AH204" s="95"/>
      <c r="AI204" s="95"/>
      <c r="AJ204" s="95"/>
      <c r="AK204" s="95"/>
      <c r="AL204" s="95"/>
      <c r="AM204" s="95"/>
      <c r="AN204" s="96"/>
      <c r="AO204" s="96"/>
      <c r="AP204" s="96"/>
      <c r="AQ204" s="96"/>
      <c r="AR204" s="96"/>
      <c r="AS204" s="96"/>
      <c r="AT204" s="96"/>
      <c r="AU204" s="96"/>
      <c r="AV204" s="96"/>
      <c r="AW204" s="96"/>
      <c r="AX204" s="96"/>
      <c r="AY204" s="96"/>
      <c r="AZ204" s="96"/>
      <c r="BA204" s="96"/>
    </row>
    <row r="205" spans="1:53" s="97" customFormat="1" ht="12" customHeight="1">
      <c r="A205" s="8">
        <v>1282002</v>
      </c>
      <c r="B205" s="8" t="s">
        <v>95</v>
      </c>
      <c r="C205" s="80">
        <f>+VLOOKUP(A205,Clasificaciones!C:I,5,FALSE)</f>
        <v>-4000010</v>
      </c>
      <c r="D205" s="788">
        <f>+E475</f>
        <v>799998</v>
      </c>
      <c r="E205" s="80">
        <v>0</v>
      </c>
      <c r="F205" s="80">
        <f>+VLOOKUP(A205,Clasificaciones!C:M,9,FALSE)</f>
        <v>-3200012</v>
      </c>
      <c r="G205" s="80">
        <f t="shared" si="55"/>
        <v>0</v>
      </c>
      <c r="H205" s="26">
        <v>0</v>
      </c>
      <c r="I205" s="26">
        <v>0</v>
      </c>
      <c r="J205" s="26">
        <v>0</v>
      </c>
      <c r="K205" s="26">
        <v>0</v>
      </c>
      <c r="L205" s="26">
        <v>0</v>
      </c>
      <c r="M205" s="26">
        <v>0</v>
      </c>
      <c r="N205" s="26">
        <v>0</v>
      </c>
      <c r="O205" s="26">
        <v>0</v>
      </c>
      <c r="P205" s="26">
        <v>0</v>
      </c>
      <c r="Q205" s="26">
        <f t="shared" si="69"/>
        <v>0</v>
      </c>
      <c r="R205" s="26">
        <v>0</v>
      </c>
      <c r="S205" s="26">
        <v>0</v>
      </c>
      <c r="T205" s="26">
        <v>0</v>
      </c>
      <c r="U205" s="26">
        <v>0</v>
      </c>
      <c r="V205" s="26">
        <v>0</v>
      </c>
      <c r="W205" s="26">
        <v>0</v>
      </c>
      <c r="X205" s="26">
        <v>0</v>
      </c>
      <c r="Y205" s="26">
        <v>0</v>
      </c>
      <c r="Z205" s="26">
        <f t="shared" si="59"/>
        <v>0</v>
      </c>
      <c r="AA205" s="95"/>
      <c r="AB205" s="95"/>
      <c r="AC205" s="95"/>
      <c r="AD205" s="95"/>
      <c r="AE205" s="95"/>
      <c r="AF205" s="95"/>
      <c r="AG205" s="95"/>
      <c r="AH205" s="95"/>
      <c r="AI205" s="95"/>
      <c r="AJ205" s="95"/>
      <c r="AK205" s="95"/>
      <c r="AL205" s="95"/>
      <c r="AM205" s="95"/>
      <c r="AN205" s="96"/>
      <c r="AO205" s="96"/>
      <c r="AP205" s="96"/>
      <c r="AQ205" s="96"/>
      <c r="AR205" s="96"/>
      <c r="AS205" s="96"/>
      <c r="AT205" s="96"/>
      <c r="AU205" s="96"/>
      <c r="AV205" s="96"/>
      <c r="AW205" s="96"/>
      <c r="AX205" s="96"/>
      <c r="AY205" s="96"/>
      <c r="AZ205" s="96"/>
      <c r="BA205" s="96"/>
    </row>
    <row r="206" spans="1:53" s="97" customFormat="1" ht="12" customHeight="1">
      <c r="A206" s="8">
        <v>1282003</v>
      </c>
      <c r="B206" s="8" t="s">
        <v>155</v>
      </c>
      <c r="C206" s="80">
        <f>+VLOOKUP(A206,Clasificaciones!C:I,5,FALSE)</f>
        <v>-46910660</v>
      </c>
      <c r="D206" s="788">
        <f>+E472</f>
        <v>3617928</v>
      </c>
      <c r="E206" s="80">
        <v>0</v>
      </c>
      <c r="F206" s="80">
        <f>+VLOOKUP(A206,Clasificaciones!C:M,9,FALSE)</f>
        <v>-43292732</v>
      </c>
      <c r="G206" s="80">
        <f>+C206-F206+D206-E206</f>
        <v>0</v>
      </c>
      <c r="H206" s="26">
        <v>0</v>
      </c>
      <c r="I206" s="26">
        <v>0</v>
      </c>
      <c r="J206" s="26">
        <v>0</v>
      </c>
      <c r="K206" s="26">
        <v>0</v>
      </c>
      <c r="L206" s="26">
        <v>0</v>
      </c>
      <c r="M206" s="26">
        <v>0</v>
      </c>
      <c r="N206" s="26">
        <v>0</v>
      </c>
      <c r="O206" s="26">
        <v>0</v>
      </c>
      <c r="P206" s="26">
        <v>0</v>
      </c>
      <c r="Q206" s="26">
        <f t="shared" si="69"/>
        <v>0</v>
      </c>
      <c r="R206" s="26">
        <v>0</v>
      </c>
      <c r="S206" s="26">
        <v>0</v>
      </c>
      <c r="T206" s="26">
        <v>0</v>
      </c>
      <c r="U206" s="26">
        <v>0</v>
      </c>
      <c r="V206" s="26">
        <v>0</v>
      </c>
      <c r="W206" s="26">
        <v>0</v>
      </c>
      <c r="X206" s="26">
        <v>0</v>
      </c>
      <c r="Y206" s="26">
        <v>0</v>
      </c>
      <c r="Z206" s="26">
        <f t="shared" si="59"/>
        <v>0</v>
      </c>
      <c r="AA206" s="95"/>
      <c r="AB206" s="95"/>
      <c r="AC206" s="95"/>
      <c r="AD206" s="95"/>
      <c r="AE206" s="95"/>
      <c r="AF206" s="95"/>
      <c r="AG206" s="95"/>
      <c r="AH206" s="95"/>
      <c r="AI206" s="95"/>
      <c r="AJ206" s="95"/>
      <c r="AK206" s="95"/>
      <c r="AL206" s="95"/>
      <c r="AM206" s="95"/>
      <c r="AN206" s="96"/>
      <c r="AO206" s="96"/>
      <c r="AP206" s="96"/>
      <c r="AQ206" s="96"/>
      <c r="AR206" s="96"/>
      <c r="AS206" s="96"/>
      <c r="AT206" s="96"/>
      <c r="AU206" s="96"/>
      <c r="AV206" s="96"/>
      <c r="AW206" s="96"/>
      <c r="AX206" s="96"/>
      <c r="AY206" s="96"/>
      <c r="AZ206" s="96"/>
      <c r="BA206" s="96"/>
    </row>
    <row r="207" spans="1:53" s="97" customFormat="1" ht="12" customHeight="1">
      <c r="A207" s="8">
        <v>1282004</v>
      </c>
      <c r="B207" s="8" t="s">
        <v>721</v>
      </c>
      <c r="C207" s="80">
        <f>+VLOOKUP(A207,Clasificaciones!C:I,5,FALSE)</f>
        <v>-323613399</v>
      </c>
      <c r="D207" s="788">
        <f>+E473</f>
        <v>69061152</v>
      </c>
      <c r="E207" s="80">
        <v>0</v>
      </c>
      <c r="F207" s="80">
        <f>+VLOOKUP(A207,Clasificaciones!C:M,9,FALSE)</f>
        <v>-254552247</v>
      </c>
      <c r="G207" s="80">
        <f t="shared" ref="G207:G209" si="70">+C207-F207+D207-E207</f>
        <v>0</v>
      </c>
      <c r="H207" s="26">
        <v>0</v>
      </c>
      <c r="I207" s="26">
        <v>0</v>
      </c>
      <c r="J207" s="26">
        <v>0</v>
      </c>
      <c r="K207" s="26">
        <v>0</v>
      </c>
      <c r="L207" s="26">
        <v>0</v>
      </c>
      <c r="M207" s="26">
        <v>0</v>
      </c>
      <c r="N207" s="26">
        <v>0</v>
      </c>
      <c r="O207" s="26">
        <v>0</v>
      </c>
      <c r="P207" s="26">
        <v>0</v>
      </c>
      <c r="Q207" s="26">
        <v>0</v>
      </c>
      <c r="R207" s="26">
        <v>0</v>
      </c>
      <c r="S207" s="26">
        <v>0</v>
      </c>
      <c r="T207" s="26">
        <v>0</v>
      </c>
      <c r="U207" s="26">
        <v>0</v>
      </c>
      <c r="V207" s="26">
        <v>0</v>
      </c>
      <c r="W207" s="26">
        <v>0</v>
      </c>
      <c r="X207" s="26">
        <v>0</v>
      </c>
      <c r="Y207" s="26">
        <v>0</v>
      </c>
      <c r="Z207" s="26">
        <f t="shared" si="59"/>
        <v>0</v>
      </c>
      <c r="AA207" s="95"/>
      <c r="AB207" s="95"/>
      <c r="AC207" s="95"/>
      <c r="AD207" s="95"/>
      <c r="AE207" s="95"/>
      <c r="AF207" s="95"/>
      <c r="AG207" s="95"/>
      <c r="AH207" s="95"/>
      <c r="AI207" s="95"/>
      <c r="AJ207" s="95"/>
      <c r="AK207" s="95"/>
      <c r="AL207" s="95"/>
      <c r="AM207" s="95"/>
      <c r="AN207" s="96"/>
      <c r="AO207" s="96"/>
      <c r="AP207" s="96"/>
      <c r="AQ207" s="96"/>
      <c r="AR207" s="96"/>
      <c r="AS207" s="96"/>
      <c r="AT207" s="96"/>
      <c r="AU207" s="96"/>
      <c r="AV207" s="96"/>
      <c r="AW207" s="96"/>
      <c r="AX207" s="96"/>
      <c r="AY207" s="96"/>
      <c r="AZ207" s="96"/>
      <c r="BA207" s="96"/>
    </row>
    <row r="208" spans="1:53" s="94" customFormat="1" ht="12" customHeight="1">
      <c r="A208" s="8">
        <v>129</v>
      </c>
      <c r="B208" s="8" t="s">
        <v>1187</v>
      </c>
      <c r="C208" s="80">
        <f>+VLOOKUP(A208,Clasificaciones!C:I,5,FALSE)</f>
        <v>0</v>
      </c>
      <c r="D208" s="80">
        <v>0</v>
      </c>
      <c r="E208" s="80">
        <v>0</v>
      </c>
      <c r="F208" s="80">
        <f>+VLOOKUP(A208,Clasificaciones!C:M,9,FALSE)</f>
        <v>0</v>
      </c>
      <c r="G208" s="80">
        <f t="shared" si="70"/>
        <v>0</v>
      </c>
      <c r="H208" s="26">
        <v>0</v>
      </c>
      <c r="I208" s="26">
        <v>0</v>
      </c>
      <c r="J208" s="26">
        <f>-G208</f>
        <v>0</v>
      </c>
      <c r="K208" s="26">
        <v>0</v>
      </c>
      <c r="L208" s="26">
        <v>0</v>
      </c>
      <c r="M208" s="26">
        <v>0</v>
      </c>
      <c r="N208" s="26">
        <v>0</v>
      </c>
      <c r="O208" s="26">
        <v>0</v>
      </c>
      <c r="P208" s="26">
        <v>0</v>
      </c>
      <c r="Q208" s="26">
        <v>0</v>
      </c>
      <c r="R208" s="26">
        <v>0</v>
      </c>
      <c r="S208" s="26">
        <v>0</v>
      </c>
      <c r="T208" s="26">
        <v>0</v>
      </c>
      <c r="U208" s="26">
        <v>0</v>
      </c>
      <c r="V208" s="26">
        <v>0</v>
      </c>
      <c r="W208" s="26">
        <v>0</v>
      </c>
      <c r="X208" s="26">
        <v>0</v>
      </c>
      <c r="Y208" s="26">
        <v>0</v>
      </c>
      <c r="Z208" s="26">
        <f t="shared" si="59"/>
        <v>0</v>
      </c>
      <c r="AA208" s="98"/>
      <c r="AB208" s="98"/>
      <c r="AC208" s="98"/>
      <c r="AD208" s="98"/>
      <c r="AE208" s="98"/>
      <c r="AF208" s="98"/>
      <c r="AG208" s="98"/>
      <c r="AH208" s="98"/>
      <c r="AI208" s="98"/>
      <c r="AJ208" s="98"/>
      <c r="AK208" s="98"/>
      <c r="AL208" s="98"/>
      <c r="AM208" s="98"/>
      <c r="AN208" s="93"/>
      <c r="AO208" s="93"/>
      <c r="AP208" s="93"/>
      <c r="AQ208" s="93"/>
      <c r="AR208" s="93"/>
      <c r="AS208" s="93"/>
      <c r="AT208" s="93"/>
      <c r="AU208" s="93"/>
      <c r="AV208" s="93"/>
      <c r="AW208" s="93"/>
      <c r="AX208" s="93"/>
      <c r="AY208" s="93"/>
      <c r="AZ208" s="93"/>
      <c r="BA208" s="93"/>
    </row>
    <row r="209" spans="1:53" s="97" customFormat="1" ht="12" customHeight="1">
      <c r="A209" s="8">
        <v>12901</v>
      </c>
      <c r="B209" s="8" t="s">
        <v>1188</v>
      </c>
      <c r="C209" s="80">
        <f>+VLOOKUP(A209,Clasificaciones!C:I,5,FALSE)</f>
        <v>12374918</v>
      </c>
      <c r="D209" s="80">
        <v>0</v>
      </c>
      <c r="E209" s="80">
        <v>0</v>
      </c>
      <c r="F209" s="80">
        <f>+VLOOKUP(A209,Clasificaciones!C:M,9,FALSE)</f>
        <v>12374918</v>
      </c>
      <c r="G209" s="80">
        <f t="shared" si="70"/>
        <v>0</v>
      </c>
      <c r="H209" s="26">
        <v>0</v>
      </c>
      <c r="I209" s="26">
        <v>0</v>
      </c>
      <c r="J209" s="26"/>
      <c r="K209" s="26">
        <v>0</v>
      </c>
      <c r="L209" s="26">
        <f>-G209</f>
        <v>0</v>
      </c>
      <c r="M209" s="26">
        <v>0</v>
      </c>
      <c r="N209" s="26">
        <v>0</v>
      </c>
      <c r="O209" s="26">
        <v>0</v>
      </c>
      <c r="P209" s="26">
        <v>0</v>
      </c>
      <c r="Q209" s="26">
        <v>0</v>
      </c>
      <c r="R209" s="26">
        <v>0</v>
      </c>
      <c r="S209" s="26">
        <v>0</v>
      </c>
      <c r="T209" s="26">
        <v>0</v>
      </c>
      <c r="U209" s="26">
        <v>0</v>
      </c>
      <c r="V209" s="26">
        <v>0</v>
      </c>
      <c r="W209" s="26">
        <v>0</v>
      </c>
      <c r="X209" s="26">
        <v>0</v>
      </c>
      <c r="Y209" s="26">
        <v>0</v>
      </c>
      <c r="Z209" s="26">
        <f t="shared" si="59"/>
        <v>0</v>
      </c>
      <c r="AA209" s="95"/>
      <c r="AB209" s="95"/>
      <c r="AC209" s="95"/>
      <c r="AD209" s="95"/>
      <c r="AE209" s="95"/>
      <c r="AF209" s="95"/>
      <c r="AG209" s="95"/>
      <c r="AH209" s="95"/>
      <c r="AI209" s="95"/>
      <c r="AJ209" s="95"/>
      <c r="AK209" s="95"/>
      <c r="AL209" s="95"/>
      <c r="AM209" s="95"/>
      <c r="AN209" s="96"/>
      <c r="AO209" s="96"/>
      <c r="AP209" s="96"/>
      <c r="AQ209" s="96"/>
      <c r="AR209" s="96"/>
      <c r="AS209" s="96"/>
      <c r="AT209" s="96"/>
      <c r="AU209" s="96"/>
      <c r="AV209" s="96"/>
      <c r="AW209" s="96"/>
      <c r="AX209" s="96"/>
      <c r="AY209" s="96"/>
      <c r="AZ209" s="96"/>
      <c r="BA209" s="96"/>
    </row>
    <row r="210" spans="1:53" s="97" customFormat="1" ht="12" customHeight="1">
      <c r="A210" s="8"/>
      <c r="B210" s="8"/>
      <c r="C210" s="80"/>
      <c r="D210" s="80">
        <v>0</v>
      </c>
      <c r="E210" s="80">
        <v>0</v>
      </c>
      <c r="F210" s="80"/>
      <c r="G210" s="80">
        <f t="shared" ref="G210:G215" si="71">+C210-F210+D210-E210</f>
        <v>0</v>
      </c>
      <c r="H210" s="26"/>
      <c r="I210" s="26"/>
      <c r="J210" s="26"/>
      <c r="K210" s="26"/>
      <c r="L210" s="26"/>
      <c r="M210" s="26"/>
      <c r="N210" s="26"/>
      <c r="O210" s="26"/>
      <c r="P210" s="26"/>
      <c r="Q210" s="26"/>
      <c r="R210" s="26"/>
      <c r="S210" s="26"/>
      <c r="T210" s="26"/>
      <c r="U210" s="26"/>
      <c r="V210" s="26"/>
      <c r="W210" s="26"/>
      <c r="X210" s="26"/>
      <c r="Y210" s="26"/>
      <c r="Z210" s="26">
        <f t="shared" si="59"/>
        <v>0</v>
      </c>
      <c r="AA210" s="95"/>
      <c r="AB210" s="95"/>
      <c r="AC210" s="95"/>
      <c r="AD210" s="95"/>
      <c r="AE210" s="95"/>
      <c r="AF210" s="95"/>
      <c r="AG210" s="95"/>
      <c r="AH210" s="95"/>
      <c r="AI210" s="95"/>
      <c r="AJ210" s="95"/>
      <c r="AK210" s="95"/>
      <c r="AL210" s="95"/>
      <c r="AM210" s="95"/>
      <c r="AN210" s="96"/>
      <c r="AO210" s="96"/>
      <c r="AP210" s="96"/>
      <c r="AQ210" s="96"/>
      <c r="AR210" s="96"/>
      <c r="AS210" s="96"/>
      <c r="AT210" s="96"/>
      <c r="AU210" s="96"/>
      <c r="AV210" s="96"/>
      <c r="AW210" s="96"/>
      <c r="AX210" s="96"/>
      <c r="AY210" s="96"/>
      <c r="AZ210" s="96"/>
      <c r="BA210" s="96"/>
    </row>
    <row r="211" spans="1:53" s="97" customFormat="1" ht="12" customHeight="1">
      <c r="A211" s="8">
        <v>2</v>
      </c>
      <c r="B211" s="8" t="s">
        <v>8</v>
      </c>
      <c r="C211" s="80">
        <f>+SUM(C212:C282)+'BG 062022'!C189</f>
        <v>0</v>
      </c>
      <c r="D211" s="80">
        <v>0</v>
      </c>
      <c r="E211" s="80">
        <v>0</v>
      </c>
      <c r="F211" s="80">
        <f>+SUM(F212:F282)+'BG 2021'!D165</f>
        <v>0</v>
      </c>
      <c r="G211" s="80">
        <f t="shared" si="71"/>
        <v>0</v>
      </c>
      <c r="H211" s="26">
        <v>0</v>
      </c>
      <c r="I211" s="26">
        <v>0</v>
      </c>
      <c r="J211" s="26">
        <v>0</v>
      </c>
      <c r="K211" s="26">
        <v>0</v>
      </c>
      <c r="L211" s="26">
        <v>0</v>
      </c>
      <c r="M211" s="26">
        <v>0</v>
      </c>
      <c r="N211" s="26">
        <v>0</v>
      </c>
      <c r="O211" s="26">
        <v>0</v>
      </c>
      <c r="P211" s="26">
        <v>0</v>
      </c>
      <c r="Q211" s="26">
        <v>0</v>
      </c>
      <c r="R211" s="26">
        <v>0</v>
      </c>
      <c r="S211" s="26">
        <v>0</v>
      </c>
      <c r="T211" s="26">
        <v>0</v>
      </c>
      <c r="U211" s="26">
        <v>0</v>
      </c>
      <c r="V211" s="26">
        <v>0</v>
      </c>
      <c r="W211" s="26">
        <v>0</v>
      </c>
      <c r="X211" s="26">
        <v>0</v>
      </c>
      <c r="Y211" s="26">
        <v>0</v>
      </c>
      <c r="Z211" s="26">
        <f t="shared" si="59"/>
        <v>0</v>
      </c>
      <c r="AA211" s="95"/>
      <c r="AB211" s="95"/>
      <c r="AC211" s="95"/>
      <c r="AD211" s="95"/>
      <c r="AE211" s="95"/>
      <c r="AF211" s="95"/>
      <c r="AG211" s="95"/>
      <c r="AH211" s="95"/>
      <c r="AI211" s="95"/>
      <c r="AJ211" s="95"/>
      <c r="AK211" s="95"/>
      <c r="AL211" s="95"/>
      <c r="AM211" s="95"/>
      <c r="AN211" s="96"/>
      <c r="AO211" s="96"/>
      <c r="AP211" s="96"/>
      <c r="AQ211" s="96"/>
      <c r="AR211" s="96"/>
      <c r="AS211" s="96"/>
      <c r="AT211" s="96"/>
      <c r="AU211" s="96"/>
      <c r="AV211" s="96"/>
      <c r="AW211" s="96"/>
      <c r="AX211" s="96"/>
      <c r="AY211" s="96"/>
      <c r="AZ211" s="96"/>
      <c r="BA211" s="96"/>
    </row>
    <row r="212" spans="1:53" s="97" customFormat="1" ht="12" customHeight="1">
      <c r="A212" s="8">
        <v>21</v>
      </c>
      <c r="B212" s="8" t="s">
        <v>9</v>
      </c>
      <c r="C212" s="80">
        <f>+VLOOKUP(A212,Clasificaciones!C:I,5,FALSE)</f>
        <v>0</v>
      </c>
      <c r="D212" s="80">
        <v>0</v>
      </c>
      <c r="E212" s="80">
        <v>0</v>
      </c>
      <c r="F212" s="80">
        <f>VLOOKUP(A212,Clasificaciones!C:M,9,FALSE)</f>
        <v>0</v>
      </c>
      <c r="G212" s="80">
        <f t="shared" si="71"/>
        <v>0</v>
      </c>
      <c r="H212" s="26">
        <v>0</v>
      </c>
      <c r="I212" s="26">
        <v>0</v>
      </c>
      <c r="J212" s="26">
        <f>-G212</f>
        <v>0</v>
      </c>
      <c r="K212" s="26">
        <v>0</v>
      </c>
      <c r="L212" s="26">
        <v>0</v>
      </c>
      <c r="M212" s="26">
        <v>0</v>
      </c>
      <c r="N212" s="26">
        <v>0</v>
      </c>
      <c r="O212" s="26">
        <v>0</v>
      </c>
      <c r="P212" s="26">
        <v>0</v>
      </c>
      <c r="Q212" s="26">
        <v>0</v>
      </c>
      <c r="R212" s="26">
        <v>0</v>
      </c>
      <c r="S212" s="26">
        <v>0</v>
      </c>
      <c r="T212" s="26">
        <v>0</v>
      </c>
      <c r="U212" s="26">
        <v>0</v>
      </c>
      <c r="V212" s="26">
        <v>0</v>
      </c>
      <c r="W212" s="26">
        <v>0</v>
      </c>
      <c r="X212" s="26">
        <v>0</v>
      </c>
      <c r="Y212" s="26">
        <v>0</v>
      </c>
      <c r="Z212" s="26">
        <f t="shared" si="59"/>
        <v>0</v>
      </c>
      <c r="AA212" s="95"/>
      <c r="AB212" s="95"/>
      <c r="AC212" s="95"/>
      <c r="AD212" s="95"/>
      <c r="AE212" s="95"/>
      <c r="AF212" s="95"/>
      <c r="AG212" s="95"/>
      <c r="AH212" s="95"/>
      <c r="AI212" s="95"/>
      <c r="AJ212" s="95"/>
      <c r="AK212" s="95"/>
      <c r="AL212" s="95"/>
      <c r="AM212" s="95"/>
      <c r="AN212" s="96"/>
      <c r="AO212" s="96"/>
      <c r="AP212" s="96"/>
      <c r="AQ212" s="96"/>
      <c r="AR212" s="96"/>
      <c r="AS212" s="96"/>
      <c r="AT212" s="96"/>
      <c r="AU212" s="96"/>
      <c r="AV212" s="96"/>
      <c r="AW212" s="96"/>
      <c r="AX212" s="96"/>
      <c r="AY212" s="96"/>
      <c r="AZ212" s="96"/>
      <c r="BA212" s="96"/>
    </row>
    <row r="213" spans="1:53" s="97" customFormat="1" ht="12" customHeight="1">
      <c r="A213" s="8">
        <v>211</v>
      </c>
      <c r="B213" s="8" t="s">
        <v>722</v>
      </c>
      <c r="C213" s="80">
        <f>+VLOOKUP(A213,Clasificaciones!C:I,5,FALSE)</f>
        <v>0</v>
      </c>
      <c r="D213" s="80">
        <v>0</v>
      </c>
      <c r="E213" s="80">
        <v>0</v>
      </c>
      <c r="F213" s="80">
        <f>VLOOKUP(A213,Clasificaciones!C:M,9,FALSE)</f>
        <v>0</v>
      </c>
      <c r="G213" s="80">
        <f t="shared" si="71"/>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v>
      </c>
      <c r="Y213" s="26">
        <v>0</v>
      </c>
      <c r="Z213" s="26">
        <f t="shared" si="59"/>
        <v>0</v>
      </c>
      <c r="AA213" s="95"/>
      <c r="AB213" s="95"/>
      <c r="AC213" s="95"/>
      <c r="AD213" s="95"/>
      <c r="AE213" s="95"/>
      <c r="AF213" s="95"/>
      <c r="AG213" s="95"/>
      <c r="AH213" s="95"/>
      <c r="AI213" s="95"/>
      <c r="AJ213" s="95"/>
      <c r="AK213" s="95"/>
      <c r="AL213" s="95"/>
      <c r="AM213" s="95"/>
      <c r="AN213" s="96"/>
      <c r="AO213" s="96"/>
      <c r="AP213" s="96"/>
      <c r="AQ213" s="96"/>
      <c r="AR213" s="96"/>
      <c r="AS213" s="96"/>
      <c r="AT213" s="96"/>
      <c r="AU213" s="96"/>
      <c r="AV213" s="96"/>
      <c r="AW213" s="96"/>
      <c r="AX213" s="96"/>
      <c r="AY213" s="96"/>
      <c r="AZ213" s="96"/>
      <c r="BA213" s="96"/>
    </row>
    <row r="214" spans="1:53" s="94" customFormat="1" ht="12" customHeight="1">
      <c r="A214" s="8">
        <v>21101</v>
      </c>
      <c r="B214" s="8" t="s">
        <v>723</v>
      </c>
      <c r="C214" s="80">
        <f>+VLOOKUP(A214,Clasificaciones!C:I,5,FALSE)</f>
        <v>0</v>
      </c>
      <c r="D214" s="80">
        <v>0</v>
      </c>
      <c r="E214" s="80">
        <v>0</v>
      </c>
      <c r="F214" s="80">
        <f>VLOOKUP(A214,Clasificaciones!C:M,9,FALSE)</f>
        <v>0</v>
      </c>
      <c r="G214" s="80">
        <f t="shared" si="71"/>
        <v>0</v>
      </c>
      <c r="H214" s="26">
        <f>-G214</f>
        <v>0</v>
      </c>
      <c r="I214" s="26">
        <v>0</v>
      </c>
      <c r="J214" s="26">
        <v>0</v>
      </c>
      <c r="K214" s="26">
        <v>0</v>
      </c>
      <c r="L214" s="26">
        <v>0</v>
      </c>
      <c r="M214" s="26">
        <v>0</v>
      </c>
      <c r="N214" s="26">
        <v>0</v>
      </c>
      <c r="O214" s="26">
        <v>0</v>
      </c>
      <c r="P214" s="26">
        <v>0</v>
      </c>
      <c r="Q214" s="26">
        <v>0</v>
      </c>
      <c r="R214" s="26">
        <v>0</v>
      </c>
      <c r="S214" s="26">
        <v>0</v>
      </c>
      <c r="T214" s="26">
        <v>0</v>
      </c>
      <c r="U214" s="26">
        <v>0</v>
      </c>
      <c r="V214" s="26">
        <v>0</v>
      </c>
      <c r="W214" s="26">
        <v>0</v>
      </c>
      <c r="X214" s="26">
        <v>0</v>
      </c>
      <c r="Y214" s="26">
        <v>0</v>
      </c>
      <c r="Z214" s="26">
        <f t="shared" si="59"/>
        <v>0</v>
      </c>
      <c r="AA214" s="98"/>
      <c r="AB214" s="98"/>
      <c r="AC214" s="98"/>
      <c r="AD214" s="98"/>
      <c r="AE214" s="98"/>
      <c r="AF214" s="98"/>
      <c r="AG214" s="98"/>
      <c r="AH214" s="98"/>
      <c r="AI214" s="98"/>
      <c r="AJ214" s="98"/>
      <c r="AK214" s="98"/>
      <c r="AL214" s="98"/>
      <c r="AM214" s="98"/>
      <c r="AN214" s="93"/>
      <c r="AO214" s="93"/>
      <c r="AP214" s="93"/>
      <c r="AQ214" s="93"/>
      <c r="AR214" s="93"/>
      <c r="AS214" s="93"/>
      <c r="AT214" s="93"/>
      <c r="AU214" s="93"/>
      <c r="AV214" s="93"/>
      <c r="AW214" s="93"/>
      <c r="AX214" s="93"/>
      <c r="AY214" s="93"/>
      <c r="AZ214" s="93"/>
      <c r="BA214" s="93"/>
    </row>
    <row r="215" spans="1:53" s="94" customFormat="1" ht="12" customHeight="1">
      <c r="A215" s="8">
        <v>2110101</v>
      </c>
      <c r="B215" s="8" t="s">
        <v>516</v>
      </c>
      <c r="C215" s="80">
        <f>+VLOOKUP(A215,Clasificaciones!C:I,5,FALSE)</f>
        <v>0</v>
      </c>
      <c r="D215" s="80">
        <v>0</v>
      </c>
      <c r="E215" s="80">
        <v>0</v>
      </c>
      <c r="F215" s="80">
        <f>VLOOKUP(A215,Clasificaciones!C:M,9,FALSE)</f>
        <v>0</v>
      </c>
      <c r="G215" s="80">
        <f t="shared" si="71"/>
        <v>0</v>
      </c>
      <c r="H215" s="26">
        <f>-G215</f>
        <v>0</v>
      </c>
      <c r="I215" s="26">
        <v>0</v>
      </c>
      <c r="J215" s="26">
        <v>0</v>
      </c>
      <c r="K215" s="26">
        <v>0</v>
      </c>
      <c r="L215" s="26">
        <v>0</v>
      </c>
      <c r="M215" s="26">
        <v>0</v>
      </c>
      <c r="N215" s="26">
        <v>0</v>
      </c>
      <c r="O215" s="26">
        <v>0</v>
      </c>
      <c r="P215" s="26">
        <v>0</v>
      </c>
      <c r="Q215" s="26">
        <v>0</v>
      </c>
      <c r="R215" s="26">
        <v>0</v>
      </c>
      <c r="S215" s="26">
        <v>0</v>
      </c>
      <c r="T215" s="26">
        <v>0</v>
      </c>
      <c r="U215" s="26">
        <v>0</v>
      </c>
      <c r="V215" s="26">
        <v>0</v>
      </c>
      <c r="W215" s="26">
        <v>0</v>
      </c>
      <c r="X215" s="26">
        <v>0</v>
      </c>
      <c r="Y215" s="26">
        <v>0</v>
      </c>
      <c r="Z215" s="26">
        <f t="shared" si="59"/>
        <v>0</v>
      </c>
      <c r="AA215" s="98"/>
      <c r="AB215" s="98"/>
      <c r="AC215" s="98"/>
      <c r="AD215" s="98"/>
      <c r="AE215" s="98"/>
      <c r="AF215" s="98"/>
      <c r="AG215" s="98"/>
      <c r="AH215" s="98"/>
      <c r="AI215" s="98"/>
      <c r="AJ215" s="98"/>
      <c r="AK215" s="98"/>
      <c r="AL215" s="98"/>
      <c r="AM215" s="98"/>
      <c r="AN215" s="93"/>
      <c r="AO215" s="93"/>
      <c r="AP215" s="93"/>
      <c r="AQ215" s="93"/>
      <c r="AR215" s="93"/>
      <c r="AS215" s="93"/>
      <c r="AT215" s="93"/>
      <c r="AU215" s="93"/>
      <c r="AV215" s="93"/>
      <c r="AW215" s="93"/>
      <c r="AX215" s="93"/>
      <c r="AY215" s="93"/>
      <c r="AZ215" s="93"/>
      <c r="BA215" s="93"/>
    </row>
    <row r="216" spans="1:53" s="94" customFormat="1" ht="12" customHeight="1">
      <c r="A216" s="8">
        <v>211010101</v>
      </c>
      <c r="B216" s="8" t="s">
        <v>402</v>
      </c>
      <c r="C216" s="80">
        <f>+VLOOKUP(A216,Clasificaciones!C:I,5,FALSE)</f>
        <v>-3771166</v>
      </c>
      <c r="D216" s="80">
        <v>0</v>
      </c>
      <c r="E216" s="80">
        <v>0</v>
      </c>
      <c r="F216" s="80">
        <f>VLOOKUP(A216,Clasificaciones!C:M,9,FALSE)</f>
        <v>-121171240</v>
      </c>
      <c r="G216" s="80">
        <f>+C216-F216+D216-E216</f>
        <v>117400074</v>
      </c>
      <c r="H216" s="26">
        <v>0</v>
      </c>
      <c r="I216" s="26">
        <v>0</v>
      </c>
      <c r="J216" s="26"/>
      <c r="K216" s="26">
        <v>0</v>
      </c>
      <c r="L216" s="26">
        <v>0</v>
      </c>
      <c r="M216" s="26">
        <v>0</v>
      </c>
      <c r="N216" s="26">
        <v>0</v>
      </c>
      <c r="O216" s="26">
        <v>0</v>
      </c>
      <c r="P216" s="26">
        <v>0</v>
      </c>
      <c r="Q216" s="26">
        <v>0</v>
      </c>
      <c r="R216" s="26">
        <f>-G216</f>
        <v>-117400074</v>
      </c>
      <c r="S216" s="26">
        <v>0</v>
      </c>
      <c r="T216" s="26">
        <v>0</v>
      </c>
      <c r="U216" s="26">
        <v>0</v>
      </c>
      <c r="V216" s="26">
        <v>0</v>
      </c>
      <c r="W216" s="26">
        <v>0</v>
      </c>
      <c r="X216" s="26">
        <v>0</v>
      </c>
      <c r="Y216" s="26">
        <v>0</v>
      </c>
      <c r="Z216" s="26">
        <f t="shared" si="59"/>
        <v>0</v>
      </c>
      <c r="AA216" s="98"/>
      <c r="AB216" s="98"/>
      <c r="AC216" s="98"/>
      <c r="AD216" s="98"/>
      <c r="AE216" s="98"/>
      <c r="AF216" s="98"/>
      <c r="AG216" s="98"/>
      <c r="AH216" s="98"/>
      <c r="AI216" s="98"/>
      <c r="AJ216" s="98"/>
      <c r="AK216" s="98"/>
      <c r="AL216" s="98"/>
      <c r="AM216" s="98"/>
      <c r="AN216" s="93"/>
      <c r="AO216" s="93"/>
      <c r="AP216" s="93"/>
      <c r="AQ216" s="93"/>
      <c r="AR216" s="93"/>
      <c r="AS216" s="93"/>
      <c r="AT216" s="93"/>
      <c r="AU216" s="93"/>
      <c r="AV216" s="93"/>
      <c r="AW216" s="93"/>
      <c r="AX216" s="93"/>
      <c r="AY216" s="93"/>
      <c r="AZ216" s="93"/>
      <c r="BA216" s="93"/>
    </row>
    <row r="217" spans="1:53" s="94" customFormat="1" ht="12" customHeight="1">
      <c r="A217" s="8">
        <v>211010102</v>
      </c>
      <c r="B217" s="8" t="s">
        <v>724</v>
      </c>
      <c r="C217" s="80">
        <f>+VLOOKUP(A217,Clasificaciones!C:I,5,FALSE)</f>
        <v>-584417016</v>
      </c>
      <c r="D217" s="80">
        <v>0</v>
      </c>
      <c r="E217" s="80">
        <v>0</v>
      </c>
      <c r="F217" s="80">
        <f>VLOOKUP(A217,Clasificaciones!C:M,9,FALSE)</f>
        <v>-1073195</v>
      </c>
      <c r="G217" s="80">
        <f t="shared" ref="G217:G278" si="72">+C217-F217+D217-E217</f>
        <v>-583343821</v>
      </c>
      <c r="H217" s="26">
        <v>0</v>
      </c>
      <c r="I217" s="26">
        <v>0</v>
      </c>
      <c r="J217" s="26"/>
      <c r="K217" s="26">
        <v>0</v>
      </c>
      <c r="L217" s="26">
        <v>0</v>
      </c>
      <c r="M217" s="26">
        <v>0</v>
      </c>
      <c r="N217" s="26">
        <v>0</v>
      </c>
      <c r="O217" s="26">
        <v>0</v>
      </c>
      <c r="P217" s="26">
        <v>0</v>
      </c>
      <c r="Q217" s="26">
        <v>0</v>
      </c>
      <c r="R217" s="26">
        <f t="shared" ref="R217:R219" si="73">-G217</f>
        <v>583343821</v>
      </c>
      <c r="S217" s="26">
        <v>0</v>
      </c>
      <c r="T217" s="26">
        <v>0</v>
      </c>
      <c r="U217" s="26">
        <v>0</v>
      </c>
      <c r="V217" s="26">
        <v>0</v>
      </c>
      <c r="W217" s="26">
        <v>0</v>
      </c>
      <c r="X217" s="26">
        <v>0</v>
      </c>
      <c r="Y217" s="26">
        <v>0</v>
      </c>
      <c r="Z217" s="26">
        <f t="shared" si="59"/>
        <v>0</v>
      </c>
      <c r="AA217" s="98"/>
      <c r="AB217" s="98"/>
      <c r="AC217" s="98"/>
      <c r="AD217" s="98"/>
      <c r="AE217" s="98"/>
      <c r="AF217" s="98"/>
      <c r="AG217" s="98"/>
      <c r="AH217" s="98"/>
      <c r="AI217" s="98"/>
      <c r="AJ217" s="98"/>
      <c r="AK217" s="98"/>
      <c r="AL217" s="98"/>
      <c r="AM217" s="98"/>
      <c r="AN217" s="93"/>
      <c r="AO217" s="93"/>
      <c r="AP217" s="93"/>
      <c r="AQ217" s="93"/>
      <c r="AR217" s="93"/>
      <c r="AS217" s="93"/>
      <c r="AT217" s="93"/>
      <c r="AU217" s="93"/>
      <c r="AV217" s="93"/>
      <c r="AW217" s="93"/>
      <c r="AX217" s="93"/>
      <c r="AY217" s="93"/>
      <c r="AZ217" s="93"/>
      <c r="BA217" s="93"/>
    </row>
    <row r="218" spans="1:53" s="97" customFormat="1" ht="12" customHeight="1">
      <c r="A218" s="8">
        <v>211010103</v>
      </c>
      <c r="B218" s="8" t="s">
        <v>1189</v>
      </c>
      <c r="C218" s="80">
        <f>+VLOOKUP(A218,Clasificaciones!C:I,5,FALSE)</f>
        <v>-951232</v>
      </c>
      <c r="D218" s="80">
        <v>0</v>
      </c>
      <c r="E218" s="80">
        <v>0</v>
      </c>
      <c r="F218" s="80">
        <f>VLOOKUP(A218,Clasificaciones!C:M,9,FALSE)</f>
        <v>-18310822</v>
      </c>
      <c r="G218" s="80">
        <f t="shared" si="72"/>
        <v>17359590</v>
      </c>
      <c r="H218" s="26">
        <v>0</v>
      </c>
      <c r="I218" s="26">
        <v>0</v>
      </c>
      <c r="J218" s="26"/>
      <c r="K218" s="26">
        <v>0</v>
      </c>
      <c r="L218" s="26">
        <v>0</v>
      </c>
      <c r="M218" s="26">
        <v>0</v>
      </c>
      <c r="N218" s="26">
        <v>0</v>
      </c>
      <c r="O218" s="26">
        <v>0</v>
      </c>
      <c r="P218" s="26">
        <v>0</v>
      </c>
      <c r="Q218" s="26">
        <v>0</v>
      </c>
      <c r="R218" s="26">
        <f t="shared" si="73"/>
        <v>-17359590</v>
      </c>
      <c r="S218" s="26">
        <v>0</v>
      </c>
      <c r="T218" s="26">
        <v>0</v>
      </c>
      <c r="U218" s="26">
        <v>0</v>
      </c>
      <c r="V218" s="26">
        <v>0</v>
      </c>
      <c r="W218" s="26">
        <v>0</v>
      </c>
      <c r="X218" s="26">
        <v>0</v>
      </c>
      <c r="Y218" s="26">
        <v>0</v>
      </c>
      <c r="Z218" s="26">
        <f t="shared" si="59"/>
        <v>0</v>
      </c>
      <c r="AA218" s="95"/>
      <c r="AB218" s="95"/>
      <c r="AC218" s="95"/>
      <c r="AD218" s="95"/>
      <c r="AE218" s="95"/>
      <c r="AF218" s="95"/>
      <c r="AG218" s="95"/>
      <c r="AH218" s="95"/>
      <c r="AI218" s="95"/>
      <c r="AJ218" s="95"/>
      <c r="AK218" s="95"/>
      <c r="AL218" s="95"/>
      <c r="AM218" s="95"/>
      <c r="AN218" s="96"/>
      <c r="AO218" s="96"/>
      <c r="AP218" s="96"/>
      <c r="AQ218" s="96"/>
      <c r="AR218" s="96"/>
      <c r="AS218" s="96"/>
      <c r="AT218" s="96"/>
      <c r="AU218" s="96"/>
      <c r="AV218" s="96"/>
      <c r="AW218" s="96"/>
      <c r="AX218" s="96"/>
      <c r="AY218" s="96"/>
      <c r="AZ218" s="96"/>
      <c r="BA218" s="96"/>
    </row>
    <row r="219" spans="1:53" s="97" customFormat="1" ht="12" customHeight="1">
      <c r="A219" s="8">
        <v>211010104</v>
      </c>
      <c r="B219" s="8" t="s">
        <v>1190</v>
      </c>
      <c r="C219" s="80">
        <f>+VLOOKUP(A219,Clasificaciones!C:I,5,FALSE)</f>
        <v>-4483084</v>
      </c>
      <c r="D219" s="80">
        <v>0</v>
      </c>
      <c r="E219" s="80">
        <v>0</v>
      </c>
      <c r="F219" s="80">
        <f>VLOOKUP(A219,Clasificaciones!C:M,9,FALSE)</f>
        <v>-4507528</v>
      </c>
      <c r="G219" s="80">
        <f t="shared" si="72"/>
        <v>24444</v>
      </c>
      <c r="H219" s="26">
        <v>0</v>
      </c>
      <c r="I219" s="26">
        <v>0</v>
      </c>
      <c r="J219" s="26"/>
      <c r="K219" s="26">
        <v>0</v>
      </c>
      <c r="L219" s="26">
        <v>0</v>
      </c>
      <c r="M219" s="26">
        <v>0</v>
      </c>
      <c r="N219" s="26">
        <v>0</v>
      </c>
      <c r="O219" s="26">
        <v>0</v>
      </c>
      <c r="P219" s="26">
        <v>0</v>
      </c>
      <c r="Q219" s="26">
        <v>0</v>
      </c>
      <c r="R219" s="26">
        <f t="shared" si="73"/>
        <v>-24444</v>
      </c>
      <c r="S219" s="26">
        <v>0</v>
      </c>
      <c r="T219" s="26">
        <v>0</v>
      </c>
      <c r="U219" s="26">
        <v>0</v>
      </c>
      <c r="V219" s="26">
        <v>0</v>
      </c>
      <c r="W219" s="26">
        <v>0</v>
      </c>
      <c r="X219" s="26">
        <v>0</v>
      </c>
      <c r="Y219" s="26">
        <v>0</v>
      </c>
      <c r="Z219" s="26">
        <f t="shared" ref="Z219:Z285" si="74">SUM(G219:Y219)</f>
        <v>0</v>
      </c>
      <c r="AA219" s="95"/>
      <c r="AB219" s="95"/>
      <c r="AC219" s="95"/>
      <c r="AD219" s="95"/>
      <c r="AE219" s="95"/>
      <c r="AF219" s="95"/>
      <c r="AG219" s="95"/>
      <c r="AH219" s="95"/>
      <c r="AI219" s="95"/>
      <c r="AJ219" s="95"/>
      <c r="AK219" s="95"/>
      <c r="AL219" s="95"/>
      <c r="AM219" s="95"/>
      <c r="AN219" s="96"/>
      <c r="AO219" s="96"/>
      <c r="AP219" s="96"/>
      <c r="AQ219" s="96"/>
      <c r="AR219" s="96"/>
      <c r="AS219" s="96"/>
      <c r="AT219" s="96"/>
      <c r="AU219" s="96"/>
      <c r="AV219" s="96"/>
      <c r="AW219" s="96"/>
      <c r="AX219" s="96"/>
      <c r="AY219" s="96"/>
      <c r="AZ219" s="96"/>
      <c r="BA219" s="96"/>
    </row>
    <row r="220" spans="1:53" s="94" customFormat="1" ht="12" customHeight="1">
      <c r="A220" s="8">
        <v>211010202</v>
      </c>
      <c r="B220" s="8" t="s">
        <v>1001</v>
      </c>
      <c r="C220" s="80">
        <f>+VLOOKUP(A220,Clasificaciones!C:I,5,FALSE)</f>
        <v>0</v>
      </c>
      <c r="D220" s="80">
        <v>0</v>
      </c>
      <c r="E220" s="80">
        <v>0</v>
      </c>
      <c r="F220" s="80">
        <f>VLOOKUP(A220,Clasificaciones!C:M,9,FALSE)</f>
        <v>0</v>
      </c>
      <c r="G220" s="80">
        <f t="shared" ref="G220" si="75">+C220-F220+D220-E220</f>
        <v>0</v>
      </c>
      <c r="H220" s="26">
        <v>0</v>
      </c>
      <c r="I220" s="26">
        <v>0</v>
      </c>
      <c r="J220" s="26"/>
      <c r="K220" s="26">
        <v>0</v>
      </c>
      <c r="L220" s="26">
        <v>0</v>
      </c>
      <c r="M220" s="26">
        <v>0</v>
      </c>
      <c r="N220" s="26">
        <v>0</v>
      </c>
      <c r="O220" s="26">
        <v>0</v>
      </c>
      <c r="P220" s="26">
        <v>0</v>
      </c>
      <c r="Q220" s="26">
        <v>0</v>
      </c>
      <c r="R220" s="26">
        <f t="shared" ref="R220" si="76">-G220</f>
        <v>0</v>
      </c>
      <c r="S220" s="26">
        <v>0</v>
      </c>
      <c r="T220" s="26">
        <v>0</v>
      </c>
      <c r="U220" s="26">
        <v>0</v>
      </c>
      <c r="V220" s="26">
        <v>0</v>
      </c>
      <c r="W220" s="26">
        <v>0</v>
      </c>
      <c r="X220" s="26">
        <v>0</v>
      </c>
      <c r="Y220" s="26">
        <v>0</v>
      </c>
      <c r="Z220" s="26">
        <f t="shared" si="74"/>
        <v>0</v>
      </c>
      <c r="AA220" s="98"/>
      <c r="AB220" s="98"/>
      <c r="AC220" s="98"/>
      <c r="AD220" s="98"/>
      <c r="AE220" s="98"/>
      <c r="AF220" s="98"/>
      <c r="AG220" s="98"/>
      <c r="AH220" s="98"/>
      <c r="AI220" s="98"/>
      <c r="AJ220" s="98"/>
      <c r="AK220" s="98"/>
      <c r="AL220" s="98"/>
      <c r="AM220" s="98"/>
      <c r="AN220" s="93"/>
      <c r="AO220" s="93"/>
      <c r="AP220" s="93"/>
      <c r="AQ220" s="93"/>
      <c r="AR220" s="93"/>
      <c r="AS220" s="93"/>
      <c r="AT220" s="93"/>
      <c r="AU220" s="93"/>
      <c r="AV220" s="93"/>
      <c r="AW220" s="93"/>
      <c r="AX220" s="93"/>
      <c r="AY220" s="93"/>
      <c r="AZ220" s="93"/>
      <c r="BA220" s="93"/>
    </row>
    <row r="221" spans="1:53" s="97" customFormat="1" ht="12" customHeight="1">
      <c r="A221" s="8">
        <v>2110103</v>
      </c>
      <c r="B221" s="8" t="s">
        <v>725</v>
      </c>
      <c r="C221" s="80">
        <f>+VLOOKUP(A221,Clasificaciones!C:I,5,FALSE)</f>
        <v>0</v>
      </c>
      <c r="D221" s="80">
        <v>0</v>
      </c>
      <c r="E221" s="80">
        <v>0</v>
      </c>
      <c r="F221" s="80">
        <f>VLOOKUP(A221,Clasificaciones!C:M,9,FALSE)</f>
        <v>0</v>
      </c>
      <c r="G221" s="80">
        <f t="shared" si="72"/>
        <v>0</v>
      </c>
      <c r="H221" s="26">
        <v>0</v>
      </c>
      <c r="I221" s="26">
        <v>0</v>
      </c>
      <c r="J221" s="26">
        <v>0</v>
      </c>
      <c r="K221" s="26">
        <v>0</v>
      </c>
      <c r="L221" s="26">
        <v>0</v>
      </c>
      <c r="M221" s="26">
        <v>0</v>
      </c>
      <c r="N221" s="26">
        <v>0</v>
      </c>
      <c r="O221" s="26">
        <v>0</v>
      </c>
      <c r="P221" s="26">
        <v>0</v>
      </c>
      <c r="Q221" s="26">
        <v>0</v>
      </c>
      <c r="R221" s="26">
        <v>0</v>
      </c>
      <c r="S221" s="26">
        <v>0</v>
      </c>
      <c r="T221" s="26">
        <v>0</v>
      </c>
      <c r="U221" s="26">
        <v>0</v>
      </c>
      <c r="V221" s="26">
        <v>0</v>
      </c>
      <c r="W221" s="26">
        <v>0</v>
      </c>
      <c r="X221" s="26">
        <v>0</v>
      </c>
      <c r="Y221" s="26">
        <v>0</v>
      </c>
      <c r="Z221" s="26">
        <f t="shared" si="74"/>
        <v>0</v>
      </c>
      <c r="AA221" s="95"/>
      <c r="AB221" s="95"/>
      <c r="AC221" s="95"/>
      <c r="AD221" s="95"/>
      <c r="AE221" s="95"/>
      <c r="AF221" s="95"/>
      <c r="AG221" s="95"/>
      <c r="AH221" s="95"/>
      <c r="AI221" s="95"/>
      <c r="AJ221" s="95"/>
      <c r="AK221" s="95"/>
      <c r="AL221" s="95"/>
      <c r="AM221" s="95"/>
      <c r="AN221" s="96"/>
      <c r="AO221" s="96"/>
      <c r="AP221" s="96"/>
      <c r="AQ221" s="96"/>
      <c r="AR221" s="96"/>
      <c r="AS221" s="96"/>
      <c r="AT221" s="96"/>
      <c r="AU221" s="96"/>
      <c r="AV221" s="96"/>
      <c r="AW221" s="96"/>
      <c r="AX221" s="96"/>
      <c r="AY221" s="96"/>
      <c r="AZ221" s="96"/>
      <c r="BA221" s="96"/>
    </row>
    <row r="222" spans="1:53" s="97" customFormat="1" ht="12" customHeight="1">
      <c r="A222" s="8">
        <v>211010301</v>
      </c>
      <c r="B222" s="8" t="s">
        <v>726</v>
      </c>
      <c r="C222" s="80">
        <f>+VLOOKUP(A222,Clasificaciones!C:I,5,FALSE)</f>
        <v>-2895175</v>
      </c>
      <c r="D222" s="80">
        <v>0</v>
      </c>
      <c r="E222" s="80">
        <v>0</v>
      </c>
      <c r="F222" s="80">
        <f>VLOOKUP(A222,Clasificaciones!C:M,9,FALSE)</f>
        <v>-2895175</v>
      </c>
      <c r="G222" s="80">
        <f t="shared" si="72"/>
        <v>0</v>
      </c>
      <c r="H222" s="26">
        <f>-G222</f>
        <v>0</v>
      </c>
      <c r="I222" s="26">
        <v>0</v>
      </c>
      <c r="J222" s="26">
        <v>0</v>
      </c>
      <c r="K222" s="26">
        <v>0</v>
      </c>
      <c r="L222" s="26">
        <v>0</v>
      </c>
      <c r="M222" s="26">
        <v>0</v>
      </c>
      <c r="N222" s="26">
        <v>0</v>
      </c>
      <c r="O222" s="26">
        <v>0</v>
      </c>
      <c r="P222" s="26">
        <v>0</v>
      </c>
      <c r="Q222" s="26">
        <v>0</v>
      </c>
      <c r="R222" s="26">
        <v>0</v>
      </c>
      <c r="S222" s="26">
        <v>0</v>
      </c>
      <c r="T222" s="26">
        <v>0</v>
      </c>
      <c r="U222" s="26">
        <v>0</v>
      </c>
      <c r="V222" s="26">
        <v>0</v>
      </c>
      <c r="W222" s="26">
        <v>0</v>
      </c>
      <c r="X222" s="26">
        <v>0</v>
      </c>
      <c r="Y222" s="26">
        <v>0</v>
      </c>
      <c r="Z222" s="26">
        <f t="shared" si="74"/>
        <v>0</v>
      </c>
      <c r="AA222" s="95"/>
      <c r="AB222" s="95"/>
      <c r="AC222" s="95"/>
      <c r="AD222" s="95"/>
      <c r="AE222" s="95"/>
      <c r="AF222" s="95"/>
      <c r="AG222" s="95"/>
      <c r="AH222" s="95"/>
      <c r="AI222" s="95"/>
      <c r="AJ222" s="95"/>
      <c r="AK222" s="95"/>
      <c r="AL222" s="95"/>
      <c r="AM222" s="95"/>
      <c r="AN222" s="96"/>
      <c r="AO222" s="96"/>
      <c r="AP222" s="96"/>
      <c r="AQ222" s="96"/>
      <c r="AR222" s="96"/>
      <c r="AS222" s="96"/>
      <c r="AT222" s="96"/>
      <c r="AU222" s="96"/>
      <c r="AV222" s="96"/>
      <c r="AW222" s="96"/>
      <c r="AX222" s="96"/>
      <c r="AY222" s="96"/>
      <c r="AZ222" s="96"/>
      <c r="BA222" s="96"/>
    </row>
    <row r="223" spans="1:53" s="97" customFormat="1" ht="12" customHeight="1">
      <c r="A223" s="8">
        <v>211010302</v>
      </c>
      <c r="B223" s="8" t="s">
        <v>1204</v>
      </c>
      <c r="C223" s="80">
        <f>+VLOOKUP(A223,Clasificaciones!C:I,5,FALSE)</f>
        <v>0</v>
      </c>
      <c r="D223" s="80">
        <v>0</v>
      </c>
      <c r="E223" s="80">
        <v>0</v>
      </c>
      <c r="F223" s="80">
        <f>VLOOKUP(A223,Clasificaciones!C:M,9,FALSE)</f>
        <v>0</v>
      </c>
      <c r="G223" s="80">
        <f t="shared" si="72"/>
        <v>0</v>
      </c>
      <c r="H223" s="26">
        <f>-G223</f>
        <v>0</v>
      </c>
      <c r="I223" s="26">
        <v>0</v>
      </c>
      <c r="J223" s="26">
        <v>0</v>
      </c>
      <c r="K223" s="26">
        <v>0</v>
      </c>
      <c r="L223" s="26">
        <v>0</v>
      </c>
      <c r="M223" s="26">
        <v>0</v>
      </c>
      <c r="N223" s="26">
        <v>0</v>
      </c>
      <c r="O223" s="26">
        <v>0</v>
      </c>
      <c r="P223" s="26">
        <v>0</v>
      </c>
      <c r="Q223" s="26">
        <v>0</v>
      </c>
      <c r="R223" s="26">
        <v>0</v>
      </c>
      <c r="S223" s="26">
        <v>0</v>
      </c>
      <c r="T223" s="26">
        <v>0</v>
      </c>
      <c r="U223" s="26">
        <v>0</v>
      </c>
      <c r="V223" s="26">
        <v>0</v>
      </c>
      <c r="W223" s="26">
        <v>0</v>
      </c>
      <c r="X223" s="26">
        <v>0</v>
      </c>
      <c r="Y223" s="26">
        <v>0</v>
      </c>
      <c r="Z223" s="26">
        <f t="shared" si="74"/>
        <v>0</v>
      </c>
      <c r="AA223" s="95"/>
      <c r="AB223" s="95"/>
      <c r="AC223" s="95"/>
      <c r="AD223" s="95"/>
      <c r="AE223" s="95"/>
      <c r="AF223" s="95"/>
      <c r="AG223" s="95"/>
      <c r="AH223" s="95"/>
      <c r="AI223" s="95"/>
      <c r="AJ223" s="95"/>
      <c r="AK223" s="95"/>
      <c r="AL223" s="95"/>
      <c r="AM223" s="95"/>
      <c r="AN223" s="96"/>
      <c r="AO223" s="96"/>
      <c r="AP223" s="96"/>
      <c r="AQ223" s="96"/>
      <c r="AR223" s="96"/>
      <c r="AS223" s="96"/>
      <c r="AT223" s="96"/>
      <c r="AU223" s="96"/>
      <c r="AV223" s="96"/>
      <c r="AW223" s="96"/>
      <c r="AX223" s="96"/>
      <c r="AY223" s="96"/>
      <c r="AZ223" s="96"/>
      <c r="BA223" s="96"/>
    </row>
    <row r="224" spans="1:53" s="97" customFormat="1" ht="12" customHeight="1">
      <c r="A224" s="8">
        <v>21103</v>
      </c>
      <c r="B224" s="8" t="s">
        <v>1003</v>
      </c>
      <c r="C224" s="80">
        <f>+VLOOKUP(A224,Clasificaciones!C:I,5,FALSE)</f>
        <v>0</v>
      </c>
      <c r="D224" s="80">
        <v>0</v>
      </c>
      <c r="E224" s="80">
        <v>0</v>
      </c>
      <c r="F224" s="80">
        <f>VLOOKUP(A224,Clasificaciones!C:M,9,FALSE)</f>
        <v>0</v>
      </c>
      <c r="G224" s="80">
        <f t="shared" si="72"/>
        <v>0</v>
      </c>
      <c r="H224" s="26">
        <v>0</v>
      </c>
      <c r="I224" s="26">
        <v>0</v>
      </c>
      <c r="J224" s="26">
        <v>0</v>
      </c>
      <c r="K224" s="26">
        <v>0</v>
      </c>
      <c r="L224" s="26">
        <v>0</v>
      </c>
      <c r="M224" s="26">
        <v>0</v>
      </c>
      <c r="N224" s="26">
        <v>0</v>
      </c>
      <c r="O224" s="26">
        <v>0</v>
      </c>
      <c r="P224" s="26">
        <v>0</v>
      </c>
      <c r="Q224" s="26">
        <v>0</v>
      </c>
      <c r="R224" s="26">
        <v>0</v>
      </c>
      <c r="S224" s="26">
        <v>0</v>
      </c>
      <c r="T224" s="26">
        <v>0</v>
      </c>
      <c r="U224" s="26">
        <v>0</v>
      </c>
      <c r="V224" s="26">
        <f>-G224</f>
        <v>0</v>
      </c>
      <c r="W224" s="26">
        <v>0</v>
      </c>
      <c r="X224" s="26">
        <v>0</v>
      </c>
      <c r="Y224" s="26">
        <v>0</v>
      </c>
      <c r="Z224" s="26">
        <f t="shared" si="74"/>
        <v>0</v>
      </c>
      <c r="AA224" s="95"/>
      <c r="AB224" s="95"/>
      <c r="AC224" s="95"/>
      <c r="AD224" s="95"/>
      <c r="AE224" s="95"/>
      <c r="AF224" s="95"/>
      <c r="AG224" s="95"/>
      <c r="AH224" s="95"/>
      <c r="AI224" s="95"/>
      <c r="AJ224" s="95"/>
      <c r="AK224" s="95"/>
      <c r="AL224" s="95"/>
      <c r="AM224" s="95"/>
      <c r="AN224" s="96"/>
      <c r="AO224" s="96"/>
      <c r="AP224" s="96"/>
      <c r="AQ224" s="96"/>
      <c r="AR224" s="96"/>
      <c r="AS224" s="96"/>
      <c r="AT224" s="96"/>
      <c r="AU224" s="96"/>
      <c r="AV224" s="96"/>
      <c r="AW224" s="96"/>
      <c r="AX224" s="96"/>
      <c r="AY224" s="96"/>
      <c r="AZ224" s="96"/>
      <c r="BA224" s="96"/>
    </row>
    <row r="225" spans="1:53" s="97" customFormat="1" ht="12" customHeight="1">
      <c r="A225" s="8">
        <v>211030101</v>
      </c>
      <c r="B225" s="8" t="s">
        <v>1003</v>
      </c>
      <c r="C225" s="80">
        <f>+VLOOKUP(A225,Clasificaciones!C:I,5,FALSE)</f>
        <v>-1561171</v>
      </c>
      <c r="D225" s="80">
        <v>0</v>
      </c>
      <c r="E225" s="80">
        <v>0</v>
      </c>
      <c r="F225" s="80">
        <f>VLOOKUP(A225,Clasificaciones!C:M,9,FALSE)</f>
        <v>0</v>
      </c>
      <c r="G225" s="80">
        <f t="shared" si="72"/>
        <v>-1561171</v>
      </c>
      <c r="H225" s="26">
        <v>0</v>
      </c>
      <c r="I225" s="26">
        <v>0</v>
      </c>
      <c r="J225" s="26">
        <v>0</v>
      </c>
      <c r="K225" s="26">
        <v>0</v>
      </c>
      <c r="L225" s="26">
        <f>-G225</f>
        <v>1561171</v>
      </c>
      <c r="M225" s="26">
        <v>0</v>
      </c>
      <c r="N225" s="26">
        <v>0</v>
      </c>
      <c r="O225" s="26">
        <v>0</v>
      </c>
      <c r="P225" s="26">
        <v>0</v>
      </c>
      <c r="Q225" s="26">
        <v>0</v>
      </c>
      <c r="R225" s="26">
        <v>0</v>
      </c>
      <c r="S225" s="26">
        <v>0</v>
      </c>
      <c r="T225" s="26">
        <v>0</v>
      </c>
      <c r="U225" s="26">
        <v>0</v>
      </c>
      <c r="V225" s="26">
        <v>0</v>
      </c>
      <c r="W225" s="26">
        <v>0</v>
      </c>
      <c r="X225" s="26">
        <v>0</v>
      </c>
      <c r="Y225" s="26">
        <v>0</v>
      </c>
      <c r="Z225" s="26">
        <f t="shared" si="74"/>
        <v>0</v>
      </c>
      <c r="AA225" s="95"/>
      <c r="AB225" s="95"/>
      <c r="AC225" s="95"/>
      <c r="AD225" s="95"/>
      <c r="AE225" s="95"/>
      <c r="AF225" s="95"/>
      <c r="AG225" s="95"/>
      <c r="AH225" s="95"/>
      <c r="AI225" s="95"/>
      <c r="AJ225" s="95"/>
      <c r="AK225" s="95"/>
      <c r="AL225" s="95"/>
      <c r="AM225" s="95"/>
      <c r="AN225" s="96"/>
      <c r="AO225" s="96"/>
      <c r="AP225" s="96"/>
      <c r="AQ225" s="96"/>
      <c r="AR225" s="96"/>
      <c r="AS225" s="96"/>
      <c r="AT225" s="96"/>
      <c r="AU225" s="96"/>
      <c r="AV225" s="96"/>
      <c r="AW225" s="96"/>
      <c r="AX225" s="96"/>
      <c r="AY225" s="96"/>
      <c r="AZ225" s="96"/>
      <c r="BA225" s="96"/>
    </row>
    <row r="226" spans="1:53" s="97" customFormat="1" ht="12" customHeight="1">
      <c r="A226" s="8">
        <v>211030103</v>
      </c>
      <c r="B226" s="8" t="s">
        <v>1234</v>
      </c>
      <c r="C226" s="80">
        <f>+VLOOKUP(A226,Clasificaciones!C:I,5,FALSE)</f>
        <v>-11379548</v>
      </c>
      <c r="D226" s="80">
        <v>0</v>
      </c>
      <c r="E226" s="80">
        <v>0</v>
      </c>
      <c r="F226" s="80">
        <f>VLOOKUP(A226,Clasificaciones!C:M,9,FALSE)</f>
        <v>-4059103</v>
      </c>
      <c r="G226" s="80">
        <f t="shared" si="72"/>
        <v>-7320445</v>
      </c>
      <c r="H226" s="26">
        <v>0</v>
      </c>
      <c r="I226" s="26">
        <v>0</v>
      </c>
      <c r="J226" s="26">
        <v>0</v>
      </c>
      <c r="K226" s="26">
        <v>0</v>
      </c>
      <c r="L226" s="26">
        <v>0</v>
      </c>
      <c r="M226" s="26">
        <v>0</v>
      </c>
      <c r="N226" s="26">
        <v>0</v>
      </c>
      <c r="O226" s="26">
        <v>0</v>
      </c>
      <c r="P226" s="26">
        <v>0</v>
      </c>
      <c r="Q226" s="26">
        <v>0</v>
      </c>
      <c r="R226" s="26">
        <v>0</v>
      </c>
      <c r="S226" s="26">
        <v>0</v>
      </c>
      <c r="T226" s="26">
        <v>0</v>
      </c>
      <c r="U226" s="26">
        <v>0</v>
      </c>
      <c r="V226" s="26">
        <f>-G226</f>
        <v>7320445</v>
      </c>
      <c r="W226" s="26">
        <v>0</v>
      </c>
      <c r="X226" s="26">
        <v>0</v>
      </c>
      <c r="Y226" s="26">
        <v>0</v>
      </c>
      <c r="Z226" s="26">
        <f t="shared" si="74"/>
        <v>0</v>
      </c>
      <c r="AA226" s="95"/>
      <c r="AB226" s="95"/>
      <c r="AC226" s="95"/>
      <c r="AD226" s="95"/>
      <c r="AE226" s="95"/>
      <c r="AF226" s="95"/>
      <c r="AG226" s="95"/>
      <c r="AH226" s="95"/>
      <c r="AI226" s="95"/>
      <c r="AJ226" s="95"/>
      <c r="AK226" s="95"/>
      <c r="AL226" s="95"/>
      <c r="AM226" s="95"/>
      <c r="AN226" s="96"/>
      <c r="AO226" s="96"/>
      <c r="AP226" s="96"/>
      <c r="AQ226" s="96"/>
      <c r="AR226" s="96"/>
      <c r="AS226" s="96"/>
      <c r="AT226" s="96"/>
      <c r="AU226" s="96"/>
      <c r="AV226" s="96"/>
      <c r="AW226" s="96"/>
      <c r="AX226" s="96"/>
      <c r="AY226" s="96"/>
      <c r="AZ226" s="96"/>
      <c r="BA226" s="96"/>
    </row>
    <row r="227" spans="1:53" s="97" customFormat="1" ht="12" customHeight="1">
      <c r="A227" s="8">
        <v>21107</v>
      </c>
      <c r="B227" s="8" t="s">
        <v>727</v>
      </c>
      <c r="C227" s="80">
        <f>+VLOOKUP(A227,Clasificaciones!C:I,5,FALSE)</f>
        <v>0</v>
      </c>
      <c r="D227" s="80">
        <v>0</v>
      </c>
      <c r="E227" s="80">
        <v>0</v>
      </c>
      <c r="F227" s="80">
        <f>VLOOKUP(A227,Clasificaciones!C:M,9,FALSE)</f>
        <v>0</v>
      </c>
      <c r="G227" s="80">
        <f t="shared" si="72"/>
        <v>0</v>
      </c>
      <c r="H227" s="26">
        <v>0</v>
      </c>
      <c r="I227" s="26">
        <v>0</v>
      </c>
      <c r="J227" s="26">
        <v>0</v>
      </c>
      <c r="K227" s="26">
        <v>0</v>
      </c>
      <c r="L227" s="26">
        <v>0</v>
      </c>
      <c r="M227" s="26">
        <v>0</v>
      </c>
      <c r="N227" s="26">
        <v>0</v>
      </c>
      <c r="O227" s="26"/>
      <c r="P227" s="26">
        <v>0</v>
      </c>
      <c r="Q227" s="26">
        <v>0</v>
      </c>
      <c r="R227" s="26">
        <v>0</v>
      </c>
      <c r="S227" s="26">
        <v>0</v>
      </c>
      <c r="T227" s="26">
        <v>0</v>
      </c>
      <c r="U227" s="26">
        <v>0</v>
      </c>
      <c r="V227" s="26">
        <f>-G227</f>
        <v>0</v>
      </c>
      <c r="W227" s="26">
        <v>0</v>
      </c>
      <c r="X227" s="26">
        <v>0</v>
      </c>
      <c r="Y227" s="26">
        <v>0</v>
      </c>
      <c r="Z227" s="26">
        <f t="shared" si="74"/>
        <v>0</v>
      </c>
      <c r="AA227" s="95"/>
      <c r="AB227" s="95"/>
      <c r="AC227" s="95"/>
      <c r="AD227" s="95"/>
      <c r="AE227" s="95"/>
      <c r="AF227" s="95"/>
      <c r="AG227" s="95"/>
      <c r="AH227" s="95"/>
      <c r="AI227" s="95"/>
      <c r="AJ227" s="95"/>
      <c r="AK227" s="95"/>
      <c r="AL227" s="95"/>
      <c r="AM227" s="95"/>
      <c r="AN227" s="96"/>
      <c r="AO227" s="96"/>
      <c r="AP227" s="96"/>
      <c r="AQ227" s="96"/>
      <c r="AR227" s="96"/>
      <c r="AS227" s="96"/>
      <c r="AT227" s="96"/>
      <c r="AU227" s="96"/>
      <c r="AV227" s="96"/>
      <c r="AW227" s="96"/>
      <c r="AX227" s="96"/>
      <c r="AY227" s="96"/>
      <c r="AZ227" s="96"/>
      <c r="BA227" s="96"/>
    </row>
    <row r="228" spans="1:53" s="97" customFormat="1" ht="12" customHeight="1">
      <c r="A228" s="8">
        <v>2110701</v>
      </c>
      <c r="B228" s="8" t="s">
        <v>728</v>
      </c>
      <c r="C228" s="80">
        <f>+VLOOKUP(A228,Clasificaciones!C:I,5,FALSE)</f>
        <v>-56527969</v>
      </c>
      <c r="D228" s="80">
        <v>0</v>
      </c>
      <c r="E228" s="80">
        <v>0</v>
      </c>
      <c r="F228" s="80">
        <f>VLOOKUP(A228,Clasificaciones!C:M,9,FALSE)</f>
        <v>-136664966</v>
      </c>
      <c r="G228" s="80">
        <f t="shared" si="72"/>
        <v>80136997</v>
      </c>
      <c r="H228" s="26">
        <v>0</v>
      </c>
      <c r="I228" s="26">
        <v>0</v>
      </c>
      <c r="J228" s="26">
        <v>0</v>
      </c>
      <c r="K228" s="26">
        <v>0</v>
      </c>
      <c r="L228" s="26">
        <f>-G228</f>
        <v>-80136997</v>
      </c>
      <c r="M228" s="26">
        <v>0</v>
      </c>
      <c r="N228" s="26">
        <v>0</v>
      </c>
      <c r="O228" s="26">
        <v>0</v>
      </c>
      <c r="P228" s="26">
        <v>0</v>
      </c>
      <c r="Q228" s="26">
        <v>0</v>
      </c>
      <c r="R228" s="26">
        <v>0</v>
      </c>
      <c r="S228" s="26">
        <v>0</v>
      </c>
      <c r="T228" s="26">
        <v>0</v>
      </c>
      <c r="U228" s="26">
        <v>0</v>
      </c>
      <c r="V228" s="26">
        <v>0</v>
      </c>
      <c r="W228" s="26">
        <v>0</v>
      </c>
      <c r="X228" s="26">
        <v>0</v>
      </c>
      <c r="Y228" s="26">
        <v>0</v>
      </c>
      <c r="Z228" s="26">
        <f t="shared" si="74"/>
        <v>0</v>
      </c>
      <c r="AA228" s="95"/>
      <c r="AB228" s="95"/>
      <c r="AC228" s="95"/>
      <c r="AD228" s="95"/>
      <c r="AE228" s="95"/>
      <c r="AF228" s="95"/>
      <c r="AG228" s="95"/>
      <c r="AH228" s="95"/>
      <c r="AI228" s="95"/>
      <c r="AJ228" s="95"/>
      <c r="AK228" s="95"/>
      <c r="AL228" s="95"/>
      <c r="AM228" s="95"/>
      <c r="AN228" s="96"/>
      <c r="AO228" s="96"/>
      <c r="AP228" s="96"/>
      <c r="AQ228" s="96"/>
      <c r="AR228" s="96"/>
      <c r="AS228" s="96"/>
      <c r="AT228" s="96"/>
      <c r="AU228" s="96"/>
      <c r="AV228" s="96"/>
      <c r="AW228" s="96"/>
      <c r="AX228" s="96"/>
      <c r="AY228" s="96"/>
      <c r="AZ228" s="96"/>
      <c r="BA228" s="96"/>
    </row>
    <row r="229" spans="1:53" s="97" customFormat="1" ht="12" customHeight="1">
      <c r="A229" s="8">
        <v>2110702</v>
      </c>
      <c r="B229" s="8" t="s">
        <v>729</v>
      </c>
      <c r="C229" s="80">
        <f>+VLOOKUP(A229,Clasificaciones!C:I,5,FALSE)</f>
        <v>-46613152</v>
      </c>
      <c r="D229" s="80">
        <v>0</v>
      </c>
      <c r="E229" s="80">
        <v>0</v>
      </c>
      <c r="F229" s="80">
        <f>VLOOKUP(A229,Clasificaciones!C:M,9,FALSE)</f>
        <v>-18833871</v>
      </c>
      <c r="G229" s="80">
        <f t="shared" si="72"/>
        <v>-27779281</v>
      </c>
      <c r="H229" s="26">
        <v>0</v>
      </c>
      <c r="I229" s="26">
        <v>0</v>
      </c>
      <c r="J229" s="26">
        <v>0</v>
      </c>
      <c r="K229" s="26">
        <v>0</v>
      </c>
      <c r="L229" s="26">
        <f>-G229</f>
        <v>27779281</v>
      </c>
      <c r="M229" s="26">
        <v>0</v>
      </c>
      <c r="N229" s="26">
        <v>0</v>
      </c>
      <c r="O229" s="26">
        <v>0</v>
      </c>
      <c r="P229" s="26">
        <v>0</v>
      </c>
      <c r="Q229" s="26">
        <v>0</v>
      </c>
      <c r="R229" s="26">
        <v>0</v>
      </c>
      <c r="S229" s="26">
        <v>0</v>
      </c>
      <c r="T229" s="26">
        <v>0</v>
      </c>
      <c r="U229" s="26">
        <v>0</v>
      </c>
      <c r="V229" s="26">
        <v>0</v>
      </c>
      <c r="W229" s="26">
        <v>0</v>
      </c>
      <c r="X229" s="26">
        <v>0</v>
      </c>
      <c r="Y229" s="26">
        <v>0</v>
      </c>
      <c r="Z229" s="26">
        <f t="shared" si="74"/>
        <v>0</v>
      </c>
      <c r="AA229" s="95"/>
      <c r="AB229" s="95"/>
      <c r="AC229" s="95"/>
      <c r="AD229" s="95"/>
      <c r="AE229" s="95"/>
      <c r="AF229" s="95"/>
      <c r="AG229" s="95"/>
      <c r="AH229" s="95"/>
      <c r="AI229" s="95"/>
      <c r="AJ229" s="95"/>
      <c r="AK229" s="95"/>
      <c r="AL229" s="95"/>
      <c r="AM229" s="95"/>
      <c r="AN229" s="96"/>
      <c r="AO229" s="96"/>
      <c r="AP229" s="96"/>
      <c r="AQ229" s="96"/>
      <c r="AR229" s="96"/>
      <c r="AS229" s="96"/>
      <c r="AT229" s="96"/>
      <c r="AU229" s="96"/>
      <c r="AV229" s="96"/>
      <c r="AW229" s="96"/>
      <c r="AX229" s="96"/>
      <c r="AY229" s="96"/>
      <c r="AZ229" s="96"/>
      <c r="BA229" s="96"/>
    </row>
    <row r="230" spans="1:53" s="97" customFormat="1" ht="12" customHeight="1">
      <c r="A230" s="8">
        <v>2110703</v>
      </c>
      <c r="B230" s="8" t="s">
        <v>1007</v>
      </c>
      <c r="C230" s="80">
        <f>+VLOOKUP(A230,Clasificaciones!C:I,5,FALSE)</f>
        <v>-99325725</v>
      </c>
      <c r="D230" s="80">
        <v>0</v>
      </c>
      <c r="E230" s="80">
        <v>0</v>
      </c>
      <c r="F230" s="80">
        <f>VLOOKUP(A230,Clasificaciones!C:M,9,FALSE)</f>
        <v>-92979900</v>
      </c>
      <c r="G230" s="80">
        <f t="shared" si="72"/>
        <v>-6345825</v>
      </c>
      <c r="H230" s="26">
        <v>0</v>
      </c>
      <c r="I230" s="26">
        <v>0</v>
      </c>
      <c r="J230" s="26">
        <v>0</v>
      </c>
      <c r="K230" s="26">
        <v>0</v>
      </c>
      <c r="L230" s="26">
        <f>-G230</f>
        <v>6345825</v>
      </c>
      <c r="M230" s="26">
        <v>0</v>
      </c>
      <c r="N230" s="26">
        <v>0</v>
      </c>
      <c r="O230" s="26">
        <v>0</v>
      </c>
      <c r="P230" s="26">
        <v>0</v>
      </c>
      <c r="Q230" s="26">
        <v>0</v>
      </c>
      <c r="R230" s="26">
        <v>0</v>
      </c>
      <c r="S230" s="26">
        <v>0</v>
      </c>
      <c r="T230" s="26">
        <v>0</v>
      </c>
      <c r="U230" s="26">
        <v>0</v>
      </c>
      <c r="V230" s="26">
        <v>0</v>
      </c>
      <c r="W230" s="26">
        <v>0</v>
      </c>
      <c r="X230" s="26">
        <v>0</v>
      </c>
      <c r="Y230" s="26">
        <v>0</v>
      </c>
      <c r="Z230" s="26">
        <f t="shared" si="74"/>
        <v>0</v>
      </c>
      <c r="AA230" s="95"/>
      <c r="AB230" s="95"/>
      <c r="AC230" s="95"/>
      <c r="AD230" s="95"/>
      <c r="AE230" s="95"/>
      <c r="AF230" s="95"/>
      <c r="AG230" s="95"/>
      <c r="AH230" s="95"/>
      <c r="AI230" s="95"/>
      <c r="AJ230" s="95"/>
      <c r="AK230" s="95"/>
      <c r="AL230" s="95"/>
      <c r="AM230" s="95"/>
      <c r="AN230" s="96"/>
      <c r="AO230" s="96"/>
      <c r="AP230" s="96"/>
      <c r="AQ230" s="96"/>
      <c r="AR230" s="96"/>
      <c r="AS230" s="96"/>
      <c r="AT230" s="96"/>
      <c r="AU230" s="96"/>
      <c r="AV230" s="96"/>
      <c r="AW230" s="96"/>
      <c r="AX230" s="96"/>
      <c r="AY230" s="96"/>
      <c r="AZ230" s="96"/>
      <c r="BA230" s="96"/>
    </row>
    <row r="231" spans="1:53" s="97" customFormat="1" ht="12" customHeight="1">
      <c r="A231" s="8">
        <v>213</v>
      </c>
      <c r="B231" s="8" t="s">
        <v>730</v>
      </c>
      <c r="C231" s="80">
        <f>+VLOOKUP(A231,Clasificaciones!C:I,5,FALSE)</f>
        <v>0</v>
      </c>
      <c r="D231" s="80">
        <v>0</v>
      </c>
      <c r="E231" s="80">
        <v>0</v>
      </c>
      <c r="F231" s="80">
        <f>VLOOKUP(A231,Clasificaciones!C:M,9,FALSE)</f>
        <v>0</v>
      </c>
      <c r="G231" s="80">
        <f t="shared" si="72"/>
        <v>0</v>
      </c>
      <c r="H231" s="26">
        <v>0</v>
      </c>
      <c r="I231" s="26">
        <v>0</v>
      </c>
      <c r="J231" s="26">
        <v>0</v>
      </c>
      <c r="K231" s="26">
        <v>0</v>
      </c>
      <c r="L231" s="26">
        <v>0</v>
      </c>
      <c r="M231" s="26">
        <v>0</v>
      </c>
      <c r="N231" s="26">
        <v>0</v>
      </c>
      <c r="O231" s="26">
        <v>0</v>
      </c>
      <c r="P231" s="26">
        <v>0</v>
      </c>
      <c r="Q231" s="26">
        <v>0</v>
      </c>
      <c r="R231" s="26">
        <v>0</v>
      </c>
      <c r="S231" s="26">
        <v>0</v>
      </c>
      <c r="T231" s="26">
        <v>0</v>
      </c>
      <c r="U231" s="26">
        <v>0</v>
      </c>
      <c r="V231" s="26">
        <v>0</v>
      </c>
      <c r="W231" s="26">
        <v>0</v>
      </c>
      <c r="X231" s="26">
        <v>0</v>
      </c>
      <c r="Y231" s="26">
        <v>0</v>
      </c>
      <c r="Z231" s="26">
        <f t="shared" si="74"/>
        <v>0</v>
      </c>
      <c r="AA231" s="95"/>
      <c r="AB231" s="95"/>
      <c r="AC231" s="95"/>
      <c r="AD231" s="95"/>
      <c r="AE231" s="95"/>
      <c r="AF231" s="95"/>
      <c r="AG231" s="95"/>
      <c r="AH231" s="95"/>
      <c r="AI231" s="95"/>
      <c r="AJ231" s="95"/>
      <c r="AK231" s="95"/>
      <c r="AL231" s="95"/>
      <c r="AM231" s="95"/>
      <c r="AN231" s="96"/>
      <c r="AO231" s="96"/>
      <c r="AP231" s="96"/>
      <c r="AQ231" s="96"/>
      <c r="AR231" s="96"/>
      <c r="AS231" s="96"/>
      <c r="AT231" s="96"/>
      <c r="AU231" s="96"/>
      <c r="AV231" s="96"/>
      <c r="AW231" s="96"/>
      <c r="AX231" s="96"/>
      <c r="AY231" s="96"/>
      <c r="AZ231" s="96"/>
      <c r="BA231" s="96"/>
    </row>
    <row r="232" spans="1:53" s="97" customFormat="1" ht="12" customHeight="1">
      <c r="A232" s="8">
        <v>21301</v>
      </c>
      <c r="B232" s="8" t="s">
        <v>607</v>
      </c>
      <c r="C232" s="80">
        <f>+VLOOKUP(A232,Clasificaciones!C:I,5,FALSE)</f>
        <v>0</v>
      </c>
      <c r="D232" s="80">
        <v>0</v>
      </c>
      <c r="E232" s="80">
        <v>0</v>
      </c>
      <c r="F232" s="80">
        <f>VLOOKUP(A232,Clasificaciones!C:M,9,FALSE)</f>
        <v>0</v>
      </c>
      <c r="G232" s="80">
        <f t="shared" si="72"/>
        <v>0</v>
      </c>
      <c r="H232" s="26">
        <v>0</v>
      </c>
      <c r="I232" s="26">
        <v>0</v>
      </c>
      <c r="J232" s="26">
        <v>0</v>
      </c>
      <c r="K232" s="26">
        <v>0</v>
      </c>
      <c r="L232" s="26">
        <v>0</v>
      </c>
      <c r="M232" s="26">
        <v>0</v>
      </c>
      <c r="N232" s="26">
        <v>0</v>
      </c>
      <c r="O232" s="26">
        <f>-G232</f>
        <v>0</v>
      </c>
      <c r="P232" s="26">
        <v>0</v>
      </c>
      <c r="Q232" s="26">
        <v>0</v>
      </c>
      <c r="R232" s="26">
        <v>0</v>
      </c>
      <c r="S232" s="26">
        <v>0</v>
      </c>
      <c r="T232" s="26">
        <v>0</v>
      </c>
      <c r="U232" s="26">
        <v>0</v>
      </c>
      <c r="V232" s="26">
        <v>0</v>
      </c>
      <c r="W232" s="26">
        <v>0</v>
      </c>
      <c r="X232" s="26">
        <v>0</v>
      </c>
      <c r="Y232" s="26">
        <v>0</v>
      </c>
      <c r="Z232" s="26">
        <f t="shared" si="74"/>
        <v>0</v>
      </c>
      <c r="AA232" s="95"/>
      <c r="AB232" s="95"/>
      <c r="AC232" s="95"/>
      <c r="AD232" s="95"/>
      <c r="AE232" s="95"/>
      <c r="AF232" s="95"/>
      <c r="AG232" s="95"/>
      <c r="AH232" s="95"/>
      <c r="AI232" s="95"/>
      <c r="AJ232" s="95"/>
      <c r="AK232" s="95"/>
      <c r="AL232" s="95"/>
      <c r="AM232" s="95"/>
      <c r="AN232" s="96"/>
      <c r="AO232" s="96"/>
      <c r="AP232" s="96"/>
      <c r="AQ232" s="96"/>
      <c r="AR232" s="96"/>
      <c r="AS232" s="96"/>
      <c r="AT232" s="96"/>
      <c r="AU232" s="96"/>
      <c r="AV232" s="96"/>
      <c r="AW232" s="96"/>
      <c r="AX232" s="96"/>
      <c r="AY232" s="96"/>
      <c r="AZ232" s="96"/>
      <c r="BA232" s="96"/>
    </row>
    <row r="233" spans="1:53" s="97" customFormat="1" ht="12" customHeight="1">
      <c r="A233" s="8">
        <v>2130101</v>
      </c>
      <c r="B233" s="8" t="s">
        <v>731</v>
      </c>
      <c r="C233" s="80">
        <f>+VLOOKUP(A233,Clasificaciones!C:I,5,FALSE)</f>
        <v>0</v>
      </c>
      <c r="D233" s="80">
        <v>0</v>
      </c>
      <c r="E233" s="80">
        <v>0</v>
      </c>
      <c r="F233" s="80">
        <f>VLOOKUP(A233,Clasificaciones!C:M,9,FALSE)</f>
        <v>0</v>
      </c>
      <c r="G233" s="80">
        <f t="shared" si="72"/>
        <v>0</v>
      </c>
      <c r="H233" s="26">
        <v>0</v>
      </c>
      <c r="I233" s="26">
        <v>0</v>
      </c>
      <c r="J233" s="26">
        <v>0</v>
      </c>
      <c r="K233" s="26">
        <v>0</v>
      </c>
      <c r="L233" s="26">
        <v>0</v>
      </c>
      <c r="M233" s="26">
        <v>0</v>
      </c>
      <c r="N233" s="26">
        <v>0</v>
      </c>
      <c r="O233" s="26">
        <f>-G233</f>
        <v>0</v>
      </c>
      <c r="P233" s="26">
        <v>0</v>
      </c>
      <c r="Q233" s="26">
        <v>0</v>
      </c>
      <c r="R233" s="26">
        <v>0</v>
      </c>
      <c r="S233" s="26">
        <v>0</v>
      </c>
      <c r="T233" s="26">
        <v>0</v>
      </c>
      <c r="U233" s="26">
        <v>0</v>
      </c>
      <c r="V233" s="26">
        <v>0</v>
      </c>
      <c r="W233" s="26">
        <v>0</v>
      </c>
      <c r="X233" s="26">
        <v>0</v>
      </c>
      <c r="Y233" s="26">
        <v>0</v>
      </c>
      <c r="Z233" s="26">
        <f t="shared" si="74"/>
        <v>0</v>
      </c>
      <c r="AA233" s="95"/>
      <c r="AB233" s="95"/>
      <c r="AC233" s="95"/>
      <c r="AD233" s="95"/>
      <c r="AE233" s="95"/>
      <c r="AF233" s="95"/>
      <c r="AG233" s="95"/>
      <c r="AH233" s="95"/>
      <c r="AI233" s="95"/>
      <c r="AJ233" s="95"/>
      <c r="AK233" s="95"/>
      <c r="AL233" s="95"/>
      <c r="AM233" s="95"/>
      <c r="AN233" s="96"/>
      <c r="AO233" s="96"/>
      <c r="AP233" s="96"/>
      <c r="AQ233" s="96"/>
      <c r="AR233" s="96"/>
      <c r="AS233" s="96"/>
      <c r="AT233" s="96"/>
      <c r="AU233" s="96"/>
      <c r="AV233" s="96"/>
      <c r="AW233" s="96"/>
      <c r="AX233" s="96"/>
      <c r="AY233" s="96"/>
      <c r="AZ233" s="96"/>
      <c r="BA233" s="96"/>
    </row>
    <row r="234" spans="1:53" s="97" customFormat="1" ht="12" customHeight="1">
      <c r="A234" s="8">
        <v>213010101</v>
      </c>
      <c r="B234" s="8" t="s">
        <v>732</v>
      </c>
      <c r="C234" s="80">
        <f>+VLOOKUP(A234,Clasificaciones!C:I,5,FALSE)</f>
        <v>-11871555014</v>
      </c>
      <c r="D234" s="80">
        <v>0</v>
      </c>
      <c r="E234" s="80">
        <v>0</v>
      </c>
      <c r="F234" s="80">
        <f>VLOOKUP(A234,Clasificaciones!C:M,9,FALSE)</f>
        <v>0</v>
      </c>
      <c r="G234" s="80">
        <f t="shared" si="72"/>
        <v>-11871555014</v>
      </c>
      <c r="H234" s="26">
        <v>0</v>
      </c>
      <c r="I234" s="26">
        <v>0</v>
      </c>
      <c r="J234" s="26">
        <v>0</v>
      </c>
      <c r="K234" s="26">
        <v>0</v>
      </c>
      <c r="L234" s="26">
        <v>0</v>
      </c>
      <c r="M234" s="26">
        <v>0</v>
      </c>
      <c r="N234" s="26">
        <v>0</v>
      </c>
      <c r="O234" s="26">
        <v>0</v>
      </c>
      <c r="P234" s="26">
        <v>0</v>
      </c>
      <c r="Q234" s="26">
        <v>0</v>
      </c>
      <c r="R234" s="26">
        <v>0</v>
      </c>
      <c r="S234" s="26">
        <v>0</v>
      </c>
      <c r="T234" s="26">
        <v>0</v>
      </c>
      <c r="U234" s="26">
        <v>0</v>
      </c>
      <c r="V234" s="26">
        <f>-G234</f>
        <v>11871555014</v>
      </c>
      <c r="W234" s="26">
        <v>0</v>
      </c>
      <c r="X234" s="26">
        <v>0</v>
      </c>
      <c r="Y234" s="26">
        <v>0</v>
      </c>
      <c r="Z234" s="26">
        <f t="shared" si="74"/>
        <v>0</v>
      </c>
      <c r="AA234" s="95"/>
      <c r="AB234" s="95"/>
      <c r="AC234" s="95"/>
      <c r="AD234" s="95"/>
      <c r="AE234" s="95"/>
      <c r="AF234" s="95"/>
      <c r="AG234" s="95"/>
      <c r="AH234" s="95"/>
      <c r="AI234" s="95"/>
      <c r="AJ234" s="95"/>
      <c r="AK234" s="95"/>
      <c r="AL234" s="95"/>
      <c r="AM234" s="95"/>
      <c r="AN234" s="96"/>
      <c r="AO234" s="96"/>
      <c r="AP234" s="96"/>
      <c r="AQ234" s="96"/>
      <c r="AR234" s="96"/>
      <c r="AS234" s="96"/>
      <c r="AT234" s="96"/>
      <c r="AU234" s="96"/>
      <c r="AV234" s="96"/>
      <c r="AW234" s="96"/>
      <c r="AX234" s="96"/>
      <c r="AY234" s="96"/>
      <c r="AZ234" s="96"/>
      <c r="BA234" s="96"/>
    </row>
    <row r="235" spans="1:53" s="97" customFormat="1" ht="12" customHeight="1">
      <c r="A235" s="8">
        <v>2130102</v>
      </c>
      <c r="B235" s="8" t="s">
        <v>733</v>
      </c>
      <c r="C235" s="80">
        <f>+VLOOKUP(A235,Clasificaciones!C:I,5,FALSE)</f>
        <v>0</v>
      </c>
      <c r="D235" s="80">
        <v>0</v>
      </c>
      <c r="E235" s="80">
        <v>0</v>
      </c>
      <c r="F235" s="80">
        <f>VLOOKUP(A235,Clasificaciones!C:M,9,FALSE)</f>
        <v>0</v>
      </c>
      <c r="G235" s="80">
        <f t="shared" ref="G235" si="77">+C235-F235+D235-E235</f>
        <v>0</v>
      </c>
      <c r="H235" s="26">
        <v>0</v>
      </c>
      <c r="I235" s="26">
        <v>0</v>
      </c>
      <c r="J235" s="26">
        <v>0</v>
      </c>
      <c r="K235" s="26">
        <v>0</v>
      </c>
      <c r="L235" s="26">
        <v>0</v>
      </c>
      <c r="M235" s="26">
        <v>0</v>
      </c>
      <c r="N235" s="26">
        <v>0</v>
      </c>
      <c r="O235" s="26">
        <f>-G235</f>
        <v>0</v>
      </c>
      <c r="P235" s="26">
        <v>0</v>
      </c>
      <c r="Q235" s="26">
        <v>0</v>
      </c>
      <c r="R235" s="26">
        <v>0</v>
      </c>
      <c r="S235" s="26">
        <v>0</v>
      </c>
      <c r="T235" s="26">
        <v>0</v>
      </c>
      <c r="U235" s="26">
        <v>0</v>
      </c>
      <c r="V235" s="26">
        <v>0</v>
      </c>
      <c r="W235" s="26">
        <v>0</v>
      </c>
      <c r="X235" s="26">
        <v>0</v>
      </c>
      <c r="Y235" s="26">
        <v>0</v>
      </c>
      <c r="Z235" s="26">
        <f t="shared" si="74"/>
        <v>0</v>
      </c>
      <c r="AA235" s="95"/>
      <c r="AB235" s="95"/>
      <c r="AC235" s="95"/>
      <c r="AD235" s="95"/>
      <c r="AE235" s="95"/>
      <c r="AF235" s="95"/>
      <c r="AG235" s="95"/>
      <c r="AH235" s="95"/>
      <c r="AI235" s="95"/>
      <c r="AJ235" s="95"/>
      <c r="AK235" s="95"/>
      <c r="AL235" s="95"/>
      <c r="AM235" s="95"/>
      <c r="AN235" s="96"/>
      <c r="AO235" s="96"/>
      <c r="AP235" s="96"/>
      <c r="AQ235" s="96"/>
      <c r="AR235" s="96"/>
      <c r="AS235" s="96"/>
      <c r="AT235" s="96"/>
      <c r="AU235" s="96"/>
      <c r="AV235" s="96"/>
      <c r="AW235" s="96"/>
      <c r="AX235" s="96"/>
      <c r="AY235" s="96"/>
      <c r="AZ235" s="96"/>
      <c r="BA235" s="96"/>
    </row>
    <row r="236" spans="1:53" s="97" customFormat="1" ht="12" customHeight="1">
      <c r="A236" s="8">
        <v>213010201</v>
      </c>
      <c r="B236" s="8" t="s">
        <v>732</v>
      </c>
      <c r="C236" s="80">
        <f>+VLOOKUP(A236,Clasificaciones!C:I,5,FALSE)</f>
        <v>-1565003592</v>
      </c>
      <c r="D236" s="80">
        <v>0</v>
      </c>
      <c r="E236" s="80">
        <v>0</v>
      </c>
      <c r="F236" s="80">
        <f>VLOOKUP(A236,Clasificaciones!C:M,9,FALSE)</f>
        <v>-1848050034</v>
      </c>
      <c r="G236" s="80">
        <f t="shared" si="72"/>
        <v>283046442</v>
      </c>
      <c r="H236" s="26">
        <v>0</v>
      </c>
      <c r="I236" s="26">
        <v>0</v>
      </c>
      <c r="J236" s="26">
        <v>0</v>
      </c>
      <c r="K236" s="26">
        <v>0</v>
      </c>
      <c r="L236" s="26">
        <v>0</v>
      </c>
      <c r="M236" s="26">
        <v>0</v>
      </c>
      <c r="N236" s="26">
        <v>0</v>
      </c>
      <c r="O236" s="26">
        <v>0</v>
      </c>
      <c r="P236" s="26">
        <v>0</v>
      </c>
      <c r="Q236" s="26">
        <v>0</v>
      </c>
      <c r="R236" s="26">
        <v>0</v>
      </c>
      <c r="S236" s="26">
        <v>0</v>
      </c>
      <c r="T236" s="26">
        <v>0</v>
      </c>
      <c r="U236" s="26">
        <v>0</v>
      </c>
      <c r="V236" s="26">
        <f>-G236</f>
        <v>-283046442</v>
      </c>
      <c r="W236" s="26">
        <v>0</v>
      </c>
      <c r="X236" s="26">
        <v>0</v>
      </c>
      <c r="Y236" s="26">
        <v>0</v>
      </c>
      <c r="Z236" s="26">
        <f t="shared" si="74"/>
        <v>0</v>
      </c>
      <c r="AA236" s="95"/>
      <c r="AB236" s="95"/>
      <c r="AC236" s="95"/>
      <c r="AD236" s="95"/>
      <c r="AE236" s="95"/>
      <c r="AF236" s="95"/>
      <c r="AG236" s="95"/>
      <c r="AH236" s="95"/>
      <c r="AI236" s="95"/>
      <c r="AJ236" s="95"/>
      <c r="AK236" s="95"/>
      <c r="AL236" s="95"/>
      <c r="AM236" s="95"/>
      <c r="AN236" s="96"/>
      <c r="AO236" s="96"/>
      <c r="AP236" s="96"/>
      <c r="AQ236" s="96"/>
      <c r="AR236" s="96"/>
      <c r="AS236" s="96"/>
      <c r="AT236" s="96"/>
      <c r="AU236" s="96"/>
      <c r="AV236" s="96"/>
      <c r="AW236" s="96"/>
      <c r="AX236" s="96"/>
      <c r="AY236" s="96"/>
      <c r="AZ236" s="96"/>
      <c r="BA236" s="96"/>
    </row>
    <row r="237" spans="1:53" s="97" customFormat="1" ht="12" customHeight="1">
      <c r="A237" s="8">
        <v>21303</v>
      </c>
      <c r="B237" s="8" t="s">
        <v>735</v>
      </c>
      <c r="C237" s="80">
        <f>+VLOOKUP(A237,Clasificaciones!C:I,5,FALSE)</f>
        <v>0</v>
      </c>
      <c r="D237" s="80">
        <v>0</v>
      </c>
      <c r="E237" s="80">
        <v>0</v>
      </c>
      <c r="F237" s="80">
        <f>VLOOKUP(A237,Clasificaciones!C:M,9,FALSE)</f>
        <v>0</v>
      </c>
      <c r="G237" s="80">
        <f t="shared" si="72"/>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v>
      </c>
      <c r="Y237" s="26">
        <v>0</v>
      </c>
      <c r="Z237" s="26">
        <f t="shared" si="74"/>
        <v>0</v>
      </c>
      <c r="AA237" s="95"/>
      <c r="AB237" s="95"/>
      <c r="AC237" s="95"/>
      <c r="AD237" s="95"/>
      <c r="AE237" s="95"/>
      <c r="AF237" s="95"/>
      <c r="AG237" s="95"/>
      <c r="AH237" s="95"/>
      <c r="AI237" s="95"/>
      <c r="AJ237" s="95"/>
      <c r="AK237" s="95"/>
      <c r="AL237" s="95"/>
      <c r="AM237" s="95"/>
      <c r="AN237" s="96"/>
      <c r="AO237" s="96"/>
      <c r="AP237" s="96"/>
      <c r="AQ237" s="96"/>
      <c r="AR237" s="96"/>
      <c r="AS237" s="96"/>
      <c r="AT237" s="96"/>
      <c r="AU237" s="96"/>
      <c r="AV237" s="96"/>
      <c r="AW237" s="96"/>
      <c r="AX237" s="96"/>
      <c r="AY237" s="96"/>
      <c r="AZ237" s="96"/>
      <c r="BA237" s="96"/>
    </row>
    <row r="238" spans="1:53" s="97" customFormat="1" ht="12" customHeight="1">
      <c r="A238" s="8">
        <v>2130301</v>
      </c>
      <c r="B238" s="8" t="s">
        <v>736</v>
      </c>
      <c r="C238" s="80">
        <f>+VLOOKUP(A238,Clasificaciones!C:I,5,FALSE)</f>
        <v>0</v>
      </c>
      <c r="D238" s="80">
        <v>0</v>
      </c>
      <c r="E238" s="80">
        <v>0</v>
      </c>
      <c r="F238" s="80">
        <f>VLOOKUP(A238,Clasificaciones!C:M,9,FALSE)</f>
        <v>0</v>
      </c>
      <c r="G238" s="80">
        <f t="shared" si="72"/>
        <v>0</v>
      </c>
      <c r="H238" s="26">
        <v>0</v>
      </c>
      <c r="I238" s="26">
        <f>-G238</f>
        <v>0</v>
      </c>
      <c r="J238" s="26">
        <v>0</v>
      </c>
      <c r="K238" s="26">
        <v>0</v>
      </c>
      <c r="L238" s="26">
        <v>0</v>
      </c>
      <c r="M238" s="26">
        <v>0</v>
      </c>
      <c r="N238" s="26">
        <v>0</v>
      </c>
      <c r="O238" s="26">
        <v>0</v>
      </c>
      <c r="P238" s="26">
        <v>0</v>
      </c>
      <c r="Q238" s="26">
        <v>0</v>
      </c>
      <c r="R238" s="26">
        <v>0</v>
      </c>
      <c r="S238" s="26">
        <v>0</v>
      </c>
      <c r="T238" s="26">
        <v>0</v>
      </c>
      <c r="U238" s="26">
        <v>0</v>
      </c>
      <c r="V238" s="26">
        <v>0</v>
      </c>
      <c r="W238" s="26">
        <v>0</v>
      </c>
      <c r="X238" s="26">
        <v>0</v>
      </c>
      <c r="Y238" s="26">
        <v>0</v>
      </c>
      <c r="Z238" s="26">
        <f t="shared" si="74"/>
        <v>0</v>
      </c>
      <c r="AA238" s="95"/>
      <c r="AB238" s="95"/>
      <c r="AC238" s="95"/>
      <c r="AD238" s="95"/>
      <c r="AE238" s="95"/>
      <c r="AF238" s="95"/>
      <c r="AG238" s="95"/>
      <c r="AH238" s="95"/>
      <c r="AI238" s="95"/>
      <c r="AJ238" s="95"/>
      <c r="AK238" s="95"/>
      <c r="AL238" s="95"/>
      <c r="AM238" s="95"/>
      <c r="AN238" s="96"/>
      <c r="AO238" s="96"/>
      <c r="AP238" s="96"/>
      <c r="AQ238" s="96"/>
      <c r="AR238" s="96"/>
      <c r="AS238" s="96"/>
      <c r="AT238" s="96"/>
      <c r="AU238" s="96"/>
      <c r="AV238" s="96"/>
      <c r="AW238" s="96"/>
      <c r="AX238" s="96"/>
      <c r="AY238" s="96"/>
      <c r="AZ238" s="96"/>
      <c r="BA238" s="96"/>
    </row>
    <row r="239" spans="1:53" s="97" customFormat="1" ht="12" customHeight="1">
      <c r="A239" s="8">
        <v>213030101</v>
      </c>
      <c r="B239" s="8" t="s">
        <v>737</v>
      </c>
      <c r="C239" s="80">
        <f>+VLOOKUP(A239,Clasificaciones!C:I,5,FALSE)</f>
        <v>-529473399</v>
      </c>
      <c r="D239" s="80">
        <v>0</v>
      </c>
      <c r="E239" s="80">
        <v>0</v>
      </c>
      <c r="F239" s="80">
        <f>VLOOKUP(A239,Clasificaciones!C:M,9,FALSE)</f>
        <v>-648860354</v>
      </c>
      <c r="G239" s="80">
        <f t="shared" si="72"/>
        <v>119386955</v>
      </c>
      <c r="H239" s="26">
        <v>0</v>
      </c>
      <c r="I239" s="26">
        <v>0</v>
      </c>
      <c r="J239" s="26">
        <v>0</v>
      </c>
      <c r="K239" s="26">
        <v>0</v>
      </c>
      <c r="L239" s="26">
        <v>0</v>
      </c>
      <c r="M239" s="26">
        <v>0</v>
      </c>
      <c r="N239" s="26">
        <v>0</v>
      </c>
      <c r="O239" s="26">
        <v>0</v>
      </c>
      <c r="P239" s="26">
        <v>0</v>
      </c>
      <c r="Q239" s="26">
        <v>0</v>
      </c>
      <c r="R239" s="26">
        <f>-G239</f>
        <v>-119386955</v>
      </c>
      <c r="S239" s="26">
        <v>0</v>
      </c>
      <c r="T239" s="26">
        <v>0</v>
      </c>
      <c r="U239" s="26">
        <v>0</v>
      </c>
      <c r="V239" s="26">
        <v>0</v>
      </c>
      <c r="W239" s="26">
        <v>0</v>
      </c>
      <c r="X239" s="26">
        <v>0</v>
      </c>
      <c r="Y239" s="26">
        <v>0</v>
      </c>
      <c r="Z239" s="26">
        <f t="shared" si="74"/>
        <v>0</v>
      </c>
      <c r="AA239" s="95"/>
      <c r="AB239" s="95"/>
      <c r="AC239" s="95"/>
      <c r="AD239" s="95"/>
      <c r="AE239" s="95"/>
      <c r="AF239" s="95"/>
      <c r="AG239" s="95"/>
      <c r="AH239" s="95"/>
      <c r="AI239" s="95"/>
      <c r="AJ239" s="95"/>
      <c r="AK239" s="95"/>
      <c r="AL239" s="95"/>
      <c r="AM239" s="95"/>
      <c r="AN239" s="96"/>
      <c r="AO239" s="96"/>
      <c r="AP239" s="96"/>
      <c r="AQ239" s="96"/>
      <c r="AR239" s="96"/>
      <c r="AS239" s="96"/>
      <c r="AT239" s="96"/>
      <c r="AU239" s="96"/>
      <c r="AV239" s="96"/>
      <c r="AW239" s="96"/>
      <c r="AX239" s="96"/>
      <c r="AY239" s="96"/>
      <c r="AZ239" s="96"/>
      <c r="BA239" s="96"/>
    </row>
    <row r="240" spans="1:53" s="94" customFormat="1" ht="12" customHeight="1">
      <c r="A240" s="8">
        <v>213030102</v>
      </c>
      <c r="B240" s="8" t="s">
        <v>1017</v>
      </c>
      <c r="C240" s="80">
        <f>+VLOOKUP(A240,Clasificaciones!C:I,5,FALSE)</f>
        <v>-1081490346</v>
      </c>
      <c r="D240" s="80">
        <v>0</v>
      </c>
      <c r="E240" s="80">
        <v>0</v>
      </c>
      <c r="F240" s="80">
        <f>VLOOKUP(A240,Clasificaciones!C:M,9,FALSE)</f>
        <v>-313652678</v>
      </c>
      <c r="G240" s="80">
        <f t="shared" si="72"/>
        <v>-767837668</v>
      </c>
      <c r="H240" s="26">
        <v>0</v>
      </c>
      <c r="I240" s="26">
        <v>0</v>
      </c>
      <c r="J240" s="26">
        <v>0</v>
      </c>
      <c r="K240" s="26">
        <v>0</v>
      </c>
      <c r="L240" s="26">
        <v>0</v>
      </c>
      <c r="M240" s="26">
        <v>0</v>
      </c>
      <c r="N240" s="26">
        <v>0</v>
      </c>
      <c r="O240" s="26">
        <v>0</v>
      </c>
      <c r="P240" s="26">
        <v>0</v>
      </c>
      <c r="Q240" s="26">
        <v>0</v>
      </c>
      <c r="R240" s="26">
        <f t="shared" ref="R240:R247" si="78">-G240</f>
        <v>767837668</v>
      </c>
      <c r="S240" s="26">
        <v>0</v>
      </c>
      <c r="T240" s="26">
        <v>0</v>
      </c>
      <c r="U240" s="26">
        <v>0</v>
      </c>
      <c r="V240" s="26">
        <v>0</v>
      </c>
      <c r="W240" s="26">
        <v>0</v>
      </c>
      <c r="X240" s="26">
        <v>0</v>
      </c>
      <c r="Y240" s="26">
        <v>0</v>
      </c>
      <c r="Z240" s="26">
        <f t="shared" si="74"/>
        <v>0</v>
      </c>
      <c r="AA240" s="98"/>
      <c r="AB240" s="98"/>
      <c r="AC240" s="98"/>
      <c r="AD240" s="98"/>
      <c r="AE240" s="98"/>
      <c r="AF240" s="98"/>
      <c r="AG240" s="98"/>
      <c r="AH240" s="98"/>
      <c r="AI240" s="98"/>
      <c r="AJ240" s="98"/>
      <c r="AK240" s="98"/>
      <c r="AL240" s="98"/>
      <c r="AM240" s="98"/>
      <c r="AN240" s="93"/>
      <c r="AO240" s="93"/>
      <c r="AP240" s="93"/>
      <c r="AQ240" s="93"/>
      <c r="AR240" s="93"/>
      <c r="AS240" s="93"/>
      <c r="AT240" s="93"/>
      <c r="AU240" s="93"/>
      <c r="AV240" s="93"/>
      <c r="AW240" s="93"/>
      <c r="AX240" s="93"/>
      <c r="AY240" s="93"/>
      <c r="AZ240" s="93"/>
      <c r="BA240" s="93"/>
    </row>
    <row r="241" spans="1:53" s="97" customFormat="1" ht="12" customHeight="1">
      <c r="A241" s="8">
        <v>213030103</v>
      </c>
      <c r="B241" s="8" t="s">
        <v>1191</v>
      </c>
      <c r="C241" s="80">
        <f>+VLOOKUP(A241,Clasificaciones!C:I,5,FALSE)</f>
        <v>-326122164</v>
      </c>
      <c r="D241" s="80">
        <v>0</v>
      </c>
      <c r="E241" s="80">
        <v>0</v>
      </c>
      <c r="F241" s="80">
        <f>VLOOKUP(A241,Clasificaciones!C:M,9,FALSE)</f>
        <v>-222412925</v>
      </c>
      <c r="G241" s="80">
        <f t="shared" si="72"/>
        <v>-103709239</v>
      </c>
      <c r="H241" s="26">
        <v>0</v>
      </c>
      <c r="I241" s="26">
        <v>0</v>
      </c>
      <c r="J241" s="26">
        <v>0</v>
      </c>
      <c r="K241" s="26">
        <v>0</v>
      </c>
      <c r="L241" s="26">
        <v>0</v>
      </c>
      <c r="M241" s="26">
        <v>0</v>
      </c>
      <c r="N241" s="26">
        <v>0</v>
      </c>
      <c r="O241" s="26">
        <v>0</v>
      </c>
      <c r="P241" s="26">
        <v>0</v>
      </c>
      <c r="Q241" s="26">
        <v>0</v>
      </c>
      <c r="R241" s="26">
        <f t="shared" si="78"/>
        <v>103709239</v>
      </c>
      <c r="S241" s="26">
        <v>0</v>
      </c>
      <c r="T241" s="26">
        <v>0</v>
      </c>
      <c r="U241" s="26">
        <v>0</v>
      </c>
      <c r="V241" s="26">
        <v>0</v>
      </c>
      <c r="W241" s="26">
        <v>0</v>
      </c>
      <c r="X241" s="26">
        <v>0</v>
      </c>
      <c r="Y241" s="26">
        <v>0</v>
      </c>
      <c r="Z241" s="26">
        <f t="shared" si="74"/>
        <v>0</v>
      </c>
      <c r="AA241" s="95"/>
      <c r="AB241" s="95"/>
      <c r="AC241" s="95"/>
      <c r="AD241" s="95"/>
      <c r="AE241" s="95"/>
      <c r="AF241" s="95"/>
      <c r="AG241" s="95"/>
      <c r="AH241" s="95"/>
      <c r="AI241" s="95"/>
      <c r="AJ241" s="95"/>
      <c r="AK241" s="95"/>
      <c r="AL241" s="95"/>
      <c r="AM241" s="95"/>
      <c r="AN241" s="96"/>
      <c r="AO241" s="96"/>
      <c r="AP241" s="96"/>
      <c r="AQ241" s="96"/>
      <c r="AR241" s="96"/>
      <c r="AS241" s="96"/>
      <c r="AT241" s="96"/>
      <c r="AU241" s="96"/>
      <c r="AV241" s="96"/>
      <c r="AW241" s="96"/>
      <c r="AX241" s="96"/>
      <c r="AY241" s="96"/>
      <c r="AZ241" s="96"/>
      <c r="BA241" s="96"/>
    </row>
    <row r="242" spans="1:53" s="97" customFormat="1" ht="12" customHeight="1">
      <c r="A242" s="8">
        <v>2130302</v>
      </c>
      <c r="B242" s="8" t="s">
        <v>1018</v>
      </c>
      <c r="C242" s="80">
        <f>+VLOOKUP(A242,Clasificaciones!C:I,5,FALSE)</f>
        <v>0</v>
      </c>
      <c r="D242" s="80">
        <v>0</v>
      </c>
      <c r="E242" s="80">
        <v>0</v>
      </c>
      <c r="F242" s="80">
        <f>VLOOKUP(A242,Clasificaciones!C:M,9,FALSE)</f>
        <v>0</v>
      </c>
      <c r="G242" s="80">
        <f t="shared" si="72"/>
        <v>0</v>
      </c>
      <c r="H242" s="26">
        <v>0</v>
      </c>
      <c r="I242" s="26">
        <v>0</v>
      </c>
      <c r="J242" s="26">
        <v>0</v>
      </c>
      <c r="K242" s="26">
        <v>0</v>
      </c>
      <c r="L242" s="26">
        <f>-G242</f>
        <v>0</v>
      </c>
      <c r="M242" s="26">
        <v>0</v>
      </c>
      <c r="N242" s="26">
        <v>0</v>
      </c>
      <c r="O242" s="26">
        <v>0</v>
      </c>
      <c r="P242" s="26">
        <v>0</v>
      </c>
      <c r="Q242" s="26">
        <v>0</v>
      </c>
      <c r="R242" s="26">
        <v>0</v>
      </c>
      <c r="S242" s="26">
        <v>0</v>
      </c>
      <c r="T242" s="26">
        <v>0</v>
      </c>
      <c r="U242" s="26">
        <v>0</v>
      </c>
      <c r="V242" s="26">
        <v>0</v>
      </c>
      <c r="W242" s="26">
        <v>0</v>
      </c>
      <c r="X242" s="26">
        <v>0</v>
      </c>
      <c r="Y242" s="26">
        <v>0</v>
      </c>
      <c r="Z242" s="26">
        <f t="shared" si="74"/>
        <v>0</v>
      </c>
      <c r="AA242" s="95"/>
      <c r="AB242" s="95"/>
      <c r="AC242" s="95"/>
      <c r="AD242" s="95"/>
      <c r="AE242" s="95"/>
      <c r="AF242" s="95"/>
      <c r="AG242" s="95"/>
      <c r="AH242" s="95"/>
      <c r="AI242" s="95"/>
      <c r="AJ242" s="95"/>
      <c r="AK242" s="95"/>
      <c r="AL242" s="95"/>
      <c r="AM242" s="95"/>
      <c r="AN242" s="96"/>
      <c r="AO242" s="96"/>
      <c r="AP242" s="96"/>
      <c r="AQ242" s="96"/>
      <c r="AR242" s="96"/>
      <c r="AS242" s="96"/>
      <c r="AT242" s="96"/>
      <c r="AU242" s="96"/>
      <c r="AV242" s="96"/>
      <c r="AW242" s="96"/>
      <c r="AX242" s="96"/>
      <c r="AY242" s="96"/>
      <c r="AZ242" s="96"/>
      <c r="BA242" s="96"/>
    </row>
    <row r="243" spans="1:53" s="94" customFormat="1" ht="12" customHeight="1">
      <c r="A243" s="8">
        <v>213030201</v>
      </c>
      <c r="B243" s="8" t="s">
        <v>1019</v>
      </c>
      <c r="C243" s="80">
        <f>+VLOOKUP(A243,Clasificaciones!C:I,5,FALSE)</f>
        <v>391964087</v>
      </c>
      <c r="D243" s="80">
        <v>0</v>
      </c>
      <c r="E243" s="80">
        <v>0</v>
      </c>
      <c r="F243" s="80">
        <f>VLOOKUP(A243,Clasificaciones!C:M,9,FALSE)</f>
        <v>526765661</v>
      </c>
      <c r="G243" s="80">
        <f t="shared" si="72"/>
        <v>-134801574</v>
      </c>
      <c r="H243" s="26">
        <v>0</v>
      </c>
      <c r="I243" s="26">
        <v>0</v>
      </c>
      <c r="J243" s="26">
        <v>0</v>
      </c>
      <c r="K243" s="26">
        <v>0</v>
      </c>
      <c r="L243" s="26">
        <v>0</v>
      </c>
      <c r="M243" s="26">
        <v>0</v>
      </c>
      <c r="N243" s="26">
        <v>0</v>
      </c>
      <c r="O243" s="26">
        <v>0</v>
      </c>
      <c r="P243" s="26">
        <v>0</v>
      </c>
      <c r="Q243" s="26">
        <v>0</v>
      </c>
      <c r="R243" s="26">
        <f t="shared" si="78"/>
        <v>134801574</v>
      </c>
      <c r="S243" s="26">
        <v>0</v>
      </c>
      <c r="T243" s="26">
        <v>0</v>
      </c>
      <c r="U243" s="26">
        <v>0</v>
      </c>
      <c r="V243" s="26">
        <v>0</v>
      </c>
      <c r="W243" s="26">
        <v>0</v>
      </c>
      <c r="X243" s="26">
        <v>0</v>
      </c>
      <c r="Y243" s="26">
        <v>0</v>
      </c>
      <c r="Z243" s="26">
        <f t="shared" si="74"/>
        <v>0</v>
      </c>
      <c r="AA243" s="98"/>
      <c r="AB243" s="98"/>
      <c r="AC243" s="98"/>
      <c r="AD243" s="98"/>
      <c r="AE243" s="98"/>
      <c r="AF243" s="98"/>
      <c r="AG243" s="98"/>
      <c r="AH243" s="98"/>
      <c r="AI243" s="98"/>
      <c r="AJ243" s="98"/>
      <c r="AK243" s="98"/>
      <c r="AL243" s="98"/>
      <c r="AM243" s="98"/>
      <c r="AN243" s="93"/>
      <c r="AO243" s="93"/>
      <c r="AP243" s="93"/>
      <c r="AQ243" s="93"/>
      <c r="AR243" s="93"/>
      <c r="AS243" s="93"/>
      <c r="AT243" s="93"/>
      <c r="AU243" s="93"/>
      <c r="AV243" s="93"/>
      <c r="AW243" s="93"/>
      <c r="AX243" s="93"/>
      <c r="AY243" s="93"/>
      <c r="AZ243" s="93"/>
      <c r="BA243" s="93"/>
    </row>
    <row r="244" spans="1:53" s="97" customFormat="1" ht="12" customHeight="1">
      <c r="A244" s="8">
        <v>213030202</v>
      </c>
      <c r="B244" s="8" t="s">
        <v>1192</v>
      </c>
      <c r="C244" s="80">
        <f>+VLOOKUP(A244,Clasificaciones!C:I,5,FALSE)</f>
        <v>940868615</v>
      </c>
      <c r="D244" s="80">
        <v>0</v>
      </c>
      <c r="E244" s="80">
        <v>0</v>
      </c>
      <c r="F244" s="80">
        <f>VLOOKUP(A244,Clasificaciones!C:M,9,FALSE)</f>
        <v>253980245</v>
      </c>
      <c r="G244" s="80">
        <f t="shared" si="72"/>
        <v>686888370</v>
      </c>
      <c r="H244" s="26">
        <v>0</v>
      </c>
      <c r="I244" s="26">
        <v>0</v>
      </c>
      <c r="J244" s="26">
        <v>0</v>
      </c>
      <c r="K244" s="26">
        <v>0</v>
      </c>
      <c r="L244" s="26">
        <v>0</v>
      </c>
      <c r="M244" s="26">
        <v>0</v>
      </c>
      <c r="N244" s="26">
        <v>0</v>
      </c>
      <c r="O244" s="26">
        <v>0</v>
      </c>
      <c r="P244" s="26">
        <v>0</v>
      </c>
      <c r="Q244" s="26">
        <v>0</v>
      </c>
      <c r="R244" s="26">
        <f t="shared" si="78"/>
        <v>-686888370</v>
      </c>
      <c r="S244" s="26">
        <v>0</v>
      </c>
      <c r="T244" s="26">
        <v>0</v>
      </c>
      <c r="U244" s="26">
        <v>0</v>
      </c>
      <c r="V244" s="26">
        <v>0</v>
      </c>
      <c r="W244" s="26">
        <v>0</v>
      </c>
      <c r="X244" s="26">
        <v>0</v>
      </c>
      <c r="Y244" s="26">
        <v>0</v>
      </c>
      <c r="Z244" s="26">
        <f t="shared" si="74"/>
        <v>0</v>
      </c>
      <c r="AA244" s="95"/>
      <c r="AB244" s="95"/>
      <c r="AC244" s="95"/>
      <c r="AD244" s="95"/>
      <c r="AE244" s="95"/>
      <c r="AF244" s="95"/>
      <c r="AG244" s="95"/>
      <c r="AH244" s="95"/>
      <c r="AI244" s="95"/>
      <c r="AJ244" s="95"/>
      <c r="AK244" s="95"/>
      <c r="AL244" s="95"/>
      <c r="AM244" s="95"/>
      <c r="AN244" s="96"/>
      <c r="AO244" s="96"/>
      <c r="AP244" s="96"/>
      <c r="AQ244" s="96"/>
      <c r="AR244" s="96"/>
      <c r="AS244" s="96"/>
      <c r="AT244" s="96"/>
      <c r="AU244" s="96"/>
      <c r="AV244" s="96"/>
      <c r="AW244" s="96"/>
      <c r="AX244" s="96"/>
      <c r="AY244" s="96"/>
      <c r="AZ244" s="96"/>
      <c r="BA244" s="96"/>
    </row>
    <row r="245" spans="1:53" s="97" customFormat="1" ht="12" customHeight="1">
      <c r="A245" s="8">
        <v>213030203</v>
      </c>
      <c r="B245" s="8" t="s">
        <v>1193</v>
      </c>
      <c r="C245" s="80">
        <f>+VLOOKUP(A245,Clasificaciones!C:I,5,FALSE)</f>
        <v>21936615</v>
      </c>
      <c r="D245" s="80">
        <v>0</v>
      </c>
      <c r="E245" s="80">
        <v>0</v>
      </c>
      <c r="F245" s="80">
        <f>VLOOKUP(A245,Clasificaciones!C:M,9,FALSE)</f>
        <v>132229054</v>
      </c>
      <c r="G245" s="80">
        <f t="shared" si="72"/>
        <v>-110292439</v>
      </c>
      <c r="H245" s="26">
        <v>0</v>
      </c>
      <c r="I245" s="26">
        <v>0</v>
      </c>
      <c r="J245" s="26">
        <v>0</v>
      </c>
      <c r="K245" s="26">
        <v>0</v>
      </c>
      <c r="L245" s="26">
        <v>0</v>
      </c>
      <c r="M245" s="26">
        <v>0</v>
      </c>
      <c r="N245" s="26">
        <v>0</v>
      </c>
      <c r="O245" s="26">
        <v>0</v>
      </c>
      <c r="P245" s="26">
        <v>0</v>
      </c>
      <c r="Q245" s="26">
        <v>0</v>
      </c>
      <c r="R245" s="26">
        <f t="shared" si="78"/>
        <v>110292439</v>
      </c>
      <c r="S245" s="26">
        <v>0</v>
      </c>
      <c r="T245" s="26">
        <v>0</v>
      </c>
      <c r="U245" s="26">
        <v>0</v>
      </c>
      <c r="V245" s="26">
        <v>0</v>
      </c>
      <c r="W245" s="26">
        <v>0</v>
      </c>
      <c r="X245" s="26">
        <v>0</v>
      </c>
      <c r="Y245" s="26">
        <v>0</v>
      </c>
      <c r="Z245" s="26">
        <f t="shared" si="74"/>
        <v>0</v>
      </c>
      <c r="AA245" s="95"/>
      <c r="AB245" s="95"/>
      <c r="AC245" s="95"/>
      <c r="AD245" s="95"/>
      <c r="AE245" s="95"/>
      <c r="AF245" s="95"/>
      <c r="AG245" s="95"/>
      <c r="AH245" s="95"/>
      <c r="AI245" s="95"/>
      <c r="AJ245" s="95"/>
      <c r="AK245" s="95"/>
      <c r="AL245" s="95"/>
      <c r="AM245" s="95"/>
      <c r="AN245" s="96"/>
      <c r="AO245" s="96"/>
      <c r="AP245" s="96"/>
      <c r="AQ245" s="96"/>
      <c r="AR245" s="96"/>
      <c r="AS245" s="96"/>
      <c r="AT245" s="96"/>
      <c r="AU245" s="96"/>
      <c r="AV245" s="96"/>
      <c r="AW245" s="96"/>
      <c r="AX245" s="96"/>
      <c r="AY245" s="96"/>
      <c r="AZ245" s="96"/>
      <c r="BA245" s="96"/>
    </row>
    <row r="246" spans="1:53" s="97" customFormat="1" ht="12" customHeight="1">
      <c r="A246" s="8">
        <v>2130303</v>
      </c>
      <c r="B246" s="8" t="s">
        <v>738</v>
      </c>
      <c r="C246" s="80">
        <f>+VLOOKUP(A246,Clasificaciones!C:I,5,FALSE)</f>
        <v>0</v>
      </c>
      <c r="D246" s="80">
        <v>0</v>
      </c>
      <c r="E246" s="80">
        <v>0</v>
      </c>
      <c r="F246" s="80">
        <f>VLOOKUP(A246,Clasificaciones!C:M,9,FALSE)</f>
        <v>0</v>
      </c>
      <c r="G246" s="80">
        <f t="shared" si="72"/>
        <v>0</v>
      </c>
      <c r="H246" s="26">
        <v>0</v>
      </c>
      <c r="I246" s="26">
        <v>0</v>
      </c>
      <c r="J246" s="26">
        <f>-G246</f>
        <v>0</v>
      </c>
      <c r="K246" s="26">
        <v>0</v>
      </c>
      <c r="L246" s="26">
        <v>0</v>
      </c>
      <c r="M246" s="26">
        <v>0</v>
      </c>
      <c r="N246" s="26">
        <v>0</v>
      </c>
      <c r="O246" s="26">
        <v>0</v>
      </c>
      <c r="P246" s="26">
        <v>0</v>
      </c>
      <c r="Q246" s="26">
        <v>0</v>
      </c>
      <c r="R246" s="26">
        <f t="shared" ref="R246:R249" si="79">-G246</f>
        <v>0</v>
      </c>
      <c r="S246" s="26">
        <v>0</v>
      </c>
      <c r="T246" s="26">
        <v>0</v>
      </c>
      <c r="U246" s="26">
        <v>0</v>
      </c>
      <c r="V246" s="26">
        <v>0</v>
      </c>
      <c r="W246" s="26">
        <v>0</v>
      </c>
      <c r="X246" s="26">
        <v>0</v>
      </c>
      <c r="Y246" s="26">
        <v>0</v>
      </c>
      <c r="Z246" s="26">
        <f t="shared" si="74"/>
        <v>0</v>
      </c>
      <c r="AA246" s="95"/>
      <c r="AB246" s="95"/>
      <c r="AC246" s="95"/>
      <c r="AD246" s="95"/>
      <c r="AE246" s="95"/>
      <c r="AF246" s="95"/>
      <c r="AG246" s="95"/>
      <c r="AH246" s="95"/>
      <c r="AI246" s="95"/>
      <c r="AJ246" s="95"/>
      <c r="AK246" s="95"/>
      <c r="AL246" s="95"/>
      <c r="AM246" s="95"/>
      <c r="AN246" s="96"/>
      <c r="AO246" s="96"/>
      <c r="AP246" s="96"/>
      <c r="AQ246" s="96"/>
      <c r="AR246" s="96"/>
      <c r="AS246" s="96"/>
      <c r="AT246" s="96"/>
      <c r="AU246" s="96"/>
      <c r="AV246" s="96"/>
      <c r="AW246" s="96"/>
      <c r="AX246" s="96"/>
      <c r="AY246" s="96"/>
      <c r="AZ246" s="96"/>
      <c r="BA246" s="96"/>
    </row>
    <row r="247" spans="1:53" s="94" customFormat="1" ht="12" customHeight="1">
      <c r="A247" s="8">
        <v>213030301</v>
      </c>
      <c r="B247" s="8" t="s">
        <v>739</v>
      </c>
      <c r="C247" s="80">
        <f>+VLOOKUP(A247,Clasificaciones!C:I,5,FALSE)</f>
        <v>-39490316453</v>
      </c>
      <c r="D247" s="80">
        <v>0</v>
      </c>
      <c r="E247" s="80">
        <v>0</v>
      </c>
      <c r="F247" s="80">
        <f>VLOOKUP(A247,Clasificaciones!C:M,9,FALSE)</f>
        <v>-41634795848</v>
      </c>
      <c r="G247" s="80">
        <f t="shared" si="72"/>
        <v>2144479395</v>
      </c>
      <c r="H247" s="26">
        <v>0</v>
      </c>
      <c r="I247" s="26">
        <v>0</v>
      </c>
      <c r="J247" s="26">
        <v>0</v>
      </c>
      <c r="K247" s="26">
        <v>0</v>
      </c>
      <c r="L247" s="26">
        <v>0</v>
      </c>
      <c r="M247" s="26">
        <v>0</v>
      </c>
      <c r="N247" s="26">
        <v>0</v>
      </c>
      <c r="O247" s="26">
        <v>0</v>
      </c>
      <c r="P247" s="26">
        <v>0</v>
      </c>
      <c r="Q247" s="26">
        <v>0</v>
      </c>
      <c r="R247" s="26">
        <f t="shared" si="78"/>
        <v>-2144479395</v>
      </c>
      <c r="S247" s="26">
        <v>0</v>
      </c>
      <c r="T247" s="26">
        <v>0</v>
      </c>
      <c r="U247" s="26">
        <v>0</v>
      </c>
      <c r="V247" s="26">
        <v>0</v>
      </c>
      <c r="W247" s="26">
        <v>0</v>
      </c>
      <c r="X247" s="26">
        <v>0</v>
      </c>
      <c r="Y247" s="26">
        <v>0</v>
      </c>
      <c r="Z247" s="26">
        <f t="shared" si="74"/>
        <v>0</v>
      </c>
      <c r="AA247" s="98"/>
      <c r="AB247" s="98"/>
      <c r="AC247" s="98"/>
      <c r="AD247" s="98"/>
      <c r="AE247" s="98"/>
      <c r="AF247" s="98"/>
      <c r="AG247" s="98"/>
      <c r="AH247" s="98"/>
      <c r="AI247" s="98"/>
      <c r="AJ247" s="98"/>
      <c r="AK247" s="98"/>
      <c r="AL247" s="98"/>
      <c r="AM247" s="98"/>
      <c r="AN247" s="93"/>
      <c r="AO247" s="93"/>
      <c r="AP247" s="93"/>
      <c r="AQ247" s="93"/>
      <c r="AR247" s="93"/>
      <c r="AS247" s="93"/>
      <c r="AT247" s="93"/>
      <c r="AU247" s="93"/>
      <c r="AV247" s="93"/>
      <c r="AW247" s="93"/>
      <c r="AX247" s="93"/>
      <c r="AY247" s="93"/>
      <c r="AZ247" s="93"/>
      <c r="BA247" s="93"/>
    </row>
    <row r="248" spans="1:53" s="94" customFormat="1" ht="12" customHeight="1">
      <c r="A248" s="8">
        <v>213030302</v>
      </c>
      <c r="B248" s="8" t="s">
        <v>740</v>
      </c>
      <c r="C248" s="80">
        <f>+VLOOKUP(A248,Clasificaciones!C:I,5,FALSE)</f>
        <v>-105749085440</v>
      </c>
      <c r="D248" s="80">
        <v>0</v>
      </c>
      <c r="E248" s="80">
        <v>0</v>
      </c>
      <c r="F248" s="80">
        <f>VLOOKUP(A248,Clasificaciones!C:M,9,FALSE)</f>
        <v>-22910175411</v>
      </c>
      <c r="G248" s="80">
        <f t="shared" si="72"/>
        <v>-82838910029</v>
      </c>
      <c r="H248" s="26">
        <v>0</v>
      </c>
      <c r="I248" s="26">
        <v>0</v>
      </c>
      <c r="J248" s="26">
        <v>0</v>
      </c>
      <c r="K248" s="26">
        <v>0</v>
      </c>
      <c r="L248" s="26">
        <v>0</v>
      </c>
      <c r="M248" s="26">
        <v>0</v>
      </c>
      <c r="N248" s="26">
        <v>0</v>
      </c>
      <c r="O248" s="26">
        <v>0</v>
      </c>
      <c r="P248" s="26">
        <v>0</v>
      </c>
      <c r="Q248" s="26">
        <v>0</v>
      </c>
      <c r="R248" s="26">
        <f t="shared" si="79"/>
        <v>82838910029</v>
      </c>
      <c r="S248" s="26">
        <v>0</v>
      </c>
      <c r="T248" s="26">
        <v>0</v>
      </c>
      <c r="U248" s="26">
        <v>0</v>
      </c>
      <c r="V248" s="26">
        <v>0</v>
      </c>
      <c r="W248" s="26">
        <v>0</v>
      </c>
      <c r="X248" s="26">
        <v>0</v>
      </c>
      <c r="Y248" s="26">
        <v>0</v>
      </c>
      <c r="Z248" s="26">
        <f t="shared" si="74"/>
        <v>0</v>
      </c>
      <c r="AA248" s="98"/>
      <c r="AB248" s="98"/>
      <c r="AC248" s="98"/>
      <c r="AD248" s="98"/>
      <c r="AE248" s="98"/>
      <c r="AF248" s="98"/>
      <c r="AG248" s="98"/>
      <c r="AH248" s="98"/>
      <c r="AI248" s="98"/>
      <c r="AJ248" s="98"/>
      <c r="AK248" s="98"/>
      <c r="AL248" s="98"/>
      <c r="AM248" s="98"/>
      <c r="AN248" s="93"/>
      <c r="AO248" s="93"/>
      <c r="AP248" s="93"/>
      <c r="AQ248" s="93"/>
      <c r="AR248" s="93"/>
      <c r="AS248" s="93"/>
      <c r="AT248" s="93"/>
      <c r="AU248" s="93"/>
      <c r="AV248" s="93"/>
      <c r="AW248" s="93"/>
      <c r="AX248" s="93"/>
      <c r="AY248" s="93"/>
      <c r="AZ248" s="93"/>
      <c r="BA248" s="93"/>
    </row>
    <row r="249" spans="1:53" s="94" customFormat="1" ht="12" customHeight="1">
      <c r="A249" s="8">
        <v>213030303</v>
      </c>
      <c r="B249" s="8" t="s">
        <v>1194</v>
      </c>
      <c r="C249" s="80">
        <f>+VLOOKUP(A249,Clasificaciones!C:I,5,FALSE)</f>
        <v>-8718528038</v>
      </c>
      <c r="D249" s="80">
        <v>0</v>
      </c>
      <c r="E249" s="80">
        <v>0</v>
      </c>
      <c r="F249" s="80">
        <f>VLOOKUP(A249,Clasificaciones!C:M,9,FALSE)</f>
        <v>-3287513797</v>
      </c>
      <c r="G249" s="80">
        <f t="shared" si="72"/>
        <v>-5431014241</v>
      </c>
      <c r="H249" s="26">
        <v>0</v>
      </c>
      <c r="I249" s="26">
        <v>0</v>
      </c>
      <c r="J249" s="26">
        <v>0</v>
      </c>
      <c r="K249" s="26">
        <v>0</v>
      </c>
      <c r="L249" s="26">
        <v>0</v>
      </c>
      <c r="M249" s="26">
        <v>0</v>
      </c>
      <c r="N249" s="26">
        <v>0</v>
      </c>
      <c r="O249" s="26">
        <v>0</v>
      </c>
      <c r="P249" s="26">
        <v>0</v>
      </c>
      <c r="Q249" s="26">
        <v>0</v>
      </c>
      <c r="R249" s="26">
        <f t="shared" si="79"/>
        <v>5431014241</v>
      </c>
      <c r="S249" s="26">
        <v>0</v>
      </c>
      <c r="T249" s="26">
        <v>0</v>
      </c>
      <c r="U249" s="26">
        <v>0</v>
      </c>
      <c r="V249" s="26">
        <v>0</v>
      </c>
      <c r="W249" s="26">
        <v>0</v>
      </c>
      <c r="X249" s="26">
        <v>0</v>
      </c>
      <c r="Y249" s="26">
        <v>0</v>
      </c>
      <c r="Z249" s="26">
        <f t="shared" si="74"/>
        <v>0</v>
      </c>
      <c r="AA249" s="98"/>
      <c r="AB249" s="98"/>
      <c r="AC249" s="98"/>
      <c r="AD249" s="98"/>
      <c r="AE249" s="98"/>
      <c r="AF249" s="98"/>
      <c r="AG249" s="98"/>
      <c r="AH249" s="98"/>
      <c r="AI249" s="98"/>
      <c r="AJ249" s="98"/>
      <c r="AK249" s="98"/>
      <c r="AL249" s="98"/>
      <c r="AM249" s="98"/>
      <c r="AN249" s="93"/>
      <c r="AO249" s="93"/>
      <c r="AP249" s="93"/>
      <c r="AQ249" s="93"/>
      <c r="AR249" s="93"/>
      <c r="AS249" s="93"/>
      <c r="AT249" s="93"/>
      <c r="AU249" s="93"/>
      <c r="AV249" s="93"/>
      <c r="AW249" s="93"/>
      <c r="AX249" s="93"/>
      <c r="AY249" s="93"/>
      <c r="AZ249" s="93"/>
      <c r="BA249" s="93"/>
    </row>
    <row r="250" spans="1:53" s="97" customFormat="1" ht="12" customHeight="1">
      <c r="A250" s="8">
        <v>214</v>
      </c>
      <c r="B250" s="8" t="s">
        <v>10</v>
      </c>
      <c r="C250" s="80">
        <f>+VLOOKUP(A250,Clasificaciones!C:I,5,FALSE)</f>
        <v>0</v>
      </c>
      <c r="D250" s="80">
        <v>0</v>
      </c>
      <c r="E250" s="80">
        <v>0</v>
      </c>
      <c r="F250" s="80">
        <f>VLOOKUP(A250,Clasificaciones!C:M,9,FALSE)</f>
        <v>0</v>
      </c>
      <c r="G250" s="80">
        <f t="shared" si="72"/>
        <v>0</v>
      </c>
      <c r="H250" s="26">
        <v>0</v>
      </c>
      <c r="I250" s="26">
        <v>0</v>
      </c>
      <c r="J250" s="26">
        <f t="shared" ref="J250:J258" si="80">-G250</f>
        <v>0</v>
      </c>
      <c r="K250" s="26">
        <v>0</v>
      </c>
      <c r="L250" s="26">
        <v>0</v>
      </c>
      <c r="M250" s="26">
        <v>0</v>
      </c>
      <c r="N250" s="26">
        <v>0</v>
      </c>
      <c r="O250" s="26">
        <v>0</v>
      </c>
      <c r="P250" s="26">
        <v>0</v>
      </c>
      <c r="Q250" s="26">
        <v>0</v>
      </c>
      <c r="R250" s="26">
        <v>0</v>
      </c>
      <c r="S250" s="26">
        <v>0</v>
      </c>
      <c r="T250" s="26">
        <v>0</v>
      </c>
      <c r="U250" s="26">
        <v>0</v>
      </c>
      <c r="V250" s="26">
        <v>0</v>
      </c>
      <c r="W250" s="26">
        <v>0</v>
      </c>
      <c r="X250" s="26">
        <v>0</v>
      </c>
      <c r="Y250" s="26">
        <v>0</v>
      </c>
      <c r="Z250" s="26">
        <f t="shared" si="74"/>
        <v>0</v>
      </c>
      <c r="AA250" s="95"/>
      <c r="AB250" s="95"/>
      <c r="AC250" s="95"/>
      <c r="AD250" s="95"/>
      <c r="AE250" s="95"/>
      <c r="AF250" s="95"/>
      <c r="AG250" s="95"/>
      <c r="AH250" s="95"/>
      <c r="AI250" s="95"/>
      <c r="AJ250" s="95"/>
      <c r="AK250" s="95"/>
      <c r="AL250" s="95"/>
      <c r="AM250" s="95"/>
      <c r="AN250" s="96"/>
      <c r="AO250" s="96"/>
      <c r="AP250" s="96"/>
      <c r="AQ250" s="96"/>
      <c r="AR250" s="96"/>
      <c r="AS250" s="96"/>
      <c r="AT250" s="96"/>
      <c r="AU250" s="96"/>
      <c r="AV250" s="96"/>
      <c r="AW250" s="96"/>
      <c r="AX250" s="96"/>
      <c r="AY250" s="96"/>
      <c r="AZ250" s="96"/>
      <c r="BA250" s="96"/>
    </row>
    <row r="251" spans="1:53" s="97" customFormat="1" ht="12" customHeight="1">
      <c r="A251" s="8">
        <v>21401</v>
      </c>
      <c r="B251" s="8" t="s">
        <v>741</v>
      </c>
      <c r="C251" s="80">
        <f>+VLOOKUP(A251,Clasificaciones!C:I,5,FALSE)</f>
        <v>0</v>
      </c>
      <c r="D251" s="80">
        <v>0</v>
      </c>
      <c r="E251" s="80">
        <v>0</v>
      </c>
      <c r="F251" s="80">
        <f>VLOOKUP(A251,Clasificaciones!C:M,9,FALSE)</f>
        <v>0</v>
      </c>
      <c r="G251" s="80">
        <f t="shared" si="72"/>
        <v>0</v>
      </c>
      <c r="H251" s="26">
        <v>0</v>
      </c>
      <c r="I251" s="26">
        <v>0</v>
      </c>
      <c r="J251" s="26">
        <f t="shared" si="80"/>
        <v>0</v>
      </c>
      <c r="K251" s="26">
        <v>0</v>
      </c>
      <c r="L251" s="26">
        <v>0</v>
      </c>
      <c r="M251" s="26">
        <v>0</v>
      </c>
      <c r="N251" s="26">
        <v>0</v>
      </c>
      <c r="O251" s="26">
        <v>0</v>
      </c>
      <c r="P251" s="26">
        <v>0</v>
      </c>
      <c r="Q251" s="26">
        <v>0</v>
      </c>
      <c r="R251" s="26">
        <v>0</v>
      </c>
      <c r="S251" s="26">
        <v>0</v>
      </c>
      <c r="T251" s="26">
        <v>0</v>
      </c>
      <c r="U251" s="26">
        <v>0</v>
      </c>
      <c r="V251" s="26">
        <v>0</v>
      </c>
      <c r="W251" s="26">
        <v>0</v>
      </c>
      <c r="X251" s="26">
        <v>0</v>
      </c>
      <c r="Y251" s="26">
        <v>0</v>
      </c>
      <c r="Z251" s="26">
        <f t="shared" si="74"/>
        <v>0</v>
      </c>
      <c r="AA251" s="95"/>
      <c r="AB251" s="95"/>
      <c r="AC251" s="95"/>
      <c r="AD251" s="95"/>
      <c r="AE251" s="95"/>
      <c r="AF251" s="95"/>
      <c r="AG251" s="95"/>
      <c r="AH251" s="95"/>
      <c r="AI251" s="95"/>
      <c r="AJ251" s="95"/>
      <c r="AK251" s="95"/>
      <c r="AL251" s="95"/>
      <c r="AM251" s="95"/>
      <c r="AN251" s="96"/>
      <c r="AO251" s="96"/>
      <c r="AP251" s="96"/>
      <c r="AQ251" s="96"/>
      <c r="AR251" s="96"/>
      <c r="AS251" s="96"/>
      <c r="AT251" s="96"/>
      <c r="AU251" s="96"/>
      <c r="AV251" s="96"/>
      <c r="AW251" s="96"/>
      <c r="AX251" s="96"/>
      <c r="AY251" s="96"/>
      <c r="AZ251" s="96"/>
      <c r="BA251" s="96"/>
    </row>
    <row r="252" spans="1:53" s="97" customFormat="1" ht="12" customHeight="1">
      <c r="A252" s="8">
        <v>2140101</v>
      </c>
      <c r="B252" s="8" t="s">
        <v>1022</v>
      </c>
      <c r="C252" s="80">
        <f>+VLOOKUP(A252,Clasificaciones!C:I,5,FALSE)</f>
        <v>0</v>
      </c>
      <c r="D252" s="80">
        <v>0</v>
      </c>
      <c r="E252" s="80">
        <v>0</v>
      </c>
      <c r="F252" s="80">
        <f>VLOOKUP(A252,Clasificaciones!C:M,9,FALSE)</f>
        <v>0</v>
      </c>
      <c r="G252" s="80">
        <f t="shared" si="72"/>
        <v>0</v>
      </c>
      <c r="H252" s="26">
        <v>0</v>
      </c>
      <c r="I252" s="26">
        <v>0</v>
      </c>
      <c r="J252" s="26">
        <f t="shared" si="80"/>
        <v>0</v>
      </c>
      <c r="K252" s="26">
        <v>0</v>
      </c>
      <c r="L252" s="26">
        <v>0</v>
      </c>
      <c r="M252" s="26">
        <v>0</v>
      </c>
      <c r="N252" s="26">
        <v>0</v>
      </c>
      <c r="O252" s="26">
        <v>0</v>
      </c>
      <c r="P252" s="26">
        <v>0</v>
      </c>
      <c r="Q252" s="26">
        <v>0</v>
      </c>
      <c r="R252" s="26">
        <v>0</v>
      </c>
      <c r="S252" s="26">
        <v>0</v>
      </c>
      <c r="T252" s="26">
        <v>0</v>
      </c>
      <c r="U252" s="26">
        <v>0</v>
      </c>
      <c r="V252" s="26">
        <v>0</v>
      </c>
      <c r="W252" s="26">
        <v>0</v>
      </c>
      <c r="X252" s="26">
        <v>0</v>
      </c>
      <c r="Y252" s="26">
        <v>0</v>
      </c>
      <c r="Z252" s="26">
        <f t="shared" si="74"/>
        <v>0</v>
      </c>
      <c r="AA252" s="95"/>
      <c r="AB252" s="95"/>
      <c r="AC252" s="95"/>
      <c r="AD252" s="95"/>
      <c r="AE252" s="95"/>
      <c r="AF252" s="95"/>
      <c r="AG252" s="95"/>
      <c r="AH252" s="95"/>
      <c r="AI252" s="95"/>
      <c r="AJ252" s="95"/>
      <c r="AK252" s="95"/>
      <c r="AL252" s="95"/>
      <c r="AM252" s="95"/>
      <c r="AN252" s="96"/>
      <c r="AO252" s="96"/>
      <c r="AP252" s="96"/>
      <c r="AQ252" s="96"/>
      <c r="AR252" s="96"/>
      <c r="AS252" s="96"/>
      <c r="AT252" s="96"/>
      <c r="AU252" s="96"/>
      <c r="AV252" s="96"/>
      <c r="AW252" s="96"/>
      <c r="AX252" s="96"/>
      <c r="AY252" s="96"/>
      <c r="AZ252" s="96"/>
      <c r="BA252" s="96"/>
    </row>
    <row r="253" spans="1:53" s="97" customFormat="1" ht="11.4" customHeight="1">
      <c r="A253" s="8">
        <v>2140104</v>
      </c>
      <c r="B253" s="8" t="s">
        <v>520</v>
      </c>
      <c r="C253" s="80">
        <f>+VLOOKUP(A253,Clasificaciones!C:I,5,FALSE)</f>
        <v>-227338096</v>
      </c>
      <c r="D253" s="80">
        <v>0</v>
      </c>
      <c r="E253" s="80">
        <v>0</v>
      </c>
      <c r="F253" s="80">
        <f>VLOOKUP(A253,Clasificaciones!C:M,9,FALSE)</f>
        <v>-526231282</v>
      </c>
      <c r="G253" s="80">
        <f t="shared" si="72"/>
        <v>298893186</v>
      </c>
      <c r="H253" s="26">
        <v>0</v>
      </c>
      <c r="I253" s="26">
        <f>-G253</f>
        <v>-298893186</v>
      </c>
      <c r="J253" s="26">
        <v>0</v>
      </c>
      <c r="K253" s="26">
        <v>0</v>
      </c>
      <c r="L253" s="26">
        <v>0</v>
      </c>
      <c r="M253" s="26">
        <v>0</v>
      </c>
      <c r="N253" s="26">
        <v>0</v>
      </c>
      <c r="O253" s="26">
        <v>0</v>
      </c>
      <c r="P253" s="26">
        <v>0</v>
      </c>
      <c r="Q253" s="26">
        <v>0</v>
      </c>
      <c r="R253" s="26">
        <v>0</v>
      </c>
      <c r="S253" s="26">
        <v>0</v>
      </c>
      <c r="T253" s="26">
        <v>0</v>
      </c>
      <c r="U253" s="26">
        <v>0</v>
      </c>
      <c r="V253" s="26">
        <v>0</v>
      </c>
      <c r="W253" s="26">
        <v>0</v>
      </c>
      <c r="X253" s="26">
        <v>0</v>
      </c>
      <c r="Y253" s="26">
        <v>0</v>
      </c>
      <c r="Z253" s="26">
        <f t="shared" si="74"/>
        <v>0</v>
      </c>
      <c r="AA253" s="95"/>
      <c r="AB253" s="95"/>
      <c r="AC253" s="95"/>
      <c r="AD253" s="95"/>
      <c r="AE253" s="95"/>
      <c r="AF253" s="95"/>
      <c r="AG253" s="95"/>
      <c r="AH253" s="95"/>
      <c r="AI253" s="95"/>
      <c r="AJ253" s="95"/>
      <c r="AK253" s="95"/>
      <c r="AL253" s="95"/>
      <c r="AM253" s="95"/>
      <c r="AN253" s="96"/>
      <c r="AO253" s="96"/>
      <c r="AP253" s="96"/>
      <c r="AQ253" s="96"/>
      <c r="AR253" s="96"/>
      <c r="AS253" s="96"/>
      <c r="AT253" s="96"/>
      <c r="AU253" s="96"/>
      <c r="AV253" s="96"/>
      <c r="AW253" s="96"/>
      <c r="AX253" s="96"/>
      <c r="AY253" s="96"/>
      <c r="AZ253" s="96"/>
      <c r="BA253" s="96"/>
    </row>
    <row r="254" spans="1:53" s="97" customFormat="1" ht="12" customHeight="1">
      <c r="A254" s="8">
        <v>2140105</v>
      </c>
      <c r="B254" s="8" t="s">
        <v>742</v>
      </c>
      <c r="C254" s="80">
        <f>+VLOOKUP(A254,Clasificaciones!C:I,5,FALSE)</f>
        <v>-135733657</v>
      </c>
      <c r="D254" s="80">
        <v>0</v>
      </c>
      <c r="E254" s="80">
        <v>0</v>
      </c>
      <c r="F254" s="80">
        <f>VLOOKUP(A254,Clasificaciones!C:M,9,FALSE)</f>
        <v>0</v>
      </c>
      <c r="G254" s="80">
        <f t="shared" si="72"/>
        <v>-135733657</v>
      </c>
      <c r="H254" s="26">
        <v>0</v>
      </c>
      <c r="I254" s="26">
        <f>-G254</f>
        <v>135733657</v>
      </c>
      <c r="J254" s="26">
        <v>0</v>
      </c>
      <c r="K254" s="26">
        <v>0</v>
      </c>
      <c r="L254" s="26">
        <v>0</v>
      </c>
      <c r="M254" s="26">
        <v>0</v>
      </c>
      <c r="N254" s="26">
        <v>0</v>
      </c>
      <c r="O254" s="26">
        <v>0</v>
      </c>
      <c r="P254" s="26">
        <v>0</v>
      </c>
      <c r="Q254" s="26">
        <v>0</v>
      </c>
      <c r="R254" s="26">
        <v>0</v>
      </c>
      <c r="S254" s="26">
        <v>0</v>
      </c>
      <c r="T254" s="26">
        <v>0</v>
      </c>
      <c r="U254" s="26">
        <v>0</v>
      </c>
      <c r="V254" s="26">
        <v>0</v>
      </c>
      <c r="W254" s="26">
        <v>0</v>
      </c>
      <c r="X254" s="26">
        <v>0</v>
      </c>
      <c r="Y254" s="26">
        <v>0</v>
      </c>
      <c r="Z254" s="26">
        <f t="shared" si="74"/>
        <v>0</v>
      </c>
      <c r="AA254" s="95"/>
      <c r="AB254" s="95"/>
      <c r="AC254" s="95"/>
      <c r="AD254" s="95"/>
      <c r="AE254" s="95"/>
      <c r="AF254" s="95"/>
      <c r="AG254" s="95"/>
      <c r="AH254" s="95"/>
      <c r="AI254" s="95"/>
      <c r="AJ254" s="95"/>
      <c r="AK254" s="95"/>
      <c r="AL254" s="95"/>
      <c r="AM254" s="95"/>
      <c r="AN254" s="96"/>
      <c r="AO254" s="96"/>
      <c r="AP254" s="96"/>
      <c r="AQ254" s="96"/>
      <c r="AR254" s="96"/>
      <c r="AS254" s="96"/>
      <c r="AT254" s="96"/>
      <c r="AU254" s="96"/>
      <c r="AV254" s="96"/>
      <c r="AW254" s="96"/>
      <c r="AX254" s="96"/>
      <c r="AY254" s="96"/>
      <c r="AZ254" s="96"/>
      <c r="BA254" s="96"/>
    </row>
    <row r="255" spans="1:53" s="97" customFormat="1" ht="12" customHeight="1">
      <c r="A255" s="8">
        <v>2140107</v>
      </c>
      <c r="B255" s="8" t="s">
        <v>156</v>
      </c>
      <c r="C255" s="80">
        <f>+VLOOKUP(A255,Clasificaciones!C:I,5,FALSE)</f>
        <v>-72413264</v>
      </c>
      <c r="D255" s="80">
        <v>0</v>
      </c>
      <c r="E255" s="80">
        <v>0</v>
      </c>
      <c r="F255" s="80">
        <f>VLOOKUP(A255,Clasificaciones!C:M,9,FALSE)</f>
        <v>-63856962</v>
      </c>
      <c r="G255" s="80">
        <f t="shared" si="72"/>
        <v>-8556302</v>
      </c>
      <c r="H255" s="26">
        <v>0</v>
      </c>
      <c r="I255" s="26">
        <v>0</v>
      </c>
      <c r="J255" s="26"/>
      <c r="K255" s="26">
        <v>0</v>
      </c>
      <c r="L255" s="26">
        <f>-G255</f>
        <v>8556302</v>
      </c>
      <c r="M255" s="26">
        <v>0</v>
      </c>
      <c r="N255" s="26">
        <v>0</v>
      </c>
      <c r="O255" s="26">
        <v>0</v>
      </c>
      <c r="P255" s="26">
        <v>0</v>
      </c>
      <c r="Q255" s="26">
        <v>0</v>
      </c>
      <c r="R255" s="26">
        <v>0</v>
      </c>
      <c r="S255" s="26">
        <v>0</v>
      </c>
      <c r="T255" s="26">
        <v>0</v>
      </c>
      <c r="U255" s="26">
        <v>0</v>
      </c>
      <c r="V255" s="26">
        <v>0</v>
      </c>
      <c r="W255" s="26">
        <v>0</v>
      </c>
      <c r="X255" s="26">
        <v>0</v>
      </c>
      <c r="Y255" s="26">
        <v>0</v>
      </c>
      <c r="Z255" s="26">
        <f t="shared" si="74"/>
        <v>0</v>
      </c>
      <c r="AA255" s="95"/>
      <c r="AB255" s="95"/>
      <c r="AC255" s="95"/>
      <c r="AD255" s="95"/>
      <c r="AE255" s="95"/>
      <c r="AF255" s="95"/>
      <c r="AG255" s="95"/>
      <c r="AH255" s="95"/>
      <c r="AI255" s="95"/>
      <c r="AJ255" s="95"/>
      <c r="AK255" s="95"/>
      <c r="AL255" s="95"/>
      <c r="AM255" s="95"/>
      <c r="AN255" s="96"/>
      <c r="AO255" s="96"/>
      <c r="AP255" s="96"/>
      <c r="AQ255" s="96"/>
      <c r="AR255" s="96"/>
      <c r="AS255" s="96"/>
      <c r="AT255" s="96"/>
      <c r="AU255" s="96"/>
      <c r="AV255" s="96"/>
      <c r="AW255" s="96"/>
      <c r="AX255" s="96"/>
      <c r="AY255" s="96"/>
      <c r="AZ255" s="96"/>
      <c r="BA255" s="96"/>
    </row>
    <row r="256" spans="1:53" s="97" customFormat="1" ht="12" customHeight="1">
      <c r="A256" s="8">
        <v>2140108</v>
      </c>
      <c r="B256" s="8" t="s">
        <v>1251</v>
      </c>
      <c r="C256" s="80">
        <f>+VLOOKUP(A256,Clasificaciones!C:I,5,FALSE)</f>
        <v>-80750000</v>
      </c>
      <c r="D256" s="80">
        <v>0</v>
      </c>
      <c r="E256" s="80">
        <v>0</v>
      </c>
      <c r="F256" s="80">
        <f>VLOOKUP(A256,Clasificaciones!C:M,9,FALSE)</f>
        <v>-112790000</v>
      </c>
      <c r="G256" s="80">
        <f t="shared" ref="G256" si="81">+C256-F256+D256-E256</f>
        <v>32040000</v>
      </c>
      <c r="H256" s="26">
        <v>0</v>
      </c>
      <c r="I256" s="26">
        <f>-G256</f>
        <v>-32040000</v>
      </c>
      <c r="J256" s="26"/>
      <c r="K256" s="26">
        <v>0</v>
      </c>
      <c r="L256" s="26">
        <v>0</v>
      </c>
      <c r="M256" s="26">
        <v>0</v>
      </c>
      <c r="N256" s="26">
        <v>0</v>
      </c>
      <c r="O256" s="26">
        <v>0</v>
      </c>
      <c r="P256" s="26">
        <v>0</v>
      </c>
      <c r="Q256" s="26">
        <v>0</v>
      </c>
      <c r="R256" s="26">
        <v>0</v>
      </c>
      <c r="S256" s="26">
        <v>0</v>
      </c>
      <c r="T256" s="26">
        <v>0</v>
      </c>
      <c r="U256" s="26">
        <v>0</v>
      </c>
      <c r="V256" s="26">
        <v>0</v>
      </c>
      <c r="W256" s="26">
        <v>0</v>
      </c>
      <c r="X256" s="26">
        <v>0</v>
      </c>
      <c r="Y256" s="26">
        <v>0</v>
      </c>
      <c r="Z256" s="26">
        <f t="shared" si="74"/>
        <v>0</v>
      </c>
      <c r="AA256" s="95"/>
      <c r="AB256" s="95"/>
      <c r="AC256" s="95"/>
      <c r="AD256" s="95"/>
      <c r="AE256" s="95"/>
      <c r="AF256" s="95"/>
      <c r="AG256" s="95"/>
      <c r="AH256" s="95"/>
      <c r="AI256" s="95"/>
      <c r="AJ256" s="95"/>
      <c r="AK256" s="95"/>
      <c r="AL256" s="95"/>
      <c r="AM256" s="95"/>
      <c r="AN256" s="96"/>
      <c r="AO256" s="96"/>
      <c r="AP256" s="96"/>
      <c r="AQ256" s="96"/>
      <c r="AR256" s="96"/>
      <c r="AS256" s="96"/>
      <c r="AT256" s="96"/>
      <c r="AU256" s="96"/>
      <c r="AV256" s="96"/>
      <c r="AW256" s="96"/>
      <c r="AX256" s="96"/>
      <c r="AY256" s="96"/>
      <c r="AZ256" s="96"/>
      <c r="BA256" s="96"/>
    </row>
    <row r="257" spans="1:53" s="97" customFormat="1" ht="12" customHeight="1">
      <c r="A257" s="8">
        <v>2140109</v>
      </c>
      <c r="B257" s="8" t="s">
        <v>1025</v>
      </c>
      <c r="C257" s="80">
        <f>+VLOOKUP(A257,Clasificaciones!C:I,5,FALSE)</f>
        <v>0</v>
      </c>
      <c r="D257" s="80">
        <v>0</v>
      </c>
      <c r="E257" s="80">
        <v>0</v>
      </c>
      <c r="F257" s="80">
        <f>VLOOKUP(A257,Clasificaciones!C:M,9,FALSE)</f>
        <v>0</v>
      </c>
      <c r="G257" s="80">
        <f t="shared" si="72"/>
        <v>0</v>
      </c>
      <c r="H257" s="26">
        <v>0</v>
      </c>
      <c r="I257" s="26">
        <v>0</v>
      </c>
      <c r="J257" s="26"/>
      <c r="K257" s="26">
        <v>0</v>
      </c>
      <c r="L257" s="26">
        <f>-G257</f>
        <v>0</v>
      </c>
      <c r="M257" s="26">
        <v>0</v>
      </c>
      <c r="N257" s="26">
        <v>0</v>
      </c>
      <c r="O257" s="26">
        <v>0</v>
      </c>
      <c r="P257" s="26">
        <v>0</v>
      </c>
      <c r="Q257" s="26">
        <v>0</v>
      </c>
      <c r="R257" s="26">
        <v>0</v>
      </c>
      <c r="S257" s="26">
        <v>0</v>
      </c>
      <c r="T257" s="26">
        <v>0</v>
      </c>
      <c r="U257" s="26">
        <v>0</v>
      </c>
      <c r="V257" s="26">
        <v>0</v>
      </c>
      <c r="W257" s="26">
        <v>0</v>
      </c>
      <c r="X257" s="26">
        <v>0</v>
      </c>
      <c r="Y257" s="26">
        <v>0</v>
      </c>
      <c r="Z257" s="26">
        <f t="shared" si="74"/>
        <v>0</v>
      </c>
      <c r="AA257" s="95"/>
      <c r="AB257" s="95"/>
      <c r="AC257" s="95"/>
      <c r="AD257" s="95"/>
      <c r="AE257" s="95"/>
      <c r="AF257" s="95"/>
      <c r="AG257" s="95"/>
      <c r="AH257" s="95"/>
      <c r="AI257" s="95"/>
      <c r="AJ257" s="95"/>
      <c r="AK257" s="95"/>
      <c r="AL257" s="95"/>
      <c r="AM257" s="95"/>
      <c r="AN257" s="96"/>
      <c r="AO257" s="96"/>
      <c r="AP257" s="96"/>
      <c r="AQ257" s="96"/>
      <c r="AR257" s="96"/>
      <c r="AS257" s="96"/>
      <c r="AT257" s="96"/>
      <c r="AU257" s="96"/>
      <c r="AV257" s="96"/>
      <c r="AW257" s="96"/>
      <c r="AX257" s="96"/>
      <c r="AY257" s="96"/>
      <c r="AZ257" s="96"/>
      <c r="BA257" s="96"/>
    </row>
    <row r="258" spans="1:53" s="97" customFormat="1" ht="12" customHeight="1">
      <c r="A258" s="8">
        <v>21402</v>
      </c>
      <c r="B258" s="8" t="s">
        <v>743</v>
      </c>
      <c r="C258" s="80">
        <f>+VLOOKUP(A258,Clasificaciones!C:I,5,FALSE)</f>
        <v>0</v>
      </c>
      <c r="D258" s="80">
        <v>0</v>
      </c>
      <c r="E258" s="80">
        <v>0</v>
      </c>
      <c r="F258" s="80">
        <f>VLOOKUP(A258,Clasificaciones!C:M,9,FALSE)</f>
        <v>0</v>
      </c>
      <c r="G258" s="80">
        <f t="shared" si="72"/>
        <v>0</v>
      </c>
      <c r="H258" s="26">
        <v>0</v>
      </c>
      <c r="I258" s="26">
        <v>0</v>
      </c>
      <c r="J258" s="26">
        <f t="shared" si="80"/>
        <v>0</v>
      </c>
      <c r="K258" s="26">
        <v>0</v>
      </c>
      <c r="L258" s="26">
        <v>0</v>
      </c>
      <c r="M258" s="26">
        <v>0</v>
      </c>
      <c r="N258" s="26">
        <v>0</v>
      </c>
      <c r="O258" s="26">
        <v>0</v>
      </c>
      <c r="P258" s="26">
        <v>0</v>
      </c>
      <c r="Q258" s="26">
        <v>0</v>
      </c>
      <c r="R258" s="26">
        <v>0</v>
      </c>
      <c r="S258" s="26">
        <v>0</v>
      </c>
      <c r="T258" s="26">
        <v>0</v>
      </c>
      <c r="U258" s="26">
        <v>0</v>
      </c>
      <c r="V258" s="26">
        <v>0</v>
      </c>
      <c r="W258" s="26">
        <v>0</v>
      </c>
      <c r="X258" s="26">
        <v>0</v>
      </c>
      <c r="Y258" s="26">
        <v>0</v>
      </c>
      <c r="Z258" s="26">
        <f t="shared" si="74"/>
        <v>0</v>
      </c>
      <c r="AA258" s="95"/>
      <c r="AB258" s="95"/>
      <c r="AC258" s="95"/>
      <c r="AD258" s="95"/>
      <c r="AE258" s="95"/>
      <c r="AF258" s="95"/>
      <c r="AG258" s="95"/>
      <c r="AH258" s="95"/>
      <c r="AI258" s="95"/>
      <c r="AJ258" s="95"/>
      <c r="AK258" s="95"/>
      <c r="AL258" s="95"/>
      <c r="AM258" s="95"/>
      <c r="AN258" s="96"/>
      <c r="AO258" s="96"/>
      <c r="AP258" s="96"/>
      <c r="AQ258" s="96"/>
      <c r="AR258" s="96"/>
      <c r="AS258" s="96"/>
      <c r="AT258" s="96"/>
      <c r="AU258" s="96"/>
      <c r="AV258" s="96"/>
      <c r="AW258" s="96"/>
      <c r="AX258" s="96"/>
      <c r="AY258" s="96"/>
      <c r="AZ258" s="96"/>
      <c r="BA258" s="96"/>
    </row>
    <row r="259" spans="1:53" s="97" customFormat="1" ht="12" customHeight="1">
      <c r="A259" s="8">
        <v>2140110</v>
      </c>
      <c r="B259" s="8" t="s">
        <v>1026</v>
      </c>
      <c r="C259" s="80">
        <f>+VLOOKUP(A259,Clasificaciones!C:I,5,FALSE)</f>
        <v>-1</v>
      </c>
      <c r="D259" s="80">
        <v>0</v>
      </c>
      <c r="E259" s="80">
        <v>0</v>
      </c>
      <c r="F259" s="80">
        <f>VLOOKUP(A259,Clasificaciones!C:M,9,FALSE)</f>
        <v>0</v>
      </c>
      <c r="G259" s="80">
        <f t="shared" ref="G259" si="82">+C259-F259+D259-E259</f>
        <v>-1</v>
      </c>
      <c r="H259" s="26">
        <v>0</v>
      </c>
      <c r="I259" s="26">
        <v>0</v>
      </c>
      <c r="J259" s="26"/>
      <c r="K259" s="26">
        <v>0</v>
      </c>
      <c r="L259" s="26">
        <f>-G259</f>
        <v>1</v>
      </c>
      <c r="M259" s="26">
        <v>0</v>
      </c>
      <c r="N259" s="26">
        <v>0</v>
      </c>
      <c r="O259" s="26">
        <v>0</v>
      </c>
      <c r="P259" s="26">
        <v>0</v>
      </c>
      <c r="Q259" s="26">
        <v>0</v>
      </c>
      <c r="R259" s="26">
        <v>0</v>
      </c>
      <c r="S259" s="26">
        <v>0</v>
      </c>
      <c r="T259" s="26">
        <v>0</v>
      </c>
      <c r="U259" s="26">
        <v>0</v>
      </c>
      <c r="V259" s="26">
        <v>0</v>
      </c>
      <c r="W259" s="26">
        <v>0</v>
      </c>
      <c r="X259" s="26">
        <v>0</v>
      </c>
      <c r="Y259" s="26">
        <v>0</v>
      </c>
      <c r="Z259" s="26">
        <f t="shared" ref="Z259" si="83">SUM(G259:Y259)</f>
        <v>0</v>
      </c>
      <c r="AA259" s="95"/>
      <c r="AB259" s="95"/>
      <c r="AC259" s="95"/>
      <c r="AD259" s="95"/>
      <c r="AE259" s="95"/>
      <c r="AF259" s="95"/>
      <c r="AG259" s="95"/>
      <c r="AH259" s="95"/>
      <c r="AI259" s="95"/>
      <c r="AJ259" s="95"/>
      <c r="AK259" s="95"/>
      <c r="AL259" s="95"/>
      <c r="AM259" s="95"/>
      <c r="AN259" s="96"/>
      <c r="AO259" s="96"/>
      <c r="AP259" s="96"/>
      <c r="AQ259" s="96"/>
      <c r="AR259" s="96"/>
      <c r="AS259" s="96"/>
      <c r="AT259" s="96"/>
      <c r="AU259" s="96"/>
      <c r="AV259" s="96"/>
      <c r="AW259" s="96"/>
      <c r="AX259" s="96"/>
      <c r="AY259" s="96"/>
      <c r="AZ259" s="96"/>
      <c r="BA259" s="96"/>
    </row>
    <row r="260" spans="1:53" s="97" customFormat="1" ht="12" customHeight="1">
      <c r="A260" s="8">
        <v>2140201</v>
      </c>
      <c r="B260" s="8" t="s">
        <v>84</v>
      </c>
      <c r="C260" s="80">
        <f>+VLOOKUP(A260,Clasificaciones!C:I,5,FALSE)</f>
        <v>-135316207</v>
      </c>
      <c r="D260" s="788">
        <f>+E515</f>
        <v>135316207</v>
      </c>
      <c r="E260" s="80">
        <v>0</v>
      </c>
      <c r="F260" s="80">
        <f>VLOOKUP(A260,Clasificaciones!C:M,9,FALSE)</f>
        <v>-152286289</v>
      </c>
      <c r="G260" s="80">
        <f t="shared" si="72"/>
        <v>152286289</v>
      </c>
      <c r="H260" s="26">
        <v>0</v>
      </c>
      <c r="I260" s="26">
        <v>0</v>
      </c>
      <c r="J260" s="26">
        <v>0</v>
      </c>
      <c r="K260" s="26">
        <v>0</v>
      </c>
      <c r="L260" s="26">
        <v>0</v>
      </c>
      <c r="M260" s="26">
        <f>-G260</f>
        <v>-152286289</v>
      </c>
      <c r="N260" s="26">
        <v>0</v>
      </c>
      <c r="O260" s="26">
        <v>0</v>
      </c>
      <c r="P260" s="26">
        <v>0</v>
      </c>
      <c r="Q260" s="26">
        <v>0</v>
      </c>
      <c r="R260" s="26">
        <v>0</v>
      </c>
      <c r="S260" s="26">
        <v>0</v>
      </c>
      <c r="T260" s="26">
        <v>0</v>
      </c>
      <c r="U260" s="26">
        <v>0</v>
      </c>
      <c r="V260" s="26">
        <v>0</v>
      </c>
      <c r="W260" s="26">
        <v>0</v>
      </c>
      <c r="X260" s="26">
        <v>0</v>
      </c>
      <c r="Y260" s="26">
        <v>0</v>
      </c>
      <c r="Z260" s="26">
        <f t="shared" si="74"/>
        <v>0</v>
      </c>
      <c r="AA260" s="95"/>
      <c r="AB260" s="95"/>
      <c r="AC260" s="95"/>
      <c r="AD260" s="95"/>
      <c r="AE260" s="95"/>
      <c r="AF260" s="95"/>
      <c r="AG260" s="95"/>
      <c r="AH260" s="95"/>
      <c r="AI260" s="95"/>
      <c r="AJ260" s="95"/>
      <c r="AK260" s="95"/>
      <c r="AL260" s="95"/>
      <c r="AM260" s="95"/>
      <c r="AN260" s="96"/>
      <c r="AO260" s="96"/>
      <c r="AP260" s="96"/>
      <c r="AQ260" s="96"/>
      <c r="AR260" s="96"/>
      <c r="AS260" s="96"/>
      <c r="AT260" s="96"/>
      <c r="AU260" s="96"/>
      <c r="AV260" s="96"/>
      <c r="AW260" s="96"/>
      <c r="AX260" s="96"/>
      <c r="AY260" s="96"/>
      <c r="AZ260" s="96"/>
      <c r="BA260" s="96"/>
    </row>
    <row r="261" spans="1:53" s="97" customFormat="1" ht="12" customHeight="1">
      <c r="A261" s="8">
        <v>2140202</v>
      </c>
      <c r="B261" s="8" t="s">
        <v>744</v>
      </c>
      <c r="C261" s="80">
        <f>+VLOOKUP(A261,Clasificaciones!C:I,5,FALSE)</f>
        <v>0</v>
      </c>
      <c r="D261" s="80">
        <f>+E516</f>
        <v>0</v>
      </c>
      <c r="E261" s="80">
        <v>0</v>
      </c>
      <c r="F261" s="80">
        <f>VLOOKUP(A261,Clasificaciones!C:M,9,FALSE)</f>
        <v>0</v>
      </c>
      <c r="G261" s="80">
        <f t="shared" si="72"/>
        <v>0</v>
      </c>
      <c r="H261" s="26">
        <v>0</v>
      </c>
      <c r="I261" s="26">
        <v>0</v>
      </c>
      <c r="J261" s="26">
        <v>0</v>
      </c>
      <c r="K261" s="26">
        <v>0</v>
      </c>
      <c r="L261" s="26">
        <v>0</v>
      </c>
      <c r="M261" s="26">
        <f>-G261</f>
        <v>0</v>
      </c>
      <c r="N261" s="26">
        <v>0</v>
      </c>
      <c r="O261" s="26">
        <v>0</v>
      </c>
      <c r="P261" s="26">
        <v>0</v>
      </c>
      <c r="Q261" s="26">
        <v>0</v>
      </c>
      <c r="R261" s="26">
        <v>0</v>
      </c>
      <c r="S261" s="26">
        <v>0</v>
      </c>
      <c r="T261" s="26">
        <v>0</v>
      </c>
      <c r="U261" s="26">
        <v>0</v>
      </c>
      <c r="V261" s="26">
        <v>0</v>
      </c>
      <c r="W261" s="26">
        <v>0</v>
      </c>
      <c r="X261" s="26">
        <v>0</v>
      </c>
      <c r="Y261" s="26">
        <v>0</v>
      </c>
      <c r="Z261" s="26">
        <f t="shared" si="74"/>
        <v>0</v>
      </c>
      <c r="AA261" s="95"/>
      <c r="AB261" s="95"/>
      <c r="AC261" s="95"/>
      <c r="AD261" s="95"/>
      <c r="AE261" s="95"/>
      <c r="AF261" s="95"/>
      <c r="AG261" s="95"/>
      <c r="AH261" s="95"/>
      <c r="AI261" s="95"/>
      <c r="AJ261" s="95"/>
      <c r="AK261" s="95"/>
      <c r="AL261" s="95"/>
      <c r="AM261" s="95"/>
      <c r="AN261" s="96"/>
      <c r="AO261" s="96"/>
      <c r="AP261" s="96"/>
      <c r="AQ261" s="96"/>
      <c r="AR261" s="96"/>
      <c r="AS261" s="96"/>
      <c r="AT261" s="96"/>
      <c r="AU261" s="96"/>
      <c r="AV261" s="96"/>
      <c r="AW261" s="96"/>
      <c r="AX261" s="96"/>
      <c r="AY261" s="96"/>
      <c r="AZ261" s="96"/>
      <c r="BA261" s="96"/>
    </row>
    <row r="262" spans="1:53" s="97" customFormat="1" ht="12" customHeight="1">
      <c r="A262" s="8">
        <v>214020203</v>
      </c>
      <c r="B262" s="8" t="s">
        <v>745</v>
      </c>
      <c r="C262" s="80">
        <f>+VLOOKUP(A262,Clasificaciones!C:I,5,FALSE)</f>
        <v>-5061518</v>
      </c>
      <c r="D262" s="80">
        <f>+E517</f>
        <v>0</v>
      </c>
      <c r="E262" s="80">
        <v>0</v>
      </c>
      <c r="F262" s="80">
        <f>VLOOKUP(A262,Clasificaciones!C:M,9,FALSE)</f>
        <v>-9036062</v>
      </c>
      <c r="G262" s="80">
        <f t="shared" si="72"/>
        <v>3974544</v>
      </c>
      <c r="H262" s="26">
        <v>0</v>
      </c>
      <c r="I262" s="26">
        <v>0</v>
      </c>
      <c r="J262" s="26">
        <v>0</v>
      </c>
      <c r="K262" s="26">
        <v>0</v>
      </c>
      <c r="L262" s="26">
        <f>-G262</f>
        <v>-3974544</v>
      </c>
      <c r="M262" s="26"/>
      <c r="N262" s="26">
        <v>0</v>
      </c>
      <c r="O262" s="26">
        <v>0</v>
      </c>
      <c r="P262" s="26">
        <v>0</v>
      </c>
      <c r="Q262" s="26">
        <v>0</v>
      </c>
      <c r="R262" s="26">
        <v>0</v>
      </c>
      <c r="S262" s="26">
        <v>0</v>
      </c>
      <c r="T262" s="26">
        <v>0</v>
      </c>
      <c r="U262" s="26">
        <v>0</v>
      </c>
      <c r="V262" s="26">
        <v>0</v>
      </c>
      <c r="W262" s="26">
        <v>0</v>
      </c>
      <c r="X262" s="26">
        <v>0</v>
      </c>
      <c r="Y262" s="26">
        <v>0</v>
      </c>
      <c r="Z262" s="26">
        <f t="shared" si="74"/>
        <v>0</v>
      </c>
      <c r="AA262" s="95"/>
      <c r="AB262" s="95"/>
      <c r="AC262" s="95"/>
      <c r="AD262" s="95"/>
      <c r="AE262" s="95"/>
      <c r="AF262" s="95"/>
      <c r="AG262" s="95"/>
      <c r="AH262" s="95"/>
      <c r="AI262" s="95"/>
      <c r="AJ262" s="95"/>
      <c r="AK262" s="95"/>
      <c r="AL262" s="95"/>
      <c r="AM262" s="95"/>
      <c r="AN262" s="96"/>
      <c r="AO262" s="96"/>
      <c r="AP262" s="96"/>
      <c r="AQ262" s="96"/>
      <c r="AR262" s="96"/>
      <c r="AS262" s="96"/>
      <c r="AT262" s="96"/>
      <c r="AU262" s="96"/>
      <c r="AV262" s="96"/>
      <c r="AW262" s="96"/>
      <c r="AX262" s="96"/>
      <c r="AY262" s="96"/>
      <c r="AZ262" s="96"/>
      <c r="BA262" s="96"/>
    </row>
    <row r="263" spans="1:53" s="97" customFormat="1" ht="12" customHeight="1">
      <c r="A263" s="8">
        <v>2140203</v>
      </c>
      <c r="B263" s="8" t="s">
        <v>746</v>
      </c>
      <c r="C263" s="80">
        <f>+VLOOKUP(A263,Clasificaciones!C:I,5,FALSE)</f>
        <v>-6</v>
      </c>
      <c r="D263" s="80">
        <v>0</v>
      </c>
      <c r="E263" s="80">
        <v>0</v>
      </c>
      <c r="F263" s="80">
        <f>VLOOKUP(A263,Clasificaciones!C:M,9,FALSE)</f>
        <v>-16334400</v>
      </c>
      <c r="G263" s="80">
        <f t="shared" si="72"/>
        <v>16334394</v>
      </c>
      <c r="H263" s="26">
        <v>0</v>
      </c>
      <c r="I263" s="26">
        <v>0</v>
      </c>
      <c r="J263" s="26"/>
      <c r="K263" s="26">
        <v>0</v>
      </c>
      <c r="L263" s="26">
        <f>-G263</f>
        <v>-16334394</v>
      </c>
      <c r="M263" s="26">
        <v>0</v>
      </c>
      <c r="N263" s="26">
        <v>0</v>
      </c>
      <c r="O263" s="26">
        <v>0</v>
      </c>
      <c r="P263" s="26">
        <v>0</v>
      </c>
      <c r="Q263" s="26">
        <v>0</v>
      </c>
      <c r="R263" s="26">
        <v>0</v>
      </c>
      <c r="S263" s="26">
        <v>0</v>
      </c>
      <c r="T263" s="26">
        <v>0</v>
      </c>
      <c r="U263" s="26">
        <v>0</v>
      </c>
      <c r="V263" s="26">
        <v>0</v>
      </c>
      <c r="W263" s="26">
        <v>0</v>
      </c>
      <c r="X263" s="26">
        <v>0</v>
      </c>
      <c r="Y263" s="26">
        <v>0</v>
      </c>
      <c r="Z263" s="26">
        <f t="shared" si="74"/>
        <v>0</v>
      </c>
      <c r="AA263" s="95"/>
      <c r="AB263" s="95"/>
      <c r="AC263" s="95"/>
      <c r="AD263" s="95"/>
      <c r="AE263" s="95"/>
      <c r="AF263" s="95"/>
      <c r="AG263" s="95"/>
      <c r="AH263" s="95"/>
      <c r="AI263" s="95"/>
      <c r="AJ263" s="95"/>
      <c r="AK263" s="95"/>
      <c r="AL263" s="95"/>
      <c r="AM263" s="95"/>
      <c r="AN263" s="96"/>
      <c r="AO263" s="96"/>
      <c r="AP263" s="96"/>
      <c r="AQ263" s="96"/>
      <c r="AR263" s="96"/>
      <c r="AS263" s="96"/>
      <c r="AT263" s="96"/>
      <c r="AU263" s="96"/>
      <c r="AV263" s="96"/>
      <c r="AW263" s="96"/>
      <c r="AX263" s="96"/>
      <c r="AY263" s="96"/>
      <c r="AZ263" s="96"/>
      <c r="BA263" s="96"/>
    </row>
    <row r="264" spans="1:53" s="97" customFormat="1" ht="12" customHeight="1">
      <c r="A264" s="8">
        <v>2140204</v>
      </c>
      <c r="B264" s="8" t="s">
        <v>747</v>
      </c>
      <c r="C264" s="80">
        <f>+VLOOKUP(A264,Clasificaciones!C:I,5,FALSE)</f>
        <v>0</v>
      </c>
      <c r="D264" s="80">
        <v>0</v>
      </c>
      <c r="E264" s="80">
        <v>0</v>
      </c>
      <c r="F264" s="80">
        <f>VLOOKUP(A264,Clasificaciones!C:M,9,FALSE)</f>
        <v>0</v>
      </c>
      <c r="G264" s="80">
        <f t="shared" si="72"/>
        <v>0</v>
      </c>
      <c r="H264" s="26">
        <v>0</v>
      </c>
      <c r="I264" s="26">
        <v>0</v>
      </c>
      <c r="J264" s="26"/>
      <c r="K264" s="26">
        <v>0</v>
      </c>
      <c r="L264" s="26">
        <f>-G264</f>
        <v>0</v>
      </c>
      <c r="M264" s="26">
        <v>0</v>
      </c>
      <c r="N264" s="26">
        <v>0</v>
      </c>
      <c r="O264" s="26">
        <v>0</v>
      </c>
      <c r="P264" s="26">
        <v>0</v>
      </c>
      <c r="Q264" s="26">
        <v>0</v>
      </c>
      <c r="R264" s="26">
        <v>0</v>
      </c>
      <c r="S264" s="26">
        <v>0</v>
      </c>
      <c r="T264" s="26">
        <v>0</v>
      </c>
      <c r="U264" s="26">
        <v>0</v>
      </c>
      <c r="V264" s="26">
        <v>0</v>
      </c>
      <c r="W264" s="26">
        <v>0</v>
      </c>
      <c r="X264" s="26">
        <v>0</v>
      </c>
      <c r="Y264" s="26">
        <v>0</v>
      </c>
      <c r="Z264" s="26">
        <f t="shared" si="74"/>
        <v>0</v>
      </c>
      <c r="AA264" s="95"/>
      <c r="AB264" s="95"/>
      <c r="AC264" s="95"/>
      <c r="AD264" s="95"/>
      <c r="AE264" s="95"/>
      <c r="AF264" s="95"/>
      <c r="AG264" s="95"/>
      <c r="AH264" s="95"/>
      <c r="AI264" s="95"/>
      <c r="AJ264" s="95"/>
      <c r="AK264" s="95"/>
      <c r="AL264" s="95"/>
      <c r="AM264" s="95"/>
      <c r="AN264" s="96"/>
      <c r="AO264" s="96"/>
      <c r="AP264" s="96"/>
      <c r="AQ264" s="96"/>
      <c r="AR264" s="96"/>
      <c r="AS264" s="96"/>
      <c r="AT264" s="96"/>
      <c r="AU264" s="96"/>
      <c r="AV264" s="96"/>
      <c r="AW264" s="96"/>
      <c r="AX264" s="96"/>
      <c r="AY264" s="96"/>
      <c r="AZ264" s="96"/>
      <c r="BA264" s="96"/>
    </row>
    <row r="265" spans="1:53" s="94" customFormat="1" ht="12" customHeight="1">
      <c r="A265" s="8">
        <v>21404</v>
      </c>
      <c r="B265" s="8" t="s">
        <v>748</v>
      </c>
      <c r="C265" s="80">
        <f>+VLOOKUP(A265,Clasificaciones!C:I,5,FALSE)</f>
        <v>0</v>
      </c>
      <c r="D265" s="80">
        <v>0</v>
      </c>
      <c r="E265" s="80">
        <v>0</v>
      </c>
      <c r="F265" s="80">
        <f>VLOOKUP(A265,Clasificaciones!C:M,9,FALSE)</f>
        <v>0</v>
      </c>
      <c r="G265" s="80">
        <f t="shared" si="72"/>
        <v>0</v>
      </c>
      <c r="H265" s="26">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c r="Z265" s="26">
        <f t="shared" si="74"/>
        <v>0</v>
      </c>
      <c r="AA265" s="98"/>
      <c r="AB265" s="98"/>
      <c r="AC265" s="98"/>
      <c r="AD265" s="98"/>
      <c r="AE265" s="98"/>
      <c r="AF265" s="98"/>
      <c r="AG265" s="98"/>
      <c r="AH265" s="98"/>
      <c r="AI265" s="98"/>
      <c r="AJ265" s="98"/>
      <c r="AK265" s="98"/>
      <c r="AL265" s="98"/>
      <c r="AM265" s="98"/>
      <c r="AN265" s="93"/>
      <c r="AO265" s="93"/>
      <c r="AP265" s="93"/>
      <c r="AQ265" s="93"/>
      <c r="AR265" s="93"/>
      <c r="AS265" s="93"/>
      <c r="AT265" s="93"/>
      <c r="AU265" s="93"/>
      <c r="AV265" s="93"/>
      <c r="AW265" s="93"/>
      <c r="AX265" s="93"/>
      <c r="AY265" s="93"/>
      <c r="AZ265" s="93"/>
      <c r="BA265" s="93"/>
    </row>
    <row r="266" spans="1:53" s="97" customFormat="1" ht="12" customHeight="1">
      <c r="A266" s="8">
        <v>2140402</v>
      </c>
      <c r="B266" s="8" t="s">
        <v>158</v>
      </c>
      <c r="C266" s="80">
        <f>+VLOOKUP(A266,Clasificaciones!C:I,5,FALSE)</f>
        <v>0</v>
      </c>
      <c r="D266" s="80">
        <v>0</v>
      </c>
      <c r="E266" s="80">
        <v>0</v>
      </c>
      <c r="F266" s="80">
        <f>VLOOKUP(A266,Clasificaciones!C:M,9,FALSE)</f>
        <v>0</v>
      </c>
      <c r="G266" s="80">
        <f t="shared" si="72"/>
        <v>0</v>
      </c>
      <c r="H266" s="26">
        <v>0</v>
      </c>
      <c r="I266" s="26">
        <v>0</v>
      </c>
      <c r="J266" s="26">
        <f>-G266</f>
        <v>0</v>
      </c>
      <c r="K266" s="26">
        <v>0</v>
      </c>
      <c r="L266" s="26">
        <v>0</v>
      </c>
      <c r="M266" s="26">
        <v>0</v>
      </c>
      <c r="N266" s="26">
        <v>0</v>
      </c>
      <c r="O266" s="26">
        <v>0</v>
      </c>
      <c r="P266" s="26">
        <v>0</v>
      </c>
      <c r="Q266" s="26">
        <v>0</v>
      </c>
      <c r="R266" s="26">
        <v>0</v>
      </c>
      <c r="S266" s="26">
        <v>0</v>
      </c>
      <c r="T266" s="26">
        <v>0</v>
      </c>
      <c r="U266" s="26">
        <v>0</v>
      </c>
      <c r="V266" s="26">
        <v>0</v>
      </c>
      <c r="W266" s="26">
        <v>0</v>
      </c>
      <c r="X266" s="26">
        <v>0</v>
      </c>
      <c r="Y266" s="26">
        <v>0</v>
      </c>
      <c r="Z266" s="26">
        <f t="shared" si="74"/>
        <v>0</v>
      </c>
      <c r="AA266" s="95"/>
      <c r="AB266" s="95"/>
      <c r="AC266" s="95"/>
      <c r="AD266" s="95"/>
      <c r="AE266" s="95"/>
      <c r="AF266" s="95"/>
      <c r="AG266" s="95"/>
      <c r="AH266" s="95"/>
      <c r="AI266" s="95"/>
      <c r="AJ266" s="95"/>
      <c r="AK266" s="95"/>
      <c r="AL266" s="95"/>
      <c r="AM266" s="95"/>
      <c r="AN266" s="96"/>
      <c r="AO266" s="96"/>
      <c r="AP266" s="96"/>
      <c r="AQ266" s="96"/>
      <c r="AR266" s="96"/>
      <c r="AS266" s="96"/>
      <c r="AT266" s="96"/>
      <c r="AU266" s="96"/>
      <c r="AV266" s="96"/>
      <c r="AW266" s="96"/>
      <c r="AX266" s="96"/>
      <c r="AY266" s="96"/>
      <c r="AZ266" s="96"/>
      <c r="BA266" s="96"/>
    </row>
    <row r="267" spans="1:53" s="97" customFormat="1" ht="12" customHeight="1">
      <c r="A267" s="8">
        <v>2140403</v>
      </c>
      <c r="B267" s="8" t="s">
        <v>159</v>
      </c>
      <c r="C267" s="80">
        <f>+VLOOKUP(A267,Clasificaciones!C:I,5,FALSE)</f>
        <v>-24539897</v>
      </c>
      <c r="D267" s="80">
        <v>0</v>
      </c>
      <c r="E267" s="80">
        <v>0</v>
      </c>
      <c r="F267" s="80">
        <f>VLOOKUP(A267,Clasificaciones!C:M,9,FALSE)</f>
        <v>0</v>
      </c>
      <c r="G267" s="80">
        <f t="shared" si="72"/>
        <v>-24539897</v>
      </c>
      <c r="H267" s="26">
        <v>0</v>
      </c>
      <c r="I267" s="26">
        <v>0</v>
      </c>
      <c r="J267" s="26">
        <v>0</v>
      </c>
      <c r="K267" s="26">
        <v>0</v>
      </c>
      <c r="L267" s="26">
        <f t="shared" ref="L267:L276" si="84">-G267</f>
        <v>24539897</v>
      </c>
      <c r="M267" s="26">
        <v>0</v>
      </c>
      <c r="N267" s="26">
        <v>0</v>
      </c>
      <c r="O267" s="26">
        <v>0</v>
      </c>
      <c r="P267" s="26">
        <v>0</v>
      </c>
      <c r="Q267" s="26">
        <v>0</v>
      </c>
      <c r="R267" s="26">
        <v>0</v>
      </c>
      <c r="S267" s="26">
        <v>0</v>
      </c>
      <c r="T267" s="26">
        <v>0</v>
      </c>
      <c r="U267" s="26">
        <v>0</v>
      </c>
      <c r="V267" s="26">
        <v>0</v>
      </c>
      <c r="W267" s="26">
        <v>0</v>
      </c>
      <c r="X267" s="26">
        <v>0</v>
      </c>
      <c r="Y267" s="26">
        <v>0</v>
      </c>
      <c r="Z267" s="26">
        <f t="shared" si="74"/>
        <v>0</v>
      </c>
      <c r="AA267" s="95"/>
      <c r="AB267" s="95"/>
      <c r="AC267" s="95"/>
      <c r="AD267" s="95"/>
      <c r="AE267" s="95"/>
      <c r="AF267" s="95"/>
      <c r="AG267" s="95"/>
      <c r="AH267" s="95"/>
      <c r="AI267" s="95"/>
      <c r="AJ267" s="95"/>
      <c r="AK267" s="95"/>
      <c r="AL267" s="95"/>
      <c r="AM267" s="95"/>
      <c r="AN267" s="96"/>
      <c r="AO267" s="96"/>
      <c r="AP267" s="96"/>
      <c r="AQ267" s="96"/>
      <c r="AR267" s="96"/>
      <c r="AS267" s="96"/>
      <c r="AT267" s="96"/>
      <c r="AU267" s="96"/>
      <c r="AV267" s="96"/>
      <c r="AW267" s="96"/>
      <c r="AX267" s="96"/>
      <c r="AY267" s="96"/>
      <c r="AZ267" s="96"/>
      <c r="BA267" s="96"/>
    </row>
    <row r="268" spans="1:53" s="97" customFormat="1" ht="12" customHeight="1">
      <c r="A268" s="8">
        <v>2140404</v>
      </c>
      <c r="B268" s="8" t="s">
        <v>160</v>
      </c>
      <c r="C268" s="80">
        <f>+VLOOKUP(A268,Clasificaciones!C:I,5,FALSE)</f>
        <v>-82041644</v>
      </c>
      <c r="D268" s="80">
        <v>0</v>
      </c>
      <c r="E268" s="80">
        <v>0</v>
      </c>
      <c r="F268" s="80">
        <f>VLOOKUP(A268,Clasificaciones!C:M,9,FALSE)</f>
        <v>-70938000</v>
      </c>
      <c r="G268" s="80">
        <f t="shared" si="72"/>
        <v>-11103644</v>
      </c>
      <c r="H268" s="26">
        <v>0</v>
      </c>
      <c r="I268" s="26">
        <v>0</v>
      </c>
      <c r="J268" s="26"/>
      <c r="K268" s="26">
        <v>0</v>
      </c>
      <c r="L268" s="26">
        <f t="shared" si="84"/>
        <v>11103644</v>
      </c>
      <c r="M268" s="26">
        <v>0</v>
      </c>
      <c r="N268" s="26">
        <v>0</v>
      </c>
      <c r="O268" s="26">
        <v>0</v>
      </c>
      <c r="P268" s="26">
        <v>0</v>
      </c>
      <c r="Q268" s="26">
        <v>0</v>
      </c>
      <c r="R268" s="26">
        <v>0</v>
      </c>
      <c r="S268" s="26">
        <v>0</v>
      </c>
      <c r="T268" s="26">
        <v>0</v>
      </c>
      <c r="U268" s="26">
        <v>0</v>
      </c>
      <c r="V268" s="26">
        <v>0</v>
      </c>
      <c r="W268" s="26">
        <v>0</v>
      </c>
      <c r="X268" s="26">
        <v>0</v>
      </c>
      <c r="Y268" s="26">
        <v>0</v>
      </c>
      <c r="Z268" s="26">
        <f t="shared" si="74"/>
        <v>0</v>
      </c>
      <c r="AA268" s="95"/>
      <c r="AB268" s="95"/>
      <c r="AC268" s="95"/>
      <c r="AD268" s="95"/>
      <c r="AE268" s="95"/>
      <c r="AF268" s="95"/>
      <c r="AG268" s="95"/>
      <c r="AH268" s="95"/>
      <c r="AI268" s="95"/>
      <c r="AJ268" s="95"/>
      <c r="AK268" s="95"/>
      <c r="AL268" s="95"/>
      <c r="AM268" s="95"/>
      <c r="AN268" s="96"/>
      <c r="AO268" s="96"/>
      <c r="AP268" s="96"/>
      <c r="AQ268" s="96"/>
      <c r="AR268" s="96"/>
      <c r="AS268" s="96"/>
      <c r="AT268" s="96"/>
      <c r="AU268" s="96"/>
      <c r="AV268" s="96"/>
      <c r="AW268" s="96"/>
      <c r="AX268" s="96"/>
      <c r="AY268" s="96"/>
      <c r="AZ268" s="96"/>
      <c r="BA268" s="96"/>
    </row>
    <row r="269" spans="1:53" s="97" customFormat="1" ht="12" customHeight="1">
      <c r="A269" s="8">
        <v>2140406</v>
      </c>
      <c r="B269" s="8" t="s">
        <v>749</v>
      </c>
      <c r="C269" s="80">
        <f>+VLOOKUP(A269,Clasificaciones!C:I,5,FALSE)</f>
        <v>0</v>
      </c>
      <c r="D269" s="80">
        <v>0</v>
      </c>
      <c r="E269" s="80">
        <v>0</v>
      </c>
      <c r="F269" s="80">
        <f>VLOOKUP(A269,Clasificaciones!C:M,9,FALSE)</f>
        <v>0</v>
      </c>
      <c r="G269" s="80">
        <f t="shared" si="72"/>
        <v>0</v>
      </c>
      <c r="H269" s="26">
        <v>0</v>
      </c>
      <c r="I269" s="26">
        <v>0</v>
      </c>
      <c r="J269" s="26">
        <v>0</v>
      </c>
      <c r="K269" s="26">
        <v>0</v>
      </c>
      <c r="L269" s="26">
        <f t="shared" si="84"/>
        <v>0</v>
      </c>
      <c r="M269" s="26">
        <v>0</v>
      </c>
      <c r="N269" s="26">
        <v>0</v>
      </c>
      <c r="O269" s="26">
        <v>0</v>
      </c>
      <c r="P269" s="26">
        <v>0</v>
      </c>
      <c r="Q269" s="26">
        <v>0</v>
      </c>
      <c r="R269" s="26">
        <v>0</v>
      </c>
      <c r="S269" s="26">
        <v>0</v>
      </c>
      <c r="T269" s="26">
        <v>0</v>
      </c>
      <c r="U269" s="26">
        <v>0</v>
      </c>
      <c r="V269" s="26">
        <v>0</v>
      </c>
      <c r="W269" s="26">
        <v>0</v>
      </c>
      <c r="X269" s="26">
        <v>0</v>
      </c>
      <c r="Y269" s="26">
        <v>0</v>
      </c>
      <c r="Z269" s="26">
        <f t="shared" si="74"/>
        <v>0</v>
      </c>
      <c r="AA269" s="95"/>
      <c r="AB269" s="95"/>
      <c r="AC269" s="95"/>
      <c r="AD269" s="95"/>
      <c r="AE269" s="95"/>
      <c r="AF269" s="95"/>
      <c r="AG269" s="95"/>
      <c r="AH269" s="95"/>
      <c r="AI269" s="95"/>
      <c r="AJ269" s="95"/>
      <c r="AK269" s="95"/>
      <c r="AL269" s="95"/>
      <c r="AM269" s="95"/>
      <c r="AN269" s="96"/>
      <c r="AO269" s="96"/>
      <c r="AP269" s="96"/>
      <c r="AQ269" s="96"/>
      <c r="AR269" s="96"/>
      <c r="AS269" s="96"/>
      <c r="AT269" s="96"/>
      <c r="AU269" s="96"/>
      <c r="AV269" s="96"/>
      <c r="AW269" s="96"/>
      <c r="AX269" s="96"/>
      <c r="AY269" s="96"/>
      <c r="AZ269" s="96"/>
      <c r="BA269" s="96"/>
    </row>
    <row r="270" spans="1:53" s="94" customFormat="1" ht="12" customHeight="1">
      <c r="A270" s="8">
        <v>2140407</v>
      </c>
      <c r="B270" s="8" t="s">
        <v>293</v>
      </c>
      <c r="C270" s="80">
        <f>+VLOOKUP(A270,Clasificaciones!C:I,5,FALSE)</f>
        <v>-100635995</v>
      </c>
      <c r="D270" s="80">
        <v>0</v>
      </c>
      <c r="E270" s="80">
        <v>0</v>
      </c>
      <c r="F270" s="80">
        <f>VLOOKUP(A270,Clasificaciones!C:M,9,FALSE)</f>
        <v>0</v>
      </c>
      <c r="G270" s="80">
        <f t="shared" si="72"/>
        <v>-100635995</v>
      </c>
      <c r="H270" s="26">
        <v>0</v>
      </c>
      <c r="I270" s="26">
        <v>0</v>
      </c>
      <c r="J270" s="26">
        <v>0</v>
      </c>
      <c r="K270" s="26">
        <v>0</v>
      </c>
      <c r="L270" s="26">
        <f t="shared" si="84"/>
        <v>100635995</v>
      </c>
      <c r="M270" s="26">
        <v>0</v>
      </c>
      <c r="N270" s="26">
        <v>0</v>
      </c>
      <c r="O270" s="26">
        <v>0</v>
      </c>
      <c r="P270" s="26">
        <v>0</v>
      </c>
      <c r="Q270" s="26">
        <v>0</v>
      </c>
      <c r="R270" s="26">
        <v>0</v>
      </c>
      <c r="S270" s="26">
        <v>0</v>
      </c>
      <c r="T270" s="26">
        <v>0</v>
      </c>
      <c r="U270" s="26">
        <v>0</v>
      </c>
      <c r="V270" s="26">
        <v>0</v>
      </c>
      <c r="W270" s="26">
        <v>0</v>
      </c>
      <c r="X270" s="26">
        <v>0</v>
      </c>
      <c r="Y270" s="26">
        <v>0</v>
      </c>
      <c r="Z270" s="26">
        <f t="shared" si="74"/>
        <v>0</v>
      </c>
      <c r="AA270" s="98"/>
      <c r="AB270" s="98"/>
      <c r="AC270" s="98"/>
      <c r="AD270" s="98"/>
      <c r="AE270" s="98"/>
      <c r="AF270" s="98"/>
      <c r="AG270" s="98"/>
      <c r="AH270" s="98"/>
      <c r="AI270" s="98"/>
      <c r="AJ270" s="98"/>
      <c r="AK270" s="98"/>
      <c r="AL270" s="98"/>
      <c r="AM270" s="98"/>
      <c r="AN270" s="93"/>
      <c r="AO270" s="93"/>
      <c r="AP270" s="93"/>
      <c r="AQ270" s="93"/>
      <c r="AR270" s="93"/>
      <c r="AS270" s="93"/>
      <c r="AT270" s="93"/>
      <c r="AU270" s="93"/>
      <c r="AV270" s="93"/>
      <c r="AW270" s="93"/>
      <c r="AX270" s="93"/>
      <c r="AY270" s="93"/>
      <c r="AZ270" s="93"/>
      <c r="BA270" s="93"/>
    </row>
    <row r="271" spans="1:53" s="94" customFormat="1" ht="12" customHeight="1">
      <c r="A271" s="8">
        <v>2140408</v>
      </c>
      <c r="B271" s="8" t="s">
        <v>294</v>
      </c>
      <c r="C271" s="80">
        <f>+VLOOKUP(A271,Clasificaciones!C:I,5,FALSE)</f>
        <v>-4056686</v>
      </c>
      <c r="D271" s="80">
        <v>0</v>
      </c>
      <c r="E271" s="80">
        <v>0</v>
      </c>
      <c r="F271" s="80">
        <f>VLOOKUP(A271,Clasificaciones!C:M,9,FALSE)</f>
        <v>0</v>
      </c>
      <c r="G271" s="80">
        <f t="shared" si="72"/>
        <v>-4056686</v>
      </c>
      <c r="H271" s="26">
        <v>0</v>
      </c>
      <c r="I271" s="26">
        <v>0</v>
      </c>
      <c r="J271" s="26">
        <v>0</v>
      </c>
      <c r="K271" s="26">
        <v>0</v>
      </c>
      <c r="L271" s="26">
        <f t="shared" si="84"/>
        <v>4056686</v>
      </c>
      <c r="M271" s="26">
        <v>0</v>
      </c>
      <c r="N271" s="26">
        <v>0</v>
      </c>
      <c r="O271" s="26">
        <v>0</v>
      </c>
      <c r="P271" s="26">
        <v>0</v>
      </c>
      <c r="Q271" s="26">
        <v>0</v>
      </c>
      <c r="R271" s="26">
        <v>0</v>
      </c>
      <c r="S271" s="26">
        <v>0</v>
      </c>
      <c r="T271" s="26">
        <v>0</v>
      </c>
      <c r="U271" s="26">
        <v>0</v>
      </c>
      <c r="V271" s="26">
        <v>0</v>
      </c>
      <c r="W271" s="26">
        <v>0</v>
      </c>
      <c r="X271" s="26">
        <v>0</v>
      </c>
      <c r="Y271" s="26">
        <v>0</v>
      </c>
      <c r="Z271" s="26">
        <f t="shared" si="74"/>
        <v>0</v>
      </c>
      <c r="AA271" s="98"/>
      <c r="AB271" s="98"/>
      <c r="AC271" s="98"/>
      <c r="AD271" s="98"/>
      <c r="AE271" s="98"/>
      <c r="AF271" s="98"/>
      <c r="AG271" s="98"/>
      <c r="AH271" s="98"/>
      <c r="AI271" s="98"/>
      <c r="AJ271" s="98"/>
      <c r="AK271" s="98"/>
      <c r="AL271" s="98"/>
      <c r="AM271" s="98"/>
      <c r="AN271" s="93"/>
      <c r="AO271" s="93"/>
      <c r="AP271" s="93"/>
      <c r="AQ271" s="93"/>
      <c r="AR271" s="93"/>
      <c r="AS271" s="93"/>
      <c r="AT271" s="93"/>
      <c r="AU271" s="93"/>
      <c r="AV271" s="93"/>
      <c r="AW271" s="93"/>
      <c r="AX271" s="93"/>
      <c r="AY271" s="93"/>
      <c r="AZ271" s="93"/>
      <c r="BA271" s="93"/>
    </row>
    <row r="272" spans="1:53" s="97" customFormat="1" ht="12" customHeight="1">
      <c r="A272" s="8">
        <v>2140410</v>
      </c>
      <c r="B272" s="8" t="s">
        <v>296</v>
      </c>
      <c r="C272" s="80">
        <f>+VLOOKUP(A272,Clasificaciones!C:I,5,FALSE)</f>
        <v>-2500000</v>
      </c>
      <c r="D272" s="80">
        <v>0</v>
      </c>
      <c r="E272" s="80">
        <v>0</v>
      </c>
      <c r="F272" s="80">
        <f>VLOOKUP(A272,Clasificaciones!C:M,9,FALSE)</f>
        <v>0</v>
      </c>
      <c r="G272" s="80">
        <f t="shared" si="72"/>
        <v>-2500000</v>
      </c>
      <c r="H272" s="26">
        <v>0</v>
      </c>
      <c r="I272" s="26">
        <v>0</v>
      </c>
      <c r="J272" s="26">
        <v>0</v>
      </c>
      <c r="K272" s="26">
        <v>0</v>
      </c>
      <c r="L272" s="26">
        <f t="shared" si="84"/>
        <v>2500000</v>
      </c>
      <c r="M272" s="26">
        <v>0</v>
      </c>
      <c r="N272" s="26">
        <v>0</v>
      </c>
      <c r="O272" s="26">
        <v>0</v>
      </c>
      <c r="P272" s="26">
        <v>0</v>
      </c>
      <c r="Q272" s="26">
        <v>0</v>
      </c>
      <c r="R272" s="26">
        <v>0</v>
      </c>
      <c r="S272" s="26">
        <v>0</v>
      </c>
      <c r="T272" s="26">
        <v>0</v>
      </c>
      <c r="U272" s="26">
        <v>0</v>
      </c>
      <c r="V272" s="26">
        <v>0</v>
      </c>
      <c r="W272" s="26">
        <v>0</v>
      </c>
      <c r="X272" s="26">
        <v>0</v>
      </c>
      <c r="Y272" s="26">
        <v>0</v>
      </c>
      <c r="Z272" s="26">
        <f t="shared" si="74"/>
        <v>0</v>
      </c>
      <c r="AA272" s="95"/>
      <c r="AB272" s="95"/>
      <c r="AC272" s="95"/>
      <c r="AD272" s="95"/>
      <c r="AE272" s="95"/>
      <c r="AF272" s="95"/>
      <c r="AG272" s="95"/>
      <c r="AH272" s="95"/>
      <c r="AI272" s="95"/>
      <c r="AJ272" s="95"/>
      <c r="AK272" s="95"/>
      <c r="AL272" s="95"/>
      <c r="AM272" s="95"/>
      <c r="AN272" s="96"/>
      <c r="AO272" s="96"/>
      <c r="AP272" s="96"/>
      <c r="AQ272" s="96"/>
      <c r="AR272" s="96"/>
      <c r="AS272" s="96"/>
      <c r="AT272" s="96"/>
      <c r="AU272" s="96"/>
      <c r="AV272" s="96"/>
      <c r="AW272" s="96"/>
      <c r="AX272" s="96"/>
      <c r="AY272" s="96"/>
      <c r="AZ272" s="96"/>
      <c r="BA272" s="96"/>
    </row>
    <row r="273" spans="1:53" s="97" customFormat="1" ht="12" customHeight="1">
      <c r="A273" s="8">
        <v>2140411</v>
      </c>
      <c r="B273" s="8" t="s">
        <v>297</v>
      </c>
      <c r="C273" s="80">
        <f>+VLOOKUP(A273,Clasificaciones!C:I,5,FALSE)</f>
        <v>-6363636</v>
      </c>
      <c r="D273" s="80">
        <v>0</v>
      </c>
      <c r="E273" s="80">
        <v>0</v>
      </c>
      <c r="F273" s="80">
        <f>VLOOKUP(A273,Clasificaciones!C:M,9,FALSE)</f>
        <v>0</v>
      </c>
      <c r="G273" s="80">
        <f t="shared" ref="G273" si="85">+C273-F273+D273-E273</f>
        <v>-6363636</v>
      </c>
      <c r="H273" s="26">
        <v>0</v>
      </c>
      <c r="I273" s="26">
        <v>0</v>
      </c>
      <c r="J273" s="26"/>
      <c r="K273" s="26">
        <v>0</v>
      </c>
      <c r="L273" s="26">
        <f t="shared" si="84"/>
        <v>6363636</v>
      </c>
      <c r="M273" s="26">
        <v>0</v>
      </c>
      <c r="N273" s="26">
        <v>0</v>
      </c>
      <c r="O273" s="26">
        <v>0</v>
      </c>
      <c r="P273" s="26">
        <v>0</v>
      </c>
      <c r="Q273" s="26">
        <v>0</v>
      </c>
      <c r="R273" s="26">
        <v>0</v>
      </c>
      <c r="S273" s="26">
        <v>0</v>
      </c>
      <c r="T273" s="26">
        <v>0</v>
      </c>
      <c r="U273" s="26">
        <v>0</v>
      </c>
      <c r="V273" s="26">
        <v>0</v>
      </c>
      <c r="W273" s="26">
        <v>0</v>
      </c>
      <c r="X273" s="26">
        <v>0</v>
      </c>
      <c r="Y273" s="26">
        <v>0</v>
      </c>
      <c r="Z273" s="26">
        <f t="shared" ref="Z273" si="86">SUM(G273:Y273)</f>
        <v>0</v>
      </c>
      <c r="AA273" s="95"/>
      <c r="AB273" s="95"/>
      <c r="AC273" s="95"/>
      <c r="AD273" s="95"/>
      <c r="AE273" s="95"/>
      <c r="AF273" s="95"/>
      <c r="AG273" s="95"/>
      <c r="AH273" s="95"/>
      <c r="AI273" s="95"/>
      <c r="AJ273" s="95"/>
      <c r="AK273" s="95"/>
      <c r="AL273" s="95"/>
      <c r="AM273" s="95"/>
      <c r="AN273" s="96"/>
      <c r="AO273" s="96"/>
      <c r="AP273" s="96"/>
      <c r="AQ273" s="96"/>
      <c r="AR273" s="96"/>
      <c r="AS273" s="96"/>
      <c r="AT273" s="96"/>
      <c r="AU273" s="96"/>
      <c r="AV273" s="96"/>
      <c r="AW273" s="96"/>
      <c r="AX273" s="96"/>
      <c r="AY273" s="96"/>
      <c r="AZ273" s="96"/>
      <c r="BA273" s="96"/>
    </row>
    <row r="274" spans="1:53" s="97" customFormat="1" ht="12" customHeight="1">
      <c r="A274" s="8">
        <v>2140412</v>
      </c>
      <c r="B274" s="8" t="s">
        <v>1195</v>
      </c>
      <c r="C274" s="80">
        <f>+VLOOKUP(A274,Clasificaciones!C:I,5,FALSE)</f>
        <v>-41666665</v>
      </c>
      <c r="D274" s="80">
        <v>0</v>
      </c>
      <c r="E274" s="80">
        <v>0</v>
      </c>
      <c r="F274" s="80">
        <f>VLOOKUP(A274,Clasificaciones!C:M,9,FALSE)</f>
        <v>0</v>
      </c>
      <c r="G274" s="80">
        <f t="shared" si="72"/>
        <v>-41666665</v>
      </c>
      <c r="H274" s="26">
        <v>0</v>
      </c>
      <c r="I274" s="26">
        <v>0</v>
      </c>
      <c r="J274" s="26"/>
      <c r="K274" s="26">
        <v>0</v>
      </c>
      <c r="L274" s="26">
        <f t="shared" si="84"/>
        <v>41666665</v>
      </c>
      <c r="M274" s="26">
        <v>0</v>
      </c>
      <c r="N274" s="26">
        <v>0</v>
      </c>
      <c r="O274" s="26">
        <v>0</v>
      </c>
      <c r="P274" s="26">
        <v>0</v>
      </c>
      <c r="Q274" s="26">
        <v>0</v>
      </c>
      <c r="R274" s="26">
        <v>0</v>
      </c>
      <c r="S274" s="26">
        <v>0</v>
      </c>
      <c r="T274" s="26">
        <v>0</v>
      </c>
      <c r="U274" s="26">
        <v>0</v>
      </c>
      <c r="V274" s="26">
        <v>0</v>
      </c>
      <c r="W274" s="26">
        <v>0</v>
      </c>
      <c r="X274" s="26">
        <v>0</v>
      </c>
      <c r="Y274" s="26">
        <v>0</v>
      </c>
      <c r="Z274" s="26">
        <f t="shared" si="74"/>
        <v>0</v>
      </c>
      <c r="AA274" s="95"/>
      <c r="AB274" s="95"/>
      <c r="AC274" s="95"/>
      <c r="AD274" s="95"/>
      <c r="AE274" s="95"/>
      <c r="AF274" s="95"/>
      <c r="AG274" s="95"/>
      <c r="AH274" s="95"/>
      <c r="AI274" s="95"/>
      <c r="AJ274" s="95"/>
      <c r="AK274" s="95"/>
      <c r="AL274" s="95"/>
      <c r="AM274" s="95"/>
      <c r="AN274" s="96"/>
      <c r="AO274" s="96"/>
      <c r="AP274" s="96"/>
      <c r="AQ274" s="96"/>
      <c r="AR274" s="96"/>
      <c r="AS274" s="96"/>
      <c r="AT274" s="96"/>
      <c r="AU274" s="96"/>
      <c r="AV274" s="96"/>
      <c r="AW274" s="96"/>
      <c r="AX274" s="96"/>
      <c r="AY274" s="96"/>
      <c r="AZ274" s="96"/>
      <c r="BA274" s="96"/>
    </row>
    <row r="275" spans="1:53" s="97" customFormat="1" ht="12" customHeight="1">
      <c r="A275" s="8">
        <v>2140413</v>
      </c>
      <c r="B275" s="8" t="s">
        <v>474</v>
      </c>
      <c r="C275" s="80">
        <f>+VLOOKUP(A275,Clasificaciones!C:I,5,FALSE)</f>
        <v>-1024520</v>
      </c>
      <c r="D275" s="80">
        <v>0</v>
      </c>
      <c r="E275" s="80">
        <v>0</v>
      </c>
      <c r="F275" s="80">
        <f>VLOOKUP(A275,Clasificaciones!C:M,9,FALSE)</f>
        <v>-6780241</v>
      </c>
      <c r="G275" s="80">
        <f t="shared" si="72"/>
        <v>5755721</v>
      </c>
      <c r="H275" s="26">
        <v>0</v>
      </c>
      <c r="I275" s="26">
        <v>0</v>
      </c>
      <c r="J275" s="26"/>
      <c r="K275" s="26">
        <v>0</v>
      </c>
      <c r="L275" s="26">
        <f t="shared" si="84"/>
        <v>-5755721</v>
      </c>
      <c r="M275" s="26">
        <v>0</v>
      </c>
      <c r="N275" s="26">
        <v>0</v>
      </c>
      <c r="O275" s="26">
        <v>0</v>
      </c>
      <c r="P275" s="26">
        <v>0</v>
      </c>
      <c r="Q275" s="26">
        <v>0</v>
      </c>
      <c r="R275" s="26">
        <v>0</v>
      </c>
      <c r="S275" s="26">
        <v>0</v>
      </c>
      <c r="T275" s="26">
        <v>0</v>
      </c>
      <c r="U275" s="26">
        <v>0</v>
      </c>
      <c r="V275" s="26">
        <v>0</v>
      </c>
      <c r="W275" s="26">
        <v>0</v>
      </c>
      <c r="X275" s="26">
        <v>0</v>
      </c>
      <c r="Y275" s="26">
        <v>0</v>
      </c>
      <c r="Z275" s="26">
        <f t="shared" si="74"/>
        <v>0</v>
      </c>
      <c r="AA275" s="95"/>
      <c r="AB275" s="95"/>
      <c r="AC275" s="95"/>
      <c r="AD275" s="95"/>
      <c r="AE275" s="95"/>
      <c r="AF275" s="95"/>
      <c r="AG275" s="95"/>
      <c r="AH275" s="95"/>
      <c r="AI275" s="95"/>
      <c r="AJ275" s="95"/>
      <c r="AK275" s="95"/>
      <c r="AL275" s="95"/>
      <c r="AM275" s="95"/>
      <c r="AN275" s="96"/>
      <c r="AO275" s="96"/>
      <c r="AP275" s="96"/>
      <c r="AQ275" s="96"/>
      <c r="AR275" s="96"/>
      <c r="AS275" s="96"/>
      <c r="AT275" s="96"/>
      <c r="AU275" s="96"/>
      <c r="AV275" s="96"/>
      <c r="AW275" s="96"/>
      <c r="AX275" s="96"/>
      <c r="AY275" s="96"/>
      <c r="AZ275" s="96"/>
      <c r="BA275" s="96"/>
    </row>
    <row r="276" spans="1:53" s="97" customFormat="1" ht="12" customHeight="1">
      <c r="A276" s="8">
        <v>2140414</v>
      </c>
      <c r="B276" s="8" t="s">
        <v>519</v>
      </c>
      <c r="C276" s="80">
        <f>+VLOOKUP(A276,Clasificaciones!C:I,5,FALSE)</f>
        <v>-170635</v>
      </c>
      <c r="D276" s="80">
        <v>0</v>
      </c>
      <c r="E276" s="80">
        <v>0</v>
      </c>
      <c r="F276" s="80">
        <f>VLOOKUP(A276,Clasificaciones!C:M,9,FALSE)</f>
        <v>-686536</v>
      </c>
      <c r="G276" s="80">
        <f t="shared" si="72"/>
        <v>515901</v>
      </c>
      <c r="H276" s="26">
        <v>0</v>
      </c>
      <c r="I276" s="26">
        <v>0</v>
      </c>
      <c r="J276" s="26"/>
      <c r="K276" s="26">
        <v>0</v>
      </c>
      <c r="L276" s="26">
        <f t="shared" si="84"/>
        <v>-515901</v>
      </c>
      <c r="M276" s="26">
        <v>0</v>
      </c>
      <c r="N276" s="26">
        <v>0</v>
      </c>
      <c r="O276" s="26">
        <v>0</v>
      </c>
      <c r="P276" s="26">
        <v>0</v>
      </c>
      <c r="Q276" s="26">
        <v>0</v>
      </c>
      <c r="R276" s="26">
        <v>0</v>
      </c>
      <c r="S276" s="26">
        <v>0</v>
      </c>
      <c r="T276" s="26">
        <v>0</v>
      </c>
      <c r="U276" s="26">
        <v>0</v>
      </c>
      <c r="V276" s="26">
        <v>0</v>
      </c>
      <c r="W276" s="26">
        <v>0</v>
      </c>
      <c r="X276" s="26">
        <v>0</v>
      </c>
      <c r="Y276" s="26">
        <v>0</v>
      </c>
      <c r="Z276" s="26">
        <f t="shared" si="74"/>
        <v>0</v>
      </c>
      <c r="AA276" s="95"/>
      <c r="AB276" s="95"/>
      <c r="AC276" s="95"/>
      <c r="AD276" s="95"/>
      <c r="AE276" s="95"/>
      <c r="AF276" s="95"/>
      <c r="AG276" s="95"/>
      <c r="AH276" s="95"/>
      <c r="AI276" s="95"/>
      <c r="AJ276" s="95"/>
      <c r="AK276" s="95"/>
      <c r="AL276" s="95"/>
      <c r="AM276" s="95"/>
      <c r="AN276" s="96"/>
      <c r="AO276" s="96"/>
      <c r="AP276" s="96"/>
      <c r="AQ276" s="96"/>
      <c r="AR276" s="96"/>
      <c r="AS276" s="96"/>
      <c r="AT276" s="96"/>
      <c r="AU276" s="96"/>
      <c r="AV276" s="96"/>
      <c r="AW276" s="96"/>
      <c r="AX276" s="96"/>
      <c r="AY276" s="96"/>
      <c r="AZ276" s="96"/>
      <c r="BA276" s="96"/>
    </row>
    <row r="277" spans="1:53" s="97" customFormat="1" ht="12" customHeight="1">
      <c r="A277" s="8">
        <v>2140415</v>
      </c>
      <c r="B277" s="8" t="s">
        <v>1235</v>
      </c>
      <c r="C277" s="80">
        <f>+VLOOKUP(A277,Clasificaciones!C:I,5,FALSE)</f>
        <v>-50000000</v>
      </c>
      <c r="D277" s="788">
        <f>+E503</f>
        <v>0</v>
      </c>
      <c r="E277" s="80">
        <v>0</v>
      </c>
      <c r="F277" s="80">
        <f>VLOOKUP(A277,Clasificaciones!C:M,9,FALSE)</f>
        <v>-50000000</v>
      </c>
      <c r="G277" s="80">
        <f t="shared" si="72"/>
        <v>0</v>
      </c>
      <c r="H277" s="26">
        <v>0</v>
      </c>
      <c r="I277" s="26">
        <v>0</v>
      </c>
      <c r="J277" s="26">
        <f t="shared" ref="J277" si="87">-G277</f>
        <v>0</v>
      </c>
      <c r="K277" s="26">
        <v>0</v>
      </c>
      <c r="L277" s="26">
        <v>0</v>
      </c>
      <c r="M277" s="26">
        <v>0</v>
      </c>
      <c r="N277" s="26">
        <v>0</v>
      </c>
      <c r="O277" s="26">
        <v>0</v>
      </c>
      <c r="P277" s="26">
        <v>0</v>
      </c>
      <c r="Q277" s="26">
        <v>0</v>
      </c>
      <c r="R277" s="26">
        <v>0</v>
      </c>
      <c r="S277" s="26">
        <v>0</v>
      </c>
      <c r="T277" s="26">
        <v>0</v>
      </c>
      <c r="U277" s="26">
        <v>0</v>
      </c>
      <c r="V277" s="26">
        <v>0</v>
      </c>
      <c r="W277" s="26">
        <v>0</v>
      </c>
      <c r="X277" s="26">
        <v>0</v>
      </c>
      <c r="Y277" s="26">
        <v>0</v>
      </c>
      <c r="Z277" s="26">
        <f t="shared" si="74"/>
        <v>0</v>
      </c>
      <c r="AA277" s="95"/>
      <c r="AB277" s="95"/>
      <c r="AC277" s="95"/>
      <c r="AD277" s="95"/>
      <c r="AE277" s="95"/>
      <c r="AF277" s="95"/>
      <c r="AG277" s="95"/>
      <c r="AH277" s="95"/>
      <c r="AI277" s="95"/>
      <c r="AJ277" s="95"/>
      <c r="AK277" s="95"/>
      <c r="AL277" s="95"/>
      <c r="AM277" s="95"/>
      <c r="AN277" s="96"/>
      <c r="AO277" s="96"/>
      <c r="AP277" s="96"/>
      <c r="AQ277" s="96"/>
      <c r="AR277" s="96"/>
      <c r="AS277" s="96"/>
      <c r="AT277" s="96"/>
      <c r="AU277" s="96"/>
      <c r="AV277" s="96"/>
      <c r="AW277" s="96"/>
      <c r="AX277" s="96"/>
      <c r="AY277" s="96"/>
      <c r="AZ277" s="96"/>
      <c r="BA277" s="96"/>
    </row>
    <row r="278" spans="1:53" s="97" customFormat="1" ht="12" customHeight="1">
      <c r="A278" s="8">
        <v>2140416</v>
      </c>
      <c r="B278" s="8" t="s">
        <v>1196</v>
      </c>
      <c r="C278" s="80">
        <f>+VLOOKUP(A278,Clasificaciones!C:I,5,FALSE)</f>
        <v>0</v>
      </c>
      <c r="D278" s="80">
        <v>0</v>
      </c>
      <c r="E278" s="80">
        <v>0</v>
      </c>
      <c r="F278" s="80">
        <f>VLOOKUP(A278,Clasificaciones!C:M,9,FALSE)</f>
        <v>0</v>
      </c>
      <c r="G278" s="80">
        <f t="shared" si="72"/>
        <v>0</v>
      </c>
      <c r="H278" s="26">
        <v>0</v>
      </c>
      <c r="I278" s="26">
        <v>0</v>
      </c>
      <c r="J278" s="26">
        <v>0</v>
      </c>
      <c r="K278" s="26">
        <v>0</v>
      </c>
      <c r="L278" s="26">
        <v>0</v>
      </c>
      <c r="M278" s="26">
        <v>0</v>
      </c>
      <c r="N278" s="26">
        <v>0</v>
      </c>
      <c r="O278" s="26">
        <v>0</v>
      </c>
      <c r="P278" s="26">
        <v>0</v>
      </c>
      <c r="Q278" s="26">
        <v>0</v>
      </c>
      <c r="R278" s="26">
        <f>-G278</f>
        <v>0</v>
      </c>
      <c r="S278" s="26">
        <v>0</v>
      </c>
      <c r="T278" s="26">
        <v>0</v>
      </c>
      <c r="U278" s="26">
        <v>0</v>
      </c>
      <c r="V278" s="26">
        <v>0</v>
      </c>
      <c r="W278" s="26">
        <v>0</v>
      </c>
      <c r="X278" s="26">
        <v>0</v>
      </c>
      <c r="Y278" s="26">
        <v>0</v>
      </c>
      <c r="Z278" s="26">
        <f t="shared" si="74"/>
        <v>0</v>
      </c>
      <c r="AA278" s="95"/>
      <c r="AB278" s="95"/>
      <c r="AC278" s="95"/>
      <c r="AD278" s="95"/>
      <c r="AE278" s="95"/>
      <c r="AF278" s="95"/>
      <c r="AG278" s="95"/>
      <c r="AH278" s="95"/>
      <c r="AI278" s="95"/>
      <c r="AJ278" s="95"/>
      <c r="AK278" s="95"/>
      <c r="AL278" s="95"/>
      <c r="AM278" s="95"/>
      <c r="AN278" s="96"/>
      <c r="AO278" s="96"/>
      <c r="AP278" s="96"/>
      <c r="AQ278" s="96"/>
      <c r="AR278" s="96"/>
      <c r="AS278" s="96"/>
      <c r="AT278" s="96"/>
      <c r="AU278" s="96"/>
      <c r="AV278" s="96"/>
      <c r="AW278" s="96"/>
      <c r="AX278" s="96"/>
      <c r="AY278" s="96"/>
      <c r="AZ278" s="96"/>
      <c r="BA278" s="96"/>
    </row>
    <row r="279" spans="1:53" s="97" customFormat="1" ht="12" customHeight="1">
      <c r="A279" s="8">
        <v>2140417</v>
      </c>
      <c r="B279" s="8" t="s">
        <v>1252</v>
      </c>
      <c r="C279" s="80">
        <f>+VLOOKUP(A279,Clasificaciones!C:I,5,FALSE)</f>
        <v>0</v>
      </c>
      <c r="D279" s="80">
        <v>0</v>
      </c>
      <c r="E279" s="80">
        <v>0</v>
      </c>
      <c r="F279" s="80">
        <f>VLOOKUP(A279,Clasificaciones!C:M,9,FALSE)</f>
        <v>-2899473</v>
      </c>
      <c r="G279" s="80">
        <f t="shared" ref="G279:G282" si="88">+C279-F279+D279-E279</f>
        <v>2899473</v>
      </c>
      <c r="H279" s="26">
        <v>0</v>
      </c>
      <c r="I279" s="26">
        <v>0</v>
      </c>
      <c r="J279" s="26">
        <v>0</v>
      </c>
      <c r="K279" s="26">
        <v>0</v>
      </c>
      <c r="L279" s="26">
        <v>0</v>
      </c>
      <c r="M279" s="26">
        <v>0</v>
      </c>
      <c r="N279" s="26">
        <v>0</v>
      </c>
      <c r="O279" s="26">
        <v>0</v>
      </c>
      <c r="P279" s="26">
        <v>0</v>
      </c>
      <c r="Q279" s="26">
        <v>0</v>
      </c>
      <c r="R279" s="26">
        <f t="shared" ref="R279:R282" si="89">-G279</f>
        <v>-2899473</v>
      </c>
      <c r="S279" s="26">
        <v>0</v>
      </c>
      <c r="T279" s="26">
        <v>0</v>
      </c>
      <c r="U279" s="26">
        <v>0</v>
      </c>
      <c r="V279" s="26">
        <v>0</v>
      </c>
      <c r="W279" s="26">
        <v>0</v>
      </c>
      <c r="X279" s="26">
        <v>0</v>
      </c>
      <c r="Y279" s="26">
        <v>0</v>
      </c>
      <c r="Z279" s="26">
        <f t="shared" si="74"/>
        <v>0</v>
      </c>
      <c r="AA279" s="95"/>
      <c r="AB279" s="95"/>
      <c r="AC279" s="95"/>
      <c r="AD279" s="95"/>
      <c r="AE279" s="95"/>
      <c r="AF279" s="95"/>
      <c r="AG279" s="95"/>
      <c r="AH279" s="95"/>
      <c r="AI279" s="95"/>
      <c r="AJ279" s="95"/>
      <c r="AK279" s="95"/>
      <c r="AL279" s="95"/>
      <c r="AM279" s="95"/>
      <c r="AN279" s="96"/>
      <c r="AO279" s="96"/>
      <c r="AP279" s="96"/>
      <c r="AQ279" s="96"/>
      <c r="AR279" s="96"/>
      <c r="AS279" s="96"/>
      <c r="AT279" s="96"/>
      <c r="AU279" s="96"/>
      <c r="AV279" s="96"/>
      <c r="AW279" s="96"/>
      <c r="AX279" s="96"/>
      <c r="AY279" s="96"/>
      <c r="AZ279" s="96"/>
      <c r="BA279" s="96"/>
    </row>
    <row r="280" spans="1:53" s="97" customFormat="1" ht="12" customHeight="1">
      <c r="A280" s="8">
        <v>2140418</v>
      </c>
      <c r="B280" s="8" t="s">
        <v>1253</v>
      </c>
      <c r="C280" s="80">
        <f>+VLOOKUP(A280,Clasificaciones!C:I,5,FALSE)</f>
        <v>0</v>
      </c>
      <c r="D280" s="80">
        <v>0</v>
      </c>
      <c r="E280" s="80">
        <v>0</v>
      </c>
      <c r="F280" s="80">
        <f>VLOOKUP(A280,Clasificaciones!C:M,9,FALSE)</f>
        <v>-1599181</v>
      </c>
      <c r="G280" s="80">
        <f t="shared" si="88"/>
        <v>1599181</v>
      </c>
      <c r="H280" s="26">
        <v>0</v>
      </c>
      <c r="I280" s="26">
        <v>0</v>
      </c>
      <c r="J280" s="26">
        <v>0</v>
      </c>
      <c r="K280" s="26">
        <v>0</v>
      </c>
      <c r="L280" s="26">
        <v>0</v>
      </c>
      <c r="M280" s="26">
        <v>0</v>
      </c>
      <c r="N280" s="26">
        <v>0</v>
      </c>
      <c r="O280" s="26">
        <v>0</v>
      </c>
      <c r="P280" s="26">
        <v>0</v>
      </c>
      <c r="Q280" s="26">
        <v>0</v>
      </c>
      <c r="R280" s="26">
        <f t="shared" si="89"/>
        <v>-1599181</v>
      </c>
      <c r="S280" s="26">
        <v>0</v>
      </c>
      <c r="T280" s="26">
        <v>0</v>
      </c>
      <c r="U280" s="26">
        <v>0</v>
      </c>
      <c r="V280" s="26">
        <v>0</v>
      </c>
      <c r="W280" s="26">
        <v>0</v>
      </c>
      <c r="X280" s="26">
        <v>0</v>
      </c>
      <c r="Y280" s="26">
        <v>0</v>
      </c>
      <c r="Z280" s="26">
        <f t="shared" si="74"/>
        <v>0</v>
      </c>
      <c r="AA280" s="95"/>
      <c r="AB280" s="95"/>
      <c r="AC280" s="95"/>
      <c r="AD280" s="95"/>
      <c r="AE280" s="95"/>
      <c r="AF280" s="95"/>
      <c r="AG280" s="95"/>
      <c r="AH280" s="95"/>
      <c r="AI280" s="95"/>
      <c r="AJ280" s="95"/>
      <c r="AK280" s="95"/>
      <c r="AL280" s="95"/>
      <c r="AM280" s="95"/>
      <c r="AN280" s="96"/>
      <c r="AO280" s="96"/>
      <c r="AP280" s="96"/>
      <c r="AQ280" s="96"/>
      <c r="AR280" s="96"/>
      <c r="AS280" s="96"/>
      <c r="AT280" s="96"/>
      <c r="AU280" s="96"/>
      <c r="AV280" s="96"/>
      <c r="AW280" s="96"/>
      <c r="AX280" s="96"/>
      <c r="AY280" s="96"/>
      <c r="AZ280" s="96"/>
      <c r="BA280" s="96"/>
    </row>
    <row r="281" spans="1:53" s="97" customFormat="1" ht="12" customHeight="1">
      <c r="A281" s="8">
        <v>2140419</v>
      </c>
      <c r="B281" s="8" t="s">
        <v>1254</v>
      </c>
      <c r="C281" s="80">
        <f>+VLOOKUP(A281,Clasificaciones!C:I,5,FALSE)</f>
        <v>-61635560</v>
      </c>
      <c r="D281" s="788">
        <f>+E504</f>
        <v>833340</v>
      </c>
      <c r="E281" s="80">
        <v>0</v>
      </c>
      <c r="F281" s="80">
        <f>VLOOKUP(A281,Clasificaciones!C:M,9,FALSE)</f>
        <v>-80000000</v>
      </c>
      <c r="G281" s="80">
        <f t="shared" si="88"/>
        <v>19197780</v>
      </c>
      <c r="H281" s="26">
        <v>0</v>
      </c>
      <c r="I281" s="26">
        <v>0</v>
      </c>
      <c r="J281" s="26">
        <v>0</v>
      </c>
      <c r="K281" s="26">
        <v>0</v>
      </c>
      <c r="L281" s="26">
        <v>0</v>
      </c>
      <c r="M281" s="26">
        <v>0</v>
      </c>
      <c r="N281" s="26">
        <v>0</v>
      </c>
      <c r="O281" s="26">
        <v>0</v>
      </c>
      <c r="P281" s="26">
        <v>0</v>
      </c>
      <c r="Q281" s="26">
        <v>0</v>
      </c>
      <c r="R281" s="26">
        <f t="shared" si="89"/>
        <v>-19197780</v>
      </c>
      <c r="S281" s="26">
        <v>0</v>
      </c>
      <c r="T281" s="26">
        <v>0</v>
      </c>
      <c r="U281" s="26">
        <v>0</v>
      </c>
      <c r="V281" s="26">
        <v>0</v>
      </c>
      <c r="W281" s="26">
        <v>0</v>
      </c>
      <c r="X281" s="26">
        <v>0</v>
      </c>
      <c r="Y281" s="26">
        <v>0</v>
      </c>
      <c r="Z281" s="26">
        <f t="shared" si="74"/>
        <v>0</v>
      </c>
      <c r="AA281" s="95"/>
      <c r="AB281" s="95"/>
      <c r="AC281" s="95"/>
      <c r="AD281" s="95"/>
      <c r="AE281" s="95"/>
      <c r="AF281" s="95"/>
      <c r="AG281" s="95"/>
      <c r="AH281" s="95"/>
      <c r="AI281" s="95"/>
      <c r="AJ281" s="95"/>
      <c r="AK281" s="95"/>
      <c r="AL281" s="95"/>
      <c r="AM281" s="95"/>
      <c r="AN281" s="96"/>
      <c r="AO281" s="96"/>
      <c r="AP281" s="96"/>
      <c r="AQ281" s="96"/>
      <c r="AR281" s="96"/>
      <c r="AS281" s="96"/>
      <c r="AT281" s="96"/>
      <c r="AU281" s="96"/>
      <c r="AV281" s="96"/>
      <c r="AW281" s="96"/>
      <c r="AX281" s="96"/>
      <c r="AY281" s="96"/>
      <c r="AZ281" s="96"/>
      <c r="BA281" s="96"/>
    </row>
    <row r="282" spans="1:53" s="97" customFormat="1" ht="12" customHeight="1">
      <c r="A282" s="8">
        <v>2140420</v>
      </c>
      <c r="B282" s="8" t="s">
        <v>1255</v>
      </c>
      <c r="C282" s="80">
        <f>+VLOOKUP(A282,Clasificaciones!C:I,5,FALSE)</f>
        <v>0</v>
      </c>
      <c r="D282" s="80">
        <v>0</v>
      </c>
      <c r="E282" s="80">
        <v>0</v>
      </c>
      <c r="F282" s="80">
        <f>VLOOKUP(A282,Clasificaciones!C:M,9,FALSE)</f>
        <v>-2672862</v>
      </c>
      <c r="G282" s="80">
        <f t="shared" si="88"/>
        <v>2672862</v>
      </c>
      <c r="H282" s="26">
        <v>0</v>
      </c>
      <c r="I282" s="26">
        <v>0</v>
      </c>
      <c r="J282" s="26">
        <v>0</v>
      </c>
      <c r="K282" s="26">
        <v>0</v>
      </c>
      <c r="L282" s="26">
        <v>0</v>
      </c>
      <c r="M282" s="26">
        <v>0</v>
      </c>
      <c r="N282" s="26">
        <v>0</v>
      </c>
      <c r="O282" s="26">
        <v>0</v>
      </c>
      <c r="P282" s="26">
        <v>0</v>
      </c>
      <c r="Q282" s="26">
        <v>0</v>
      </c>
      <c r="R282" s="26">
        <f t="shared" si="89"/>
        <v>-2672862</v>
      </c>
      <c r="S282" s="26">
        <v>0</v>
      </c>
      <c r="T282" s="26">
        <v>0</v>
      </c>
      <c r="U282" s="26">
        <v>0</v>
      </c>
      <c r="V282" s="26">
        <v>0</v>
      </c>
      <c r="W282" s="26">
        <v>0</v>
      </c>
      <c r="X282" s="26">
        <v>0</v>
      </c>
      <c r="Y282" s="26">
        <v>0</v>
      </c>
      <c r="Z282" s="26">
        <f t="shared" si="74"/>
        <v>0</v>
      </c>
      <c r="AA282" s="95"/>
      <c r="AB282" s="95"/>
      <c r="AC282" s="95"/>
      <c r="AD282" s="95"/>
      <c r="AE282" s="95"/>
      <c r="AF282" s="95"/>
      <c r="AG282" s="95"/>
      <c r="AH282" s="95"/>
      <c r="AI282" s="95"/>
      <c r="AJ282" s="95"/>
      <c r="AK282" s="95"/>
      <c r="AL282" s="95"/>
      <c r="AM282" s="95"/>
      <c r="AN282" s="96"/>
      <c r="AO282" s="96"/>
      <c r="AP282" s="96"/>
      <c r="AQ282" s="96"/>
      <c r="AR282" s="96"/>
      <c r="AS282" s="96"/>
      <c r="AT282" s="96"/>
      <c r="AU282" s="96"/>
      <c r="AV282" s="96"/>
      <c r="AW282" s="96"/>
      <c r="AX282" s="96"/>
      <c r="AY282" s="96"/>
      <c r="AZ282" s="96"/>
      <c r="BA282" s="96"/>
    </row>
    <row r="283" spans="1:53" s="97" customFormat="1" ht="12" customHeight="1">
      <c r="A283" s="8"/>
      <c r="B283" s="8"/>
      <c r="C283" s="80"/>
      <c r="D283" s="80">
        <v>0</v>
      </c>
      <c r="E283" s="80">
        <v>0</v>
      </c>
      <c r="F283" s="80"/>
      <c r="G283" s="80">
        <f t="shared" ref="G283:G302" si="90">+C283-F283+D283-E283</f>
        <v>0</v>
      </c>
      <c r="H283" s="26"/>
      <c r="I283" s="26"/>
      <c r="J283" s="26"/>
      <c r="K283" s="26"/>
      <c r="L283" s="26"/>
      <c r="M283" s="26"/>
      <c r="N283" s="26"/>
      <c r="O283" s="26">
        <v>0</v>
      </c>
      <c r="P283" s="26"/>
      <c r="Q283" s="26"/>
      <c r="R283" s="26"/>
      <c r="S283" s="26"/>
      <c r="T283" s="26"/>
      <c r="U283" s="26"/>
      <c r="V283" s="26"/>
      <c r="W283" s="26"/>
      <c r="X283" s="26"/>
      <c r="Y283" s="26"/>
      <c r="Z283" s="26">
        <f t="shared" si="74"/>
        <v>0</v>
      </c>
      <c r="AA283" s="95"/>
      <c r="AB283" s="95"/>
      <c r="AC283" s="95"/>
      <c r="AD283" s="95"/>
      <c r="AE283" s="95"/>
      <c r="AF283" s="95"/>
      <c r="AG283" s="95"/>
      <c r="AH283" s="95"/>
      <c r="AI283" s="95"/>
      <c r="AJ283" s="95"/>
      <c r="AK283" s="95"/>
      <c r="AL283" s="95"/>
      <c r="AM283" s="95"/>
      <c r="AN283" s="96"/>
      <c r="AO283" s="96"/>
      <c r="AP283" s="96"/>
      <c r="AQ283" s="96"/>
      <c r="AR283" s="96"/>
      <c r="AS283" s="96"/>
      <c r="AT283" s="96"/>
      <c r="AU283" s="96"/>
      <c r="AV283" s="96"/>
      <c r="AW283" s="96"/>
      <c r="AX283" s="96"/>
      <c r="AY283" s="96"/>
      <c r="AZ283" s="96"/>
      <c r="BA283" s="96"/>
    </row>
    <row r="284" spans="1:53" s="97" customFormat="1" ht="12" customHeight="1">
      <c r="A284" s="8">
        <v>3</v>
      </c>
      <c r="B284" s="8" t="s">
        <v>22</v>
      </c>
      <c r="C284" s="80">
        <f>+SUM(C285:C297)+'BG 062022'!C255</f>
        <v>0</v>
      </c>
      <c r="D284" s="80">
        <v>0</v>
      </c>
      <c r="E284" s="80">
        <v>0</v>
      </c>
      <c r="F284" s="80">
        <f>+SUM(F285:F297)+'BG 2021'!D224</f>
        <v>0</v>
      </c>
      <c r="G284" s="80">
        <f t="shared" si="90"/>
        <v>0</v>
      </c>
      <c r="H284" s="26">
        <v>0</v>
      </c>
      <c r="I284" s="26">
        <v>0</v>
      </c>
      <c r="J284" s="26">
        <v>0</v>
      </c>
      <c r="K284" s="26">
        <v>0</v>
      </c>
      <c r="L284" s="26">
        <v>0</v>
      </c>
      <c r="M284" s="26">
        <v>0</v>
      </c>
      <c r="N284" s="26">
        <v>0</v>
      </c>
      <c r="O284" s="26">
        <v>0</v>
      </c>
      <c r="P284" s="26">
        <v>0</v>
      </c>
      <c r="Q284" s="26">
        <v>0</v>
      </c>
      <c r="R284" s="26">
        <v>0</v>
      </c>
      <c r="S284" s="26">
        <v>0</v>
      </c>
      <c r="T284" s="26">
        <v>0</v>
      </c>
      <c r="U284" s="26">
        <v>0</v>
      </c>
      <c r="V284" s="26">
        <v>0</v>
      </c>
      <c r="W284" s="26">
        <v>0</v>
      </c>
      <c r="X284" s="26">
        <v>0</v>
      </c>
      <c r="Y284" s="26">
        <v>0</v>
      </c>
      <c r="Z284" s="26">
        <f t="shared" si="74"/>
        <v>0</v>
      </c>
      <c r="AA284" s="95"/>
      <c r="AB284" s="95"/>
      <c r="AC284" s="95"/>
      <c r="AD284" s="95"/>
      <c r="AE284" s="95"/>
      <c r="AF284" s="95"/>
      <c r="AG284" s="95"/>
      <c r="AH284" s="95"/>
      <c r="AI284" s="95"/>
      <c r="AJ284" s="95"/>
      <c r="AK284" s="95"/>
      <c r="AL284" s="95"/>
      <c r="AM284" s="95"/>
      <c r="AN284" s="96"/>
      <c r="AO284" s="96"/>
      <c r="AP284" s="96"/>
      <c r="AQ284" s="96"/>
      <c r="AR284" s="96"/>
      <c r="AS284" s="96"/>
      <c r="AT284" s="96"/>
      <c r="AU284" s="96"/>
      <c r="AV284" s="96"/>
      <c r="AW284" s="96"/>
      <c r="AX284" s="96"/>
      <c r="AY284" s="96"/>
      <c r="AZ284" s="96"/>
      <c r="BA284" s="96"/>
    </row>
    <row r="285" spans="1:53" s="97" customFormat="1" ht="12" customHeight="1">
      <c r="A285" s="8">
        <v>310</v>
      </c>
      <c r="B285" s="8" t="s">
        <v>163</v>
      </c>
      <c r="C285" s="80">
        <f>+VLOOKUP(A285,Clasificaciones!C:I,5,FALSE)</f>
        <v>0</v>
      </c>
      <c r="D285" s="80">
        <v>0</v>
      </c>
      <c r="E285" s="80">
        <v>0</v>
      </c>
      <c r="F285" s="80">
        <f>VLOOKUP(A285,Clasificaciones!C:M,9,FALSE)</f>
        <v>0</v>
      </c>
      <c r="G285" s="80">
        <f t="shared" si="90"/>
        <v>0</v>
      </c>
      <c r="H285" s="26">
        <v>0</v>
      </c>
      <c r="I285" s="26">
        <v>0</v>
      </c>
      <c r="J285" s="26">
        <v>0</v>
      </c>
      <c r="K285" s="26">
        <v>0</v>
      </c>
      <c r="L285" s="26">
        <v>0</v>
      </c>
      <c r="M285" s="26">
        <v>0</v>
      </c>
      <c r="N285" s="26">
        <v>0</v>
      </c>
      <c r="O285" s="26">
        <v>0</v>
      </c>
      <c r="P285" s="26">
        <v>0</v>
      </c>
      <c r="Q285" s="26">
        <v>0</v>
      </c>
      <c r="R285" s="26">
        <v>0</v>
      </c>
      <c r="S285" s="26">
        <v>0</v>
      </c>
      <c r="T285" s="26">
        <v>0</v>
      </c>
      <c r="U285" s="26">
        <v>0</v>
      </c>
      <c r="V285" s="26">
        <v>0</v>
      </c>
      <c r="W285" s="26">
        <v>0</v>
      </c>
      <c r="X285" s="26">
        <v>0</v>
      </c>
      <c r="Y285" s="26">
        <v>0</v>
      </c>
      <c r="Z285" s="26">
        <f t="shared" si="74"/>
        <v>0</v>
      </c>
      <c r="AA285" s="95"/>
      <c r="AB285" s="95"/>
      <c r="AC285" s="95"/>
      <c r="AD285" s="95"/>
      <c r="AE285" s="95"/>
      <c r="AF285" s="95"/>
      <c r="AG285" s="95"/>
      <c r="AH285" s="95"/>
      <c r="AI285" s="95"/>
      <c r="AJ285" s="95"/>
      <c r="AK285" s="95"/>
      <c r="AL285" s="95"/>
      <c r="AM285" s="95"/>
      <c r="AN285" s="96"/>
      <c r="AO285" s="96"/>
      <c r="AP285" s="96"/>
      <c r="AQ285" s="96"/>
      <c r="AR285" s="96"/>
      <c r="AS285" s="96"/>
      <c r="AT285" s="96"/>
      <c r="AU285" s="96"/>
      <c r="AV285" s="96"/>
      <c r="AW285" s="96"/>
      <c r="AX285" s="96"/>
      <c r="AY285" s="96"/>
      <c r="AZ285" s="96"/>
      <c r="BA285" s="96"/>
    </row>
    <row r="286" spans="1:53" s="97" customFormat="1" ht="12" customHeight="1">
      <c r="A286" s="8">
        <v>310101</v>
      </c>
      <c r="B286" s="8" t="s">
        <v>453</v>
      </c>
      <c r="C286" s="80">
        <f>+VLOOKUP(A286,Clasificaciones!C:I,5,FALSE)</f>
        <v>0</v>
      </c>
      <c r="D286" s="80">
        <v>0</v>
      </c>
      <c r="E286" s="80">
        <v>0</v>
      </c>
      <c r="F286" s="80">
        <f>VLOOKUP(A286,Clasificaciones!C:M,9,FALSE)</f>
        <v>0</v>
      </c>
      <c r="G286" s="80">
        <f t="shared" si="90"/>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c r="Z286" s="26">
        <f t="shared" ref="Z286:Z350" si="91">SUM(G286:Y286)</f>
        <v>0</v>
      </c>
      <c r="AA286" s="95"/>
      <c r="AB286" s="95"/>
      <c r="AC286" s="95"/>
      <c r="AD286" s="95"/>
      <c r="AE286" s="95"/>
      <c r="AF286" s="95"/>
      <c r="AG286" s="95"/>
      <c r="AH286" s="95"/>
      <c r="AI286" s="95"/>
      <c r="AJ286" s="95"/>
      <c r="AK286" s="95"/>
      <c r="AL286" s="95"/>
      <c r="AM286" s="95"/>
      <c r="AN286" s="96"/>
      <c r="AO286" s="96"/>
      <c r="AP286" s="96"/>
      <c r="AQ286" s="96"/>
      <c r="AR286" s="96"/>
      <c r="AS286" s="96"/>
      <c r="AT286" s="96"/>
      <c r="AU286" s="96"/>
      <c r="AV286" s="96"/>
      <c r="AW286" s="96"/>
      <c r="AX286" s="96"/>
      <c r="AY286" s="96"/>
      <c r="AZ286" s="96"/>
      <c r="BA286" s="96"/>
    </row>
    <row r="287" spans="1:53" s="97" customFormat="1" ht="12" customHeight="1">
      <c r="A287" s="8">
        <v>31010101</v>
      </c>
      <c r="B287" s="8" t="s">
        <v>475</v>
      </c>
      <c r="C287" s="80">
        <f>+VLOOKUP(A287,Clasificaciones!C:I,5,FALSE)</f>
        <v>-30000000000</v>
      </c>
      <c r="D287" s="80">
        <v>0</v>
      </c>
      <c r="E287" s="80">
        <v>0</v>
      </c>
      <c r="F287" s="80">
        <f>VLOOKUP(A287,Clasificaciones!C:M,9,FALSE)</f>
        <v>-30000000000</v>
      </c>
      <c r="G287" s="80">
        <f>+C287-F287+D287-E287</f>
        <v>0</v>
      </c>
      <c r="H287" s="26">
        <v>0</v>
      </c>
      <c r="I287" s="26">
        <v>0</v>
      </c>
      <c r="J287" s="26">
        <v>0</v>
      </c>
      <c r="K287" s="26">
        <v>0</v>
      </c>
      <c r="L287" s="26">
        <v>0</v>
      </c>
      <c r="M287" s="26">
        <v>0</v>
      </c>
      <c r="N287" s="26">
        <v>0</v>
      </c>
      <c r="O287" s="26">
        <v>0</v>
      </c>
      <c r="P287" s="26">
        <v>0</v>
      </c>
      <c r="Q287" s="26">
        <v>0</v>
      </c>
      <c r="R287" s="26">
        <v>0</v>
      </c>
      <c r="S287" s="26">
        <v>0</v>
      </c>
      <c r="T287" s="26">
        <v>0</v>
      </c>
      <c r="U287" s="26">
        <f>-G287</f>
        <v>0</v>
      </c>
      <c r="V287" s="26">
        <v>0</v>
      </c>
      <c r="W287" s="26">
        <v>0</v>
      </c>
      <c r="X287" s="26">
        <v>0</v>
      </c>
      <c r="Y287" s="26">
        <v>0</v>
      </c>
      <c r="Z287" s="26">
        <f t="shared" si="91"/>
        <v>0</v>
      </c>
      <c r="AA287" s="95"/>
      <c r="AB287" s="95"/>
      <c r="AC287" s="95"/>
      <c r="AD287" s="95"/>
      <c r="AE287" s="95"/>
      <c r="AF287" s="95"/>
      <c r="AG287" s="95"/>
      <c r="AH287" s="95"/>
      <c r="AI287" s="95"/>
      <c r="AJ287" s="95"/>
      <c r="AK287" s="95"/>
      <c r="AL287" s="95"/>
      <c r="AM287" s="95"/>
      <c r="AN287" s="96"/>
      <c r="AO287" s="96"/>
      <c r="AP287" s="96"/>
      <c r="AQ287" s="96"/>
      <c r="AR287" s="96"/>
      <c r="AS287" s="96"/>
      <c r="AT287" s="96"/>
      <c r="AU287" s="96"/>
      <c r="AV287" s="96"/>
      <c r="AW287" s="96"/>
      <c r="AX287" s="96"/>
      <c r="AY287" s="96"/>
      <c r="AZ287" s="96"/>
      <c r="BA287" s="96"/>
    </row>
    <row r="288" spans="1:53" s="97" customFormat="1" ht="12" customHeight="1">
      <c r="A288" s="8">
        <v>31010102</v>
      </c>
      <c r="B288" s="8" t="s">
        <v>478</v>
      </c>
      <c r="C288" s="80">
        <f>+VLOOKUP(A288,Clasificaciones!C:I,5,FALSE)</f>
        <v>5000000000</v>
      </c>
      <c r="D288" s="80">
        <v>0</v>
      </c>
      <c r="E288" s="80">
        <v>0</v>
      </c>
      <c r="F288" s="80">
        <f>VLOOKUP(A288,Clasificaciones!C:M,9,FALSE)</f>
        <v>5000000000</v>
      </c>
      <c r="G288" s="80">
        <f t="shared" si="90"/>
        <v>0</v>
      </c>
      <c r="H288" s="26">
        <v>0</v>
      </c>
      <c r="I288" s="26">
        <v>0</v>
      </c>
      <c r="J288" s="26">
        <v>0</v>
      </c>
      <c r="K288" s="26">
        <v>0</v>
      </c>
      <c r="L288" s="26">
        <v>0</v>
      </c>
      <c r="M288" s="26">
        <v>0</v>
      </c>
      <c r="N288" s="26">
        <v>0</v>
      </c>
      <c r="O288" s="26">
        <v>0</v>
      </c>
      <c r="P288" s="26">
        <v>0</v>
      </c>
      <c r="Q288" s="26">
        <v>0</v>
      </c>
      <c r="R288" s="26">
        <v>0</v>
      </c>
      <c r="S288" s="26">
        <v>0</v>
      </c>
      <c r="T288" s="26">
        <v>0</v>
      </c>
      <c r="U288" s="26">
        <f>-G288</f>
        <v>0</v>
      </c>
      <c r="V288" s="26">
        <v>0</v>
      </c>
      <c r="W288" s="26">
        <v>0</v>
      </c>
      <c r="X288" s="26">
        <v>0</v>
      </c>
      <c r="Y288" s="26">
        <v>0</v>
      </c>
      <c r="Z288" s="26">
        <f t="shared" si="91"/>
        <v>0</v>
      </c>
      <c r="AA288" s="95"/>
      <c r="AB288" s="95"/>
      <c r="AC288" s="95"/>
      <c r="AD288" s="95"/>
      <c r="AE288" s="95"/>
      <c r="AF288" s="95"/>
      <c r="AG288" s="95"/>
      <c r="AH288" s="95"/>
      <c r="AI288" s="95"/>
      <c r="AJ288" s="95"/>
      <c r="AK288" s="95"/>
      <c r="AL288" s="95"/>
      <c r="AM288" s="95"/>
      <c r="AN288" s="96"/>
      <c r="AO288" s="96"/>
      <c r="AP288" s="96"/>
      <c r="AQ288" s="96"/>
      <c r="AR288" s="96"/>
      <c r="AS288" s="96"/>
      <c r="AT288" s="96"/>
      <c r="AU288" s="96"/>
      <c r="AV288" s="96"/>
      <c r="AW288" s="96"/>
      <c r="AX288" s="96"/>
      <c r="AY288" s="96"/>
      <c r="AZ288" s="96"/>
      <c r="BA288" s="96"/>
    </row>
    <row r="289" spans="1:53" s="97" customFormat="1" ht="12" customHeight="1">
      <c r="A289" s="8">
        <v>310102</v>
      </c>
      <c r="B289" s="8" t="s">
        <v>243</v>
      </c>
      <c r="C289" s="80">
        <f>+VLOOKUP(A289,Clasificaciones!C:I,5,FALSE)</f>
        <v>0</v>
      </c>
      <c r="D289" s="80">
        <v>0</v>
      </c>
      <c r="E289" s="80">
        <v>0</v>
      </c>
      <c r="F289" s="80">
        <f>VLOOKUP(A289,Clasificaciones!C:M,9,FALSE)</f>
        <v>0</v>
      </c>
      <c r="G289" s="80">
        <f t="shared" si="90"/>
        <v>0</v>
      </c>
      <c r="H289" s="26">
        <v>0</v>
      </c>
      <c r="I289" s="26">
        <v>0</v>
      </c>
      <c r="J289" s="26">
        <v>0</v>
      </c>
      <c r="K289" s="26">
        <v>0</v>
      </c>
      <c r="L289" s="26">
        <v>0</v>
      </c>
      <c r="M289" s="26">
        <v>0</v>
      </c>
      <c r="N289" s="26">
        <v>0</v>
      </c>
      <c r="O289" s="26">
        <v>0</v>
      </c>
      <c r="P289" s="26">
        <v>0</v>
      </c>
      <c r="Q289" s="26">
        <v>0</v>
      </c>
      <c r="R289" s="26">
        <v>0</v>
      </c>
      <c r="S289" s="26">
        <v>0</v>
      </c>
      <c r="T289" s="26">
        <v>0</v>
      </c>
      <c r="U289" s="26">
        <v>0</v>
      </c>
      <c r="V289" s="26">
        <v>0</v>
      </c>
      <c r="W289" s="26">
        <v>0</v>
      </c>
      <c r="X289" s="26">
        <v>0</v>
      </c>
      <c r="Y289" s="26">
        <v>0</v>
      </c>
      <c r="Z289" s="26">
        <f t="shared" si="91"/>
        <v>0</v>
      </c>
      <c r="AA289" s="95"/>
      <c r="AB289" s="95"/>
      <c r="AC289" s="95"/>
      <c r="AD289" s="95"/>
      <c r="AE289" s="95"/>
      <c r="AF289" s="95"/>
      <c r="AG289" s="95"/>
      <c r="AH289" s="95"/>
      <c r="AI289" s="95"/>
      <c r="AJ289" s="95"/>
      <c r="AK289" s="95"/>
      <c r="AL289" s="95"/>
      <c r="AM289" s="95"/>
      <c r="AN289" s="96"/>
      <c r="AO289" s="96"/>
      <c r="AP289" s="96"/>
      <c r="AQ289" s="96"/>
      <c r="AR289" s="96"/>
      <c r="AS289" s="96"/>
      <c r="AT289" s="96"/>
      <c r="AU289" s="96"/>
      <c r="AV289" s="96"/>
      <c r="AW289" s="96"/>
      <c r="AX289" s="96"/>
      <c r="AY289" s="96"/>
      <c r="AZ289" s="96"/>
      <c r="BA289" s="96"/>
    </row>
    <row r="290" spans="1:53" s="97" customFormat="1" ht="12" customHeight="1">
      <c r="A290" s="8">
        <v>31010201</v>
      </c>
      <c r="B290" s="8" t="s">
        <v>404</v>
      </c>
      <c r="C290" s="80">
        <f>+VLOOKUP(A290,Clasificaciones!C:I,5,FALSE)</f>
        <v>-4932000000</v>
      </c>
      <c r="D290" s="80">
        <f>+VPN!E20</f>
        <v>2372000000</v>
      </c>
      <c r="E290" s="80">
        <v>0</v>
      </c>
      <c r="F290" s="80">
        <f>VLOOKUP(A290,Clasificaciones!C:M,9,FALSE)</f>
        <v>-2560000000</v>
      </c>
      <c r="G290" s="80">
        <f t="shared" si="90"/>
        <v>0</v>
      </c>
      <c r="H290" s="26">
        <f>-G290</f>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c r="Z290" s="26">
        <f t="shared" si="91"/>
        <v>0</v>
      </c>
      <c r="AA290" s="95"/>
      <c r="AB290" s="95"/>
      <c r="AC290" s="95"/>
      <c r="AD290" s="95"/>
      <c r="AE290" s="95"/>
      <c r="AF290" s="95"/>
      <c r="AG290" s="95"/>
      <c r="AH290" s="95"/>
      <c r="AI290" s="95"/>
      <c r="AJ290" s="95"/>
      <c r="AK290" s="95"/>
      <c r="AL290" s="95"/>
      <c r="AM290" s="95"/>
      <c r="AN290" s="96"/>
      <c r="AO290" s="96"/>
      <c r="AP290" s="96"/>
      <c r="AQ290" s="96"/>
      <c r="AR290" s="96"/>
      <c r="AS290" s="96"/>
      <c r="AT290" s="96"/>
      <c r="AU290" s="96"/>
      <c r="AV290" s="96"/>
      <c r="AW290" s="96"/>
      <c r="AX290" s="96"/>
      <c r="AY290" s="96"/>
      <c r="AZ290" s="96"/>
      <c r="BA290" s="96"/>
    </row>
    <row r="291" spans="1:53" s="97" customFormat="1" ht="12" customHeight="1">
      <c r="A291" s="8">
        <v>31010202</v>
      </c>
      <c r="B291" s="8" t="s">
        <v>479</v>
      </c>
      <c r="C291" s="80">
        <f>+VLOOKUP(A291,Clasificaciones!C:I,5,FALSE)</f>
        <v>-150000000</v>
      </c>
      <c r="D291" s="80">
        <v>0</v>
      </c>
      <c r="E291" s="80">
        <v>0</v>
      </c>
      <c r="F291" s="80">
        <f>VLOOKUP(A291,Clasificaciones!C:M,9,FALSE)</f>
        <v>-150000000</v>
      </c>
      <c r="G291" s="80">
        <f t="shared" si="90"/>
        <v>0</v>
      </c>
      <c r="H291" s="26">
        <f>-G291</f>
        <v>0</v>
      </c>
      <c r="I291" s="26">
        <v>0</v>
      </c>
      <c r="J291" s="26">
        <v>0</v>
      </c>
      <c r="K291" s="26">
        <v>0</v>
      </c>
      <c r="L291" s="26">
        <v>0</v>
      </c>
      <c r="M291" s="26">
        <v>0</v>
      </c>
      <c r="N291" s="26">
        <v>0</v>
      </c>
      <c r="O291" s="26">
        <v>0</v>
      </c>
      <c r="P291" s="26">
        <v>0</v>
      </c>
      <c r="Q291" s="26">
        <v>0</v>
      </c>
      <c r="R291" s="26">
        <v>0</v>
      </c>
      <c r="S291" s="26">
        <v>0</v>
      </c>
      <c r="T291" s="26">
        <v>0</v>
      </c>
      <c r="U291" s="26">
        <v>0</v>
      </c>
      <c r="V291" s="26">
        <v>0</v>
      </c>
      <c r="W291" s="26">
        <v>0</v>
      </c>
      <c r="X291" s="26">
        <v>0</v>
      </c>
      <c r="Y291" s="26">
        <v>0</v>
      </c>
      <c r="Z291" s="26">
        <f t="shared" si="91"/>
        <v>0</v>
      </c>
      <c r="AA291" s="95"/>
      <c r="AB291" s="95"/>
      <c r="AC291" s="95"/>
      <c r="AD291" s="95"/>
      <c r="AE291" s="95"/>
      <c r="AF291" s="95"/>
      <c r="AG291" s="95"/>
      <c r="AH291" s="95"/>
      <c r="AI291" s="95"/>
      <c r="AJ291" s="95"/>
      <c r="AK291" s="95"/>
      <c r="AL291" s="95"/>
      <c r="AM291" s="95"/>
      <c r="AN291" s="96"/>
      <c r="AO291" s="96"/>
      <c r="AP291" s="96"/>
      <c r="AQ291" s="96"/>
      <c r="AR291" s="96"/>
      <c r="AS291" s="96"/>
      <c r="AT291" s="96"/>
      <c r="AU291" s="96"/>
      <c r="AV291" s="96"/>
      <c r="AW291" s="96"/>
      <c r="AX291" s="96"/>
      <c r="AY291" s="96"/>
      <c r="AZ291" s="96"/>
      <c r="BA291" s="96"/>
    </row>
    <row r="292" spans="1:53" s="97" customFormat="1" ht="12" customHeight="1">
      <c r="A292" s="8">
        <v>315</v>
      </c>
      <c r="B292" s="8" t="s">
        <v>12</v>
      </c>
      <c r="C292" s="80">
        <f>+VLOOKUP(A292,Clasificaciones!C:I,5,FALSE)</f>
        <v>0</v>
      </c>
      <c r="D292" s="80">
        <v>0</v>
      </c>
      <c r="E292" s="80">
        <v>0</v>
      </c>
      <c r="F292" s="80">
        <f>VLOOKUP(A292,Clasificaciones!C:M,9,FALSE)</f>
        <v>0</v>
      </c>
      <c r="G292" s="80">
        <f t="shared" si="90"/>
        <v>0</v>
      </c>
      <c r="H292" s="26">
        <v>0</v>
      </c>
      <c r="I292" s="26">
        <v>0</v>
      </c>
      <c r="J292" s="26">
        <v>0</v>
      </c>
      <c r="K292" s="26">
        <v>0</v>
      </c>
      <c r="L292" s="26">
        <v>0</v>
      </c>
      <c r="M292" s="26">
        <v>0</v>
      </c>
      <c r="N292" s="26">
        <v>0</v>
      </c>
      <c r="O292" s="26">
        <v>0</v>
      </c>
      <c r="P292" s="26">
        <v>0</v>
      </c>
      <c r="Q292" s="26">
        <v>0</v>
      </c>
      <c r="R292" s="26">
        <v>0</v>
      </c>
      <c r="S292" s="26">
        <v>0</v>
      </c>
      <c r="T292" s="26">
        <v>0</v>
      </c>
      <c r="U292" s="26">
        <v>0</v>
      </c>
      <c r="V292" s="26">
        <v>0</v>
      </c>
      <c r="W292" s="26">
        <v>0</v>
      </c>
      <c r="X292" s="26">
        <v>0</v>
      </c>
      <c r="Y292" s="26">
        <v>0</v>
      </c>
      <c r="Z292" s="26">
        <f t="shared" si="91"/>
        <v>0</v>
      </c>
      <c r="AA292" s="95"/>
      <c r="AB292" s="95"/>
      <c r="AC292" s="95"/>
      <c r="AD292" s="95"/>
      <c r="AE292" s="95"/>
      <c r="AF292" s="95"/>
      <c r="AG292" s="95"/>
      <c r="AH292" s="95"/>
      <c r="AI292" s="95"/>
      <c r="AJ292" s="95"/>
      <c r="AK292" s="95"/>
      <c r="AL292" s="95"/>
      <c r="AM292" s="95"/>
      <c r="AN292" s="96"/>
      <c r="AO292" s="96"/>
      <c r="AP292" s="96"/>
      <c r="AQ292" s="96"/>
      <c r="AR292" s="96"/>
      <c r="AS292" s="96"/>
      <c r="AT292" s="96"/>
      <c r="AU292" s="96"/>
      <c r="AV292" s="96"/>
      <c r="AW292" s="96"/>
      <c r="AX292" s="96"/>
      <c r="AY292" s="96"/>
      <c r="AZ292" s="96"/>
      <c r="BA292" s="96"/>
    </row>
    <row r="293" spans="1:53" s="97" customFormat="1" ht="12" customHeight="1">
      <c r="A293" s="8">
        <v>31501</v>
      </c>
      <c r="B293" s="8" t="s">
        <v>165</v>
      </c>
      <c r="C293" s="80">
        <f>+VLOOKUP(A293,Clasificaciones!C:I,5,FALSE)</f>
        <v>-260477749</v>
      </c>
      <c r="D293" s="80">
        <f>+VPN!G20</f>
        <v>124873795</v>
      </c>
      <c r="E293" s="80">
        <v>0</v>
      </c>
      <c r="F293" s="80">
        <f>VLOOKUP(A293,Clasificaciones!C:M,9,FALSE)</f>
        <v>-135603954</v>
      </c>
      <c r="G293" s="80">
        <f t="shared" si="90"/>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c r="Z293" s="26">
        <f t="shared" si="91"/>
        <v>0</v>
      </c>
      <c r="AA293" s="95"/>
      <c r="AB293" s="95"/>
      <c r="AC293" s="95"/>
      <c r="AD293" s="95"/>
      <c r="AE293" s="95"/>
      <c r="AF293" s="95"/>
      <c r="AG293" s="95"/>
      <c r="AH293" s="95"/>
      <c r="AI293" s="95"/>
      <c r="AJ293" s="95"/>
      <c r="AK293" s="95"/>
      <c r="AL293" s="95"/>
      <c r="AM293" s="95"/>
      <c r="AN293" s="96"/>
      <c r="AO293" s="96"/>
      <c r="AP293" s="96"/>
      <c r="AQ293" s="96"/>
      <c r="AR293" s="96"/>
      <c r="AS293" s="96"/>
      <c r="AT293" s="96"/>
      <c r="AU293" s="96"/>
      <c r="AV293" s="96"/>
      <c r="AW293" s="96"/>
      <c r="AX293" s="96"/>
      <c r="AY293" s="96"/>
      <c r="AZ293" s="96"/>
      <c r="BA293" s="96"/>
    </row>
    <row r="294" spans="1:53" s="97" customFormat="1" ht="12" customHeight="1">
      <c r="A294" s="8">
        <v>31503</v>
      </c>
      <c r="B294" s="8" t="s">
        <v>405</v>
      </c>
      <c r="C294" s="80">
        <f>+VLOOKUP(A294,Clasificaciones!C:I,5,FALSE)</f>
        <v>-907275</v>
      </c>
      <c r="D294" s="80">
        <f>+VPN!H20</f>
        <v>602103</v>
      </c>
      <c r="E294" s="80">
        <v>0</v>
      </c>
      <c r="F294" s="80">
        <f>VLOOKUP(A294,Clasificaciones!C:M,9,FALSE)</f>
        <v>-305172</v>
      </c>
      <c r="G294" s="80">
        <f t="shared" si="90"/>
        <v>0</v>
      </c>
      <c r="H294" s="26">
        <f t="shared" ref="H294:H295" si="92">-G294</f>
        <v>0</v>
      </c>
      <c r="I294" s="26">
        <v>0</v>
      </c>
      <c r="J294" s="26">
        <v>0</v>
      </c>
      <c r="K294" s="26">
        <v>0</v>
      </c>
      <c r="L294" s="26">
        <v>0</v>
      </c>
      <c r="M294" s="26">
        <v>0</v>
      </c>
      <c r="N294" s="26">
        <v>0</v>
      </c>
      <c r="O294" s="26">
        <v>0</v>
      </c>
      <c r="P294" s="26">
        <v>0</v>
      </c>
      <c r="Q294" s="26">
        <v>0</v>
      </c>
      <c r="R294" s="26">
        <v>0</v>
      </c>
      <c r="S294" s="26">
        <v>0</v>
      </c>
      <c r="T294" s="26">
        <v>0</v>
      </c>
      <c r="U294" s="26">
        <v>0</v>
      </c>
      <c r="V294" s="26">
        <v>0</v>
      </c>
      <c r="W294" s="26">
        <v>0</v>
      </c>
      <c r="X294" s="26">
        <v>0</v>
      </c>
      <c r="Y294" s="26">
        <v>0</v>
      </c>
      <c r="Z294" s="26">
        <f t="shared" si="91"/>
        <v>0</v>
      </c>
      <c r="AA294" s="95"/>
      <c r="AB294" s="95"/>
      <c r="AC294" s="95"/>
      <c r="AD294" s="95"/>
      <c r="AE294" s="95"/>
      <c r="AF294" s="95"/>
      <c r="AG294" s="95"/>
      <c r="AH294" s="95"/>
      <c r="AI294" s="95"/>
      <c r="AJ294" s="95"/>
      <c r="AK294" s="95"/>
      <c r="AL294" s="95"/>
      <c r="AM294" s="95"/>
      <c r="AN294" s="96"/>
      <c r="AO294" s="96"/>
      <c r="AP294" s="96"/>
      <c r="AQ294" s="96"/>
      <c r="AR294" s="96"/>
      <c r="AS294" s="96"/>
      <c r="AT294" s="96"/>
      <c r="AU294" s="96"/>
      <c r="AV294" s="96"/>
      <c r="AW294" s="96"/>
      <c r="AX294" s="96"/>
      <c r="AY294" s="96"/>
      <c r="AZ294" s="96"/>
      <c r="BA294" s="96"/>
    </row>
    <row r="295" spans="1:53" s="97" customFormat="1" ht="12" customHeight="1">
      <c r="A295" s="8">
        <v>316</v>
      </c>
      <c r="B295" s="8" t="s">
        <v>129</v>
      </c>
      <c r="C295" s="80">
        <f>+VLOOKUP(A295,Clasificaciones!C:I,5,FALSE)</f>
        <v>0</v>
      </c>
      <c r="D295" s="80">
        <v>0</v>
      </c>
      <c r="E295" s="80">
        <v>0</v>
      </c>
      <c r="F295" s="80">
        <f>VLOOKUP(A295,Clasificaciones!C:M,9,FALSE)</f>
        <v>0</v>
      </c>
      <c r="G295" s="80">
        <f t="shared" si="90"/>
        <v>0</v>
      </c>
      <c r="H295" s="26">
        <f t="shared" si="92"/>
        <v>0</v>
      </c>
      <c r="I295" s="26">
        <v>0</v>
      </c>
      <c r="J295" s="26">
        <v>0</v>
      </c>
      <c r="K295" s="26">
        <v>0</v>
      </c>
      <c r="L295" s="26">
        <v>0</v>
      </c>
      <c r="M295" s="26">
        <v>0</v>
      </c>
      <c r="N295" s="26">
        <v>0</v>
      </c>
      <c r="O295" s="26">
        <v>0</v>
      </c>
      <c r="P295" s="26">
        <v>0</v>
      </c>
      <c r="Q295" s="26">
        <v>0</v>
      </c>
      <c r="R295" s="26">
        <v>0</v>
      </c>
      <c r="S295" s="26">
        <v>0</v>
      </c>
      <c r="T295" s="26">
        <v>0</v>
      </c>
      <c r="U295" s="26">
        <v>0</v>
      </c>
      <c r="V295" s="26">
        <v>0</v>
      </c>
      <c r="W295" s="26">
        <v>0</v>
      </c>
      <c r="X295" s="26">
        <v>0</v>
      </c>
      <c r="Y295" s="26">
        <v>0</v>
      </c>
      <c r="Z295" s="26">
        <f t="shared" si="91"/>
        <v>0</v>
      </c>
      <c r="AA295" s="95"/>
      <c r="AB295" s="95"/>
      <c r="AC295" s="95"/>
      <c r="AD295" s="95"/>
      <c r="AE295" s="95"/>
      <c r="AF295" s="95"/>
      <c r="AG295" s="95"/>
      <c r="AH295" s="95"/>
      <c r="AI295" s="95"/>
      <c r="AJ295" s="95"/>
      <c r="AK295" s="95"/>
      <c r="AL295" s="95"/>
      <c r="AM295" s="95"/>
      <c r="AN295" s="96"/>
      <c r="AO295" s="96"/>
      <c r="AP295" s="96"/>
      <c r="AQ295" s="96"/>
      <c r="AR295" s="96"/>
      <c r="AS295" s="96"/>
      <c r="AT295" s="96"/>
      <c r="AU295" s="96"/>
      <c r="AV295" s="96"/>
      <c r="AW295" s="96"/>
      <c r="AX295" s="96"/>
      <c r="AY295" s="96"/>
      <c r="AZ295" s="96"/>
      <c r="BA295" s="96"/>
    </row>
    <row r="296" spans="1:53" s="97" customFormat="1" ht="12" customHeight="1">
      <c r="A296" s="8">
        <v>31601</v>
      </c>
      <c r="B296" s="8" t="s">
        <v>167</v>
      </c>
      <c r="C296" s="80">
        <f>+VLOOKUP(A296,Clasificaciones!C:I,5,FALSE)</f>
        <v>0</v>
      </c>
      <c r="D296" s="80">
        <f>-C296</f>
        <v>0</v>
      </c>
      <c r="E296" s="80">
        <v>0</v>
      </c>
      <c r="F296" s="80">
        <f>VLOOKUP(A296,Clasificaciones!C:M,9,FALSE)</f>
        <v>0</v>
      </c>
      <c r="G296" s="80">
        <f t="shared" si="90"/>
        <v>0</v>
      </c>
      <c r="H296" s="26">
        <v>0</v>
      </c>
      <c r="I296" s="26">
        <v>0</v>
      </c>
      <c r="J296" s="26">
        <v>0</v>
      </c>
      <c r="K296" s="26">
        <v>0</v>
      </c>
      <c r="L296" s="26">
        <v>0</v>
      </c>
      <c r="M296" s="26">
        <v>0</v>
      </c>
      <c r="N296" s="26">
        <v>0</v>
      </c>
      <c r="O296" s="26">
        <v>0</v>
      </c>
      <c r="P296" s="26">
        <v>0</v>
      </c>
      <c r="Q296" s="26">
        <v>0</v>
      </c>
      <c r="R296" s="26">
        <v>0</v>
      </c>
      <c r="S296" s="26">
        <v>0</v>
      </c>
      <c r="T296" s="26">
        <v>0</v>
      </c>
      <c r="U296" s="26">
        <v>0</v>
      </c>
      <c r="V296" s="26">
        <v>0</v>
      </c>
      <c r="W296" s="26">
        <v>0</v>
      </c>
      <c r="X296" s="26">
        <v>0</v>
      </c>
      <c r="Y296" s="26">
        <v>0</v>
      </c>
      <c r="Z296" s="26">
        <f t="shared" si="91"/>
        <v>0</v>
      </c>
      <c r="AA296" s="95"/>
      <c r="AB296" s="95"/>
      <c r="AC296" s="95"/>
      <c r="AD296" s="95"/>
      <c r="AE296" s="95"/>
      <c r="AF296" s="95"/>
      <c r="AG296" s="95"/>
      <c r="AH296" s="95"/>
      <c r="AI296" s="95"/>
      <c r="AJ296" s="95"/>
      <c r="AK296" s="95"/>
      <c r="AL296" s="95"/>
      <c r="AM296" s="95"/>
      <c r="AN296" s="96"/>
      <c r="AO296" s="96"/>
      <c r="AP296" s="96"/>
      <c r="AQ296" s="96"/>
      <c r="AR296" s="96"/>
      <c r="AS296" s="96"/>
      <c r="AT296" s="96"/>
      <c r="AU296" s="96"/>
      <c r="AV296" s="96"/>
      <c r="AW296" s="96"/>
      <c r="AX296" s="96"/>
      <c r="AY296" s="96"/>
      <c r="AZ296" s="96"/>
      <c r="BA296" s="96"/>
    </row>
    <row r="297" spans="1:53" s="97" customFormat="1" ht="12" customHeight="1">
      <c r="A297" s="8">
        <v>31602</v>
      </c>
      <c r="B297" s="8" t="s">
        <v>168</v>
      </c>
      <c r="C297" s="80">
        <f>+VLOOKUP(A297,Clasificaciones!C:I,5,FALSE)</f>
        <v>-619971576</v>
      </c>
      <c r="D297" s="80">
        <f>+E524</f>
        <v>619971576</v>
      </c>
      <c r="E297" s="80">
        <f>+D296+D293+D290+D294</f>
        <v>2497475898</v>
      </c>
      <c r="F297" s="80">
        <f>VLOOKUP(A297,Clasificaciones!C:M,9,FALSE)</f>
        <v>-2497475898</v>
      </c>
      <c r="G297" s="80">
        <f t="shared" si="90"/>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c r="Z297" s="26">
        <f t="shared" si="91"/>
        <v>0</v>
      </c>
      <c r="AA297" s="95"/>
      <c r="AB297" s="95"/>
      <c r="AC297" s="95"/>
      <c r="AD297" s="95"/>
      <c r="AE297" s="95"/>
      <c r="AF297" s="95"/>
      <c r="AG297" s="95"/>
      <c r="AH297" s="95"/>
      <c r="AI297" s="95"/>
      <c r="AJ297" s="95"/>
      <c r="AK297" s="95"/>
      <c r="AL297" s="95"/>
      <c r="AM297" s="95"/>
      <c r="AN297" s="96"/>
      <c r="AO297" s="96"/>
      <c r="AP297" s="96"/>
      <c r="AQ297" s="96"/>
      <c r="AR297" s="96"/>
      <c r="AS297" s="96"/>
      <c r="AT297" s="96"/>
      <c r="AU297" s="96"/>
      <c r="AV297" s="96"/>
      <c r="AW297" s="96"/>
      <c r="AX297" s="96"/>
      <c r="AY297" s="96"/>
      <c r="AZ297" s="96"/>
      <c r="BA297" s="96"/>
    </row>
    <row r="298" spans="1:53" s="97" customFormat="1" ht="12" customHeight="1">
      <c r="A298" s="8"/>
      <c r="B298" s="8"/>
      <c r="C298" s="80"/>
      <c r="D298" s="80">
        <v>0</v>
      </c>
      <c r="E298" s="80">
        <v>0</v>
      </c>
      <c r="F298" s="80"/>
      <c r="G298" s="80">
        <f t="shared" si="90"/>
        <v>0</v>
      </c>
      <c r="H298" s="26"/>
      <c r="I298" s="26"/>
      <c r="J298" s="26"/>
      <c r="K298" s="26"/>
      <c r="L298" s="26"/>
      <c r="M298" s="26"/>
      <c r="N298" s="26"/>
      <c r="O298" s="26">
        <v>0</v>
      </c>
      <c r="P298" s="26"/>
      <c r="Q298" s="26"/>
      <c r="R298" s="26"/>
      <c r="S298" s="26"/>
      <c r="T298" s="26"/>
      <c r="U298" s="26"/>
      <c r="V298" s="26"/>
      <c r="W298" s="26"/>
      <c r="X298" s="26"/>
      <c r="Y298" s="26"/>
      <c r="Z298" s="26">
        <f t="shared" si="91"/>
        <v>0</v>
      </c>
      <c r="AA298" s="95"/>
      <c r="AB298" s="95"/>
      <c r="AC298" s="95"/>
      <c r="AD298" s="95"/>
      <c r="AE298" s="95"/>
      <c r="AF298" s="95"/>
      <c r="AG298" s="95"/>
      <c r="AH298" s="95"/>
      <c r="AI298" s="95"/>
      <c r="AJ298" s="95"/>
      <c r="AK298" s="95"/>
      <c r="AL298" s="95"/>
      <c r="AM298" s="95"/>
      <c r="AN298" s="96"/>
      <c r="AO298" s="96"/>
      <c r="AP298" s="96"/>
      <c r="AQ298" s="96"/>
      <c r="AR298" s="96"/>
      <c r="AS298" s="96"/>
      <c r="AT298" s="96"/>
      <c r="AU298" s="96"/>
      <c r="AV298" s="96"/>
      <c r="AW298" s="96"/>
      <c r="AX298" s="96"/>
      <c r="AY298" s="96"/>
      <c r="AZ298" s="96"/>
      <c r="BA298" s="96"/>
    </row>
    <row r="299" spans="1:53" s="97" customFormat="1" ht="12" customHeight="1">
      <c r="A299" s="8">
        <v>4</v>
      </c>
      <c r="B299" s="8" t="s">
        <v>169</v>
      </c>
      <c r="C299" s="80">
        <f>+SUM(C300:C389)+'BG 062022'!C268</f>
        <v>0</v>
      </c>
      <c r="D299" s="80">
        <v>0</v>
      </c>
      <c r="E299" s="80">
        <v>0</v>
      </c>
      <c r="F299" s="80">
        <v>0</v>
      </c>
      <c r="G299" s="80">
        <f t="shared" si="90"/>
        <v>0</v>
      </c>
      <c r="H299" s="26">
        <f>-G299</f>
        <v>0</v>
      </c>
      <c r="I299" s="26">
        <v>0</v>
      </c>
      <c r="J299" s="26">
        <v>0</v>
      </c>
      <c r="K299" s="26">
        <v>0</v>
      </c>
      <c r="L299" s="26">
        <v>0</v>
      </c>
      <c r="M299" s="26">
        <v>0</v>
      </c>
      <c r="N299" s="26">
        <v>0</v>
      </c>
      <c r="O299" s="26">
        <v>0</v>
      </c>
      <c r="P299" s="26">
        <v>0</v>
      </c>
      <c r="Q299" s="26">
        <v>0</v>
      </c>
      <c r="R299" s="26">
        <v>0</v>
      </c>
      <c r="S299" s="26">
        <v>0</v>
      </c>
      <c r="T299" s="26">
        <v>0</v>
      </c>
      <c r="U299" s="26">
        <v>0</v>
      </c>
      <c r="V299" s="26">
        <v>0</v>
      </c>
      <c r="W299" s="26">
        <v>0</v>
      </c>
      <c r="X299" s="26">
        <v>0</v>
      </c>
      <c r="Y299" s="26">
        <v>0</v>
      </c>
      <c r="Z299" s="26">
        <f t="shared" si="91"/>
        <v>0</v>
      </c>
      <c r="AA299" s="95"/>
      <c r="AB299" s="95"/>
      <c r="AC299" s="95"/>
      <c r="AD299" s="95"/>
      <c r="AE299" s="95"/>
      <c r="AF299" s="95"/>
      <c r="AG299" s="95"/>
      <c r="AH299" s="95"/>
      <c r="AI299" s="95"/>
      <c r="AJ299" s="95"/>
      <c r="AK299" s="95"/>
      <c r="AL299" s="95"/>
      <c r="AM299" s="95"/>
      <c r="AN299" s="96"/>
      <c r="AO299" s="96"/>
      <c r="AP299" s="96"/>
      <c r="AQ299" s="96"/>
      <c r="AR299" s="96"/>
      <c r="AS299" s="96"/>
      <c r="AT299" s="96"/>
      <c r="AU299" s="96"/>
      <c r="AV299" s="96"/>
      <c r="AW299" s="96"/>
      <c r="AX299" s="96"/>
      <c r="AY299" s="96"/>
      <c r="AZ299" s="96"/>
      <c r="BA299" s="96"/>
    </row>
    <row r="300" spans="1:53" s="97" customFormat="1" ht="12" customHeight="1">
      <c r="A300" s="8">
        <v>401</v>
      </c>
      <c r="B300" s="8" t="s">
        <v>750</v>
      </c>
      <c r="C300" s="80">
        <f>+VLOOKUP(A300,Clasificaciones!C:I,5,FALSE)</f>
        <v>0</v>
      </c>
      <c r="D300" s="80">
        <v>0</v>
      </c>
      <c r="E300" s="80">
        <v>0</v>
      </c>
      <c r="F300" s="80">
        <v>0</v>
      </c>
      <c r="G300" s="80">
        <f t="shared" si="90"/>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c r="Z300" s="26">
        <f t="shared" si="91"/>
        <v>0</v>
      </c>
      <c r="AA300" s="95"/>
      <c r="AB300" s="95"/>
      <c r="AC300" s="95"/>
      <c r="AD300" s="95"/>
      <c r="AE300" s="95"/>
      <c r="AF300" s="95"/>
      <c r="AG300" s="95"/>
      <c r="AH300" s="95"/>
      <c r="AI300" s="95"/>
      <c r="AJ300" s="95"/>
      <c r="AK300" s="95"/>
      <c r="AL300" s="95"/>
      <c r="AM300" s="95"/>
      <c r="AN300" s="96"/>
      <c r="AO300" s="96"/>
      <c r="AP300" s="96"/>
      <c r="AQ300" s="96"/>
      <c r="AR300" s="96"/>
      <c r="AS300" s="96"/>
      <c r="AT300" s="96"/>
      <c r="AU300" s="96"/>
      <c r="AV300" s="96"/>
      <c r="AW300" s="96"/>
      <c r="AX300" s="96"/>
      <c r="AY300" s="96"/>
      <c r="AZ300" s="96"/>
      <c r="BA300" s="96"/>
    </row>
    <row r="301" spans="1:53" s="97" customFormat="1" ht="12" customHeight="1">
      <c r="A301" s="8">
        <v>40101</v>
      </c>
      <c r="B301" s="8" t="s">
        <v>108</v>
      </c>
      <c r="C301" s="80">
        <f>+VLOOKUP(A301,Clasificaciones!C:I,5,FALSE)</f>
        <v>0</v>
      </c>
      <c r="D301" s="80">
        <v>0</v>
      </c>
      <c r="E301" s="80">
        <v>0</v>
      </c>
      <c r="F301" s="80">
        <v>0</v>
      </c>
      <c r="G301" s="80">
        <f t="shared" si="90"/>
        <v>0</v>
      </c>
      <c r="H301" s="26">
        <v>0</v>
      </c>
      <c r="I301" s="26">
        <v>0</v>
      </c>
      <c r="J301" s="26">
        <v>0</v>
      </c>
      <c r="K301" s="26">
        <v>0</v>
      </c>
      <c r="L301" s="26">
        <v>0</v>
      </c>
      <c r="M301" s="26">
        <v>0</v>
      </c>
      <c r="N301" s="26">
        <v>0</v>
      </c>
      <c r="O301" s="26">
        <v>0</v>
      </c>
      <c r="P301" s="26">
        <v>0</v>
      </c>
      <c r="Q301" s="26">
        <v>0</v>
      </c>
      <c r="R301" s="26">
        <v>0</v>
      </c>
      <c r="S301" s="26">
        <v>0</v>
      </c>
      <c r="T301" s="26">
        <v>0</v>
      </c>
      <c r="U301" s="26">
        <v>0</v>
      </c>
      <c r="V301" s="26">
        <v>0</v>
      </c>
      <c r="W301" s="26">
        <v>0</v>
      </c>
      <c r="X301" s="26">
        <v>0</v>
      </c>
      <c r="Y301" s="26">
        <v>0</v>
      </c>
      <c r="Z301" s="26">
        <f t="shared" si="91"/>
        <v>0</v>
      </c>
      <c r="AA301" s="95"/>
      <c r="AB301" s="95"/>
      <c r="AC301" s="95"/>
      <c r="AD301" s="95"/>
      <c r="AE301" s="95"/>
      <c r="AF301" s="95"/>
      <c r="AG301" s="95"/>
      <c r="AH301" s="95"/>
      <c r="AI301" s="95"/>
      <c r="AJ301" s="95"/>
      <c r="AK301" s="95"/>
      <c r="AL301" s="95"/>
      <c r="AM301" s="95"/>
      <c r="AN301" s="96"/>
      <c r="AO301" s="96"/>
      <c r="AP301" s="96"/>
      <c r="AQ301" s="96"/>
      <c r="AR301" s="96"/>
      <c r="AS301" s="96"/>
      <c r="AT301" s="96"/>
      <c r="AU301" s="96"/>
      <c r="AV301" s="96"/>
      <c r="AW301" s="96"/>
      <c r="AX301" s="96"/>
      <c r="AY301" s="96"/>
      <c r="AZ301" s="96"/>
      <c r="BA301" s="96"/>
    </row>
    <row r="302" spans="1:53" s="97" customFormat="1" ht="12" customHeight="1">
      <c r="A302" s="8">
        <v>4010101</v>
      </c>
      <c r="B302" s="8" t="s">
        <v>751</v>
      </c>
      <c r="C302" s="80">
        <f>+VLOOKUP(A302,Clasificaciones!C:I,5,FALSE)</f>
        <v>0</v>
      </c>
      <c r="D302" s="80">
        <v>0</v>
      </c>
      <c r="E302" s="80">
        <v>0</v>
      </c>
      <c r="F302" s="80">
        <v>0</v>
      </c>
      <c r="G302" s="80">
        <f t="shared" si="90"/>
        <v>0</v>
      </c>
      <c r="H302" s="26">
        <f>-G302</f>
        <v>0</v>
      </c>
      <c r="I302" s="26">
        <v>0</v>
      </c>
      <c r="J302" s="26">
        <v>0</v>
      </c>
      <c r="K302" s="26">
        <v>0</v>
      </c>
      <c r="L302" s="26">
        <v>0</v>
      </c>
      <c r="M302" s="26">
        <v>0</v>
      </c>
      <c r="N302" s="26">
        <v>0</v>
      </c>
      <c r="O302" s="26">
        <v>0</v>
      </c>
      <c r="P302" s="26">
        <v>0</v>
      </c>
      <c r="Q302" s="26">
        <v>0</v>
      </c>
      <c r="R302" s="26">
        <v>0</v>
      </c>
      <c r="S302" s="26">
        <v>0</v>
      </c>
      <c r="T302" s="26">
        <v>0</v>
      </c>
      <c r="U302" s="26">
        <v>0</v>
      </c>
      <c r="V302" s="26">
        <v>0</v>
      </c>
      <c r="W302" s="26">
        <v>0</v>
      </c>
      <c r="X302" s="26">
        <v>0</v>
      </c>
      <c r="Y302" s="26">
        <v>0</v>
      </c>
      <c r="Z302" s="26">
        <f t="shared" si="91"/>
        <v>0</v>
      </c>
      <c r="AA302" s="95"/>
      <c r="AB302" s="95"/>
      <c r="AC302" s="95"/>
      <c r="AD302" s="95"/>
      <c r="AE302" s="95"/>
      <c r="AF302" s="95"/>
      <c r="AG302" s="95"/>
      <c r="AH302" s="95"/>
      <c r="AI302" s="95"/>
      <c r="AJ302" s="95"/>
      <c r="AK302" s="95"/>
      <c r="AL302" s="95"/>
      <c r="AM302" s="95"/>
      <c r="AN302" s="96"/>
      <c r="AO302" s="96"/>
      <c r="AP302" s="96"/>
      <c r="AQ302" s="96"/>
      <c r="AR302" s="96"/>
      <c r="AS302" s="96"/>
      <c r="AT302" s="96"/>
      <c r="AU302" s="96"/>
      <c r="AV302" s="96"/>
      <c r="AW302" s="96"/>
      <c r="AX302" s="96"/>
      <c r="AY302" s="96"/>
      <c r="AZ302" s="96"/>
      <c r="BA302" s="96"/>
    </row>
    <row r="303" spans="1:53" s="97" customFormat="1" ht="12" customHeight="1">
      <c r="A303" s="8">
        <v>401010101</v>
      </c>
      <c r="B303" s="8" t="s">
        <v>752</v>
      </c>
      <c r="C303" s="80">
        <f>+VLOOKUP(A303,Clasificaciones!C:I,5,FALSE)</f>
        <v>0</v>
      </c>
      <c r="D303" s="80">
        <v>0</v>
      </c>
      <c r="E303" s="80">
        <v>0</v>
      </c>
      <c r="F303" s="80">
        <v>0</v>
      </c>
      <c r="G303" s="80">
        <f>+C303-F303+D303-E303</f>
        <v>0</v>
      </c>
      <c r="H303" s="26">
        <f>-G303</f>
        <v>0</v>
      </c>
      <c r="I303" s="26">
        <v>0</v>
      </c>
      <c r="J303" s="26">
        <v>0</v>
      </c>
      <c r="K303" s="26">
        <v>0</v>
      </c>
      <c r="L303" s="26">
        <v>0</v>
      </c>
      <c r="M303" s="26">
        <v>0</v>
      </c>
      <c r="N303" s="26">
        <v>0</v>
      </c>
      <c r="O303" s="26">
        <v>0</v>
      </c>
      <c r="P303" s="26">
        <v>0</v>
      </c>
      <c r="Q303" s="26">
        <v>0</v>
      </c>
      <c r="R303" s="26">
        <v>0</v>
      </c>
      <c r="S303" s="26">
        <v>0</v>
      </c>
      <c r="T303" s="26">
        <v>0</v>
      </c>
      <c r="U303" s="26">
        <v>0</v>
      </c>
      <c r="V303" s="26">
        <v>0</v>
      </c>
      <c r="W303" s="26">
        <v>0</v>
      </c>
      <c r="X303" s="26">
        <v>0</v>
      </c>
      <c r="Y303" s="26">
        <v>0</v>
      </c>
      <c r="Z303" s="26">
        <f t="shared" si="91"/>
        <v>0</v>
      </c>
      <c r="AA303" s="95"/>
      <c r="AB303" s="95"/>
      <c r="AC303" s="95"/>
      <c r="AD303" s="95"/>
      <c r="AE303" s="95"/>
      <c r="AF303" s="95"/>
      <c r="AG303" s="95"/>
      <c r="AH303" s="95"/>
      <c r="AI303" s="95"/>
      <c r="AJ303" s="95"/>
      <c r="AK303" s="95"/>
      <c r="AL303" s="95"/>
      <c r="AM303" s="95"/>
      <c r="AN303" s="96"/>
      <c r="AO303" s="96"/>
      <c r="AP303" s="96"/>
      <c r="AQ303" s="96"/>
      <c r="AR303" s="96"/>
      <c r="AS303" s="96"/>
      <c r="AT303" s="96"/>
      <c r="AU303" s="96"/>
      <c r="AV303" s="96"/>
      <c r="AW303" s="96"/>
      <c r="AX303" s="96"/>
      <c r="AY303" s="96"/>
      <c r="AZ303" s="96"/>
      <c r="BA303" s="96"/>
    </row>
    <row r="304" spans="1:53" s="97" customFormat="1" ht="12" customHeight="1">
      <c r="A304" s="8">
        <v>4010102</v>
      </c>
      <c r="B304" s="8" t="s">
        <v>753</v>
      </c>
      <c r="C304" s="80">
        <f>+VLOOKUP(A304,Clasificaciones!C:I,5,FALSE)</f>
        <v>0</v>
      </c>
      <c r="D304" s="80">
        <v>0</v>
      </c>
      <c r="E304" s="80">
        <v>0</v>
      </c>
      <c r="F304" s="80">
        <v>0</v>
      </c>
      <c r="G304" s="80">
        <f t="shared" ref="G304:G379" si="93">+C304-F304+D304-E304</f>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c r="Z304" s="26">
        <f t="shared" si="91"/>
        <v>0</v>
      </c>
      <c r="AA304" s="95"/>
      <c r="AB304" s="95"/>
      <c r="AC304" s="95"/>
      <c r="AD304" s="95"/>
      <c r="AE304" s="95"/>
      <c r="AF304" s="95"/>
      <c r="AG304" s="95"/>
      <c r="AH304" s="95"/>
      <c r="AI304" s="95"/>
      <c r="AJ304" s="95"/>
      <c r="AK304" s="95"/>
      <c r="AL304" s="95"/>
      <c r="AM304" s="95"/>
      <c r="AN304" s="96"/>
      <c r="AO304" s="96"/>
      <c r="AP304" s="96"/>
      <c r="AQ304" s="96"/>
      <c r="AR304" s="96"/>
      <c r="AS304" s="96"/>
      <c r="AT304" s="96"/>
      <c r="AU304" s="96"/>
      <c r="AV304" s="96"/>
      <c r="AW304" s="96"/>
      <c r="AX304" s="96"/>
      <c r="AY304" s="96"/>
      <c r="AZ304" s="96"/>
      <c r="BA304" s="96"/>
    </row>
    <row r="305" spans="1:53" s="97" customFormat="1" ht="12" customHeight="1">
      <c r="A305" s="8">
        <v>401010201</v>
      </c>
      <c r="B305" s="8" t="s">
        <v>754</v>
      </c>
      <c r="C305" s="80">
        <f>+VLOOKUP(A305,Clasificaciones!C:I,5,FALSE)</f>
        <v>-73596477</v>
      </c>
      <c r="D305" s="80">
        <v>0</v>
      </c>
      <c r="E305" s="80">
        <v>0</v>
      </c>
      <c r="F305" s="80">
        <v>0</v>
      </c>
      <c r="G305" s="80">
        <f t="shared" si="93"/>
        <v>-73596477</v>
      </c>
      <c r="H305" s="26">
        <f t="shared" ref="H305:H312" si="94">-G305</f>
        <v>73596477</v>
      </c>
      <c r="I305" s="26">
        <v>0</v>
      </c>
      <c r="J305" s="26">
        <v>0</v>
      </c>
      <c r="K305" s="26">
        <v>0</v>
      </c>
      <c r="L305" s="26">
        <v>0</v>
      </c>
      <c r="M305" s="26">
        <v>0</v>
      </c>
      <c r="N305" s="26">
        <v>0</v>
      </c>
      <c r="O305" s="26">
        <v>0</v>
      </c>
      <c r="P305" s="26">
        <v>0</v>
      </c>
      <c r="Q305" s="26">
        <v>0</v>
      </c>
      <c r="R305" s="26">
        <v>0</v>
      </c>
      <c r="S305" s="26">
        <v>0</v>
      </c>
      <c r="T305" s="26">
        <v>0</v>
      </c>
      <c r="U305" s="26">
        <v>0</v>
      </c>
      <c r="V305" s="26">
        <v>0</v>
      </c>
      <c r="W305" s="26">
        <v>0</v>
      </c>
      <c r="X305" s="26">
        <v>0</v>
      </c>
      <c r="Y305" s="26">
        <v>0</v>
      </c>
      <c r="Z305" s="26">
        <f t="shared" si="91"/>
        <v>0</v>
      </c>
      <c r="AA305" s="95"/>
      <c r="AB305" s="95"/>
      <c r="AC305" s="95"/>
      <c r="AD305" s="95"/>
      <c r="AE305" s="95"/>
      <c r="AF305" s="95"/>
      <c r="AG305" s="95"/>
      <c r="AH305" s="95"/>
      <c r="AI305" s="95"/>
      <c r="AJ305" s="95"/>
      <c r="AK305" s="95"/>
      <c r="AL305" s="95"/>
      <c r="AM305" s="95"/>
      <c r="AN305" s="96"/>
      <c r="AO305" s="96"/>
      <c r="AP305" s="96"/>
      <c r="AQ305" s="96"/>
      <c r="AR305" s="96"/>
      <c r="AS305" s="96"/>
      <c r="AT305" s="96"/>
      <c r="AU305" s="96"/>
      <c r="AV305" s="96"/>
      <c r="AW305" s="96"/>
      <c r="AX305" s="96"/>
      <c r="AY305" s="96"/>
      <c r="AZ305" s="96"/>
      <c r="BA305" s="96"/>
    </row>
    <row r="306" spans="1:53" s="97" customFormat="1" ht="12" customHeight="1">
      <c r="A306" s="8">
        <v>401010202</v>
      </c>
      <c r="B306" s="8" t="s">
        <v>755</v>
      </c>
      <c r="C306" s="80">
        <f>+VLOOKUP(A306,Clasificaciones!C:I,5,FALSE)</f>
        <v>-246824400</v>
      </c>
      <c r="D306" s="80">
        <v>0</v>
      </c>
      <c r="E306" s="80">
        <v>0</v>
      </c>
      <c r="F306" s="80">
        <v>0</v>
      </c>
      <c r="G306" s="80">
        <f t="shared" si="93"/>
        <v>-246824400</v>
      </c>
      <c r="H306" s="26">
        <f t="shared" si="94"/>
        <v>246824400</v>
      </c>
      <c r="I306" s="26">
        <v>0</v>
      </c>
      <c r="J306" s="26">
        <v>0</v>
      </c>
      <c r="K306" s="26">
        <v>0</v>
      </c>
      <c r="L306" s="26">
        <v>0</v>
      </c>
      <c r="M306" s="26">
        <v>0</v>
      </c>
      <c r="N306" s="26">
        <v>0</v>
      </c>
      <c r="O306" s="26">
        <v>0</v>
      </c>
      <c r="P306" s="26">
        <v>0</v>
      </c>
      <c r="Q306" s="26">
        <v>0</v>
      </c>
      <c r="R306" s="26">
        <v>0</v>
      </c>
      <c r="S306" s="26">
        <v>0</v>
      </c>
      <c r="T306" s="26">
        <v>0</v>
      </c>
      <c r="U306" s="26">
        <v>0</v>
      </c>
      <c r="V306" s="26">
        <v>0</v>
      </c>
      <c r="W306" s="26">
        <v>0</v>
      </c>
      <c r="X306" s="26">
        <v>0</v>
      </c>
      <c r="Y306" s="26">
        <v>0</v>
      </c>
      <c r="Z306" s="26">
        <f t="shared" si="91"/>
        <v>0</v>
      </c>
      <c r="AA306" s="95"/>
      <c r="AB306" s="95"/>
      <c r="AC306" s="95"/>
      <c r="AD306" s="95"/>
      <c r="AE306" s="95"/>
      <c r="AF306" s="95"/>
      <c r="AG306" s="95"/>
      <c r="AH306" s="95"/>
      <c r="AI306" s="95"/>
      <c r="AJ306" s="95"/>
      <c r="AK306" s="95"/>
      <c r="AL306" s="95"/>
      <c r="AM306" s="95"/>
      <c r="AN306" s="96"/>
      <c r="AO306" s="96"/>
      <c r="AP306" s="96"/>
      <c r="AQ306" s="96"/>
      <c r="AR306" s="96"/>
      <c r="AS306" s="96"/>
      <c r="AT306" s="96"/>
      <c r="AU306" s="96"/>
      <c r="AV306" s="96"/>
      <c r="AW306" s="96"/>
      <c r="AX306" s="96"/>
      <c r="AY306" s="96"/>
      <c r="AZ306" s="96"/>
      <c r="BA306" s="96"/>
    </row>
    <row r="307" spans="1:53" s="97" customFormat="1" ht="12" customHeight="1">
      <c r="A307" s="8">
        <v>40103</v>
      </c>
      <c r="B307" s="8" t="s">
        <v>757</v>
      </c>
      <c r="C307" s="80">
        <f>+VLOOKUP(A307,Clasificaciones!C:I,5,FALSE)</f>
        <v>0</v>
      </c>
      <c r="D307" s="80">
        <v>0</v>
      </c>
      <c r="E307" s="80">
        <v>0</v>
      </c>
      <c r="F307" s="80">
        <v>0</v>
      </c>
      <c r="G307" s="80">
        <f t="shared" si="93"/>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v>
      </c>
      <c r="Y307" s="26">
        <v>0</v>
      </c>
      <c r="Z307" s="26">
        <f t="shared" si="91"/>
        <v>0</v>
      </c>
      <c r="AA307" s="95"/>
      <c r="AB307" s="95"/>
      <c r="AC307" s="95"/>
      <c r="AD307" s="95"/>
      <c r="AE307" s="95"/>
      <c r="AF307" s="95"/>
      <c r="AG307" s="95"/>
      <c r="AH307" s="95"/>
      <c r="AI307" s="95"/>
      <c r="AJ307" s="95"/>
      <c r="AK307" s="95"/>
      <c r="AL307" s="95"/>
      <c r="AM307" s="95"/>
      <c r="AN307" s="96"/>
      <c r="AO307" s="96"/>
      <c r="AP307" s="96"/>
      <c r="AQ307" s="96"/>
      <c r="AR307" s="96"/>
      <c r="AS307" s="96"/>
      <c r="AT307" s="96"/>
      <c r="AU307" s="96"/>
      <c r="AV307" s="96"/>
      <c r="AW307" s="96"/>
      <c r="AX307" s="96"/>
      <c r="AY307" s="96"/>
      <c r="AZ307" s="96"/>
      <c r="BA307" s="96"/>
    </row>
    <row r="308" spans="1:53" s="97" customFormat="1" ht="12" customHeight="1">
      <c r="A308" s="8">
        <v>4010301</v>
      </c>
      <c r="B308" s="8" t="s">
        <v>758</v>
      </c>
      <c r="C308" s="80">
        <f>+VLOOKUP(A308,Clasificaciones!C:I,5,FALSE)</f>
        <v>-400000000</v>
      </c>
      <c r="D308" s="80">
        <v>0</v>
      </c>
      <c r="E308" s="80">
        <v>0</v>
      </c>
      <c r="F308" s="80">
        <v>0</v>
      </c>
      <c r="G308" s="80">
        <f t="shared" si="93"/>
        <v>-400000000</v>
      </c>
      <c r="H308" s="26">
        <f t="shared" si="94"/>
        <v>400000000</v>
      </c>
      <c r="I308" s="26">
        <v>0</v>
      </c>
      <c r="J308" s="26">
        <v>0</v>
      </c>
      <c r="K308" s="26">
        <v>0</v>
      </c>
      <c r="L308" s="26">
        <v>0</v>
      </c>
      <c r="M308" s="26">
        <v>0</v>
      </c>
      <c r="N308" s="26">
        <v>0</v>
      </c>
      <c r="O308" s="26">
        <v>0</v>
      </c>
      <c r="P308" s="26">
        <v>0</v>
      </c>
      <c r="Q308" s="26">
        <v>0</v>
      </c>
      <c r="R308" s="26">
        <v>0</v>
      </c>
      <c r="S308" s="26">
        <v>0</v>
      </c>
      <c r="T308" s="26">
        <v>0</v>
      </c>
      <c r="U308" s="26">
        <v>0</v>
      </c>
      <c r="V308" s="26">
        <v>0</v>
      </c>
      <c r="W308" s="26">
        <v>0</v>
      </c>
      <c r="X308" s="26">
        <v>0</v>
      </c>
      <c r="Y308" s="26">
        <v>0</v>
      </c>
      <c r="Z308" s="26">
        <f t="shared" si="91"/>
        <v>0</v>
      </c>
      <c r="AA308" s="95"/>
      <c r="AB308" s="95"/>
      <c r="AC308" s="95"/>
      <c r="AD308" s="95"/>
      <c r="AE308" s="95"/>
      <c r="AF308" s="95"/>
      <c r="AG308" s="95"/>
      <c r="AH308" s="95"/>
      <c r="AI308" s="95"/>
      <c r="AJ308" s="95"/>
      <c r="AK308" s="95"/>
      <c r="AL308" s="95"/>
      <c r="AM308" s="95"/>
      <c r="AN308" s="96"/>
      <c r="AO308" s="96"/>
      <c r="AP308" s="96"/>
      <c r="AQ308" s="96"/>
      <c r="AR308" s="96"/>
      <c r="AS308" s="96"/>
      <c r="AT308" s="96"/>
      <c r="AU308" s="96"/>
      <c r="AV308" s="96"/>
      <c r="AW308" s="96"/>
      <c r="AX308" s="96"/>
      <c r="AY308" s="96"/>
      <c r="AZ308" s="96"/>
      <c r="BA308" s="96"/>
    </row>
    <row r="309" spans="1:53" s="97" customFormat="1" ht="12" customHeight="1">
      <c r="A309" s="8">
        <v>4010302</v>
      </c>
      <c r="B309" s="8" t="s">
        <v>758</v>
      </c>
      <c r="C309" s="80">
        <f>+VLOOKUP(A309,Clasificaciones!C:I,5,FALSE)</f>
        <v>-54898480</v>
      </c>
      <c r="D309" s="80">
        <v>0</v>
      </c>
      <c r="E309" s="80">
        <v>0</v>
      </c>
      <c r="F309" s="80">
        <v>0</v>
      </c>
      <c r="G309" s="80">
        <f t="shared" si="93"/>
        <v>-54898480</v>
      </c>
      <c r="H309" s="26">
        <f t="shared" ref="H309" si="95">-G309</f>
        <v>54898480</v>
      </c>
      <c r="I309" s="26">
        <v>0</v>
      </c>
      <c r="J309" s="26">
        <v>0</v>
      </c>
      <c r="K309" s="26">
        <v>0</v>
      </c>
      <c r="L309" s="26">
        <v>0</v>
      </c>
      <c r="M309" s="26">
        <v>0</v>
      </c>
      <c r="N309" s="26">
        <v>0</v>
      </c>
      <c r="O309" s="26">
        <v>0</v>
      </c>
      <c r="P309" s="26">
        <v>0</v>
      </c>
      <c r="Q309" s="26">
        <v>0</v>
      </c>
      <c r="R309" s="26">
        <v>0</v>
      </c>
      <c r="S309" s="26">
        <v>0</v>
      </c>
      <c r="T309" s="26">
        <v>0</v>
      </c>
      <c r="U309" s="26">
        <v>0</v>
      </c>
      <c r="V309" s="26">
        <v>0</v>
      </c>
      <c r="W309" s="26">
        <v>0</v>
      </c>
      <c r="X309" s="26">
        <v>0</v>
      </c>
      <c r="Y309" s="26">
        <v>0</v>
      </c>
      <c r="Z309" s="26">
        <f t="shared" si="91"/>
        <v>0</v>
      </c>
      <c r="AA309" s="95"/>
      <c r="AB309" s="95"/>
      <c r="AC309" s="95"/>
      <c r="AD309" s="95"/>
      <c r="AE309" s="95"/>
      <c r="AF309" s="95"/>
      <c r="AG309" s="95"/>
      <c r="AH309" s="95"/>
      <c r="AI309" s="95"/>
      <c r="AJ309" s="95"/>
      <c r="AK309" s="95"/>
      <c r="AL309" s="95"/>
      <c r="AM309" s="95"/>
      <c r="AN309" s="96"/>
      <c r="AO309" s="96"/>
      <c r="AP309" s="96"/>
      <c r="AQ309" s="96"/>
      <c r="AR309" s="96"/>
      <c r="AS309" s="96"/>
      <c r="AT309" s="96"/>
      <c r="AU309" s="96"/>
      <c r="AV309" s="96"/>
      <c r="AW309" s="96"/>
      <c r="AX309" s="96"/>
      <c r="AY309" s="96"/>
      <c r="AZ309" s="96"/>
      <c r="BA309" s="96"/>
    </row>
    <row r="310" spans="1:53" s="97" customFormat="1" ht="12" customHeight="1">
      <c r="A310" s="8">
        <v>4010303</v>
      </c>
      <c r="B310" s="8" t="s">
        <v>1276</v>
      </c>
      <c r="C310" s="80">
        <f>+VLOOKUP(A310,Clasificaciones!C:I,5,FALSE)</f>
        <v>0</v>
      </c>
      <c r="D310" s="80">
        <v>0</v>
      </c>
      <c r="E310" s="80">
        <v>0</v>
      </c>
      <c r="F310" s="80">
        <v>0</v>
      </c>
      <c r="G310" s="80">
        <f t="shared" ref="G310" si="96">+C310-F310+D310-E310</f>
        <v>0</v>
      </c>
      <c r="H310" s="26">
        <f t="shared" ref="H310" si="97">-G310</f>
        <v>0</v>
      </c>
      <c r="I310" s="26">
        <v>0</v>
      </c>
      <c r="J310" s="26">
        <v>0</v>
      </c>
      <c r="K310" s="26">
        <v>0</v>
      </c>
      <c r="L310" s="26">
        <v>0</v>
      </c>
      <c r="M310" s="26">
        <v>0</v>
      </c>
      <c r="N310" s="26">
        <v>0</v>
      </c>
      <c r="O310" s="26">
        <v>0</v>
      </c>
      <c r="P310" s="26">
        <v>0</v>
      </c>
      <c r="Q310" s="26">
        <v>0</v>
      </c>
      <c r="R310" s="26">
        <v>0</v>
      </c>
      <c r="S310" s="26">
        <v>0</v>
      </c>
      <c r="T310" s="26">
        <v>0</v>
      </c>
      <c r="U310" s="26">
        <v>0</v>
      </c>
      <c r="V310" s="26">
        <v>0</v>
      </c>
      <c r="W310" s="26">
        <v>0</v>
      </c>
      <c r="X310" s="26">
        <v>0</v>
      </c>
      <c r="Y310" s="26">
        <v>0</v>
      </c>
      <c r="Z310" s="26">
        <f t="shared" si="91"/>
        <v>0</v>
      </c>
      <c r="AA310" s="95"/>
      <c r="AB310" s="95"/>
      <c r="AC310" s="95"/>
      <c r="AD310" s="95"/>
      <c r="AE310" s="95"/>
      <c r="AF310" s="95"/>
      <c r="AG310" s="95"/>
      <c r="AH310" s="95"/>
      <c r="AI310" s="95"/>
      <c r="AJ310" s="95"/>
      <c r="AK310" s="95"/>
      <c r="AL310" s="95"/>
      <c r="AM310" s="95"/>
      <c r="AN310" s="96"/>
      <c r="AO310" s="96"/>
      <c r="AP310" s="96"/>
      <c r="AQ310" s="96"/>
      <c r="AR310" s="96"/>
      <c r="AS310" s="96"/>
      <c r="AT310" s="96"/>
      <c r="AU310" s="96"/>
      <c r="AV310" s="96"/>
      <c r="AW310" s="96"/>
      <c r="AX310" s="96"/>
      <c r="AY310" s="96"/>
      <c r="AZ310" s="96"/>
      <c r="BA310" s="96"/>
    </row>
    <row r="311" spans="1:53" s="97" customFormat="1" ht="12" customHeight="1">
      <c r="A311" s="8">
        <v>402</v>
      </c>
      <c r="B311" s="8" t="s">
        <v>759</v>
      </c>
      <c r="C311" s="80">
        <f>+VLOOKUP(A311,Clasificaciones!C:I,5,FALSE)</f>
        <v>0</v>
      </c>
      <c r="D311" s="80">
        <v>0</v>
      </c>
      <c r="E311" s="80">
        <v>0</v>
      </c>
      <c r="F311" s="80">
        <v>0</v>
      </c>
      <c r="G311" s="80">
        <f t="shared" si="93"/>
        <v>0</v>
      </c>
      <c r="H311" s="26">
        <v>0</v>
      </c>
      <c r="I311" s="26">
        <v>0</v>
      </c>
      <c r="J311" s="26">
        <v>0</v>
      </c>
      <c r="K311" s="26">
        <v>0</v>
      </c>
      <c r="L311" s="26">
        <v>0</v>
      </c>
      <c r="M311" s="26">
        <v>0</v>
      </c>
      <c r="N311" s="26">
        <v>0</v>
      </c>
      <c r="O311" s="26">
        <v>0</v>
      </c>
      <c r="P311" s="26">
        <v>0</v>
      </c>
      <c r="Q311" s="26">
        <v>0</v>
      </c>
      <c r="R311" s="26">
        <v>0</v>
      </c>
      <c r="S311" s="26">
        <v>0</v>
      </c>
      <c r="T311" s="26">
        <v>0</v>
      </c>
      <c r="U311" s="26">
        <v>0</v>
      </c>
      <c r="V311" s="26">
        <v>0</v>
      </c>
      <c r="W311" s="26">
        <v>0</v>
      </c>
      <c r="X311" s="26">
        <v>0</v>
      </c>
      <c r="Y311" s="26">
        <v>0</v>
      </c>
      <c r="Z311" s="26">
        <f t="shared" si="91"/>
        <v>0</v>
      </c>
      <c r="AA311" s="95"/>
      <c r="AB311" s="95"/>
      <c r="AC311" s="95"/>
      <c r="AD311" s="95"/>
      <c r="AE311" s="95"/>
      <c r="AF311" s="95"/>
      <c r="AG311" s="95"/>
      <c r="AH311" s="95"/>
      <c r="AI311" s="95"/>
      <c r="AJ311" s="95"/>
      <c r="AK311" s="95"/>
      <c r="AL311" s="95"/>
      <c r="AM311" s="95"/>
      <c r="AN311" s="96"/>
      <c r="AO311" s="96"/>
      <c r="AP311" s="96"/>
      <c r="AQ311" s="96"/>
      <c r="AR311" s="96"/>
      <c r="AS311" s="96"/>
      <c r="AT311" s="96"/>
      <c r="AU311" s="96"/>
      <c r="AV311" s="96"/>
      <c r="AW311" s="96"/>
      <c r="AX311" s="96"/>
      <c r="AY311" s="96"/>
      <c r="AZ311" s="96"/>
      <c r="BA311" s="96"/>
    </row>
    <row r="312" spans="1:53" s="97" customFormat="1" ht="12" customHeight="1">
      <c r="A312" s="8">
        <v>40202</v>
      </c>
      <c r="B312" s="8" t="s">
        <v>1048</v>
      </c>
      <c r="C312" s="80">
        <f>+VLOOKUP(A312,Clasificaciones!C:I,5,FALSE)</f>
        <v>-2297398</v>
      </c>
      <c r="D312" s="80">
        <v>0</v>
      </c>
      <c r="E312" s="80">
        <v>0</v>
      </c>
      <c r="F312" s="80">
        <v>0</v>
      </c>
      <c r="G312" s="80">
        <f t="shared" si="93"/>
        <v>-2297398</v>
      </c>
      <c r="H312" s="26">
        <f t="shared" si="94"/>
        <v>2297398</v>
      </c>
      <c r="I312" s="26">
        <v>0</v>
      </c>
      <c r="J312" s="26">
        <v>0</v>
      </c>
      <c r="K312" s="26">
        <v>0</v>
      </c>
      <c r="L312" s="26">
        <v>0</v>
      </c>
      <c r="M312" s="26">
        <v>0</v>
      </c>
      <c r="N312" s="26">
        <v>0</v>
      </c>
      <c r="O312" s="26">
        <v>0</v>
      </c>
      <c r="P312" s="26">
        <v>0</v>
      </c>
      <c r="Q312" s="26">
        <v>0</v>
      </c>
      <c r="R312" s="26">
        <v>0</v>
      </c>
      <c r="S312" s="26">
        <v>0</v>
      </c>
      <c r="T312" s="26">
        <v>0</v>
      </c>
      <c r="U312" s="26">
        <v>0</v>
      </c>
      <c r="V312" s="26">
        <v>0</v>
      </c>
      <c r="W312" s="26">
        <v>0</v>
      </c>
      <c r="X312" s="26">
        <v>0</v>
      </c>
      <c r="Y312" s="26">
        <v>0</v>
      </c>
      <c r="Z312" s="26">
        <f t="shared" si="91"/>
        <v>0</v>
      </c>
      <c r="AA312" s="95"/>
      <c r="AB312" s="95"/>
      <c r="AC312" s="95"/>
      <c r="AD312" s="95"/>
      <c r="AE312" s="95"/>
      <c r="AF312" s="95"/>
      <c r="AG312" s="95"/>
      <c r="AH312" s="95"/>
      <c r="AI312" s="95"/>
      <c r="AJ312" s="95"/>
      <c r="AK312" s="95"/>
      <c r="AL312" s="95"/>
      <c r="AM312" s="95"/>
      <c r="AN312" s="96"/>
      <c r="AO312" s="96"/>
      <c r="AP312" s="96"/>
      <c r="AQ312" s="96"/>
      <c r="AR312" s="96"/>
      <c r="AS312" s="96"/>
      <c r="AT312" s="96"/>
      <c r="AU312" s="96"/>
      <c r="AV312" s="96"/>
      <c r="AW312" s="96"/>
      <c r="AX312" s="96"/>
      <c r="AY312" s="96"/>
      <c r="AZ312" s="96"/>
      <c r="BA312" s="96"/>
    </row>
    <row r="313" spans="1:53" s="97" customFormat="1" ht="12" customHeight="1">
      <c r="A313" s="8">
        <v>40203</v>
      </c>
      <c r="B313" s="8" t="s">
        <v>760</v>
      </c>
      <c r="C313" s="80">
        <f>+VLOOKUP(A313,Clasificaciones!C:I,5,FALSE)</f>
        <v>0</v>
      </c>
      <c r="D313" s="80">
        <v>0</v>
      </c>
      <c r="E313" s="80">
        <v>0</v>
      </c>
      <c r="F313" s="80">
        <v>0</v>
      </c>
      <c r="G313" s="80">
        <f t="shared" si="93"/>
        <v>0</v>
      </c>
      <c r="H313" s="26">
        <v>0</v>
      </c>
      <c r="I313" s="26">
        <v>0</v>
      </c>
      <c r="J313" s="26">
        <v>0</v>
      </c>
      <c r="K313" s="26">
        <v>0</v>
      </c>
      <c r="L313" s="26">
        <v>0</v>
      </c>
      <c r="M313" s="26">
        <v>0</v>
      </c>
      <c r="N313" s="26">
        <v>0</v>
      </c>
      <c r="O313" s="26">
        <v>0</v>
      </c>
      <c r="P313" s="26">
        <v>0</v>
      </c>
      <c r="Q313" s="26">
        <v>0</v>
      </c>
      <c r="R313" s="26">
        <v>0</v>
      </c>
      <c r="S313" s="26">
        <v>0</v>
      </c>
      <c r="T313" s="26">
        <v>0</v>
      </c>
      <c r="U313" s="26">
        <v>0</v>
      </c>
      <c r="V313" s="26">
        <v>0</v>
      </c>
      <c r="W313" s="26">
        <v>0</v>
      </c>
      <c r="X313" s="26">
        <v>0</v>
      </c>
      <c r="Y313" s="26">
        <v>0</v>
      </c>
      <c r="Z313" s="26">
        <f t="shared" si="91"/>
        <v>0</v>
      </c>
      <c r="AA313" s="95"/>
      <c r="AB313" s="95"/>
      <c r="AC313" s="95"/>
      <c r="AD313" s="95"/>
      <c r="AE313" s="95"/>
      <c r="AF313" s="95"/>
      <c r="AG313" s="95"/>
      <c r="AH313" s="95"/>
      <c r="AI313" s="95"/>
      <c r="AJ313" s="95"/>
      <c r="AK313" s="95"/>
      <c r="AL313" s="95"/>
      <c r="AM313" s="95"/>
      <c r="AN313" s="96"/>
      <c r="AO313" s="96"/>
      <c r="AP313" s="96"/>
      <c r="AQ313" s="96"/>
      <c r="AR313" s="96"/>
      <c r="AS313" s="96"/>
      <c r="AT313" s="96"/>
      <c r="AU313" s="96"/>
      <c r="AV313" s="96"/>
      <c r="AW313" s="96"/>
      <c r="AX313" s="96"/>
      <c r="AY313" s="96"/>
      <c r="AZ313" s="96"/>
      <c r="BA313" s="96"/>
    </row>
    <row r="314" spans="1:53" s="97" customFormat="1" ht="12" customHeight="1">
      <c r="A314" s="8">
        <v>4020302</v>
      </c>
      <c r="B314" s="8" t="s">
        <v>761</v>
      </c>
      <c r="C314" s="80">
        <f>+VLOOKUP(A314,Clasificaciones!C:I,5,FALSE)</f>
        <v>-186095070</v>
      </c>
      <c r="D314" s="80">
        <v>0</v>
      </c>
      <c r="E314" s="80">
        <v>0</v>
      </c>
      <c r="F314" s="80">
        <v>0</v>
      </c>
      <c r="G314" s="80">
        <f t="shared" si="93"/>
        <v>-186095070</v>
      </c>
      <c r="H314" s="26">
        <f>-G314</f>
        <v>186095070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c r="Z314" s="26">
        <f t="shared" si="91"/>
        <v>0</v>
      </c>
      <c r="AA314" s="95"/>
      <c r="AB314" s="95"/>
      <c r="AC314" s="95"/>
      <c r="AD314" s="95"/>
      <c r="AE314" s="95"/>
      <c r="AF314" s="95"/>
      <c r="AG314" s="95"/>
      <c r="AH314" s="95"/>
      <c r="AI314" s="95"/>
      <c r="AJ314" s="95"/>
      <c r="AK314" s="95"/>
      <c r="AL314" s="95"/>
      <c r="AM314" s="95"/>
      <c r="AN314" s="96"/>
      <c r="AO314" s="96"/>
      <c r="AP314" s="96"/>
      <c r="AQ314" s="96"/>
      <c r="AR314" s="96"/>
      <c r="AS314" s="96"/>
      <c r="AT314" s="96"/>
      <c r="AU314" s="96"/>
      <c r="AV314" s="96"/>
      <c r="AW314" s="96"/>
      <c r="AX314" s="96"/>
      <c r="AY314" s="96"/>
      <c r="AZ314" s="96"/>
      <c r="BA314" s="96"/>
    </row>
    <row r="315" spans="1:53" s="97" customFormat="1" ht="12" customHeight="1">
      <c r="A315" s="8">
        <v>403</v>
      </c>
      <c r="B315" s="8" t="s">
        <v>762</v>
      </c>
      <c r="C315" s="80">
        <f>+VLOOKUP(A315,Clasificaciones!C:I,5,FALSE)</f>
        <v>0</v>
      </c>
      <c r="D315" s="80">
        <v>0</v>
      </c>
      <c r="E315" s="80">
        <v>0</v>
      </c>
      <c r="F315" s="80">
        <v>0</v>
      </c>
      <c r="G315" s="80">
        <f t="shared" si="93"/>
        <v>0</v>
      </c>
      <c r="H315" s="26">
        <v>0</v>
      </c>
      <c r="I315" s="26">
        <v>0</v>
      </c>
      <c r="J315" s="26">
        <v>0</v>
      </c>
      <c r="K315" s="26">
        <v>0</v>
      </c>
      <c r="L315" s="26">
        <v>0</v>
      </c>
      <c r="M315" s="26">
        <v>0</v>
      </c>
      <c r="N315" s="26">
        <v>0</v>
      </c>
      <c r="O315" s="26">
        <v>0</v>
      </c>
      <c r="P315" s="26">
        <v>0</v>
      </c>
      <c r="Q315" s="26">
        <v>0</v>
      </c>
      <c r="R315" s="26">
        <v>0</v>
      </c>
      <c r="S315" s="26">
        <v>0</v>
      </c>
      <c r="T315" s="26">
        <v>0</v>
      </c>
      <c r="U315" s="26">
        <v>0</v>
      </c>
      <c r="V315" s="26">
        <v>0</v>
      </c>
      <c r="W315" s="26">
        <v>0</v>
      </c>
      <c r="X315" s="26">
        <v>0</v>
      </c>
      <c r="Y315" s="26">
        <v>0</v>
      </c>
      <c r="Z315" s="26">
        <f t="shared" si="91"/>
        <v>0</v>
      </c>
      <c r="AA315" s="95"/>
      <c r="AB315" s="95"/>
      <c r="AC315" s="95"/>
      <c r="AD315" s="95"/>
      <c r="AE315" s="95"/>
      <c r="AF315" s="95"/>
      <c r="AG315" s="95"/>
      <c r="AH315" s="95"/>
      <c r="AI315" s="95"/>
      <c r="AJ315" s="95"/>
      <c r="AK315" s="95"/>
      <c r="AL315" s="95"/>
      <c r="AM315" s="95"/>
      <c r="AN315" s="96"/>
      <c r="AO315" s="96"/>
      <c r="AP315" s="96"/>
      <c r="AQ315" s="96"/>
      <c r="AR315" s="96"/>
      <c r="AS315" s="96"/>
      <c r="AT315" s="96"/>
      <c r="AU315" s="96"/>
      <c r="AV315" s="96"/>
      <c r="AW315" s="96"/>
      <c r="AX315" s="96"/>
      <c r="AY315" s="96"/>
      <c r="AZ315" s="96"/>
      <c r="BA315" s="96"/>
    </row>
    <row r="316" spans="1:53" s="97" customFormat="1" ht="12" customHeight="1">
      <c r="A316" s="8">
        <v>40301</v>
      </c>
      <c r="B316" s="8" t="s">
        <v>763</v>
      </c>
      <c r="C316" s="80">
        <f>+VLOOKUP(A316,Clasificaciones!C:I,5,FALSE)</f>
        <v>0</v>
      </c>
      <c r="D316" s="80">
        <v>0</v>
      </c>
      <c r="E316" s="80">
        <v>0</v>
      </c>
      <c r="F316" s="80">
        <v>0</v>
      </c>
      <c r="G316" s="80">
        <f t="shared" si="93"/>
        <v>0</v>
      </c>
      <c r="H316" s="26">
        <v>0</v>
      </c>
      <c r="I316" s="26">
        <v>0</v>
      </c>
      <c r="J316" s="26">
        <v>0</v>
      </c>
      <c r="K316" s="26">
        <v>0</v>
      </c>
      <c r="L316" s="26">
        <v>0</v>
      </c>
      <c r="M316" s="26">
        <v>0</v>
      </c>
      <c r="N316" s="26">
        <v>0</v>
      </c>
      <c r="O316" s="26">
        <v>0</v>
      </c>
      <c r="P316" s="26">
        <v>0</v>
      </c>
      <c r="Q316" s="26">
        <v>0</v>
      </c>
      <c r="R316" s="26">
        <v>0</v>
      </c>
      <c r="S316" s="26">
        <v>0</v>
      </c>
      <c r="T316" s="26">
        <v>0</v>
      </c>
      <c r="U316" s="26">
        <v>0</v>
      </c>
      <c r="V316" s="26">
        <v>0</v>
      </c>
      <c r="W316" s="26">
        <v>0</v>
      </c>
      <c r="X316" s="26">
        <v>0</v>
      </c>
      <c r="Y316" s="26">
        <v>0</v>
      </c>
      <c r="Z316" s="26">
        <f t="shared" si="91"/>
        <v>0</v>
      </c>
      <c r="AA316" s="95"/>
      <c r="AB316" s="95"/>
      <c r="AC316" s="95"/>
      <c r="AD316" s="95"/>
      <c r="AE316" s="95"/>
      <c r="AF316" s="95"/>
      <c r="AG316" s="95"/>
      <c r="AH316" s="95"/>
      <c r="AI316" s="95"/>
      <c r="AJ316" s="95"/>
      <c r="AK316" s="95"/>
      <c r="AL316" s="95"/>
      <c r="AM316" s="95"/>
      <c r="AN316" s="96"/>
      <c r="AO316" s="96"/>
      <c r="AP316" s="96"/>
      <c r="AQ316" s="96"/>
      <c r="AR316" s="96"/>
      <c r="AS316" s="96"/>
      <c r="AT316" s="96"/>
      <c r="AU316" s="96"/>
      <c r="AV316" s="96"/>
      <c r="AW316" s="96"/>
      <c r="AX316" s="96"/>
      <c r="AY316" s="96"/>
      <c r="AZ316" s="96"/>
      <c r="BA316" s="96"/>
    </row>
    <row r="317" spans="1:53" s="97" customFormat="1" ht="12" customHeight="1">
      <c r="A317" s="8">
        <v>4030101</v>
      </c>
      <c r="B317" s="8" t="s">
        <v>763</v>
      </c>
      <c r="C317" s="80">
        <f>+VLOOKUP(A317,Clasificaciones!C:I,5,FALSE)</f>
        <v>0</v>
      </c>
      <c r="D317" s="80">
        <v>0</v>
      </c>
      <c r="E317" s="80">
        <v>0</v>
      </c>
      <c r="F317" s="80">
        <v>0</v>
      </c>
      <c r="G317" s="80">
        <f t="shared" si="93"/>
        <v>0</v>
      </c>
      <c r="H317" s="26">
        <v>0</v>
      </c>
      <c r="I317" s="26">
        <v>0</v>
      </c>
      <c r="J317" s="26">
        <v>0</v>
      </c>
      <c r="K317" s="26">
        <v>0</v>
      </c>
      <c r="L317" s="26">
        <v>0</v>
      </c>
      <c r="M317" s="26">
        <v>0</v>
      </c>
      <c r="N317" s="26">
        <v>0</v>
      </c>
      <c r="O317" s="26">
        <v>0</v>
      </c>
      <c r="P317" s="26">
        <v>0</v>
      </c>
      <c r="Q317" s="26">
        <v>0</v>
      </c>
      <c r="R317" s="26">
        <v>0</v>
      </c>
      <c r="S317" s="26">
        <v>0</v>
      </c>
      <c r="T317" s="26">
        <v>0</v>
      </c>
      <c r="U317" s="26">
        <v>0</v>
      </c>
      <c r="V317" s="26">
        <v>0</v>
      </c>
      <c r="W317" s="26">
        <v>0</v>
      </c>
      <c r="X317" s="26">
        <v>0</v>
      </c>
      <c r="Y317" s="26">
        <v>0</v>
      </c>
      <c r="Z317" s="26">
        <f t="shared" si="91"/>
        <v>0</v>
      </c>
      <c r="AA317" s="95"/>
      <c r="AB317" s="95"/>
      <c r="AC317" s="95"/>
      <c r="AD317" s="95"/>
      <c r="AE317" s="95"/>
      <c r="AF317" s="95"/>
      <c r="AG317" s="95"/>
      <c r="AH317" s="95"/>
      <c r="AI317" s="95"/>
      <c r="AJ317" s="95"/>
      <c r="AK317" s="95"/>
      <c r="AL317" s="95"/>
      <c r="AM317" s="95"/>
      <c r="AN317" s="96"/>
      <c r="AO317" s="96"/>
      <c r="AP317" s="96"/>
      <c r="AQ317" s="96"/>
      <c r="AR317" s="96"/>
      <c r="AS317" s="96"/>
      <c r="AT317" s="96"/>
      <c r="AU317" s="96"/>
      <c r="AV317" s="96"/>
      <c r="AW317" s="96"/>
      <c r="AX317" s="96"/>
      <c r="AY317" s="96"/>
      <c r="AZ317" s="96"/>
      <c r="BA317" s="96"/>
    </row>
    <row r="318" spans="1:53" s="97" customFormat="1" ht="12" customHeight="1">
      <c r="A318" s="8">
        <v>403010101</v>
      </c>
      <c r="B318" s="8" t="s">
        <v>764</v>
      </c>
      <c r="C318" s="80">
        <f>+VLOOKUP(A318,Clasificaciones!C:I,5,FALSE)</f>
        <v>-456866904</v>
      </c>
      <c r="D318" s="80">
        <v>0</v>
      </c>
      <c r="E318" s="80">
        <v>0</v>
      </c>
      <c r="F318" s="80">
        <v>0</v>
      </c>
      <c r="G318" s="80">
        <f t="shared" si="93"/>
        <v>-456866904</v>
      </c>
      <c r="H318" s="26">
        <v>0</v>
      </c>
      <c r="I318" s="26">
        <v>0</v>
      </c>
      <c r="J318" s="26">
        <v>0</v>
      </c>
      <c r="K318" s="26">
        <v>0</v>
      </c>
      <c r="L318" s="26">
        <v>0</v>
      </c>
      <c r="M318" s="26">
        <v>0</v>
      </c>
      <c r="N318" s="26">
        <v>0</v>
      </c>
      <c r="O318" s="26">
        <v>0</v>
      </c>
      <c r="P318" s="26">
        <v>0</v>
      </c>
      <c r="Q318" s="26">
        <v>0</v>
      </c>
      <c r="R318" s="26">
        <v>0</v>
      </c>
      <c r="S318" s="26">
        <f>-G318</f>
        <v>456866904</v>
      </c>
      <c r="T318" s="26">
        <v>0</v>
      </c>
      <c r="U318" s="26">
        <v>0</v>
      </c>
      <c r="V318" s="26">
        <v>0</v>
      </c>
      <c r="W318" s="26">
        <v>0</v>
      </c>
      <c r="X318" s="26">
        <v>0</v>
      </c>
      <c r="Y318" s="26">
        <v>0</v>
      </c>
      <c r="Z318" s="26">
        <f t="shared" si="91"/>
        <v>0</v>
      </c>
      <c r="AA318" s="95"/>
      <c r="AB318" s="95"/>
      <c r="AC318" s="95"/>
      <c r="AD318" s="95"/>
      <c r="AE318" s="95"/>
      <c r="AF318" s="95"/>
      <c r="AG318" s="95"/>
      <c r="AH318" s="95"/>
      <c r="AI318" s="95"/>
      <c r="AJ318" s="95"/>
      <c r="AK318" s="95"/>
      <c r="AL318" s="95"/>
      <c r="AM318" s="95"/>
      <c r="AN318" s="96"/>
      <c r="AO318" s="96"/>
      <c r="AP318" s="96"/>
      <c r="AQ318" s="96"/>
      <c r="AR318" s="96"/>
      <c r="AS318" s="96"/>
      <c r="AT318" s="96"/>
      <c r="AU318" s="96"/>
      <c r="AV318" s="96"/>
      <c r="AW318" s="96"/>
      <c r="AX318" s="96"/>
      <c r="AY318" s="96"/>
      <c r="AZ318" s="96"/>
      <c r="BA318" s="96"/>
    </row>
    <row r="319" spans="1:53" s="97" customFormat="1" ht="12" customHeight="1">
      <c r="A319" s="8">
        <v>403010102</v>
      </c>
      <c r="B319" s="8" t="s">
        <v>779</v>
      </c>
      <c r="C319" s="80">
        <f>+VLOOKUP(A319,Clasificaciones!C:I,5,FALSE)</f>
        <v>-55360</v>
      </c>
      <c r="D319" s="80">
        <v>0</v>
      </c>
      <c r="E319" s="80">
        <v>0</v>
      </c>
      <c r="F319" s="80">
        <v>0</v>
      </c>
      <c r="G319" s="80">
        <f t="shared" ref="G319" si="98">+C319-F319+D319-E319</f>
        <v>-55360</v>
      </c>
      <c r="H319" s="26">
        <v>0</v>
      </c>
      <c r="I319" s="26">
        <v>0</v>
      </c>
      <c r="J319" s="26">
        <v>0</v>
      </c>
      <c r="K319" s="26">
        <v>0</v>
      </c>
      <c r="L319" s="26">
        <v>0</v>
      </c>
      <c r="M319" s="26">
        <v>0</v>
      </c>
      <c r="N319" s="26">
        <v>0</v>
      </c>
      <c r="O319" s="26">
        <v>0</v>
      </c>
      <c r="P319" s="26">
        <v>0</v>
      </c>
      <c r="Q319" s="26">
        <v>0</v>
      </c>
      <c r="R319" s="26">
        <v>0</v>
      </c>
      <c r="S319" s="26">
        <f>-G319</f>
        <v>55360</v>
      </c>
      <c r="T319" s="26">
        <v>0</v>
      </c>
      <c r="U319" s="26">
        <v>0</v>
      </c>
      <c r="V319" s="26">
        <v>0</v>
      </c>
      <c r="W319" s="26">
        <v>0</v>
      </c>
      <c r="X319" s="26">
        <v>0</v>
      </c>
      <c r="Y319" s="26">
        <v>0</v>
      </c>
      <c r="Z319" s="26">
        <f t="shared" ref="Z319" si="99">SUM(G319:Y319)</f>
        <v>0</v>
      </c>
      <c r="AA319" s="95"/>
      <c r="AB319" s="95"/>
      <c r="AC319" s="95"/>
      <c r="AD319" s="95"/>
      <c r="AE319" s="95"/>
      <c r="AF319" s="95"/>
      <c r="AG319" s="95"/>
      <c r="AH319" s="95"/>
      <c r="AI319" s="95"/>
      <c r="AJ319" s="95"/>
      <c r="AK319" s="95"/>
      <c r="AL319" s="95"/>
      <c r="AM319" s="95"/>
      <c r="AN319" s="96"/>
      <c r="AO319" s="96"/>
      <c r="AP319" s="96"/>
      <c r="AQ319" s="96"/>
      <c r="AR319" s="96"/>
      <c r="AS319" s="96"/>
      <c r="AT319" s="96"/>
      <c r="AU319" s="96"/>
      <c r="AV319" s="96"/>
      <c r="AW319" s="96"/>
      <c r="AX319" s="96"/>
      <c r="AY319" s="96"/>
      <c r="AZ319" s="96"/>
      <c r="BA319" s="96"/>
    </row>
    <row r="320" spans="1:53" s="97" customFormat="1" ht="12" customHeight="1">
      <c r="A320" s="8">
        <v>403010103</v>
      </c>
      <c r="B320" s="8" t="s">
        <v>765</v>
      </c>
      <c r="C320" s="80">
        <f>+VLOOKUP(A320,Clasificaciones!C:I,5,FALSE)</f>
        <v>0</v>
      </c>
      <c r="D320" s="80">
        <v>0</v>
      </c>
      <c r="E320" s="80">
        <v>0</v>
      </c>
      <c r="F320" s="80">
        <v>0</v>
      </c>
      <c r="G320" s="80">
        <f t="shared" si="93"/>
        <v>0</v>
      </c>
      <c r="H320" s="26">
        <v>0</v>
      </c>
      <c r="I320" s="26">
        <v>0</v>
      </c>
      <c r="J320" s="26">
        <v>0</v>
      </c>
      <c r="K320" s="26">
        <v>0</v>
      </c>
      <c r="L320" s="26">
        <v>0</v>
      </c>
      <c r="M320" s="26">
        <v>0</v>
      </c>
      <c r="N320" s="26">
        <v>0</v>
      </c>
      <c r="O320" s="26">
        <v>0</v>
      </c>
      <c r="P320" s="26">
        <v>0</v>
      </c>
      <c r="Q320" s="26">
        <v>0</v>
      </c>
      <c r="R320" s="26">
        <v>0</v>
      </c>
      <c r="S320" s="26">
        <f t="shared" ref="S320:S331" si="100">-G320</f>
        <v>0</v>
      </c>
      <c r="T320" s="26">
        <v>0</v>
      </c>
      <c r="U320" s="26">
        <v>0</v>
      </c>
      <c r="V320" s="26">
        <v>0</v>
      </c>
      <c r="W320" s="26">
        <v>0</v>
      </c>
      <c r="X320" s="26">
        <v>0</v>
      </c>
      <c r="Y320" s="26">
        <v>0</v>
      </c>
      <c r="Z320" s="26">
        <f t="shared" si="91"/>
        <v>0</v>
      </c>
      <c r="AA320" s="95"/>
      <c r="AB320" s="95"/>
      <c r="AC320" s="95"/>
      <c r="AD320" s="95"/>
      <c r="AE320" s="95"/>
      <c r="AF320" s="95"/>
      <c r="AG320" s="95"/>
      <c r="AH320" s="95"/>
      <c r="AI320" s="95"/>
      <c r="AJ320" s="95"/>
      <c r="AK320" s="95"/>
      <c r="AL320" s="95"/>
      <c r="AM320" s="95"/>
      <c r="AN320" s="96"/>
      <c r="AO320" s="96"/>
      <c r="AP320" s="96"/>
      <c r="AQ320" s="96"/>
      <c r="AR320" s="96"/>
      <c r="AS320" s="96"/>
      <c r="AT320" s="96"/>
      <c r="AU320" s="96"/>
      <c r="AV320" s="96"/>
      <c r="AW320" s="96"/>
      <c r="AX320" s="96"/>
      <c r="AY320" s="96"/>
      <c r="AZ320" s="96"/>
      <c r="BA320" s="96"/>
    </row>
    <row r="321" spans="1:53" s="94" customFormat="1" ht="12" customHeight="1">
      <c r="A321" s="8">
        <v>403010104</v>
      </c>
      <c r="B321" s="8" t="s">
        <v>766</v>
      </c>
      <c r="C321" s="80">
        <f>+VLOOKUP(A321,Clasificaciones!C:I,5,FALSE)</f>
        <v>-48252151</v>
      </c>
      <c r="D321" s="80">
        <v>0</v>
      </c>
      <c r="E321" s="80">
        <v>0</v>
      </c>
      <c r="F321" s="80">
        <v>0</v>
      </c>
      <c r="G321" s="80">
        <f t="shared" si="93"/>
        <v>-48252151</v>
      </c>
      <c r="H321" s="26">
        <v>0</v>
      </c>
      <c r="I321" s="26">
        <v>0</v>
      </c>
      <c r="J321" s="26">
        <v>0</v>
      </c>
      <c r="K321" s="26">
        <v>0</v>
      </c>
      <c r="L321" s="26">
        <v>0</v>
      </c>
      <c r="M321" s="26">
        <v>0</v>
      </c>
      <c r="N321" s="26">
        <v>0</v>
      </c>
      <c r="O321" s="26">
        <v>0</v>
      </c>
      <c r="P321" s="26">
        <v>0</v>
      </c>
      <c r="Q321" s="26">
        <v>0</v>
      </c>
      <c r="R321" s="26">
        <v>0</v>
      </c>
      <c r="S321" s="26">
        <f t="shared" si="100"/>
        <v>48252151</v>
      </c>
      <c r="T321" s="26">
        <v>0</v>
      </c>
      <c r="U321" s="26">
        <v>0</v>
      </c>
      <c r="V321" s="26">
        <v>0</v>
      </c>
      <c r="W321" s="26">
        <v>0</v>
      </c>
      <c r="X321" s="26">
        <v>0</v>
      </c>
      <c r="Y321" s="26">
        <v>0</v>
      </c>
      <c r="Z321" s="26">
        <f t="shared" si="91"/>
        <v>0</v>
      </c>
      <c r="AA321" s="98"/>
      <c r="AB321" s="98"/>
      <c r="AC321" s="98"/>
      <c r="AD321" s="98"/>
      <c r="AE321" s="98"/>
      <c r="AF321" s="98"/>
      <c r="AG321" s="98"/>
      <c r="AH321" s="98"/>
      <c r="AI321" s="98"/>
      <c r="AJ321" s="98"/>
      <c r="AK321" s="98"/>
      <c r="AL321" s="98"/>
      <c r="AM321" s="98"/>
      <c r="AN321" s="93"/>
      <c r="AO321" s="93"/>
      <c r="AP321" s="93"/>
      <c r="AQ321" s="93"/>
      <c r="AR321" s="93"/>
      <c r="AS321" s="93"/>
      <c r="AT321" s="93"/>
      <c r="AU321" s="93"/>
      <c r="AV321" s="93"/>
      <c r="AW321" s="93"/>
      <c r="AX321" s="93"/>
      <c r="AY321" s="93"/>
      <c r="AZ321" s="93"/>
      <c r="BA321" s="93"/>
    </row>
    <row r="322" spans="1:53" s="97" customFormat="1" ht="12" customHeight="1">
      <c r="A322" s="8">
        <v>403010105</v>
      </c>
      <c r="B322" s="8" t="s">
        <v>767</v>
      </c>
      <c r="C322" s="80">
        <f>+VLOOKUP(A322,Clasificaciones!C:I,5,FALSE)</f>
        <v>-545522548</v>
      </c>
      <c r="D322" s="80">
        <v>0</v>
      </c>
      <c r="E322" s="80">
        <v>0</v>
      </c>
      <c r="F322" s="80">
        <v>0</v>
      </c>
      <c r="G322" s="80">
        <f t="shared" si="93"/>
        <v>-545522548</v>
      </c>
      <c r="H322" s="26">
        <v>0</v>
      </c>
      <c r="I322" s="26">
        <v>0</v>
      </c>
      <c r="J322" s="26">
        <v>0</v>
      </c>
      <c r="K322" s="26">
        <v>0</v>
      </c>
      <c r="L322" s="26">
        <v>0</v>
      </c>
      <c r="M322" s="26">
        <v>0</v>
      </c>
      <c r="N322" s="26">
        <v>0</v>
      </c>
      <c r="O322" s="26">
        <v>0</v>
      </c>
      <c r="P322" s="26">
        <v>0</v>
      </c>
      <c r="Q322" s="26">
        <v>0</v>
      </c>
      <c r="R322" s="26">
        <v>0</v>
      </c>
      <c r="S322" s="26">
        <f t="shared" si="100"/>
        <v>545522548</v>
      </c>
      <c r="T322" s="26">
        <v>0</v>
      </c>
      <c r="U322" s="26">
        <v>0</v>
      </c>
      <c r="V322" s="26">
        <v>0</v>
      </c>
      <c r="W322" s="26">
        <v>0</v>
      </c>
      <c r="X322" s="26">
        <v>0</v>
      </c>
      <c r="Y322" s="26">
        <v>0</v>
      </c>
      <c r="Z322" s="26">
        <f t="shared" si="91"/>
        <v>0</v>
      </c>
      <c r="AA322" s="95"/>
      <c r="AB322" s="95"/>
      <c r="AC322" s="95"/>
      <c r="AD322" s="95"/>
      <c r="AE322" s="95"/>
      <c r="AF322" s="95"/>
      <c r="AG322" s="95"/>
      <c r="AH322" s="95"/>
      <c r="AI322" s="95"/>
      <c r="AJ322" s="95"/>
      <c r="AK322" s="95"/>
      <c r="AL322" s="95"/>
      <c r="AM322" s="95"/>
      <c r="AN322" s="96"/>
      <c r="AO322" s="96"/>
      <c r="AP322" s="96"/>
      <c r="AQ322" s="96"/>
      <c r="AR322" s="96"/>
      <c r="AS322" s="96"/>
      <c r="AT322" s="96"/>
      <c r="AU322" s="96"/>
      <c r="AV322" s="96"/>
      <c r="AW322" s="96"/>
      <c r="AX322" s="96"/>
      <c r="AY322" s="96"/>
      <c r="AZ322" s="96"/>
      <c r="BA322" s="96"/>
    </row>
    <row r="323" spans="1:53" s="97" customFormat="1" ht="12" customHeight="1">
      <c r="A323" s="8">
        <v>403010106</v>
      </c>
      <c r="B323" s="8" t="s">
        <v>653</v>
      </c>
      <c r="C323" s="80">
        <f>+VLOOKUP(A323,Clasificaciones!C:I,5,FALSE)</f>
        <v>-255174767</v>
      </c>
      <c r="D323" s="80">
        <v>0</v>
      </c>
      <c r="E323" s="80">
        <v>0</v>
      </c>
      <c r="F323" s="80">
        <v>0</v>
      </c>
      <c r="G323" s="80">
        <f t="shared" si="93"/>
        <v>-255174767</v>
      </c>
      <c r="H323" s="26">
        <v>0</v>
      </c>
      <c r="I323" s="26">
        <v>0</v>
      </c>
      <c r="J323" s="26">
        <v>0</v>
      </c>
      <c r="K323" s="26">
        <v>0</v>
      </c>
      <c r="L323" s="26">
        <v>0</v>
      </c>
      <c r="M323" s="26">
        <v>0</v>
      </c>
      <c r="N323" s="26">
        <v>0</v>
      </c>
      <c r="O323" s="26">
        <v>0</v>
      </c>
      <c r="P323" s="26">
        <v>0</v>
      </c>
      <c r="Q323" s="26">
        <v>0</v>
      </c>
      <c r="R323" s="26">
        <v>0</v>
      </c>
      <c r="S323" s="26">
        <f t="shared" si="100"/>
        <v>255174767</v>
      </c>
      <c r="T323" s="26">
        <v>0</v>
      </c>
      <c r="U323" s="26">
        <v>0</v>
      </c>
      <c r="V323" s="26">
        <v>0</v>
      </c>
      <c r="W323" s="26">
        <v>0</v>
      </c>
      <c r="X323" s="26">
        <v>0</v>
      </c>
      <c r="Y323" s="26">
        <v>0</v>
      </c>
      <c r="Z323" s="26">
        <f t="shared" si="91"/>
        <v>0</v>
      </c>
      <c r="AA323" s="95"/>
      <c r="AB323" s="95"/>
      <c r="AC323" s="95"/>
      <c r="AD323" s="95"/>
      <c r="AE323" s="95"/>
      <c r="AF323" s="95"/>
      <c r="AG323" s="95"/>
      <c r="AH323" s="95"/>
      <c r="AI323" s="95"/>
      <c r="AJ323" s="95"/>
      <c r="AK323" s="95"/>
      <c r="AL323" s="95"/>
      <c r="AM323" s="95"/>
      <c r="AN323" s="96"/>
      <c r="AO323" s="96"/>
      <c r="AP323" s="96"/>
      <c r="AQ323" s="96"/>
      <c r="AR323" s="96"/>
      <c r="AS323" s="96"/>
      <c r="AT323" s="96"/>
      <c r="AU323" s="96"/>
      <c r="AV323" s="96"/>
      <c r="AW323" s="96"/>
      <c r="AX323" s="96"/>
      <c r="AY323" s="96"/>
      <c r="AZ323" s="96"/>
      <c r="BA323" s="96"/>
    </row>
    <row r="324" spans="1:53" s="97" customFormat="1" ht="12" customHeight="1">
      <c r="A324" s="8">
        <v>403010107</v>
      </c>
      <c r="B324" s="8" t="s">
        <v>768</v>
      </c>
      <c r="C324" s="80">
        <f>+VLOOKUP(A324,Clasificaciones!C:I,5,FALSE)</f>
        <v>-1316780963</v>
      </c>
      <c r="D324" s="80">
        <v>0</v>
      </c>
      <c r="E324" s="80">
        <v>0</v>
      </c>
      <c r="F324" s="80">
        <v>0</v>
      </c>
      <c r="G324" s="80">
        <f t="shared" si="93"/>
        <v>-1316780963</v>
      </c>
      <c r="H324" s="26">
        <v>0</v>
      </c>
      <c r="I324" s="26">
        <v>0</v>
      </c>
      <c r="J324" s="26">
        <v>0</v>
      </c>
      <c r="K324" s="26">
        <v>0</v>
      </c>
      <c r="L324" s="26">
        <v>0</v>
      </c>
      <c r="M324" s="26">
        <v>0</v>
      </c>
      <c r="N324" s="26">
        <v>0</v>
      </c>
      <c r="O324" s="26">
        <v>0</v>
      </c>
      <c r="P324" s="26">
        <v>0</v>
      </c>
      <c r="Q324" s="26">
        <v>0</v>
      </c>
      <c r="R324" s="26">
        <v>0</v>
      </c>
      <c r="S324" s="26">
        <f t="shared" si="100"/>
        <v>1316780963</v>
      </c>
      <c r="T324" s="26">
        <v>0</v>
      </c>
      <c r="U324" s="26">
        <v>0</v>
      </c>
      <c r="V324" s="26">
        <v>0</v>
      </c>
      <c r="W324" s="26">
        <v>0</v>
      </c>
      <c r="X324" s="26">
        <v>0</v>
      </c>
      <c r="Y324" s="26">
        <v>0</v>
      </c>
      <c r="Z324" s="26">
        <f t="shared" si="91"/>
        <v>0</v>
      </c>
      <c r="AA324" s="95"/>
      <c r="AB324" s="95"/>
      <c r="AC324" s="95"/>
      <c r="AD324" s="95"/>
      <c r="AE324" s="95"/>
      <c r="AF324" s="95"/>
      <c r="AG324" s="95"/>
      <c r="AH324" s="95"/>
      <c r="AI324" s="95"/>
      <c r="AJ324" s="95"/>
      <c r="AK324" s="95"/>
      <c r="AL324" s="95"/>
      <c r="AM324" s="95"/>
      <c r="AN324" s="96"/>
      <c r="AO324" s="96"/>
      <c r="AP324" s="96"/>
      <c r="AQ324" s="96"/>
      <c r="AR324" s="96"/>
      <c r="AS324" s="96"/>
      <c r="AT324" s="96"/>
      <c r="AU324" s="96"/>
      <c r="AV324" s="96"/>
      <c r="AW324" s="96"/>
      <c r="AX324" s="96"/>
      <c r="AY324" s="96"/>
      <c r="AZ324" s="96"/>
      <c r="BA324" s="96"/>
    </row>
    <row r="325" spans="1:53" s="97" customFormat="1" ht="12" customHeight="1">
      <c r="A325" s="8">
        <v>403010108</v>
      </c>
      <c r="B325" s="8" t="s">
        <v>769</v>
      </c>
      <c r="C325" s="80">
        <f>+VLOOKUP(A325,Clasificaciones!C:I,5,FALSE)</f>
        <v>-379461518</v>
      </c>
      <c r="D325" s="80">
        <v>0</v>
      </c>
      <c r="E325" s="80">
        <v>0</v>
      </c>
      <c r="F325" s="80">
        <v>0</v>
      </c>
      <c r="G325" s="80">
        <f t="shared" si="93"/>
        <v>-379461518</v>
      </c>
      <c r="H325" s="26">
        <v>0</v>
      </c>
      <c r="I325" s="26">
        <v>0</v>
      </c>
      <c r="J325" s="26">
        <v>0</v>
      </c>
      <c r="K325" s="26">
        <v>0</v>
      </c>
      <c r="L325" s="26">
        <v>0</v>
      </c>
      <c r="M325" s="26">
        <v>0</v>
      </c>
      <c r="N325" s="26">
        <v>0</v>
      </c>
      <c r="O325" s="26">
        <v>0</v>
      </c>
      <c r="P325" s="26">
        <v>0</v>
      </c>
      <c r="Q325" s="26">
        <v>0</v>
      </c>
      <c r="R325" s="26">
        <v>0</v>
      </c>
      <c r="S325" s="26">
        <f t="shared" si="100"/>
        <v>379461518</v>
      </c>
      <c r="T325" s="26">
        <v>0</v>
      </c>
      <c r="U325" s="26">
        <v>0</v>
      </c>
      <c r="V325" s="26">
        <v>0</v>
      </c>
      <c r="W325" s="26">
        <v>0</v>
      </c>
      <c r="X325" s="26">
        <v>0</v>
      </c>
      <c r="Y325" s="26">
        <v>0</v>
      </c>
      <c r="Z325" s="26">
        <f t="shared" si="91"/>
        <v>0</v>
      </c>
      <c r="AA325" s="95"/>
      <c r="AB325" s="95"/>
      <c r="AC325" s="95"/>
      <c r="AD325" s="95"/>
      <c r="AE325" s="95"/>
      <c r="AF325" s="95"/>
      <c r="AG325" s="95"/>
      <c r="AH325" s="95"/>
      <c r="AI325" s="95"/>
      <c r="AJ325" s="95"/>
      <c r="AK325" s="95"/>
      <c r="AL325" s="95"/>
      <c r="AM325" s="95"/>
      <c r="AN325" s="96"/>
      <c r="AO325" s="96"/>
      <c r="AP325" s="96"/>
      <c r="AQ325" s="96"/>
      <c r="AR325" s="96"/>
      <c r="AS325" s="96"/>
      <c r="AT325" s="96"/>
      <c r="AU325" s="96"/>
      <c r="AV325" s="96"/>
      <c r="AW325" s="96"/>
      <c r="AX325" s="96"/>
      <c r="AY325" s="96"/>
      <c r="AZ325" s="96"/>
      <c r="BA325" s="96"/>
    </row>
    <row r="326" spans="1:53" s="97" customFormat="1" ht="12" customHeight="1">
      <c r="A326" s="8">
        <v>403010109</v>
      </c>
      <c r="B326" s="8" t="s">
        <v>770</v>
      </c>
      <c r="C326" s="80">
        <f>+VLOOKUP(A326,Clasificaciones!C:I,5,FALSE)</f>
        <v>0</v>
      </c>
      <c r="D326" s="80">
        <v>0</v>
      </c>
      <c r="E326" s="80">
        <v>0</v>
      </c>
      <c r="F326" s="80">
        <v>0</v>
      </c>
      <c r="G326" s="80">
        <f t="shared" si="93"/>
        <v>0</v>
      </c>
      <c r="H326" s="26">
        <v>0</v>
      </c>
      <c r="I326" s="26">
        <v>0</v>
      </c>
      <c r="J326" s="26">
        <v>0</v>
      </c>
      <c r="K326" s="26">
        <v>0</v>
      </c>
      <c r="L326" s="26">
        <v>0</v>
      </c>
      <c r="M326" s="26">
        <v>0</v>
      </c>
      <c r="N326" s="26">
        <v>0</v>
      </c>
      <c r="O326" s="26">
        <v>0</v>
      </c>
      <c r="P326" s="26">
        <v>0</v>
      </c>
      <c r="Q326" s="26">
        <v>0</v>
      </c>
      <c r="R326" s="26">
        <v>0</v>
      </c>
      <c r="S326" s="26">
        <f t="shared" si="100"/>
        <v>0</v>
      </c>
      <c r="T326" s="26">
        <v>0</v>
      </c>
      <c r="U326" s="26">
        <v>0</v>
      </c>
      <c r="V326" s="26">
        <v>0</v>
      </c>
      <c r="W326" s="26">
        <v>0</v>
      </c>
      <c r="X326" s="26">
        <v>0</v>
      </c>
      <c r="Y326" s="26">
        <v>0</v>
      </c>
      <c r="Z326" s="26">
        <f t="shared" si="91"/>
        <v>0</v>
      </c>
      <c r="AA326" s="95"/>
      <c r="AB326" s="95"/>
      <c r="AC326" s="95"/>
      <c r="AD326" s="95"/>
      <c r="AE326" s="95"/>
      <c r="AF326" s="95"/>
      <c r="AG326" s="95"/>
      <c r="AH326" s="95"/>
      <c r="AI326" s="95"/>
      <c r="AJ326" s="95"/>
      <c r="AK326" s="95"/>
      <c r="AL326" s="95"/>
      <c r="AM326" s="95"/>
      <c r="AN326" s="96"/>
      <c r="AO326" s="96"/>
      <c r="AP326" s="96"/>
      <c r="AQ326" s="96"/>
      <c r="AR326" s="96"/>
      <c r="AS326" s="96"/>
      <c r="AT326" s="96"/>
      <c r="AU326" s="96"/>
      <c r="AV326" s="96"/>
      <c r="AW326" s="96"/>
      <c r="AX326" s="96"/>
      <c r="AY326" s="96"/>
      <c r="AZ326" s="96"/>
      <c r="BA326" s="96"/>
    </row>
    <row r="327" spans="1:53" s="97" customFormat="1" ht="12" customHeight="1">
      <c r="A327" s="8">
        <v>403010114</v>
      </c>
      <c r="B327" s="8" t="s">
        <v>771</v>
      </c>
      <c r="C327" s="80">
        <f>+VLOOKUP(A327,Clasificaciones!C:I,5,FALSE)</f>
        <v>-401625</v>
      </c>
      <c r="D327" s="80">
        <v>0</v>
      </c>
      <c r="E327" s="80">
        <v>0</v>
      </c>
      <c r="F327" s="80">
        <v>0</v>
      </c>
      <c r="G327" s="80">
        <f t="shared" si="93"/>
        <v>-401625</v>
      </c>
      <c r="H327" s="26">
        <v>0</v>
      </c>
      <c r="I327" s="26">
        <v>0</v>
      </c>
      <c r="J327" s="26">
        <v>0</v>
      </c>
      <c r="K327" s="26">
        <v>0</v>
      </c>
      <c r="L327" s="26">
        <v>0</v>
      </c>
      <c r="M327" s="26">
        <v>0</v>
      </c>
      <c r="N327" s="26">
        <v>0</v>
      </c>
      <c r="O327" s="26">
        <v>0</v>
      </c>
      <c r="P327" s="26">
        <v>0</v>
      </c>
      <c r="Q327" s="26">
        <v>0</v>
      </c>
      <c r="R327" s="26">
        <v>0</v>
      </c>
      <c r="S327" s="26">
        <f t="shared" si="100"/>
        <v>401625</v>
      </c>
      <c r="T327" s="26">
        <v>0</v>
      </c>
      <c r="U327" s="26">
        <v>0</v>
      </c>
      <c r="V327" s="26">
        <v>0</v>
      </c>
      <c r="W327" s="26">
        <v>0</v>
      </c>
      <c r="X327" s="26">
        <v>0</v>
      </c>
      <c r="Y327" s="26">
        <v>0</v>
      </c>
      <c r="Z327" s="26">
        <f t="shared" si="91"/>
        <v>0</v>
      </c>
      <c r="AA327" s="95"/>
      <c r="AB327" s="95"/>
      <c r="AC327" s="95"/>
      <c r="AD327" s="95"/>
      <c r="AE327" s="95"/>
      <c r="AF327" s="95"/>
      <c r="AG327" s="95"/>
      <c r="AH327" s="95"/>
      <c r="AI327" s="95"/>
      <c r="AJ327" s="95"/>
      <c r="AK327" s="95"/>
      <c r="AL327" s="95"/>
      <c r="AM327" s="95"/>
      <c r="AN327" s="96"/>
      <c r="AO327" s="96"/>
      <c r="AP327" s="96"/>
      <c r="AQ327" s="96"/>
      <c r="AR327" s="96"/>
      <c r="AS327" s="96"/>
      <c r="AT327" s="96"/>
      <c r="AU327" s="96"/>
      <c r="AV327" s="96"/>
      <c r="AW327" s="96"/>
      <c r="AX327" s="96"/>
      <c r="AY327" s="96"/>
      <c r="AZ327" s="96"/>
      <c r="BA327" s="96"/>
    </row>
    <row r="328" spans="1:53" s="97" customFormat="1" ht="12" customHeight="1">
      <c r="A328" s="8">
        <v>403010116</v>
      </c>
      <c r="B328" s="8" t="s">
        <v>772</v>
      </c>
      <c r="C328" s="80">
        <f>+VLOOKUP(A328,Clasificaciones!C:I,5,FALSE)</f>
        <v>-13715351</v>
      </c>
      <c r="D328" s="80">
        <v>0</v>
      </c>
      <c r="E328" s="80">
        <v>0</v>
      </c>
      <c r="F328" s="80">
        <v>0</v>
      </c>
      <c r="G328" s="80">
        <f t="shared" si="93"/>
        <v>-13715351</v>
      </c>
      <c r="H328" s="26">
        <v>0</v>
      </c>
      <c r="I328" s="26">
        <v>0</v>
      </c>
      <c r="J328" s="26">
        <v>0</v>
      </c>
      <c r="K328" s="26">
        <v>0</v>
      </c>
      <c r="L328" s="26">
        <v>0</v>
      </c>
      <c r="M328" s="26">
        <v>0</v>
      </c>
      <c r="N328" s="26">
        <v>0</v>
      </c>
      <c r="O328" s="26">
        <v>0</v>
      </c>
      <c r="P328" s="26">
        <v>0</v>
      </c>
      <c r="Q328" s="26">
        <v>0</v>
      </c>
      <c r="R328" s="26">
        <v>0</v>
      </c>
      <c r="S328" s="26">
        <f t="shared" si="100"/>
        <v>13715351</v>
      </c>
      <c r="T328" s="26">
        <v>0</v>
      </c>
      <c r="U328" s="26">
        <v>0</v>
      </c>
      <c r="V328" s="26">
        <v>0</v>
      </c>
      <c r="W328" s="26">
        <v>0</v>
      </c>
      <c r="X328" s="26">
        <v>0</v>
      </c>
      <c r="Y328" s="26">
        <v>0</v>
      </c>
      <c r="Z328" s="26">
        <f t="shared" si="91"/>
        <v>0</v>
      </c>
      <c r="AA328" s="95"/>
      <c r="AB328" s="95"/>
      <c r="AC328" s="95"/>
      <c r="AD328" s="95"/>
      <c r="AE328" s="95"/>
      <c r="AF328" s="95"/>
      <c r="AG328" s="95"/>
      <c r="AH328" s="95"/>
      <c r="AI328" s="95"/>
      <c r="AJ328" s="95"/>
      <c r="AK328" s="95"/>
      <c r="AL328" s="95"/>
      <c r="AM328" s="95"/>
      <c r="AN328" s="96"/>
      <c r="AO328" s="96"/>
      <c r="AP328" s="96"/>
      <c r="AQ328" s="96"/>
      <c r="AR328" s="96"/>
      <c r="AS328" s="96"/>
      <c r="AT328" s="96"/>
      <c r="AU328" s="96"/>
      <c r="AV328" s="96"/>
      <c r="AW328" s="96"/>
      <c r="AX328" s="96"/>
      <c r="AY328" s="96"/>
      <c r="AZ328" s="96"/>
      <c r="BA328" s="96"/>
    </row>
    <row r="329" spans="1:53" s="97" customFormat="1" ht="12" customHeight="1">
      <c r="A329" s="8">
        <v>403010117</v>
      </c>
      <c r="B329" s="8" t="s">
        <v>773</v>
      </c>
      <c r="C329" s="80">
        <f>+VLOOKUP(A329,Clasificaciones!C:I,5,FALSE)</f>
        <v>-158375407</v>
      </c>
      <c r="D329" s="80">
        <v>0</v>
      </c>
      <c r="E329" s="80">
        <v>0</v>
      </c>
      <c r="F329" s="80">
        <v>0</v>
      </c>
      <c r="G329" s="80">
        <f t="shared" si="93"/>
        <v>-158375407</v>
      </c>
      <c r="H329" s="26">
        <v>0</v>
      </c>
      <c r="I329" s="26">
        <v>0</v>
      </c>
      <c r="J329" s="26">
        <v>0</v>
      </c>
      <c r="K329" s="26">
        <v>0</v>
      </c>
      <c r="L329" s="26">
        <v>0</v>
      </c>
      <c r="M329" s="26">
        <v>0</v>
      </c>
      <c r="N329" s="26">
        <v>0</v>
      </c>
      <c r="O329" s="26">
        <v>0</v>
      </c>
      <c r="P329" s="26">
        <v>0</v>
      </c>
      <c r="Q329" s="26">
        <v>0</v>
      </c>
      <c r="R329" s="26">
        <v>0</v>
      </c>
      <c r="S329" s="26">
        <f t="shared" si="100"/>
        <v>158375407</v>
      </c>
      <c r="T329" s="26">
        <v>0</v>
      </c>
      <c r="U329" s="26">
        <v>0</v>
      </c>
      <c r="V329" s="26">
        <v>0</v>
      </c>
      <c r="W329" s="26">
        <v>0</v>
      </c>
      <c r="X329" s="26">
        <v>0</v>
      </c>
      <c r="Y329" s="26">
        <v>0</v>
      </c>
      <c r="Z329" s="26">
        <f t="shared" si="91"/>
        <v>0</v>
      </c>
      <c r="AA329" s="95"/>
      <c r="AB329" s="95"/>
      <c r="AC329" s="95"/>
      <c r="AD329" s="95"/>
      <c r="AE329" s="95"/>
      <c r="AF329" s="95"/>
      <c r="AG329" s="95"/>
      <c r="AH329" s="95"/>
      <c r="AI329" s="95"/>
      <c r="AJ329" s="95"/>
      <c r="AK329" s="95"/>
      <c r="AL329" s="95"/>
      <c r="AM329" s="95"/>
      <c r="AN329" s="96"/>
      <c r="AO329" s="96"/>
      <c r="AP329" s="96"/>
      <c r="AQ329" s="96"/>
      <c r="AR329" s="96"/>
      <c r="AS329" s="96"/>
      <c r="AT329" s="96"/>
      <c r="AU329" s="96"/>
      <c r="AV329" s="96"/>
      <c r="AW329" s="96"/>
      <c r="AX329" s="96"/>
      <c r="AY329" s="96"/>
      <c r="AZ329" s="96"/>
      <c r="BA329" s="96"/>
    </row>
    <row r="330" spans="1:53" s="97" customFormat="1" ht="12" customHeight="1">
      <c r="A330" s="8">
        <v>403010118</v>
      </c>
      <c r="B330" s="8" t="s">
        <v>774</v>
      </c>
      <c r="C330" s="80">
        <f>+VLOOKUP(A330,Clasificaciones!C:I,5,FALSE)</f>
        <v>-1021690698</v>
      </c>
      <c r="D330" s="80">
        <v>0</v>
      </c>
      <c r="E330" s="80">
        <v>0</v>
      </c>
      <c r="F330" s="80">
        <v>0</v>
      </c>
      <c r="G330" s="80">
        <f t="shared" si="93"/>
        <v>-1021690698</v>
      </c>
      <c r="H330" s="26">
        <v>0</v>
      </c>
      <c r="I330" s="26">
        <v>0</v>
      </c>
      <c r="J330" s="26">
        <v>0</v>
      </c>
      <c r="K330" s="26">
        <v>0</v>
      </c>
      <c r="L330" s="26">
        <v>0</v>
      </c>
      <c r="M330" s="26">
        <v>0</v>
      </c>
      <c r="N330" s="26">
        <v>0</v>
      </c>
      <c r="O330" s="26">
        <v>0</v>
      </c>
      <c r="P330" s="26">
        <v>0</v>
      </c>
      <c r="Q330" s="26">
        <v>0</v>
      </c>
      <c r="R330" s="26">
        <v>0</v>
      </c>
      <c r="S330" s="26">
        <f t="shared" si="100"/>
        <v>1021690698</v>
      </c>
      <c r="T330" s="26">
        <v>0</v>
      </c>
      <c r="U330" s="26">
        <v>0</v>
      </c>
      <c r="V330" s="26">
        <v>0</v>
      </c>
      <c r="W330" s="26">
        <v>0</v>
      </c>
      <c r="X330" s="26">
        <v>0</v>
      </c>
      <c r="Y330" s="26">
        <v>0</v>
      </c>
      <c r="Z330" s="26">
        <f t="shared" si="91"/>
        <v>0</v>
      </c>
      <c r="AA330" s="95"/>
      <c r="AB330" s="95"/>
      <c r="AC330" s="95"/>
      <c r="AD330" s="95"/>
      <c r="AE330" s="95"/>
      <c r="AF330" s="95"/>
      <c r="AG330" s="95"/>
      <c r="AH330" s="95"/>
      <c r="AI330" s="95"/>
      <c r="AJ330" s="95"/>
      <c r="AK330" s="95"/>
      <c r="AL330" s="95"/>
      <c r="AM330" s="95"/>
      <c r="AN330" s="96"/>
      <c r="AO330" s="96"/>
      <c r="AP330" s="96"/>
      <c r="AQ330" s="96"/>
      <c r="AR330" s="96"/>
      <c r="AS330" s="96"/>
      <c r="AT330" s="96"/>
      <c r="AU330" s="96"/>
      <c r="AV330" s="96"/>
      <c r="AW330" s="96"/>
      <c r="AX330" s="96"/>
      <c r="AY330" s="96"/>
      <c r="AZ330" s="96"/>
      <c r="BA330" s="96"/>
    </row>
    <row r="331" spans="1:53" s="97" customFormat="1" ht="12" customHeight="1">
      <c r="A331" s="8">
        <v>403010129</v>
      </c>
      <c r="B331" s="8" t="s">
        <v>775</v>
      </c>
      <c r="C331" s="80">
        <f>+VLOOKUP(A331,Clasificaciones!C:I,5,FALSE)</f>
        <v>-14237223</v>
      </c>
      <c r="D331" s="80">
        <v>0</v>
      </c>
      <c r="E331" s="80">
        <v>0</v>
      </c>
      <c r="F331" s="80">
        <v>0</v>
      </c>
      <c r="G331" s="80">
        <f t="shared" si="93"/>
        <v>-14237223</v>
      </c>
      <c r="H331" s="26">
        <v>0</v>
      </c>
      <c r="I331" s="26">
        <v>0</v>
      </c>
      <c r="J331" s="26">
        <v>0</v>
      </c>
      <c r="K331" s="26">
        <v>0</v>
      </c>
      <c r="L331" s="26">
        <v>0</v>
      </c>
      <c r="M331" s="26">
        <v>0</v>
      </c>
      <c r="N331" s="26">
        <v>0</v>
      </c>
      <c r="O331" s="26">
        <v>0</v>
      </c>
      <c r="P331" s="26">
        <v>0</v>
      </c>
      <c r="Q331" s="26">
        <v>0</v>
      </c>
      <c r="R331" s="26">
        <v>0</v>
      </c>
      <c r="S331" s="26">
        <f t="shared" si="100"/>
        <v>14237223</v>
      </c>
      <c r="T331" s="26">
        <v>0</v>
      </c>
      <c r="U331" s="26">
        <v>0</v>
      </c>
      <c r="V331" s="26">
        <v>0</v>
      </c>
      <c r="W331" s="26">
        <v>0</v>
      </c>
      <c r="X331" s="26">
        <v>0</v>
      </c>
      <c r="Y331" s="26">
        <v>0</v>
      </c>
      <c r="Z331" s="26">
        <f t="shared" si="91"/>
        <v>0</v>
      </c>
      <c r="AA331" s="95"/>
      <c r="AB331" s="95"/>
      <c r="AC331" s="95"/>
      <c r="AD331" s="95"/>
      <c r="AE331" s="95"/>
      <c r="AF331" s="95"/>
      <c r="AG331" s="95"/>
      <c r="AH331" s="95"/>
      <c r="AI331" s="95"/>
      <c r="AJ331" s="95"/>
      <c r="AK331" s="95"/>
      <c r="AL331" s="95"/>
      <c r="AM331" s="95"/>
      <c r="AN331" s="96"/>
      <c r="AO331" s="96"/>
      <c r="AP331" s="96"/>
      <c r="AQ331" s="96"/>
      <c r="AR331" s="96"/>
      <c r="AS331" s="96"/>
      <c r="AT331" s="96"/>
      <c r="AU331" s="96"/>
      <c r="AV331" s="96"/>
      <c r="AW331" s="96"/>
      <c r="AX331" s="96"/>
      <c r="AY331" s="96"/>
      <c r="AZ331" s="96"/>
      <c r="BA331" s="96"/>
    </row>
    <row r="332" spans="1:53" s="97" customFormat="1" ht="12" customHeight="1">
      <c r="A332" s="8">
        <v>4030102</v>
      </c>
      <c r="B332" s="8" t="s">
        <v>776</v>
      </c>
      <c r="C332" s="80">
        <f>+VLOOKUP(A332,Clasificaciones!C:I,5,FALSE)</f>
        <v>0</v>
      </c>
      <c r="D332" s="80">
        <v>0</v>
      </c>
      <c r="E332" s="80">
        <v>0</v>
      </c>
      <c r="F332" s="80">
        <v>0</v>
      </c>
      <c r="G332" s="80">
        <f t="shared" si="93"/>
        <v>0</v>
      </c>
      <c r="H332" s="26">
        <v>0</v>
      </c>
      <c r="I332" s="26">
        <v>0</v>
      </c>
      <c r="J332" s="26">
        <v>0</v>
      </c>
      <c r="K332" s="26">
        <v>0</v>
      </c>
      <c r="L332" s="26">
        <v>0</v>
      </c>
      <c r="M332" s="26">
        <v>0</v>
      </c>
      <c r="N332" s="26">
        <v>0</v>
      </c>
      <c r="O332" s="26">
        <v>0</v>
      </c>
      <c r="P332" s="26">
        <v>0</v>
      </c>
      <c r="Q332" s="26">
        <v>0</v>
      </c>
      <c r="R332" s="26">
        <v>0</v>
      </c>
      <c r="S332" s="26">
        <f t="shared" ref="S332" si="101">+G332</f>
        <v>0</v>
      </c>
      <c r="T332" s="26">
        <v>0</v>
      </c>
      <c r="U332" s="26">
        <v>0</v>
      </c>
      <c r="V332" s="26">
        <v>0</v>
      </c>
      <c r="W332" s="26">
        <v>0</v>
      </c>
      <c r="X332" s="26">
        <v>0</v>
      </c>
      <c r="Y332" s="26">
        <v>0</v>
      </c>
      <c r="Z332" s="26">
        <f t="shared" si="91"/>
        <v>0</v>
      </c>
      <c r="AA332" s="95"/>
      <c r="AB332" s="95"/>
      <c r="AC332" s="95"/>
      <c r="AD332" s="95"/>
      <c r="AE332" s="95"/>
      <c r="AF332" s="95"/>
      <c r="AG332" s="95"/>
      <c r="AH332" s="95"/>
      <c r="AI332" s="95"/>
      <c r="AJ332" s="95"/>
      <c r="AK332" s="95"/>
      <c r="AL332" s="95"/>
      <c r="AM332" s="95"/>
      <c r="AN332" s="96"/>
      <c r="AO332" s="96"/>
      <c r="AP332" s="96"/>
      <c r="AQ332" s="96"/>
      <c r="AR332" s="96"/>
      <c r="AS332" s="96"/>
      <c r="AT332" s="96"/>
      <c r="AU332" s="96"/>
      <c r="AV332" s="96"/>
      <c r="AW332" s="96"/>
      <c r="AX332" s="96"/>
      <c r="AY332" s="96"/>
      <c r="AZ332" s="96"/>
      <c r="BA332" s="96"/>
    </row>
    <row r="333" spans="1:53" s="97" customFormat="1" ht="12" customHeight="1">
      <c r="A333" s="8">
        <v>403010201</v>
      </c>
      <c r="B333" s="8" t="s">
        <v>776</v>
      </c>
      <c r="C333" s="80">
        <f>+VLOOKUP(A333,Clasificaciones!C:I,5,FALSE)</f>
        <v>0</v>
      </c>
      <c r="D333" s="80">
        <v>0</v>
      </c>
      <c r="E333" s="80">
        <v>0</v>
      </c>
      <c r="F333" s="80">
        <v>0</v>
      </c>
      <c r="G333" s="80">
        <f t="shared" si="93"/>
        <v>0</v>
      </c>
      <c r="H333" s="26">
        <v>0</v>
      </c>
      <c r="I333" s="26">
        <v>0</v>
      </c>
      <c r="J333" s="26">
        <v>0</v>
      </c>
      <c r="K333" s="26">
        <v>0</v>
      </c>
      <c r="L333" s="26">
        <v>0</v>
      </c>
      <c r="M333" s="26">
        <v>0</v>
      </c>
      <c r="N333" s="26">
        <v>0</v>
      </c>
      <c r="O333" s="26">
        <v>0</v>
      </c>
      <c r="P333" s="26">
        <v>0</v>
      </c>
      <c r="Q333" s="26">
        <v>0</v>
      </c>
      <c r="R333" s="26">
        <v>0</v>
      </c>
      <c r="S333" s="26">
        <v>0</v>
      </c>
      <c r="T333" s="26">
        <f>-G333</f>
        <v>0</v>
      </c>
      <c r="U333" s="26">
        <v>0</v>
      </c>
      <c r="V333" s="26">
        <v>0</v>
      </c>
      <c r="W333" s="26">
        <v>0</v>
      </c>
      <c r="X333" s="26">
        <v>0</v>
      </c>
      <c r="Y333" s="26">
        <v>0</v>
      </c>
      <c r="Z333" s="26">
        <f t="shared" si="91"/>
        <v>0</v>
      </c>
      <c r="AA333" s="95"/>
      <c r="AB333" s="95"/>
      <c r="AC333" s="95"/>
      <c r="AD333" s="95"/>
      <c r="AE333" s="95"/>
      <c r="AF333" s="95"/>
      <c r="AG333" s="95"/>
      <c r="AH333" s="95"/>
      <c r="AI333" s="95"/>
      <c r="AJ333" s="95"/>
      <c r="AK333" s="95"/>
      <c r="AL333" s="95"/>
      <c r="AM333" s="95"/>
      <c r="AN333" s="96"/>
      <c r="AO333" s="96"/>
      <c r="AP333" s="96"/>
      <c r="AQ333" s="96"/>
      <c r="AR333" s="96"/>
      <c r="AS333" s="96"/>
      <c r="AT333" s="96"/>
      <c r="AU333" s="96"/>
      <c r="AV333" s="96"/>
      <c r="AW333" s="96"/>
      <c r="AX333" s="96"/>
      <c r="AY333" s="96"/>
      <c r="AZ333" s="96"/>
      <c r="BA333" s="96"/>
    </row>
    <row r="334" spans="1:53" s="97" customFormat="1" ht="12" customHeight="1">
      <c r="A334" s="8">
        <v>40302</v>
      </c>
      <c r="B334" s="8" t="s">
        <v>777</v>
      </c>
      <c r="C334" s="80">
        <f>+VLOOKUP(A334,Clasificaciones!C:I,5,FALSE)</f>
        <v>0</v>
      </c>
      <c r="D334" s="80">
        <v>0</v>
      </c>
      <c r="E334" s="80">
        <v>0</v>
      </c>
      <c r="F334" s="80">
        <v>0</v>
      </c>
      <c r="G334" s="80">
        <f t="shared" si="93"/>
        <v>0</v>
      </c>
      <c r="H334" s="26">
        <v>0</v>
      </c>
      <c r="I334" s="26">
        <v>0</v>
      </c>
      <c r="J334" s="26">
        <v>0</v>
      </c>
      <c r="K334" s="26">
        <v>0</v>
      </c>
      <c r="L334" s="26">
        <v>0</v>
      </c>
      <c r="M334" s="26">
        <v>0</v>
      </c>
      <c r="N334" s="26">
        <v>0</v>
      </c>
      <c r="O334" s="26">
        <v>0</v>
      </c>
      <c r="P334" s="26">
        <v>0</v>
      </c>
      <c r="Q334" s="26">
        <v>0</v>
      </c>
      <c r="R334" s="26">
        <v>0</v>
      </c>
      <c r="S334" s="26">
        <v>0</v>
      </c>
      <c r="T334" s="26">
        <v>0</v>
      </c>
      <c r="U334" s="26">
        <v>0</v>
      </c>
      <c r="V334" s="26">
        <v>0</v>
      </c>
      <c r="W334" s="26">
        <v>0</v>
      </c>
      <c r="X334" s="26">
        <v>0</v>
      </c>
      <c r="Y334" s="26">
        <v>0</v>
      </c>
      <c r="Z334" s="26">
        <f t="shared" si="91"/>
        <v>0</v>
      </c>
      <c r="AA334" s="95"/>
      <c r="AB334" s="95"/>
      <c r="AC334" s="95"/>
      <c r="AD334" s="95"/>
      <c r="AE334" s="95"/>
      <c r="AF334" s="95"/>
      <c r="AG334" s="95"/>
      <c r="AH334" s="95"/>
      <c r="AI334" s="95"/>
      <c r="AJ334" s="95"/>
      <c r="AK334" s="95"/>
      <c r="AL334" s="95"/>
      <c r="AM334" s="95"/>
      <c r="AN334" s="96"/>
      <c r="AO334" s="96"/>
      <c r="AP334" s="96"/>
      <c r="AQ334" s="96"/>
      <c r="AR334" s="96"/>
      <c r="AS334" s="96"/>
      <c r="AT334" s="96"/>
      <c r="AU334" s="96"/>
      <c r="AV334" s="96"/>
      <c r="AW334" s="96"/>
      <c r="AX334" s="96"/>
      <c r="AY334" s="96"/>
      <c r="AZ334" s="96"/>
      <c r="BA334" s="96"/>
    </row>
    <row r="335" spans="1:53" s="97" customFormat="1" ht="12" customHeight="1">
      <c r="A335" s="8">
        <v>4030201</v>
      </c>
      <c r="B335" s="8" t="s">
        <v>778</v>
      </c>
      <c r="C335" s="80">
        <f>+VLOOKUP(A335,Clasificaciones!C:I,5,FALSE)</f>
        <v>0</v>
      </c>
      <c r="D335" s="80">
        <v>0</v>
      </c>
      <c r="E335" s="80">
        <v>0</v>
      </c>
      <c r="F335" s="80">
        <v>0</v>
      </c>
      <c r="G335" s="80">
        <f t="shared" si="93"/>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c r="Z335" s="26">
        <f t="shared" si="91"/>
        <v>0</v>
      </c>
      <c r="AA335" s="95"/>
      <c r="AB335" s="95"/>
      <c r="AC335" s="95"/>
      <c r="AD335" s="95"/>
      <c r="AE335" s="95"/>
      <c r="AF335" s="95"/>
      <c r="AG335" s="95"/>
      <c r="AH335" s="95"/>
      <c r="AI335" s="95"/>
      <c r="AJ335" s="95"/>
      <c r="AK335" s="95"/>
      <c r="AL335" s="95"/>
      <c r="AM335" s="95"/>
      <c r="AN335" s="96"/>
      <c r="AO335" s="96"/>
      <c r="AP335" s="96"/>
      <c r="AQ335" s="96"/>
      <c r="AR335" s="96"/>
      <c r="AS335" s="96"/>
      <c r="AT335" s="96"/>
      <c r="AU335" s="96"/>
      <c r="AV335" s="96"/>
      <c r="AW335" s="96"/>
      <c r="AX335" s="96"/>
      <c r="AY335" s="96"/>
      <c r="AZ335" s="96"/>
      <c r="BA335" s="96"/>
    </row>
    <row r="336" spans="1:53" s="97" customFormat="1" ht="12" customHeight="1">
      <c r="A336" s="8">
        <v>403020101</v>
      </c>
      <c r="B336" s="8" t="s">
        <v>764</v>
      </c>
      <c r="C336" s="80">
        <f>+VLOOKUP(A336,Clasificaciones!C:I,5,FALSE)</f>
        <v>-165695</v>
      </c>
      <c r="D336" s="80">
        <v>0</v>
      </c>
      <c r="E336" s="80">
        <v>0</v>
      </c>
      <c r="F336" s="80">
        <v>0</v>
      </c>
      <c r="G336" s="80">
        <f t="shared" si="93"/>
        <v>-165695</v>
      </c>
      <c r="H336" s="26">
        <v>0</v>
      </c>
      <c r="I336" s="26">
        <v>0</v>
      </c>
      <c r="J336" s="26">
        <v>0</v>
      </c>
      <c r="K336" s="26">
        <v>0</v>
      </c>
      <c r="L336" s="26">
        <v>0</v>
      </c>
      <c r="M336" s="26">
        <v>0</v>
      </c>
      <c r="N336" s="26">
        <v>0</v>
      </c>
      <c r="O336" s="26">
        <v>0</v>
      </c>
      <c r="P336" s="26">
        <v>0</v>
      </c>
      <c r="Q336" s="26">
        <v>0</v>
      </c>
      <c r="R336" s="26">
        <f>-G336</f>
        <v>165695</v>
      </c>
      <c r="S336" s="26">
        <v>0</v>
      </c>
      <c r="T336" s="26">
        <v>0</v>
      </c>
      <c r="U336" s="26">
        <v>0</v>
      </c>
      <c r="V336" s="26">
        <v>0</v>
      </c>
      <c r="W336" s="26">
        <v>0</v>
      </c>
      <c r="X336" s="26">
        <v>0</v>
      </c>
      <c r="Y336" s="26">
        <v>0</v>
      </c>
      <c r="Z336" s="26">
        <f t="shared" si="91"/>
        <v>0</v>
      </c>
      <c r="AA336" s="95"/>
      <c r="AB336" s="95"/>
      <c r="AC336" s="95"/>
      <c r="AD336" s="95"/>
      <c r="AE336" s="95"/>
      <c r="AF336" s="95"/>
      <c r="AG336" s="95"/>
      <c r="AH336" s="95"/>
      <c r="AI336" s="95"/>
      <c r="AJ336" s="95"/>
      <c r="AK336" s="95"/>
      <c r="AL336" s="95"/>
      <c r="AM336" s="95"/>
      <c r="AN336" s="96"/>
      <c r="AO336" s="96"/>
      <c r="AP336" s="96"/>
      <c r="AQ336" s="96"/>
      <c r="AR336" s="96"/>
      <c r="AS336" s="96"/>
      <c r="AT336" s="96"/>
      <c r="AU336" s="96"/>
      <c r="AV336" s="96"/>
      <c r="AW336" s="96"/>
      <c r="AX336" s="96"/>
      <c r="AY336" s="96"/>
      <c r="AZ336" s="96"/>
      <c r="BA336" s="96"/>
    </row>
    <row r="337" spans="1:53" s="97" customFormat="1" ht="12" customHeight="1">
      <c r="A337" s="8">
        <v>403020102</v>
      </c>
      <c r="B337" s="8" t="s">
        <v>779</v>
      </c>
      <c r="C337" s="80">
        <f>+VLOOKUP(A337,Clasificaciones!C:I,5,FALSE)</f>
        <v>-4825757</v>
      </c>
      <c r="D337" s="80">
        <v>0</v>
      </c>
      <c r="E337" s="80">
        <v>0</v>
      </c>
      <c r="F337" s="80">
        <v>0</v>
      </c>
      <c r="G337" s="80">
        <f t="shared" si="93"/>
        <v>-4825757</v>
      </c>
      <c r="H337" s="26">
        <v>0</v>
      </c>
      <c r="I337" s="26">
        <v>0</v>
      </c>
      <c r="J337" s="26">
        <v>0</v>
      </c>
      <c r="K337" s="26">
        <v>0</v>
      </c>
      <c r="L337" s="26">
        <v>0</v>
      </c>
      <c r="M337" s="26">
        <v>0</v>
      </c>
      <c r="N337" s="26">
        <v>0</v>
      </c>
      <c r="O337" s="26">
        <v>0</v>
      </c>
      <c r="P337" s="26">
        <v>0</v>
      </c>
      <c r="Q337" s="26">
        <v>0</v>
      </c>
      <c r="R337" s="26">
        <f t="shared" ref="R337:R339" si="102">-G337</f>
        <v>4825757</v>
      </c>
      <c r="S337" s="26">
        <v>0</v>
      </c>
      <c r="T337" s="26">
        <v>0</v>
      </c>
      <c r="U337" s="26">
        <v>0</v>
      </c>
      <c r="V337" s="26">
        <v>0</v>
      </c>
      <c r="W337" s="26">
        <v>0</v>
      </c>
      <c r="X337" s="26">
        <v>0</v>
      </c>
      <c r="Y337" s="26">
        <v>0</v>
      </c>
      <c r="Z337" s="26">
        <f t="shared" si="91"/>
        <v>0</v>
      </c>
      <c r="AA337" s="95"/>
      <c r="AB337" s="95"/>
      <c r="AC337" s="95"/>
      <c r="AD337" s="95"/>
      <c r="AE337" s="95"/>
      <c r="AF337" s="95"/>
      <c r="AG337" s="95"/>
      <c r="AH337" s="95"/>
      <c r="AI337" s="95"/>
      <c r="AJ337" s="95"/>
      <c r="AK337" s="95"/>
      <c r="AL337" s="95"/>
      <c r="AM337" s="95"/>
      <c r="AN337" s="96"/>
      <c r="AO337" s="96"/>
      <c r="AP337" s="96"/>
      <c r="AQ337" s="96"/>
      <c r="AR337" s="96"/>
      <c r="AS337" s="96"/>
      <c r="AT337" s="96"/>
      <c r="AU337" s="96"/>
      <c r="AV337" s="96"/>
      <c r="AW337" s="96"/>
      <c r="AX337" s="96"/>
      <c r="AY337" s="96"/>
      <c r="AZ337" s="96"/>
      <c r="BA337" s="96"/>
    </row>
    <row r="338" spans="1:53" s="97" customFormat="1" ht="12" customHeight="1">
      <c r="A338" s="8">
        <v>403020103</v>
      </c>
      <c r="B338" s="8" t="s">
        <v>765</v>
      </c>
      <c r="C338" s="80">
        <f>+VLOOKUP(A338,Clasificaciones!C:I,5,FALSE)</f>
        <v>0</v>
      </c>
      <c r="D338" s="80">
        <v>0</v>
      </c>
      <c r="E338" s="80">
        <v>0</v>
      </c>
      <c r="F338" s="80">
        <v>0</v>
      </c>
      <c r="G338" s="80">
        <f t="shared" si="93"/>
        <v>0</v>
      </c>
      <c r="H338" s="26">
        <v>0</v>
      </c>
      <c r="I338" s="26">
        <v>0</v>
      </c>
      <c r="J338" s="26">
        <v>0</v>
      </c>
      <c r="K338" s="26">
        <v>0</v>
      </c>
      <c r="L338" s="26">
        <v>0</v>
      </c>
      <c r="M338" s="26">
        <v>0</v>
      </c>
      <c r="N338" s="26">
        <v>0</v>
      </c>
      <c r="O338" s="26">
        <v>0</v>
      </c>
      <c r="P338" s="26">
        <v>0</v>
      </c>
      <c r="Q338" s="26">
        <v>0</v>
      </c>
      <c r="R338" s="26">
        <f t="shared" si="102"/>
        <v>0</v>
      </c>
      <c r="S338" s="26">
        <v>0</v>
      </c>
      <c r="T338" s="26">
        <v>0</v>
      </c>
      <c r="U338" s="26">
        <v>0</v>
      </c>
      <c r="V338" s="26">
        <v>0</v>
      </c>
      <c r="W338" s="26">
        <v>0</v>
      </c>
      <c r="X338" s="26">
        <v>0</v>
      </c>
      <c r="Y338" s="26">
        <v>0</v>
      </c>
      <c r="Z338" s="26">
        <f t="shared" si="91"/>
        <v>0</v>
      </c>
      <c r="AA338" s="95"/>
      <c r="AB338" s="95"/>
      <c r="AC338" s="95"/>
      <c r="AD338" s="95"/>
      <c r="AE338" s="95"/>
      <c r="AF338" s="95"/>
      <c r="AG338" s="95"/>
      <c r="AH338" s="95"/>
      <c r="AI338" s="95"/>
      <c r="AJ338" s="95"/>
      <c r="AK338" s="95"/>
      <c r="AL338" s="95"/>
      <c r="AM338" s="95"/>
      <c r="AN338" s="96"/>
      <c r="AO338" s="96"/>
      <c r="AP338" s="96"/>
      <c r="AQ338" s="96"/>
      <c r="AR338" s="96"/>
      <c r="AS338" s="96"/>
      <c r="AT338" s="96"/>
      <c r="AU338" s="96"/>
      <c r="AV338" s="96"/>
      <c r="AW338" s="96"/>
      <c r="AX338" s="96"/>
      <c r="AY338" s="96"/>
      <c r="AZ338" s="96"/>
      <c r="BA338" s="96"/>
    </row>
    <row r="339" spans="1:53" s="97" customFormat="1" ht="12" customHeight="1">
      <c r="A339" s="8">
        <v>403020104</v>
      </c>
      <c r="B339" s="8" t="s">
        <v>780</v>
      </c>
      <c r="C339" s="80">
        <f>+VLOOKUP(A339,Clasificaciones!C:I,5,FALSE)</f>
        <v>-199281848</v>
      </c>
      <c r="D339" s="80">
        <v>0</v>
      </c>
      <c r="E339" s="80">
        <v>0</v>
      </c>
      <c r="F339" s="80">
        <v>0</v>
      </c>
      <c r="G339" s="80">
        <f t="shared" si="93"/>
        <v>-199281848</v>
      </c>
      <c r="H339" s="26">
        <v>0</v>
      </c>
      <c r="I339" s="26">
        <v>0</v>
      </c>
      <c r="J339" s="26">
        <v>0</v>
      </c>
      <c r="K339" s="26">
        <v>0</v>
      </c>
      <c r="L339" s="26">
        <v>0</v>
      </c>
      <c r="M339" s="26">
        <v>0</v>
      </c>
      <c r="N339" s="26">
        <v>0</v>
      </c>
      <c r="O339" s="26">
        <v>0</v>
      </c>
      <c r="P339" s="26">
        <v>0</v>
      </c>
      <c r="Q339" s="26">
        <v>0</v>
      </c>
      <c r="R339" s="26">
        <f t="shared" si="102"/>
        <v>199281848</v>
      </c>
      <c r="S339" s="26">
        <v>0</v>
      </c>
      <c r="T339" s="26">
        <v>0</v>
      </c>
      <c r="U339" s="26">
        <v>0</v>
      </c>
      <c r="V339" s="26">
        <v>0</v>
      </c>
      <c r="W339" s="26">
        <v>0</v>
      </c>
      <c r="X339" s="26">
        <v>0</v>
      </c>
      <c r="Y339" s="26">
        <v>0</v>
      </c>
      <c r="Z339" s="26">
        <f t="shared" si="91"/>
        <v>0</v>
      </c>
      <c r="AA339" s="95"/>
      <c r="AB339" s="95"/>
      <c r="AC339" s="95"/>
      <c r="AD339" s="95"/>
      <c r="AE339" s="95"/>
      <c r="AF339" s="95"/>
      <c r="AG339" s="95"/>
      <c r="AH339" s="95"/>
      <c r="AI339" s="95"/>
      <c r="AJ339" s="95"/>
      <c r="AK339" s="95"/>
      <c r="AL339" s="95"/>
      <c r="AM339" s="95"/>
      <c r="AN339" s="96"/>
      <c r="AO339" s="96"/>
      <c r="AP339" s="96"/>
      <c r="AQ339" s="96"/>
      <c r="AR339" s="96"/>
      <c r="AS339" s="96"/>
      <c r="AT339" s="96"/>
      <c r="AU339" s="96"/>
      <c r="AV339" s="96"/>
      <c r="AW339" s="96"/>
      <c r="AX339" s="96"/>
      <c r="AY339" s="96"/>
      <c r="AZ339" s="96"/>
      <c r="BA339" s="96"/>
    </row>
    <row r="340" spans="1:53" s="97" customFormat="1" ht="12" customHeight="1">
      <c r="A340" s="8">
        <v>403020105</v>
      </c>
      <c r="B340" s="8" t="s">
        <v>767</v>
      </c>
      <c r="C340" s="80">
        <f>+VLOOKUP(A340,Clasificaciones!C:I,5,FALSE)</f>
        <v>-566076880</v>
      </c>
      <c r="D340" s="80">
        <v>0</v>
      </c>
      <c r="E340" s="80">
        <v>0</v>
      </c>
      <c r="F340" s="80">
        <v>0</v>
      </c>
      <c r="G340" s="80">
        <f t="shared" si="93"/>
        <v>-566076880</v>
      </c>
      <c r="H340" s="26">
        <f>-G340</f>
        <v>566076880</v>
      </c>
      <c r="I340" s="26">
        <v>0</v>
      </c>
      <c r="J340" s="26">
        <v>0</v>
      </c>
      <c r="K340" s="26">
        <v>0</v>
      </c>
      <c r="L340" s="26">
        <v>0</v>
      </c>
      <c r="M340" s="26">
        <v>0</v>
      </c>
      <c r="N340" s="26">
        <v>0</v>
      </c>
      <c r="O340" s="26">
        <v>0</v>
      </c>
      <c r="P340" s="26">
        <v>0</v>
      </c>
      <c r="Q340" s="26">
        <v>0</v>
      </c>
      <c r="R340" s="26"/>
      <c r="S340" s="26">
        <v>0</v>
      </c>
      <c r="T340" s="26">
        <v>0</v>
      </c>
      <c r="U340" s="26">
        <v>0</v>
      </c>
      <c r="V340" s="26">
        <v>0</v>
      </c>
      <c r="W340" s="26">
        <v>0</v>
      </c>
      <c r="X340" s="26">
        <v>0</v>
      </c>
      <c r="Y340" s="26">
        <v>0</v>
      </c>
      <c r="Z340" s="26">
        <f t="shared" si="91"/>
        <v>0</v>
      </c>
      <c r="AA340" s="95"/>
      <c r="AB340" s="95"/>
      <c r="AC340" s="95"/>
      <c r="AD340" s="95"/>
      <c r="AE340" s="95"/>
      <c r="AF340" s="95"/>
      <c r="AG340" s="95"/>
      <c r="AH340" s="95"/>
      <c r="AI340" s="95"/>
      <c r="AJ340" s="95"/>
      <c r="AK340" s="95"/>
      <c r="AL340" s="95"/>
      <c r="AM340" s="95"/>
      <c r="AN340" s="96"/>
      <c r="AO340" s="96"/>
      <c r="AP340" s="96"/>
      <c r="AQ340" s="96"/>
      <c r="AR340" s="96"/>
      <c r="AS340" s="96"/>
      <c r="AT340" s="96"/>
      <c r="AU340" s="96"/>
      <c r="AV340" s="96"/>
      <c r="AW340" s="96"/>
      <c r="AX340" s="96"/>
      <c r="AY340" s="96"/>
      <c r="AZ340" s="96"/>
      <c r="BA340" s="96"/>
    </row>
    <row r="341" spans="1:53" s="97" customFormat="1" ht="12" customHeight="1">
      <c r="A341" s="8">
        <v>403020106</v>
      </c>
      <c r="B341" s="8" t="s">
        <v>653</v>
      </c>
      <c r="C341" s="80">
        <f>+VLOOKUP(A341,Clasificaciones!C:I,5,FALSE)</f>
        <v>-2017355176</v>
      </c>
      <c r="D341" s="80">
        <v>0</v>
      </c>
      <c r="E341" s="80">
        <v>0</v>
      </c>
      <c r="F341" s="80">
        <v>0</v>
      </c>
      <c r="G341" s="80">
        <f t="shared" si="93"/>
        <v>-2017355176</v>
      </c>
      <c r="H341" s="26">
        <f t="shared" ref="H341:H352" si="103">-G341</f>
        <v>2017355176</v>
      </c>
      <c r="I341" s="26">
        <v>0</v>
      </c>
      <c r="J341" s="26">
        <v>0</v>
      </c>
      <c r="K341" s="26">
        <v>0</v>
      </c>
      <c r="L341" s="26">
        <v>0</v>
      </c>
      <c r="M341" s="26">
        <v>0</v>
      </c>
      <c r="N341" s="26">
        <v>0</v>
      </c>
      <c r="O341" s="26">
        <v>0</v>
      </c>
      <c r="P341" s="26">
        <v>0</v>
      </c>
      <c r="Q341" s="26">
        <v>0</v>
      </c>
      <c r="R341" s="26"/>
      <c r="S341" s="26">
        <v>0</v>
      </c>
      <c r="T341" s="26">
        <v>0</v>
      </c>
      <c r="U341" s="26">
        <v>0</v>
      </c>
      <c r="V341" s="26">
        <v>0</v>
      </c>
      <c r="W341" s="26">
        <v>0</v>
      </c>
      <c r="X341" s="26">
        <v>0</v>
      </c>
      <c r="Y341" s="26">
        <v>0</v>
      </c>
      <c r="Z341" s="26">
        <f t="shared" si="91"/>
        <v>0</v>
      </c>
      <c r="AA341" s="95"/>
      <c r="AB341" s="95"/>
      <c r="AC341" s="95"/>
      <c r="AD341" s="95"/>
      <c r="AE341" s="95"/>
      <c r="AF341" s="95"/>
      <c r="AG341" s="95"/>
      <c r="AH341" s="95"/>
      <c r="AI341" s="95"/>
      <c r="AJ341" s="95"/>
      <c r="AK341" s="95"/>
      <c r="AL341" s="95"/>
      <c r="AM341" s="95"/>
      <c r="AN341" s="96"/>
      <c r="AO341" s="96"/>
      <c r="AP341" s="96"/>
      <c r="AQ341" s="96"/>
      <c r="AR341" s="96"/>
      <c r="AS341" s="96"/>
      <c r="AT341" s="96"/>
      <c r="AU341" s="96"/>
      <c r="AV341" s="96"/>
      <c r="AW341" s="96"/>
      <c r="AX341" s="96"/>
      <c r="AY341" s="96"/>
      <c r="AZ341" s="96"/>
      <c r="BA341" s="96"/>
    </row>
    <row r="342" spans="1:53" s="97" customFormat="1" ht="12" customHeight="1">
      <c r="A342" s="8">
        <v>403020107</v>
      </c>
      <c r="B342" s="8" t="s">
        <v>768</v>
      </c>
      <c r="C342" s="80">
        <f>+VLOOKUP(A342,Clasificaciones!C:I,5,FALSE)</f>
        <v>-290129110</v>
      </c>
      <c r="D342" s="80">
        <v>0</v>
      </c>
      <c r="E342" s="80">
        <v>0</v>
      </c>
      <c r="F342" s="80">
        <v>0</v>
      </c>
      <c r="G342" s="80">
        <f t="shared" si="93"/>
        <v>-290129110</v>
      </c>
      <c r="H342" s="26">
        <f t="shared" si="103"/>
        <v>290129110</v>
      </c>
      <c r="I342" s="26">
        <v>0</v>
      </c>
      <c r="J342" s="26">
        <v>0</v>
      </c>
      <c r="K342" s="26">
        <v>0</v>
      </c>
      <c r="L342" s="26">
        <v>0</v>
      </c>
      <c r="M342" s="26">
        <v>0</v>
      </c>
      <c r="N342" s="26">
        <v>0</v>
      </c>
      <c r="O342" s="26">
        <v>0</v>
      </c>
      <c r="P342" s="26">
        <v>0</v>
      </c>
      <c r="Q342" s="26">
        <v>0</v>
      </c>
      <c r="R342" s="26"/>
      <c r="S342" s="26">
        <v>0</v>
      </c>
      <c r="T342" s="26">
        <v>0</v>
      </c>
      <c r="U342" s="26">
        <v>0</v>
      </c>
      <c r="V342" s="26">
        <v>0</v>
      </c>
      <c r="W342" s="26">
        <v>0</v>
      </c>
      <c r="X342" s="26">
        <v>0</v>
      </c>
      <c r="Y342" s="26">
        <v>0</v>
      </c>
      <c r="Z342" s="26">
        <f t="shared" si="91"/>
        <v>0</v>
      </c>
      <c r="AA342" s="95"/>
      <c r="AB342" s="95"/>
      <c r="AC342" s="95"/>
      <c r="AD342" s="95"/>
      <c r="AE342" s="95"/>
      <c r="AF342" s="95"/>
      <c r="AG342" s="95"/>
      <c r="AH342" s="95"/>
      <c r="AI342" s="95"/>
      <c r="AJ342" s="95"/>
      <c r="AK342" s="95"/>
      <c r="AL342" s="95"/>
      <c r="AM342" s="95"/>
      <c r="AN342" s="96"/>
      <c r="AO342" s="96"/>
      <c r="AP342" s="96"/>
      <c r="AQ342" s="96"/>
      <c r="AR342" s="96"/>
      <c r="AS342" s="96"/>
      <c r="AT342" s="96"/>
      <c r="AU342" s="96"/>
      <c r="AV342" s="96"/>
      <c r="AW342" s="96"/>
      <c r="AX342" s="96"/>
      <c r="AY342" s="96"/>
      <c r="AZ342" s="96"/>
      <c r="BA342" s="96"/>
    </row>
    <row r="343" spans="1:53" s="97" customFormat="1" ht="12" customHeight="1">
      <c r="A343" s="8">
        <v>403020108</v>
      </c>
      <c r="B343" s="8" t="s">
        <v>769</v>
      </c>
      <c r="C343" s="80">
        <f>+VLOOKUP(A343,Clasificaciones!C:I,5,FALSE)</f>
        <v>-27892314</v>
      </c>
      <c r="D343" s="80">
        <v>0</v>
      </c>
      <c r="E343" s="80">
        <v>0</v>
      </c>
      <c r="F343" s="80">
        <v>0</v>
      </c>
      <c r="G343" s="80">
        <f t="shared" si="93"/>
        <v>-27892314</v>
      </c>
      <c r="H343" s="26">
        <f t="shared" si="103"/>
        <v>27892314</v>
      </c>
      <c r="I343" s="26">
        <v>0</v>
      </c>
      <c r="J343" s="26">
        <v>0</v>
      </c>
      <c r="K343" s="26">
        <v>0</v>
      </c>
      <c r="L343" s="26">
        <v>0</v>
      </c>
      <c r="M343" s="26">
        <v>0</v>
      </c>
      <c r="N343" s="26">
        <v>0</v>
      </c>
      <c r="O343" s="26">
        <v>0</v>
      </c>
      <c r="P343" s="26">
        <v>0</v>
      </c>
      <c r="Q343" s="26">
        <v>0</v>
      </c>
      <c r="R343" s="26"/>
      <c r="S343" s="26">
        <v>0</v>
      </c>
      <c r="T343" s="26">
        <v>0</v>
      </c>
      <c r="U343" s="26">
        <v>0</v>
      </c>
      <c r="V343" s="26">
        <v>0</v>
      </c>
      <c r="W343" s="26">
        <v>0</v>
      </c>
      <c r="X343" s="26">
        <v>0</v>
      </c>
      <c r="Y343" s="26">
        <v>0</v>
      </c>
      <c r="Z343" s="26">
        <f t="shared" si="91"/>
        <v>0</v>
      </c>
      <c r="AA343" s="95"/>
      <c r="AB343" s="95"/>
      <c r="AC343" s="95"/>
      <c r="AD343" s="95"/>
      <c r="AE343" s="95"/>
      <c r="AF343" s="95"/>
      <c r="AG343" s="95"/>
      <c r="AH343" s="95"/>
      <c r="AI343" s="95"/>
      <c r="AJ343" s="95"/>
      <c r="AK343" s="95"/>
      <c r="AL343" s="95"/>
      <c r="AM343" s="95"/>
      <c r="AN343" s="96"/>
      <c r="AO343" s="96"/>
      <c r="AP343" s="96"/>
      <c r="AQ343" s="96"/>
      <c r="AR343" s="96"/>
      <c r="AS343" s="96"/>
      <c r="AT343" s="96"/>
      <c r="AU343" s="96"/>
      <c r="AV343" s="96"/>
      <c r="AW343" s="96"/>
      <c r="AX343" s="96"/>
      <c r="AY343" s="96"/>
      <c r="AZ343" s="96"/>
      <c r="BA343" s="96"/>
    </row>
    <row r="344" spans="1:53" s="97" customFormat="1" ht="12" customHeight="1">
      <c r="A344" s="8">
        <v>403020109</v>
      </c>
      <c r="B344" s="8" t="s">
        <v>770</v>
      </c>
      <c r="C344" s="80">
        <f>+VLOOKUP(A344,Clasificaciones!C:I,5,FALSE)</f>
        <v>0</v>
      </c>
      <c r="D344" s="80">
        <v>0</v>
      </c>
      <c r="E344" s="80">
        <v>0</v>
      </c>
      <c r="F344" s="80">
        <v>0</v>
      </c>
      <c r="G344" s="80">
        <f t="shared" si="93"/>
        <v>0</v>
      </c>
      <c r="H344" s="26">
        <f t="shared" si="103"/>
        <v>0</v>
      </c>
      <c r="I344" s="26">
        <v>0</v>
      </c>
      <c r="J344" s="26">
        <v>0</v>
      </c>
      <c r="K344" s="26">
        <v>0</v>
      </c>
      <c r="L344" s="26">
        <v>0</v>
      </c>
      <c r="M344" s="26">
        <v>0</v>
      </c>
      <c r="N344" s="26">
        <v>0</v>
      </c>
      <c r="O344" s="26">
        <v>0</v>
      </c>
      <c r="P344" s="26">
        <v>0</v>
      </c>
      <c r="Q344" s="26">
        <v>0</v>
      </c>
      <c r="R344" s="26"/>
      <c r="S344" s="26">
        <v>0</v>
      </c>
      <c r="T344" s="26">
        <v>0</v>
      </c>
      <c r="U344" s="26">
        <v>0</v>
      </c>
      <c r="V344" s="26">
        <v>0</v>
      </c>
      <c r="W344" s="26">
        <v>0</v>
      </c>
      <c r="X344" s="26">
        <v>0</v>
      </c>
      <c r="Y344" s="26">
        <v>0</v>
      </c>
      <c r="Z344" s="26">
        <f t="shared" si="91"/>
        <v>0</v>
      </c>
      <c r="AA344" s="95"/>
      <c r="AB344" s="95"/>
      <c r="AC344" s="95"/>
      <c r="AD344" s="95"/>
      <c r="AE344" s="95"/>
      <c r="AF344" s="95"/>
      <c r="AG344" s="95"/>
      <c r="AH344" s="95"/>
      <c r="AI344" s="95"/>
      <c r="AJ344" s="95"/>
      <c r="AK344" s="95"/>
      <c r="AL344" s="95"/>
      <c r="AM344" s="95"/>
      <c r="AN344" s="96"/>
      <c r="AO344" s="96"/>
      <c r="AP344" s="96"/>
      <c r="AQ344" s="96"/>
      <c r="AR344" s="96"/>
      <c r="AS344" s="96"/>
      <c r="AT344" s="96"/>
      <c r="AU344" s="96"/>
      <c r="AV344" s="96"/>
      <c r="AW344" s="96"/>
      <c r="AX344" s="96"/>
      <c r="AY344" s="96"/>
      <c r="AZ344" s="96"/>
      <c r="BA344" s="96"/>
    </row>
    <row r="345" spans="1:53" s="97" customFormat="1" ht="12" customHeight="1">
      <c r="A345" s="8">
        <v>403020113</v>
      </c>
      <c r="B345" s="8" t="s">
        <v>781</v>
      </c>
      <c r="C345" s="80">
        <f>+VLOOKUP(A345,Clasificaciones!C:I,5,FALSE)</f>
        <v>0</v>
      </c>
      <c r="D345" s="80">
        <v>0</v>
      </c>
      <c r="E345" s="80">
        <v>0</v>
      </c>
      <c r="F345" s="80">
        <v>0</v>
      </c>
      <c r="G345" s="80">
        <f t="shared" si="93"/>
        <v>0</v>
      </c>
      <c r="H345" s="26">
        <f t="shared" si="103"/>
        <v>0</v>
      </c>
      <c r="I345" s="26">
        <v>0</v>
      </c>
      <c r="J345" s="26">
        <v>0</v>
      </c>
      <c r="K345" s="26">
        <v>0</v>
      </c>
      <c r="L345" s="26">
        <v>0</v>
      </c>
      <c r="M345" s="26">
        <v>0</v>
      </c>
      <c r="N345" s="26">
        <v>0</v>
      </c>
      <c r="O345" s="26">
        <v>0</v>
      </c>
      <c r="P345" s="26">
        <v>0</v>
      </c>
      <c r="Q345" s="26">
        <v>0</v>
      </c>
      <c r="R345" s="26"/>
      <c r="S345" s="26">
        <v>0</v>
      </c>
      <c r="T345" s="26">
        <v>0</v>
      </c>
      <c r="U345" s="26">
        <v>0</v>
      </c>
      <c r="V345" s="26">
        <v>0</v>
      </c>
      <c r="W345" s="26">
        <v>0</v>
      </c>
      <c r="X345" s="26">
        <v>0</v>
      </c>
      <c r="Y345" s="26">
        <v>0</v>
      </c>
      <c r="Z345" s="26">
        <f t="shared" si="91"/>
        <v>0</v>
      </c>
      <c r="AA345" s="95"/>
      <c r="AB345" s="95"/>
      <c r="AC345" s="95"/>
      <c r="AD345" s="95"/>
      <c r="AE345" s="95"/>
      <c r="AF345" s="95"/>
      <c r="AG345" s="95"/>
      <c r="AH345" s="95"/>
      <c r="AI345" s="95"/>
      <c r="AJ345" s="95"/>
      <c r="AK345" s="95"/>
      <c r="AL345" s="95"/>
      <c r="AM345" s="95"/>
      <c r="AN345" s="96"/>
      <c r="AO345" s="96"/>
      <c r="AP345" s="96"/>
      <c r="AQ345" s="96"/>
      <c r="AR345" s="96"/>
      <c r="AS345" s="96"/>
      <c r="AT345" s="96"/>
      <c r="AU345" s="96"/>
      <c r="AV345" s="96"/>
      <c r="AW345" s="96"/>
      <c r="AX345" s="96"/>
      <c r="AY345" s="96"/>
      <c r="AZ345" s="96"/>
      <c r="BA345" s="96"/>
    </row>
    <row r="346" spans="1:53" s="97" customFormat="1" ht="12" customHeight="1">
      <c r="A346" s="8">
        <v>403020117</v>
      </c>
      <c r="B346" s="8" t="s">
        <v>773</v>
      </c>
      <c r="C346" s="80">
        <f>+VLOOKUP(A346,Clasificaciones!C:I,5,FALSE)</f>
        <v>-46852026</v>
      </c>
      <c r="D346" s="80">
        <v>0</v>
      </c>
      <c r="E346" s="80">
        <v>0</v>
      </c>
      <c r="F346" s="80">
        <v>0</v>
      </c>
      <c r="G346" s="80">
        <f t="shared" si="93"/>
        <v>-46852026</v>
      </c>
      <c r="H346" s="26">
        <f t="shared" si="103"/>
        <v>46852026</v>
      </c>
      <c r="I346" s="26">
        <v>0</v>
      </c>
      <c r="J346" s="26">
        <v>0</v>
      </c>
      <c r="K346" s="26">
        <v>0</v>
      </c>
      <c r="L346" s="26">
        <v>0</v>
      </c>
      <c r="M346" s="26">
        <v>0</v>
      </c>
      <c r="N346" s="26">
        <v>0</v>
      </c>
      <c r="O346" s="26">
        <v>0</v>
      </c>
      <c r="P346" s="26">
        <v>0</v>
      </c>
      <c r="Q346" s="26">
        <v>0</v>
      </c>
      <c r="R346" s="26"/>
      <c r="S346" s="26">
        <v>0</v>
      </c>
      <c r="T346" s="26">
        <v>0</v>
      </c>
      <c r="U346" s="26">
        <v>0</v>
      </c>
      <c r="V346" s="26">
        <v>0</v>
      </c>
      <c r="W346" s="26">
        <v>0</v>
      </c>
      <c r="X346" s="26">
        <v>0</v>
      </c>
      <c r="Y346" s="26">
        <v>0</v>
      </c>
      <c r="Z346" s="26">
        <f t="shared" si="91"/>
        <v>0</v>
      </c>
      <c r="AA346" s="95"/>
      <c r="AB346" s="95"/>
      <c r="AC346" s="95"/>
      <c r="AD346" s="95"/>
      <c r="AE346" s="95"/>
      <c r="AF346" s="95"/>
      <c r="AG346" s="95"/>
      <c r="AH346" s="95"/>
      <c r="AI346" s="95"/>
      <c r="AJ346" s="95"/>
      <c r="AK346" s="95"/>
      <c r="AL346" s="95"/>
      <c r="AM346" s="95"/>
      <c r="AN346" s="96"/>
      <c r="AO346" s="96"/>
      <c r="AP346" s="96"/>
      <c r="AQ346" s="96"/>
      <c r="AR346" s="96"/>
      <c r="AS346" s="96"/>
      <c r="AT346" s="96"/>
      <c r="AU346" s="96"/>
      <c r="AV346" s="96"/>
      <c r="AW346" s="96"/>
      <c r="AX346" s="96"/>
      <c r="AY346" s="96"/>
      <c r="AZ346" s="96"/>
      <c r="BA346" s="96"/>
    </row>
    <row r="347" spans="1:53" s="97" customFormat="1" ht="12" customHeight="1">
      <c r="A347" s="8">
        <v>403020118</v>
      </c>
      <c r="B347" s="8" t="s">
        <v>774</v>
      </c>
      <c r="C347" s="80">
        <f>+VLOOKUP(A347,Clasificaciones!C:I,5,FALSE)</f>
        <v>0</v>
      </c>
      <c r="D347" s="80">
        <v>0</v>
      </c>
      <c r="E347" s="80">
        <v>0</v>
      </c>
      <c r="F347" s="80">
        <v>0</v>
      </c>
      <c r="G347" s="80">
        <f t="shared" si="93"/>
        <v>0</v>
      </c>
      <c r="H347" s="26">
        <f t="shared" si="103"/>
        <v>0</v>
      </c>
      <c r="I347" s="26">
        <v>0</v>
      </c>
      <c r="J347" s="26">
        <v>0</v>
      </c>
      <c r="K347" s="26">
        <v>0</v>
      </c>
      <c r="L347" s="26">
        <v>0</v>
      </c>
      <c r="M347" s="26">
        <v>0</v>
      </c>
      <c r="N347" s="26">
        <v>0</v>
      </c>
      <c r="O347" s="26">
        <v>0</v>
      </c>
      <c r="P347" s="26">
        <v>0</v>
      </c>
      <c r="Q347" s="26">
        <v>0</v>
      </c>
      <c r="R347" s="26"/>
      <c r="S347" s="26">
        <v>0</v>
      </c>
      <c r="T347" s="26">
        <v>0</v>
      </c>
      <c r="U347" s="26">
        <v>0</v>
      </c>
      <c r="V347" s="26">
        <v>0</v>
      </c>
      <c r="W347" s="26">
        <v>0</v>
      </c>
      <c r="X347" s="26">
        <v>0</v>
      </c>
      <c r="Y347" s="26">
        <v>0</v>
      </c>
      <c r="Z347" s="26">
        <f t="shared" si="91"/>
        <v>0</v>
      </c>
      <c r="AA347" s="95"/>
      <c r="AB347" s="95"/>
      <c r="AC347" s="95"/>
      <c r="AD347" s="95"/>
      <c r="AE347" s="95"/>
      <c r="AF347" s="95"/>
      <c r="AG347" s="95"/>
      <c r="AH347" s="95"/>
      <c r="AI347" s="95"/>
      <c r="AJ347" s="95"/>
      <c r="AK347" s="95"/>
      <c r="AL347" s="95"/>
      <c r="AM347" s="95"/>
      <c r="AN347" s="96"/>
      <c r="AO347" s="96"/>
      <c r="AP347" s="96"/>
      <c r="AQ347" s="96"/>
      <c r="AR347" s="96"/>
      <c r="AS347" s="96"/>
      <c r="AT347" s="96"/>
      <c r="AU347" s="96"/>
      <c r="AV347" s="96"/>
      <c r="AW347" s="96"/>
      <c r="AX347" s="96"/>
      <c r="AY347" s="96"/>
      <c r="AZ347" s="96"/>
      <c r="BA347" s="96"/>
    </row>
    <row r="348" spans="1:53" s="97" customFormat="1" ht="12" customHeight="1">
      <c r="A348" s="8">
        <v>403020119</v>
      </c>
      <c r="B348" s="8" t="s">
        <v>1051</v>
      </c>
      <c r="C348" s="80">
        <f>+VLOOKUP(A348,Clasificaciones!C:I,5,FALSE)</f>
        <v>-6399</v>
      </c>
      <c r="D348" s="80">
        <v>0</v>
      </c>
      <c r="E348" s="80">
        <v>0</v>
      </c>
      <c r="F348" s="80">
        <v>0</v>
      </c>
      <c r="G348" s="80">
        <f t="shared" si="93"/>
        <v>-6399</v>
      </c>
      <c r="H348" s="26">
        <f t="shared" si="103"/>
        <v>6399</v>
      </c>
      <c r="I348" s="26">
        <v>0</v>
      </c>
      <c r="J348" s="26">
        <v>0</v>
      </c>
      <c r="K348" s="26">
        <v>0</v>
      </c>
      <c r="L348" s="26">
        <v>0</v>
      </c>
      <c r="M348" s="26">
        <v>0</v>
      </c>
      <c r="N348" s="26">
        <v>0</v>
      </c>
      <c r="O348" s="26">
        <v>0</v>
      </c>
      <c r="P348" s="26">
        <v>0</v>
      </c>
      <c r="Q348" s="26">
        <v>0</v>
      </c>
      <c r="R348" s="26"/>
      <c r="S348" s="26">
        <v>0</v>
      </c>
      <c r="T348" s="26">
        <v>0</v>
      </c>
      <c r="U348" s="26">
        <v>0</v>
      </c>
      <c r="V348" s="26">
        <v>0</v>
      </c>
      <c r="W348" s="26">
        <v>0</v>
      </c>
      <c r="X348" s="26">
        <v>0</v>
      </c>
      <c r="Y348" s="26">
        <v>0</v>
      </c>
      <c r="Z348" s="26">
        <f t="shared" si="91"/>
        <v>0</v>
      </c>
      <c r="AA348" s="95"/>
      <c r="AB348" s="95"/>
      <c r="AC348" s="95"/>
      <c r="AD348" s="95"/>
      <c r="AE348" s="95"/>
      <c r="AF348" s="95"/>
      <c r="AG348" s="95"/>
      <c r="AH348" s="95"/>
      <c r="AI348" s="95"/>
      <c r="AJ348" s="95"/>
      <c r="AK348" s="95"/>
      <c r="AL348" s="95"/>
      <c r="AM348" s="95"/>
      <c r="AN348" s="96"/>
      <c r="AO348" s="96"/>
      <c r="AP348" s="96"/>
      <c r="AQ348" s="96"/>
      <c r="AR348" s="96"/>
      <c r="AS348" s="96"/>
      <c r="AT348" s="96"/>
      <c r="AU348" s="96"/>
      <c r="AV348" s="96"/>
      <c r="AW348" s="96"/>
      <c r="AX348" s="96"/>
      <c r="AY348" s="96"/>
      <c r="AZ348" s="96"/>
      <c r="BA348" s="96"/>
    </row>
    <row r="349" spans="1:53" s="97" customFormat="1" ht="12" customHeight="1">
      <c r="A349" s="8">
        <v>403020121</v>
      </c>
      <c r="B349" s="8" t="s">
        <v>782</v>
      </c>
      <c r="C349" s="80">
        <f>+VLOOKUP(A349,Clasificaciones!C:I,5,FALSE)</f>
        <v>0</v>
      </c>
      <c r="D349" s="80">
        <v>0</v>
      </c>
      <c r="E349" s="80">
        <v>0</v>
      </c>
      <c r="F349" s="80">
        <v>0</v>
      </c>
      <c r="G349" s="80">
        <f t="shared" si="93"/>
        <v>0</v>
      </c>
      <c r="H349" s="26">
        <f t="shared" si="103"/>
        <v>0</v>
      </c>
      <c r="I349" s="26">
        <v>0</v>
      </c>
      <c r="J349" s="26">
        <v>0</v>
      </c>
      <c r="K349" s="26">
        <v>0</v>
      </c>
      <c r="L349" s="26">
        <v>0</v>
      </c>
      <c r="M349" s="26">
        <v>0</v>
      </c>
      <c r="N349" s="26">
        <v>0</v>
      </c>
      <c r="O349" s="26">
        <v>0</v>
      </c>
      <c r="P349" s="26">
        <v>0</v>
      </c>
      <c r="Q349" s="26">
        <v>0</v>
      </c>
      <c r="R349" s="26"/>
      <c r="S349" s="26">
        <v>0</v>
      </c>
      <c r="T349" s="26">
        <v>0</v>
      </c>
      <c r="U349" s="26">
        <v>0</v>
      </c>
      <c r="V349" s="26">
        <v>0</v>
      </c>
      <c r="W349" s="26">
        <v>0</v>
      </c>
      <c r="X349" s="26">
        <v>0</v>
      </c>
      <c r="Y349" s="26">
        <v>0</v>
      </c>
      <c r="Z349" s="26">
        <f t="shared" si="91"/>
        <v>0</v>
      </c>
      <c r="AA349" s="95"/>
      <c r="AB349" s="95"/>
      <c r="AC349" s="95"/>
      <c r="AD349" s="95"/>
      <c r="AE349" s="95"/>
      <c r="AF349" s="95"/>
      <c r="AG349" s="95"/>
      <c r="AH349" s="95"/>
      <c r="AI349" s="95"/>
      <c r="AJ349" s="95"/>
      <c r="AK349" s="95"/>
      <c r="AL349" s="95"/>
      <c r="AM349" s="95"/>
      <c r="AN349" s="96"/>
      <c r="AO349" s="96"/>
      <c r="AP349" s="96"/>
      <c r="AQ349" s="96"/>
      <c r="AR349" s="96"/>
      <c r="AS349" s="96"/>
      <c r="AT349" s="96"/>
      <c r="AU349" s="96"/>
      <c r="AV349" s="96"/>
      <c r="AW349" s="96"/>
      <c r="AX349" s="96"/>
      <c r="AY349" s="96"/>
      <c r="AZ349" s="96"/>
      <c r="BA349" s="96"/>
    </row>
    <row r="350" spans="1:53" s="97" customFormat="1" ht="12" customHeight="1">
      <c r="A350" s="8">
        <v>403020129</v>
      </c>
      <c r="B350" s="8" t="s">
        <v>775</v>
      </c>
      <c r="C350" s="80">
        <f>+VLOOKUP(A350,Clasificaciones!C:I,5,FALSE)</f>
        <v>-20252141</v>
      </c>
      <c r="D350" s="80">
        <v>0</v>
      </c>
      <c r="E350" s="80">
        <v>0</v>
      </c>
      <c r="F350" s="80">
        <v>0</v>
      </c>
      <c r="G350" s="80">
        <f t="shared" si="93"/>
        <v>-20252141</v>
      </c>
      <c r="H350" s="26">
        <f t="shared" si="103"/>
        <v>20252141</v>
      </c>
      <c r="I350" s="26">
        <v>0</v>
      </c>
      <c r="J350" s="26">
        <v>0</v>
      </c>
      <c r="K350" s="26">
        <v>0</v>
      </c>
      <c r="L350" s="26">
        <v>0</v>
      </c>
      <c r="M350" s="26">
        <v>0</v>
      </c>
      <c r="N350" s="26">
        <v>0</v>
      </c>
      <c r="O350" s="26">
        <v>0</v>
      </c>
      <c r="P350" s="26">
        <v>0</v>
      </c>
      <c r="Q350" s="26">
        <v>0</v>
      </c>
      <c r="R350" s="26"/>
      <c r="S350" s="26">
        <v>0</v>
      </c>
      <c r="T350" s="26">
        <v>0</v>
      </c>
      <c r="U350" s="26">
        <v>0</v>
      </c>
      <c r="V350" s="26">
        <v>0</v>
      </c>
      <c r="W350" s="26">
        <v>0</v>
      </c>
      <c r="X350" s="26">
        <v>0</v>
      </c>
      <c r="Y350" s="26">
        <v>0</v>
      </c>
      <c r="Z350" s="26">
        <f t="shared" si="91"/>
        <v>0</v>
      </c>
      <c r="AA350" s="95"/>
      <c r="AB350" s="95"/>
      <c r="AC350" s="95"/>
      <c r="AD350" s="95"/>
      <c r="AE350" s="95"/>
      <c r="AF350" s="95"/>
      <c r="AG350" s="95"/>
      <c r="AH350" s="95"/>
      <c r="AI350" s="95"/>
      <c r="AJ350" s="95"/>
      <c r="AK350" s="95"/>
      <c r="AL350" s="95"/>
      <c r="AM350" s="95"/>
      <c r="AN350" s="96"/>
      <c r="AO350" s="96"/>
      <c r="AP350" s="96"/>
      <c r="AQ350" s="96"/>
      <c r="AR350" s="96"/>
      <c r="AS350" s="96"/>
      <c r="AT350" s="96"/>
      <c r="AU350" s="96"/>
      <c r="AV350" s="96"/>
      <c r="AW350" s="96"/>
      <c r="AX350" s="96"/>
      <c r="AY350" s="96"/>
      <c r="AZ350" s="96"/>
      <c r="BA350" s="96"/>
    </row>
    <row r="351" spans="1:53" s="97" customFormat="1" ht="12" customHeight="1">
      <c r="A351" s="8">
        <v>403020131</v>
      </c>
      <c r="B351" s="8" t="s">
        <v>783</v>
      </c>
      <c r="C351" s="80">
        <f>+VLOOKUP(A351,Clasificaciones!C:I,5,FALSE)</f>
        <v>0</v>
      </c>
      <c r="D351" s="80">
        <v>0</v>
      </c>
      <c r="E351" s="80">
        <v>0</v>
      </c>
      <c r="F351" s="80">
        <v>0</v>
      </c>
      <c r="G351" s="80">
        <f t="shared" si="93"/>
        <v>0</v>
      </c>
      <c r="H351" s="26">
        <f t="shared" si="103"/>
        <v>0</v>
      </c>
      <c r="I351" s="26">
        <v>0</v>
      </c>
      <c r="J351" s="26">
        <v>0</v>
      </c>
      <c r="K351" s="26">
        <v>0</v>
      </c>
      <c r="L351" s="26">
        <v>0</v>
      </c>
      <c r="M351" s="26">
        <v>0</v>
      </c>
      <c r="N351" s="26">
        <v>0</v>
      </c>
      <c r="O351" s="26">
        <v>0</v>
      </c>
      <c r="P351" s="26">
        <v>0</v>
      </c>
      <c r="Q351" s="26">
        <v>0</v>
      </c>
      <c r="R351" s="26"/>
      <c r="S351" s="26">
        <v>0</v>
      </c>
      <c r="T351" s="26">
        <v>0</v>
      </c>
      <c r="U351" s="26">
        <v>0</v>
      </c>
      <c r="V351" s="26">
        <v>0</v>
      </c>
      <c r="W351" s="26">
        <v>0</v>
      </c>
      <c r="X351" s="26">
        <v>0</v>
      </c>
      <c r="Y351" s="26">
        <v>0</v>
      </c>
      <c r="Z351" s="26">
        <f t="shared" ref="Z351:Z421" si="104">SUM(G351:Y351)</f>
        <v>0</v>
      </c>
      <c r="AA351" s="95"/>
      <c r="AB351" s="95"/>
      <c r="AC351" s="95"/>
      <c r="AD351" s="95"/>
      <c r="AE351" s="95"/>
      <c r="AF351" s="95"/>
      <c r="AG351" s="95"/>
      <c r="AH351" s="95"/>
      <c r="AI351" s="95"/>
      <c r="AJ351" s="95"/>
      <c r="AK351" s="95"/>
      <c r="AL351" s="95"/>
      <c r="AM351" s="95"/>
      <c r="AN351" s="96"/>
      <c r="AO351" s="96"/>
      <c r="AP351" s="96"/>
      <c r="AQ351" s="96"/>
      <c r="AR351" s="96"/>
      <c r="AS351" s="96"/>
      <c r="AT351" s="96"/>
      <c r="AU351" s="96"/>
      <c r="AV351" s="96"/>
      <c r="AW351" s="96"/>
      <c r="AX351" s="96"/>
      <c r="AY351" s="96"/>
      <c r="AZ351" s="96"/>
      <c r="BA351" s="96"/>
    </row>
    <row r="352" spans="1:53" s="97" customFormat="1" ht="12" customHeight="1">
      <c r="A352" s="8">
        <v>403020133</v>
      </c>
      <c r="B352" s="8" t="s">
        <v>784</v>
      </c>
      <c r="C352" s="80">
        <f>+VLOOKUP(A352,Clasificaciones!C:I,5,FALSE)</f>
        <v>0</v>
      </c>
      <c r="D352" s="80">
        <v>0</v>
      </c>
      <c r="E352" s="80">
        <v>0</v>
      </c>
      <c r="F352" s="80">
        <v>0</v>
      </c>
      <c r="G352" s="80">
        <f t="shared" si="93"/>
        <v>0</v>
      </c>
      <c r="H352" s="26">
        <f t="shared" si="103"/>
        <v>0</v>
      </c>
      <c r="I352" s="26">
        <v>0</v>
      </c>
      <c r="J352" s="26">
        <v>0</v>
      </c>
      <c r="K352" s="26">
        <v>0</v>
      </c>
      <c r="L352" s="26">
        <v>0</v>
      </c>
      <c r="M352" s="26">
        <v>0</v>
      </c>
      <c r="N352" s="26">
        <v>0</v>
      </c>
      <c r="O352" s="26">
        <v>0</v>
      </c>
      <c r="P352" s="26">
        <v>0</v>
      </c>
      <c r="Q352" s="26">
        <v>0</v>
      </c>
      <c r="R352" s="26"/>
      <c r="S352" s="26">
        <v>0</v>
      </c>
      <c r="T352" s="26">
        <v>0</v>
      </c>
      <c r="U352" s="26">
        <v>0</v>
      </c>
      <c r="V352" s="26">
        <v>0</v>
      </c>
      <c r="W352" s="26">
        <v>0</v>
      </c>
      <c r="X352" s="26">
        <v>0</v>
      </c>
      <c r="Y352" s="26">
        <v>0</v>
      </c>
      <c r="Z352" s="26">
        <f t="shared" si="104"/>
        <v>0</v>
      </c>
      <c r="AA352" s="95"/>
      <c r="AB352" s="95"/>
      <c r="AC352" s="95"/>
      <c r="AD352" s="95"/>
      <c r="AE352" s="95"/>
      <c r="AF352" s="95"/>
      <c r="AG352" s="95"/>
      <c r="AH352" s="95"/>
      <c r="AI352" s="95"/>
      <c r="AJ352" s="95"/>
      <c r="AK352" s="95"/>
      <c r="AL352" s="95"/>
      <c r="AM352" s="95"/>
      <c r="AN352" s="96"/>
      <c r="AO352" s="96"/>
      <c r="AP352" s="96"/>
      <c r="AQ352" s="96"/>
      <c r="AR352" s="96"/>
      <c r="AS352" s="96"/>
      <c r="AT352" s="96"/>
      <c r="AU352" s="96"/>
      <c r="AV352" s="96"/>
      <c r="AW352" s="96"/>
      <c r="AX352" s="96"/>
      <c r="AY352" s="96"/>
      <c r="AZ352" s="96"/>
      <c r="BA352" s="96"/>
    </row>
    <row r="353" spans="1:53" s="97" customFormat="1" ht="12" customHeight="1">
      <c r="A353" s="8">
        <v>4030202</v>
      </c>
      <c r="B353" s="8" t="s">
        <v>1063</v>
      </c>
      <c r="C353" s="80">
        <f>+VLOOKUP(A353,Clasificaciones!C:I,5,FALSE)</f>
        <v>0</v>
      </c>
      <c r="D353" s="80">
        <v>0</v>
      </c>
      <c r="E353" s="80">
        <v>0</v>
      </c>
      <c r="F353" s="80">
        <v>0</v>
      </c>
      <c r="G353" s="80">
        <f t="shared" si="93"/>
        <v>0</v>
      </c>
      <c r="H353" s="26">
        <v>0</v>
      </c>
      <c r="I353" s="26">
        <v>0</v>
      </c>
      <c r="J353" s="26">
        <v>0</v>
      </c>
      <c r="K353" s="26">
        <v>0</v>
      </c>
      <c r="L353" s="26">
        <v>0</v>
      </c>
      <c r="M353" s="26">
        <v>0</v>
      </c>
      <c r="N353" s="26">
        <v>0</v>
      </c>
      <c r="O353" s="26">
        <v>0</v>
      </c>
      <c r="P353" s="26">
        <v>0</v>
      </c>
      <c r="Q353" s="26">
        <v>0</v>
      </c>
      <c r="R353" s="26">
        <f t="shared" ref="R353" si="105">-G353</f>
        <v>0</v>
      </c>
      <c r="S353" s="26">
        <v>0</v>
      </c>
      <c r="T353" s="26">
        <v>0</v>
      </c>
      <c r="U353" s="26">
        <v>0</v>
      </c>
      <c r="V353" s="26">
        <v>0</v>
      </c>
      <c r="W353" s="26">
        <v>0</v>
      </c>
      <c r="X353" s="26">
        <v>0</v>
      </c>
      <c r="Y353" s="26">
        <v>0</v>
      </c>
      <c r="Z353" s="26">
        <f t="shared" si="104"/>
        <v>0</v>
      </c>
      <c r="AA353" s="95"/>
      <c r="AB353" s="95"/>
      <c r="AC353" s="95"/>
      <c r="AD353" s="95"/>
      <c r="AE353" s="95"/>
      <c r="AF353" s="95"/>
      <c r="AG353" s="95"/>
      <c r="AH353" s="95"/>
      <c r="AI353" s="95"/>
      <c r="AJ353" s="95"/>
      <c r="AK353" s="95"/>
      <c r="AL353" s="95"/>
      <c r="AM353" s="95"/>
      <c r="AN353" s="96"/>
      <c r="AO353" s="96"/>
      <c r="AP353" s="96"/>
      <c r="AQ353" s="96"/>
      <c r="AR353" s="96"/>
      <c r="AS353" s="96"/>
      <c r="AT353" s="96"/>
      <c r="AU353" s="96"/>
      <c r="AV353" s="96"/>
      <c r="AW353" s="96"/>
      <c r="AX353" s="96"/>
      <c r="AY353" s="96"/>
      <c r="AZ353" s="96"/>
      <c r="BA353" s="96"/>
    </row>
    <row r="354" spans="1:53" s="97" customFormat="1" ht="12" customHeight="1">
      <c r="A354" s="8">
        <v>403020201</v>
      </c>
      <c r="B354" s="8" t="s">
        <v>1063</v>
      </c>
      <c r="C354" s="80">
        <f>+VLOOKUP(A354,Clasificaciones!C:I,5,FALSE)</f>
        <v>-7717592</v>
      </c>
      <c r="D354" s="80">
        <v>0</v>
      </c>
      <c r="E354" s="80">
        <v>0</v>
      </c>
      <c r="F354" s="80">
        <v>0</v>
      </c>
      <c r="G354" s="80">
        <f t="shared" ref="G354" si="106">+C354-F354+D354-E354</f>
        <v>-7717592</v>
      </c>
      <c r="H354" s="26">
        <f>-G354</f>
        <v>7717592</v>
      </c>
      <c r="I354" s="26">
        <v>0</v>
      </c>
      <c r="J354" s="26">
        <v>0</v>
      </c>
      <c r="K354" s="26">
        <v>0</v>
      </c>
      <c r="L354" s="26">
        <v>0</v>
      </c>
      <c r="M354" s="26">
        <v>0</v>
      </c>
      <c r="N354" s="26">
        <v>0</v>
      </c>
      <c r="O354" s="26">
        <v>0</v>
      </c>
      <c r="P354" s="26">
        <v>0</v>
      </c>
      <c r="Q354" s="26">
        <v>0</v>
      </c>
      <c r="R354" s="26"/>
      <c r="S354" s="26">
        <v>0</v>
      </c>
      <c r="T354" s="26">
        <v>0</v>
      </c>
      <c r="U354" s="26">
        <v>0</v>
      </c>
      <c r="V354" s="26">
        <v>0</v>
      </c>
      <c r="W354" s="26">
        <v>0</v>
      </c>
      <c r="X354" s="26">
        <v>0</v>
      </c>
      <c r="Y354" s="26">
        <v>0</v>
      </c>
      <c r="Z354" s="26">
        <f t="shared" ref="Z354" si="107">SUM(G354:Y354)</f>
        <v>0</v>
      </c>
      <c r="AA354" s="95"/>
      <c r="AB354" s="95"/>
      <c r="AC354" s="95"/>
      <c r="AD354" s="95"/>
      <c r="AE354" s="95"/>
      <c r="AF354" s="95"/>
      <c r="AG354" s="95"/>
      <c r="AH354" s="95"/>
      <c r="AI354" s="95"/>
      <c r="AJ354" s="95"/>
      <c r="AK354" s="95"/>
      <c r="AL354" s="95"/>
      <c r="AM354" s="95"/>
      <c r="AN354" s="96"/>
      <c r="AO354" s="96"/>
      <c r="AP354" s="96"/>
      <c r="AQ354" s="96"/>
      <c r="AR354" s="96"/>
      <c r="AS354" s="96"/>
      <c r="AT354" s="96"/>
      <c r="AU354" s="96"/>
      <c r="AV354" s="96"/>
      <c r="AW354" s="96"/>
      <c r="AX354" s="96"/>
      <c r="AY354" s="96"/>
      <c r="AZ354" s="96"/>
      <c r="BA354" s="96"/>
    </row>
    <row r="355" spans="1:53" s="97" customFormat="1" ht="12" customHeight="1">
      <c r="A355" s="8">
        <v>403020202</v>
      </c>
      <c r="B355" s="8" t="s">
        <v>779</v>
      </c>
      <c r="C355" s="80">
        <f>+VLOOKUP(A355,Clasificaciones!C:I,5,FALSE)</f>
        <v>-1381438</v>
      </c>
      <c r="D355" s="80">
        <v>0</v>
      </c>
      <c r="E355" s="80">
        <v>0</v>
      </c>
      <c r="F355" s="80">
        <v>0</v>
      </c>
      <c r="G355" s="80">
        <f t="shared" si="93"/>
        <v>-1381438</v>
      </c>
      <c r="H355" s="26">
        <f>-G355</f>
        <v>1381438</v>
      </c>
      <c r="I355" s="26">
        <v>0</v>
      </c>
      <c r="J355" s="26">
        <v>0</v>
      </c>
      <c r="K355" s="26">
        <v>0</v>
      </c>
      <c r="L355" s="26">
        <v>0</v>
      </c>
      <c r="M355" s="26">
        <v>0</v>
      </c>
      <c r="N355" s="26">
        <v>0</v>
      </c>
      <c r="O355" s="26">
        <v>0</v>
      </c>
      <c r="P355" s="26">
        <v>0</v>
      </c>
      <c r="Q355" s="26">
        <v>0</v>
      </c>
      <c r="R355" s="26"/>
      <c r="S355" s="26">
        <v>0</v>
      </c>
      <c r="T355" s="26">
        <v>0</v>
      </c>
      <c r="U355" s="26">
        <v>0</v>
      </c>
      <c r="V355" s="26">
        <v>0</v>
      </c>
      <c r="W355" s="26">
        <v>0</v>
      </c>
      <c r="X355" s="26">
        <v>0</v>
      </c>
      <c r="Y355" s="26">
        <v>0</v>
      </c>
      <c r="Z355" s="26">
        <f t="shared" si="104"/>
        <v>0</v>
      </c>
      <c r="AA355" s="95"/>
      <c r="AB355" s="95"/>
      <c r="AC355" s="95"/>
      <c r="AD355" s="95"/>
      <c r="AE355" s="95"/>
      <c r="AF355" s="95"/>
      <c r="AG355" s="95"/>
      <c r="AH355" s="95"/>
      <c r="AI355" s="95"/>
      <c r="AJ355" s="95"/>
      <c r="AK355" s="95"/>
      <c r="AL355" s="95"/>
      <c r="AM355" s="95"/>
      <c r="AN355" s="96"/>
      <c r="AO355" s="96"/>
      <c r="AP355" s="96"/>
      <c r="AQ355" s="96"/>
      <c r="AR355" s="96"/>
      <c r="AS355" s="96"/>
      <c r="AT355" s="96"/>
      <c r="AU355" s="96"/>
      <c r="AV355" s="96"/>
      <c r="AW355" s="96"/>
      <c r="AX355" s="96"/>
      <c r="AY355" s="96"/>
      <c r="AZ355" s="96"/>
      <c r="BA355" s="96"/>
    </row>
    <row r="356" spans="1:53" s="97" customFormat="1" ht="12" customHeight="1">
      <c r="A356" s="8">
        <v>403020203</v>
      </c>
      <c r="B356" s="8" t="s">
        <v>767</v>
      </c>
      <c r="C356" s="80">
        <f>+VLOOKUP(A356,Clasificaciones!C:I,5,FALSE)</f>
        <v>-381987</v>
      </c>
      <c r="D356" s="80">
        <v>0</v>
      </c>
      <c r="E356" s="80">
        <v>0</v>
      </c>
      <c r="F356" s="80">
        <v>0</v>
      </c>
      <c r="G356" s="80">
        <f t="shared" ref="G356:G357" si="108">+C356-F356+D356-E356</f>
        <v>-381987</v>
      </c>
      <c r="H356" s="26">
        <f>-G356</f>
        <v>381987</v>
      </c>
      <c r="I356" s="26">
        <v>0</v>
      </c>
      <c r="J356" s="26">
        <v>0</v>
      </c>
      <c r="K356" s="26">
        <v>0</v>
      </c>
      <c r="L356" s="26">
        <v>0</v>
      </c>
      <c r="M356" s="26">
        <v>0</v>
      </c>
      <c r="N356" s="26">
        <v>0</v>
      </c>
      <c r="O356" s="26">
        <v>0</v>
      </c>
      <c r="P356" s="26">
        <v>0</v>
      </c>
      <c r="Q356" s="26">
        <v>0</v>
      </c>
      <c r="R356" s="26"/>
      <c r="S356" s="26">
        <v>0</v>
      </c>
      <c r="T356" s="26">
        <v>0</v>
      </c>
      <c r="U356" s="26">
        <v>0</v>
      </c>
      <c r="V356" s="26">
        <v>0</v>
      </c>
      <c r="W356" s="26">
        <v>0</v>
      </c>
      <c r="X356" s="26">
        <v>0</v>
      </c>
      <c r="Y356" s="26">
        <v>0</v>
      </c>
      <c r="Z356" s="26">
        <f t="shared" ref="Z356" si="109">SUM(G356:Y356)</f>
        <v>0</v>
      </c>
      <c r="AA356" s="95"/>
      <c r="AB356" s="95"/>
      <c r="AC356" s="95"/>
      <c r="AD356" s="95"/>
      <c r="AE356" s="95"/>
      <c r="AF356" s="95"/>
      <c r="AG356" s="95"/>
      <c r="AH356" s="95"/>
      <c r="AI356" s="95"/>
      <c r="AJ356" s="95"/>
      <c r="AK356" s="95"/>
      <c r="AL356" s="95"/>
      <c r="AM356" s="95"/>
      <c r="AN356" s="96"/>
      <c r="AO356" s="96"/>
      <c r="AP356" s="96"/>
      <c r="AQ356" s="96"/>
      <c r="AR356" s="96"/>
      <c r="AS356" s="96"/>
      <c r="AT356" s="96"/>
      <c r="AU356" s="96"/>
      <c r="AV356" s="96"/>
      <c r="AW356" s="96"/>
      <c r="AX356" s="96"/>
      <c r="AY356" s="96"/>
      <c r="AZ356" s="96"/>
      <c r="BA356" s="96"/>
    </row>
    <row r="357" spans="1:53" s="97" customFormat="1" ht="12" customHeight="1">
      <c r="A357" s="8">
        <v>403020204</v>
      </c>
      <c r="B357" s="8" t="s">
        <v>1389</v>
      </c>
      <c r="C357" s="80">
        <f>+VLOOKUP(A357,Clasificaciones!C:I,5,FALSE)</f>
        <v>-1279279</v>
      </c>
      <c r="D357" s="80">
        <v>0</v>
      </c>
      <c r="E357" s="80">
        <v>0</v>
      </c>
      <c r="F357" s="80">
        <v>0</v>
      </c>
      <c r="G357" s="80">
        <f t="shared" si="108"/>
        <v>-1279279</v>
      </c>
      <c r="H357" s="26">
        <f>-G357</f>
        <v>1279279</v>
      </c>
      <c r="I357" s="26">
        <v>0</v>
      </c>
      <c r="J357" s="26">
        <v>0</v>
      </c>
      <c r="K357" s="26">
        <v>0</v>
      </c>
      <c r="L357" s="26">
        <v>0</v>
      </c>
      <c r="M357" s="26">
        <v>0</v>
      </c>
      <c r="N357" s="26">
        <v>0</v>
      </c>
      <c r="O357" s="26">
        <v>0</v>
      </c>
      <c r="P357" s="26">
        <v>0</v>
      </c>
      <c r="Q357" s="26">
        <v>0</v>
      </c>
      <c r="R357" s="26"/>
      <c r="S357" s="26">
        <v>0</v>
      </c>
      <c r="T357" s="26">
        <v>0</v>
      </c>
      <c r="U357" s="26">
        <v>0</v>
      </c>
      <c r="V357" s="26">
        <v>0</v>
      </c>
      <c r="W357" s="26">
        <v>0</v>
      </c>
      <c r="X357" s="26">
        <v>0</v>
      </c>
      <c r="Y357" s="26">
        <v>0</v>
      </c>
      <c r="Z357" s="26">
        <f>SUM(G357:Y357)</f>
        <v>0</v>
      </c>
      <c r="AA357" s="95"/>
      <c r="AB357" s="95"/>
      <c r="AC357" s="95"/>
      <c r="AD357" s="95"/>
      <c r="AE357" s="95"/>
      <c r="AF357" s="95"/>
      <c r="AG357" s="95"/>
      <c r="AH357" s="95"/>
      <c r="AI357" s="95"/>
      <c r="AJ357" s="95"/>
      <c r="AK357" s="95"/>
      <c r="AL357" s="95"/>
      <c r="AM357" s="95"/>
      <c r="AN357" s="96"/>
      <c r="AO357" s="96"/>
      <c r="AP357" s="96"/>
      <c r="AQ357" s="96"/>
      <c r="AR357" s="96"/>
      <c r="AS357" s="96"/>
      <c r="AT357" s="96"/>
      <c r="AU357" s="96"/>
      <c r="AV357" s="96"/>
      <c r="AW357" s="96"/>
      <c r="AX357" s="96"/>
      <c r="AY357" s="96"/>
      <c r="AZ357" s="96"/>
      <c r="BA357" s="96"/>
    </row>
    <row r="358" spans="1:53" s="97" customFormat="1" ht="12" customHeight="1">
      <c r="A358" s="8">
        <v>404</v>
      </c>
      <c r="B358" s="8" t="s">
        <v>1064</v>
      </c>
      <c r="C358" s="80">
        <f>+VLOOKUP(A358,Clasificaciones!C:I,5,FALSE)</f>
        <v>0</v>
      </c>
      <c r="D358" s="80">
        <v>0</v>
      </c>
      <c r="E358" s="80">
        <v>0</v>
      </c>
      <c r="F358" s="80">
        <v>0</v>
      </c>
      <c r="G358" s="80">
        <f t="shared" ref="G358:G362" si="110">+C358-F358+D358-E358</f>
        <v>0</v>
      </c>
      <c r="H358" s="26"/>
      <c r="I358" s="26">
        <v>0</v>
      </c>
      <c r="J358" s="26">
        <v>0</v>
      </c>
      <c r="K358" s="26">
        <v>0</v>
      </c>
      <c r="L358" s="26">
        <v>0</v>
      </c>
      <c r="M358" s="26">
        <v>0</v>
      </c>
      <c r="N358" s="26">
        <v>0</v>
      </c>
      <c r="O358" s="26">
        <v>0</v>
      </c>
      <c r="P358" s="26">
        <v>0</v>
      </c>
      <c r="Q358" s="26">
        <v>0</v>
      </c>
      <c r="R358" s="26">
        <f t="shared" ref="R358:R359" si="111">-G358</f>
        <v>0</v>
      </c>
      <c r="S358" s="26">
        <v>0</v>
      </c>
      <c r="T358" s="26">
        <v>0</v>
      </c>
      <c r="U358" s="26">
        <v>0</v>
      </c>
      <c r="V358" s="26">
        <v>0</v>
      </c>
      <c r="W358" s="26">
        <v>0</v>
      </c>
      <c r="X358" s="26">
        <v>0</v>
      </c>
      <c r="Y358" s="26">
        <v>0</v>
      </c>
      <c r="Z358" s="26">
        <f t="shared" si="104"/>
        <v>0</v>
      </c>
      <c r="AA358" s="95"/>
      <c r="AB358" s="95"/>
      <c r="AC358" s="95"/>
      <c r="AD358" s="95"/>
      <c r="AE358" s="95"/>
      <c r="AF358" s="95"/>
      <c r="AG358" s="95"/>
      <c r="AH358" s="95"/>
      <c r="AI358" s="95"/>
      <c r="AJ358" s="95"/>
      <c r="AK358" s="95"/>
      <c r="AL358" s="95"/>
      <c r="AM358" s="95"/>
      <c r="AN358" s="96"/>
      <c r="AO358" s="96"/>
      <c r="AP358" s="96"/>
      <c r="AQ358" s="96"/>
      <c r="AR358" s="96"/>
      <c r="AS358" s="96"/>
      <c r="AT358" s="96"/>
      <c r="AU358" s="96"/>
      <c r="AV358" s="96"/>
      <c r="AW358" s="96"/>
      <c r="AX358" s="96"/>
      <c r="AY358" s="96"/>
      <c r="AZ358" s="96"/>
      <c r="BA358" s="96"/>
    </row>
    <row r="359" spans="1:53" s="97" customFormat="1" ht="12" customHeight="1">
      <c r="A359" s="8">
        <v>40401</v>
      </c>
      <c r="B359" s="8" t="s">
        <v>1065</v>
      </c>
      <c r="C359" s="80">
        <f>+VLOOKUP(A359,Clasificaciones!C:I,5,FALSE)</f>
        <v>0</v>
      </c>
      <c r="D359" s="80">
        <v>0</v>
      </c>
      <c r="E359" s="80">
        <v>0</v>
      </c>
      <c r="F359" s="80">
        <v>0</v>
      </c>
      <c r="G359" s="80">
        <f t="shared" si="110"/>
        <v>0</v>
      </c>
      <c r="H359" s="26"/>
      <c r="I359" s="26">
        <v>0</v>
      </c>
      <c r="J359" s="26">
        <v>0</v>
      </c>
      <c r="K359" s="26">
        <v>0</v>
      </c>
      <c r="L359" s="26">
        <v>0</v>
      </c>
      <c r="M359" s="26">
        <v>0</v>
      </c>
      <c r="N359" s="26">
        <v>0</v>
      </c>
      <c r="O359" s="26">
        <v>0</v>
      </c>
      <c r="P359" s="26">
        <v>0</v>
      </c>
      <c r="Q359" s="26">
        <v>0</v>
      </c>
      <c r="R359" s="26">
        <f t="shared" si="111"/>
        <v>0</v>
      </c>
      <c r="S359" s="26">
        <v>0</v>
      </c>
      <c r="T359" s="26">
        <v>0</v>
      </c>
      <c r="U359" s="26">
        <v>0</v>
      </c>
      <c r="V359" s="26">
        <v>0</v>
      </c>
      <c r="W359" s="26">
        <v>0</v>
      </c>
      <c r="X359" s="26">
        <v>0</v>
      </c>
      <c r="Y359" s="26">
        <v>0</v>
      </c>
      <c r="Z359" s="26">
        <f t="shared" si="104"/>
        <v>0</v>
      </c>
      <c r="AA359" s="95"/>
      <c r="AB359" s="95"/>
      <c r="AC359" s="95"/>
      <c r="AD359" s="95"/>
      <c r="AE359" s="95"/>
      <c r="AF359" s="95"/>
      <c r="AG359" s="95"/>
      <c r="AH359" s="95"/>
      <c r="AI359" s="95"/>
      <c r="AJ359" s="95"/>
      <c r="AK359" s="95"/>
      <c r="AL359" s="95"/>
      <c r="AM359" s="95"/>
      <c r="AN359" s="96"/>
      <c r="AO359" s="96"/>
      <c r="AP359" s="96"/>
      <c r="AQ359" s="96"/>
      <c r="AR359" s="96"/>
      <c r="AS359" s="96"/>
      <c r="AT359" s="96"/>
      <c r="AU359" s="96"/>
      <c r="AV359" s="96"/>
      <c r="AW359" s="96"/>
      <c r="AX359" s="96"/>
      <c r="AY359" s="96"/>
      <c r="AZ359" s="96"/>
      <c r="BA359" s="96"/>
    </row>
    <row r="360" spans="1:53" s="97" customFormat="1" ht="12" customHeight="1">
      <c r="A360" s="8">
        <v>4040101</v>
      </c>
      <c r="B360" s="8" t="s">
        <v>1259</v>
      </c>
      <c r="C360" s="80">
        <f>+VLOOKUP(A360,Clasificaciones!C:I,5,FALSE)</f>
        <v>-10364092</v>
      </c>
      <c r="D360" s="80">
        <v>0</v>
      </c>
      <c r="E360" s="80">
        <v>0</v>
      </c>
      <c r="F360" s="80">
        <v>0</v>
      </c>
      <c r="G360" s="80">
        <f t="shared" si="110"/>
        <v>-10364092</v>
      </c>
      <c r="H360" s="26">
        <f>-G360</f>
        <v>10364092</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c r="Z360" s="26">
        <f t="shared" si="104"/>
        <v>0</v>
      </c>
      <c r="AA360" s="95"/>
      <c r="AB360" s="95"/>
      <c r="AC360" s="95"/>
      <c r="AD360" s="95"/>
      <c r="AE360" s="95"/>
      <c r="AF360" s="95"/>
      <c r="AG360" s="95"/>
      <c r="AH360" s="95"/>
      <c r="AI360" s="95"/>
      <c r="AJ360" s="95"/>
      <c r="AK360" s="95"/>
      <c r="AL360" s="95"/>
      <c r="AM360" s="95"/>
      <c r="AN360" s="96"/>
      <c r="AO360" s="96"/>
      <c r="AP360" s="96"/>
      <c r="AQ360" s="96"/>
      <c r="AR360" s="96"/>
      <c r="AS360" s="96"/>
      <c r="AT360" s="96"/>
      <c r="AU360" s="96"/>
      <c r="AV360" s="96"/>
      <c r="AW360" s="96"/>
      <c r="AX360" s="96"/>
      <c r="AY360" s="96"/>
      <c r="AZ360" s="96"/>
      <c r="BA360" s="96"/>
    </row>
    <row r="361" spans="1:53" s="97" customFormat="1" ht="12" customHeight="1">
      <c r="A361" s="8">
        <v>4040102</v>
      </c>
      <c r="B361" s="8" t="s">
        <v>1260</v>
      </c>
      <c r="C361" s="80">
        <f>+VLOOKUP(A361,Clasificaciones!C:I,5,FALSE)</f>
        <v>-13830023</v>
      </c>
      <c r="D361" s="80">
        <v>0</v>
      </c>
      <c r="E361" s="80">
        <v>0</v>
      </c>
      <c r="F361" s="80">
        <v>0</v>
      </c>
      <c r="G361" s="80">
        <f t="shared" si="110"/>
        <v>-13830023</v>
      </c>
      <c r="H361" s="26">
        <f t="shared" ref="H361:H362" si="112">-G361</f>
        <v>13830023</v>
      </c>
      <c r="I361" s="26">
        <v>0</v>
      </c>
      <c r="J361" s="26">
        <v>0</v>
      </c>
      <c r="K361" s="26">
        <v>0</v>
      </c>
      <c r="L361" s="26">
        <v>0</v>
      </c>
      <c r="M361" s="26">
        <v>0</v>
      </c>
      <c r="N361" s="26">
        <v>0</v>
      </c>
      <c r="O361" s="26">
        <v>0</v>
      </c>
      <c r="P361" s="26">
        <v>0</v>
      </c>
      <c r="Q361" s="26">
        <v>0</v>
      </c>
      <c r="R361" s="26">
        <v>0</v>
      </c>
      <c r="S361" s="26">
        <v>0</v>
      </c>
      <c r="T361" s="26">
        <v>0</v>
      </c>
      <c r="U361" s="26">
        <v>0</v>
      </c>
      <c r="V361" s="26">
        <v>0</v>
      </c>
      <c r="W361" s="26">
        <v>0</v>
      </c>
      <c r="X361" s="26">
        <v>0</v>
      </c>
      <c r="Y361" s="26">
        <v>0</v>
      </c>
      <c r="Z361" s="26">
        <f t="shared" si="104"/>
        <v>0</v>
      </c>
      <c r="AA361" s="95"/>
      <c r="AB361" s="95"/>
      <c r="AC361" s="95"/>
      <c r="AD361" s="95"/>
      <c r="AE361" s="95"/>
      <c r="AF361" s="95"/>
      <c r="AG361" s="95"/>
      <c r="AH361" s="95"/>
      <c r="AI361" s="95"/>
      <c r="AJ361" s="95"/>
      <c r="AK361" s="95"/>
      <c r="AL361" s="95"/>
      <c r="AM361" s="95"/>
      <c r="AN361" s="96"/>
      <c r="AO361" s="96"/>
      <c r="AP361" s="96"/>
      <c r="AQ361" s="96"/>
      <c r="AR361" s="96"/>
      <c r="AS361" s="96"/>
      <c r="AT361" s="96"/>
      <c r="AU361" s="96"/>
      <c r="AV361" s="96"/>
      <c r="AW361" s="96"/>
      <c r="AX361" s="96"/>
      <c r="AY361" s="96"/>
      <c r="AZ361" s="96"/>
      <c r="BA361" s="96"/>
    </row>
    <row r="362" spans="1:53" s="97" customFormat="1" ht="12" customHeight="1">
      <c r="A362" s="8">
        <v>4040103</v>
      </c>
      <c r="B362" s="8" t="s">
        <v>1261</v>
      </c>
      <c r="C362" s="80">
        <f>+VLOOKUP(A362,Clasificaciones!C:I,5,FALSE)</f>
        <v>-68981610</v>
      </c>
      <c r="D362" s="80">
        <v>0</v>
      </c>
      <c r="E362" s="80">
        <v>0</v>
      </c>
      <c r="F362" s="80">
        <v>0</v>
      </c>
      <c r="G362" s="80">
        <f t="shared" si="110"/>
        <v>-68981610</v>
      </c>
      <c r="H362" s="26">
        <f t="shared" si="112"/>
        <v>68981610</v>
      </c>
      <c r="I362" s="26">
        <v>0</v>
      </c>
      <c r="J362" s="26">
        <v>0</v>
      </c>
      <c r="K362" s="26">
        <v>0</v>
      </c>
      <c r="L362" s="26">
        <v>0</v>
      </c>
      <c r="M362" s="26">
        <v>0</v>
      </c>
      <c r="N362" s="26">
        <v>0</v>
      </c>
      <c r="O362" s="26">
        <v>0</v>
      </c>
      <c r="P362" s="26">
        <v>0</v>
      </c>
      <c r="Q362" s="26">
        <v>0</v>
      </c>
      <c r="R362" s="26">
        <v>0</v>
      </c>
      <c r="S362" s="26">
        <v>0</v>
      </c>
      <c r="T362" s="26">
        <v>0</v>
      </c>
      <c r="U362" s="26">
        <v>0</v>
      </c>
      <c r="V362" s="26">
        <v>0</v>
      </c>
      <c r="W362" s="26">
        <v>0</v>
      </c>
      <c r="X362" s="26">
        <v>0</v>
      </c>
      <c r="Y362" s="26">
        <v>0</v>
      </c>
      <c r="Z362" s="26">
        <f t="shared" si="104"/>
        <v>0</v>
      </c>
      <c r="AA362" s="95"/>
      <c r="AB362" s="95"/>
      <c r="AC362" s="95"/>
      <c r="AD362" s="95"/>
      <c r="AE362" s="95"/>
      <c r="AF362" s="95"/>
      <c r="AG362" s="95"/>
      <c r="AH362" s="95"/>
      <c r="AI362" s="95"/>
      <c r="AJ362" s="95"/>
      <c r="AK362" s="95"/>
      <c r="AL362" s="95"/>
      <c r="AM362" s="95"/>
      <c r="AN362" s="96"/>
      <c r="AO362" s="96"/>
      <c r="AP362" s="96"/>
      <c r="AQ362" s="96"/>
      <c r="AR362" s="96"/>
      <c r="AS362" s="96"/>
      <c r="AT362" s="96"/>
      <c r="AU362" s="96"/>
      <c r="AV362" s="96"/>
      <c r="AW362" s="96"/>
      <c r="AX362" s="96"/>
      <c r="AY362" s="96"/>
      <c r="AZ362" s="96"/>
      <c r="BA362" s="96"/>
    </row>
    <row r="363" spans="1:53" s="97" customFormat="1" ht="12" customHeight="1">
      <c r="A363" s="8">
        <v>4040104</v>
      </c>
      <c r="B363" s="8" t="s">
        <v>1564</v>
      </c>
      <c r="C363" s="80">
        <f>+VLOOKUP(A363,Clasificaciones!C:I,5,FALSE)</f>
        <v>-31818182</v>
      </c>
      <c r="D363" s="80">
        <v>0</v>
      </c>
      <c r="E363" s="80">
        <v>0</v>
      </c>
      <c r="F363" s="80">
        <v>0</v>
      </c>
      <c r="G363" s="80">
        <f t="shared" ref="G363" si="113">+C363-F363+D363-E363</f>
        <v>-31818182</v>
      </c>
      <c r="H363" s="26">
        <f t="shared" ref="H363" si="114">-G363</f>
        <v>31818182</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c r="Z363" s="26">
        <f t="shared" ref="Z363" si="115">SUM(G363:Y363)</f>
        <v>0</v>
      </c>
      <c r="AA363" s="95"/>
      <c r="AB363" s="95"/>
      <c r="AC363" s="95"/>
      <c r="AD363" s="95"/>
      <c r="AE363" s="95"/>
      <c r="AF363" s="95"/>
      <c r="AG363" s="95"/>
      <c r="AH363" s="95"/>
      <c r="AI363" s="95"/>
      <c r="AJ363" s="95"/>
      <c r="AK363" s="95"/>
      <c r="AL363" s="95"/>
      <c r="AM363" s="95"/>
      <c r="AN363" s="96"/>
      <c r="AO363" s="96"/>
      <c r="AP363" s="96"/>
      <c r="AQ363" s="96"/>
      <c r="AR363" s="96"/>
      <c r="AS363" s="96"/>
      <c r="AT363" s="96"/>
      <c r="AU363" s="96"/>
      <c r="AV363" s="96"/>
      <c r="AW363" s="96"/>
      <c r="AX363" s="96"/>
      <c r="AY363" s="96"/>
      <c r="AZ363" s="96"/>
      <c r="BA363" s="96"/>
    </row>
    <row r="364" spans="1:53" s="97" customFormat="1" ht="12" customHeight="1">
      <c r="A364" s="8">
        <v>406</v>
      </c>
      <c r="B364" s="8" t="s">
        <v>785</v>
      </c>
      <c r="C364" s="80">
        <f>+VLOOKUP(A364,Clasificaciones!C:I,5,FALSE)</f>
        <v>0</v>
      </c>
      <c r="D364" s="80">
        <v>0</v>
      </c>
      <c r="E364" s="80">
        <v>0</v>
      </c>
      <c r="F364" s="80">
        <v>0</v>
      </c>
      <c r="G364" s="80">
        <f t="shared" si="93"/>
        <v>0</v>
      </c>
      <c r="H364" s="26">
        <v>0</v>
      </c>
      <c r="I364" s="26">
        <v>0</v>
      </c>
      <c r="J364" s="26">
        <v>0</v>
      </c>
      <c r="K364" s="26">
        <v>0</v>
      </c>
      <c r="L364" s="26">
        <v>0</v>
      </c>
      <c r="M364" s="26">
        <v>0</v>
      </c>
      <c r="N364" s="26">
        <v>0</v>
      </c>
      <c r="O364" s="26">
        <v>0</v>
      </c>
      <c r="P364" s="26">
        <v>0</v>
      </c>
      <c r="Q364" s="26">
        <v>0</v>
      </c>
      <c r="R364" s="26">
        <v>0</v>
      </c>
      <c r="S364" s="26">
        <v>0</v>
      </c>
      <c r="T364" s="26">
        <v>0</v>
      </c>
      <c r="U364" s="26">
        <v>0</v>
      </c>
      <c r="V364" s="26">
        <v>0</v>
      </c>
      <c r="W364" s="26">
        <v>0</v>
      </c>
      <c r="X364" s="26">
        <v>0</v>
      </c>
      <c r="Y364" s="26">
        <v>0</v>
      </c>
      <c r="Z364" s="26">
        <f t="shared" si="104"/>
        <v>0</v>
      </c>
      <c r="AA364" s="95"/>
      <c r="AB364" s="95"/>
      <c r="AC364" s="95"/>
      <c r="AD364" s="95"/>
      <c r="AE364" s="95"/>
      <c r="AF364" s="95"/>
      <c r="AG364" s="95"/>
      <c r="AH364" s="95"/>
      <c r="AI364" s="95"/>
      <c r="AJ364" s="95"/>
      <c r="AK364" s="95"/>
      <c r="AL364" s="95"/>
      <c r="AM364" s="95"/>
      <c r="AN364" s="96"/>
      <c r="AO364" s="96"/>
      <c r="AP364" s="96"/>
      <c r="AQ364" s="96"/>
      <c r="AR364" s="96"/>
      <c r="AS364" s="96"/>
      <c r="AT364" s="96"/>
      <c r="AU364" s="96"/>
      <c r="AV364" s="96"/>
      <c r="AW364" s="96"/>
      <c r="AX364" s="96"/>
      <c r="AY364" s="96"/>
      <c r="AZ364" s="96"/>
      <c r="BA364" s="96"/>
    </row>
    <row r="365" spans="1:53" s="97" customFormat="1" ht="12" customHeight="1">
      <c r="A365" s="8">
        <v>40601</v>
      </c>
      <c r="B365" s="8" t="s">
        <v>1066</v>
      </c>
      <c r="C365" s="80">
        <f>+VLOOKUP(A365,Clasificaciones!C:I,5,FALSE)</f>
        <v>0</v>
      </c>
      <c r="D365" s="80">
        <v>0</v>
      </c>
      <c r="E365" s="80">
        <v>0</v>
      </c>
      <c r="F365" s="80">
        <v>0</v>
      </c>
      <c r="G365" s="80">
        <f t="shared" si="93"/>
        <v>0</v>
      </c>
      <c r="H365" s="26">
        <v>0</v>
      </c>
      <c r="I365" s="26">
        <v>0</v>
      </c>
      <c r="J365" s="26">
        <v>0</v>
      </c>
      <c r="K365" s="26">
        <v>0</v>
      </c>
      <c r="L365" s="26">
        <v>0</v>
      </c>
      <c r="M365" s="26">
        <v>0</v>
      </c>
      <c r="N365" s="26">
        <v>0</v>
      </c>
      <c r="O365" s="26">
        <v>0</v>
      </c>
      <c r="P365" s="26">
        <v>0</v>
      </c>
      <c r="Q365" s="26">
        <v>0</v>
      </c>
      <c r="R365" s="26">
        <v>0</v>
      </c>
      <c r="S365" s="26">
        <v>0</v>
      </c>
      <c r="T365" s="26">
        <v>0</v>
      </c>
      <c r="U365" s="26">
        <v>0</v>
      </c>
      <c r="V365" s="26">
        <v>0</v>
      </c>
      <c r="W365" s="26">
        <v>0</v>
      </c>
      <c r="X365" s="26">
        <v>0</v>
      </c>
      <c r="Y365" s="26">
        <f>-G365</f>
        <v>0</v>
      </c>
      <c r="Z365" s="26">
        <f t="shared" si="104"/>
        <v>0</v>
      </c>
      <c r="AA365" s="95"/>
      <c r="AB365" s="95"/>
      <c r="AC365" s="95"/>
      <c r="AD365" s="95"/>
      <c r="AE365" s="95"/>
      <c r="AF365" s="95"/>
      <c r="AG365" s="95"/>
      <c r="AH365" s="95"/>
      <c r="AI365" s="95"/>
      <c r="AJ365" s="95"/>
      <c r="AK365" s="95"/>
      <c r="AL365" s="95"/>
      <c r="AM365" s="95"/>
      <c r="AN365" s="96"/>
      <c r="AO365" s="96"/>
      <c r="AP365" s="96"/>
      <c r="AQ365" s="96"/>
      <c r="AR365" s="96"/>
      <c r="AS365" s="96"/>
      <c r="AT365" s="96"/>
      <c r="AU365" s="96"/>
      <c r="AV365" s="96"/>
      <c r="AW365" s="96"/>
      <c r="AX365" s="96"/>
      <c r="AY365" s="96"/>
      <c r="AZ365" s="96"/>
      <c r="BA365" s="96"/>
    </row>
    <row r="366" spans="1:53" s="97" customFormat="1" ht="12" customHeight="1">
      <c r="A366" s="8">
        <v>4060101</v>
      </c>
      <c r="B366" s="8" t="s">
        <v>1067</v>
      </c>
      <c r="C366" s="80">
        <f>+VLOOKUP(A366,Clasificaciones!C:I,5,FALSE)</f>
        <v>-6000000</v>
      </c>
      <c r="D366" s="80">
        <v>0</v>
      </c>
      <c r="E366" s="80">
        <v>0</v>
      </c>
      <c r="F366" s="80">
        <v>0</v>
      </c>
      <c r="G366" s="80">
        <f t="shared" si="93"/>
        <v>-6000000</v>
      </c>
      <c r="H366" s="26">
        <f>-G366</f>
        <v>6000000</v>
      </c>
      <c r="I366" s="26">
        <v>0</v>
      </c>
      <c r="J366" s="26">
        <v>0</v>
      </c>
      <c r="K366" s="26">
        <v>0</v>
      </c>
      <c r="L366" s="26">
        <v>0</v>
      </c>
      <c r="M366" s="26">
        <v>0</v>
      </c>
      <c r="N366" s="26">
        <v>0</v>
      </c>
      <c r="O366" s="26">
        <v>0</v>
      </c>
      <c r="P366" s="26">
        <v>0</v>
      </c>
      <c r="Q366" s="26">
        <v>0</v>
      </c>
      <c r="R366" s="26">
        <v>0</v>
      </c>
      <c r="S366" s="26">
        <v>0</v>
      </c>
      <c r="T366" s="26">
        <v>0</v>
      </c>
      <c r="U366" s="26">
        <v>0</v>
      </c>
      <c r="V366" s="26">
        <v>0</v>
      </c>
      <c r="W366" s="26">
        <v>0</v>
      </c>
      <c r="X366" s="26">
        <v>0</v>
      </c>
      <c r="Y366" s="26">
        <v>0</v>
      </c>
      <c r="Z366" s="26">
        <f t="shared" si="104"/>
        <v>0</v>
      </c>
      <c r="AA366" s="95"/>
      <c r="AB366" s="95"/>
      <c r="AC366" s="95"/>
      <c r="AD366" s="95"/>
      <c r="AE366" s="95"/>
      <c r="AF366" s="95"/>
      <c r="AG366" s="95"/>
      <c r="AH366" s="95"/>
      <c r="AI366" s="95"/>
      <c r="AJ366" s="95"/>
      <c r="AK366" s="95"/>
      <c r="AL366" s="95"/>
      <c r="AM366" s="95"/>
      <c r="AN366" s="96"/>
      <c r="AO366" s="96"/>
      <c r="AP366" s="96"/>
      <c r="AQ366" s="96"/>
      <c r="AR366" s="96"/>
      <c r="AS366" s="96"/>
      <c r="AT366" s="96"/>
      <c r="AU366" s="96"/>
      <c r="AV366" s="96"/>
      <c r="AW366" s="96"/>
      <c r="AX366" s="96"/>
      <c r="AY366" s="96"/>
      <c r="AZ366" s="96"/>
      <c r="BA366" s="96"/>
    </row>
    <row r="367" spans="1:53" s="97" customFormat="1" ht="12" customHeight="1">
      <c r="A367" s="8">
        <v>4060201</v>
      </c>
      <c r="B367" s="8" t="s">
        <v>1070</v>
      </c>
      <c r="C367" s="80">
        <f>+VLOOKUP(A367,Clasificaciones!C:I,5,FALSE)</f>
        <v>-272728</v>
      </c>
      <c r="D367" s="80">
        <v>0</v>
      </c>
      <c r="E367" s="80">
        <v>0</v>
      </c>
      <c r="F367" s="80">
        <v>0</v>
      </c>
      <c r="G367" s="80">
        <f t="shared" ref="G367" si="116">+C367-F367+D367-E367</f>
        <v>-272728</v>
      </c>
      <c r="H367" s="26">
        <f>-G367</f>
        <v>272728</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c r="Z367" s="26">
        <f t="shared" ref="Z367" si="117">SUM(G367:Y367)</f>
        <v>0</v>
      </c>
      <c r="AA367" s="95"/>
      <c r="AB367" s="95"/>
      <c r="AC367" s="95"/>
      <c r="AD367" s="95"/>
      <c r="AE367" s="95"/>
      <c r="AF367" s="95"/>
      <c r="AG367" s="95"/>
      <c r="AH367" s="95"/>
      <c r="AI367" s="95"/>
      <c r="AJ367" s="95"/>
      <c r="AK367" s="95"/>
      <c r="AL367" s="95"/>
      <c r="AM367" s="95"/>
      <c r="AN367" s="96"/>
      <c r="AO367" s="96"/>
      <c r="AP367" s="96"/>
      <c r="AQ367" s="96"/>
      <c r="AR367" s="96"/>
      <c r="AS367" s="96"/>
      <c r="AT367" s="96"/>
      <c r="AU367" s="96"/>
      <c r="AV367" s="96"/>
      <c r="AW367" s="96"/>
      <c r="AX367" s="96"/>
      <c r="AY367" s="96"/>
      <c r="AZ367" s="96"/>
      <c r="BA367" s="96"/>
    </row>
    <row r="368" spans="1:53" s="97" customFormat="1" ht="12" customHeight="1">
      <c r="A368" s="8">
        <v>40604</v>
      </c>
      <c r="B368" s="8" t="s">
        <v>786</v>
      </c>
      <c r="C368" s="80">
        <f>+VLOOKUP(A368,Clasificaciones!C:I,5,FALSE)</f>
        <v>0</v>
      </c>
      <c r="D368" s="80">
        <v>0</v>
      </c>
      <c r="E368" s="80">
        <v>0</v>
      </c>
      <c r="F368" s="80">
        <v>0</v>
      </c>
      <c r="G368" s="80">
        <f t="shared" si="93"/>
        <v>0</v>
      </c>
      <c r="H368" s="26">
        <v>0</v>
      </c>
      <c r="I368" s="26">
        <v>0</v>
      </c>
      <c r="J368" s="26">
        <v>0</v>
      </c>
      <c r="K368" s="26">
        <v>0</v>
      </c>
      <c r="L368" s="26">
        <v>0</v>
      </c>
      <c r="M368" s="26">
        <v>0</v>
      </c>
      <c r="N368" s="26">
        <v>0</v>
      </c>
      <c r="O368" s="26">
        <v>0</v>
      </c>
      <c r="P368" s="26">
        <v>0</v>
      </c>
      <c r="Q368" s="26">
        <v>0</v>
      </c>
      <c r="R368" s="26">
        <v>0</v>
      </c>
      <c r="S368" s="26">
        <v>0</v>
      </c>
      <c r="T368" s="26">
        <v>0</v>
      </c>
      <c r="U368" s="26">
        <v>0</v>
      </c>
      <c r="V368" s="26">
        <v>0</v>
      </c>
      <c r="W368" s="26">
        <v>0</v>
      </c>
      <c r="X368" s="26">
        <v>0</v>
      </c>
      <c r="Y368" s="26">
        <v>0</v>
      </c>
      <c r="Z368" s="26">
        <f t="shared" si="104"/>
        <v>0</v>
      </c>
      <c r="AA368" s="95"/>
      <c r="AB368" s="95"/>
      <c r="AC368" s="95"/>
      <c r="AD368" s="95"/>
      <c r="AE368" s="95"/>
      <c r="AF368" s="95"/>
      <c r="AG368" s="95"/>
      <c r="AH368" s="95"/>
      <c r="AI368" s="95"/>
      <c r="AJ368" s="95"/>
      <c r="AK368" s="95"/>
      <c r="AL368" s="95"/>
      <c r="AM368" s="95"/>
      <c r="AN368" s="96"/>
      <c r="AO368" s="96"/>
      <c r="AP368" s="96"/>
      <c r="AQ368" s="96"/>
      <c r="AR368" s="96"/>
      <c r="AS368" s="96"/>
      <c r="AT368" s="96"/>
      <c r="AU368" s="96"/>
      <c r="AV368" s="96"/>
      <c r="AW368" s="96"/>
      <c r="AX368" s="96"/>
      <c r="AY368" s="96"/>
      <c r="AZ368" s="96"/>
      <c r="BA368" s="96"/>
    </row>
    <row r="369" spans="1:53" s="97" customFormat="1" ht="12" customHeight="1">
      <c r="A369" s="8">
        <v>4060401</v>
      </c>
      <c r="B369" s="8" t="s">
        <v>787</v>
      </c>
      <c r="C369" s="80">
        <f>+VLOOKUP(A369,Clasificaciones!C:I,5,FALSE)</f>
        <v>-14430803</v>
      </c>
      <c r="D369" s="80">
        <v>0</v>
      </c>
      <c r="E369" s="80">
        <v>0</v>
      </c>
      <c r="F369" s="80">
        <v>0</v>
      </c>
      <c r="G369" s="80">
        <f t="shared" si="93"/>
        <v>-14430803</v>
      </c>
      <c r="H369" s="26">
        <f t="shared" ref="H369:H378" si="118">-G369</f>
        <v>14430803</v>
      </c>
      <c r="I369" s="26">
        <v>0</v>
      </c>
      <c r="J369" s="26">
        <v>0</v>
      </c>
      <c r="K369" s="26">
        <v>0</v>
      </c>
      <c r="L369" s="26">
        <v>0</v>
      </c>
      <c r="M369" s="26">
        <v>0</v>
      </c>
      <c r="N369" s="26">
        <v>0</v>
      </c>
      <c r="O369" s="26">
        <v>0</v>
      </c>
      <c r="P369" s="26">
        <v>0</v>
      </c>
      <c r="Q369" s="26">
        <v>0</v>
      </c>
      <c r="R369" s="26">
        <v>0</v>
      </c>
      <c r="S369" s="26">
        <v>0</v>
      </c>
      <c r="T369" s="26">
        <v>0</v>
      </c>
      <c r="U369" s="26">
        <v>0</v>
      </c>
      <c r="V369" s="26">
        <v>0</v>
      </c>
      <c r="W369" s="26">
        <v>0</v>
      </c>
      <c r="X369" s="26">
        <v>0</v>
      </c>
      <c r="Y369" s="26">
        <v>0</v>
      </c>
      <c r="Z369" s="26">
        <f t="shared" si="104"/>
        <v>0</v>
      </c>
      <c r="AA369" s="95"/>
      <c r="AB369" s="95"/>
      <c r="AC369" s="95"/>
      <c r="AD369" s="95"/>
      <c r="AE369" s="95"/>
      <c r="AF369" s="95"/>
      <c r="AG369" s="95"/>
      <c r="AH369" s="95"/>
      <c r="AI369" s="95"/>
      <c r="AJ369" s="95"/>
      <c r="AK369" s="95"/>
      <c r="AL369" s="95"/>
      <c r="AM369" s="95"/>
      <c r="AN369" s="96"/>
      <c r="AO369" s="96"/>
      <c r="AP369" s="96"/>
      <c r="AQ369" s="96"/>
      <c r="AR369" s="96"/>
      <c r="AS369" s="96"/>
      <c r="AT369" s="96"/>
      <c r="AU369" s="96"/>
      <c r="AV369" s="96"/>
      <c r="AW369" s="96"/>
      <c r="AX369" s="96"/>
      <c r="AY369" s="96"/>
      <c r="AZ369" s="96"/>
      <c r="BA369" s="96"/>
    </row>
    <row r="370" spans="1:53" s="97" customFormat="1" ht="12" customHeight="1">
      <c r="A370" s="8">
        <v>4060402</v>
      </c>
      <c r="B370" s="8" t="s">
        <v>788</v>
      </c>
      <c r="C370" s="80">
        <f>+VLOOKUP(A370,Clasificaciones!C:I,5,FALSE)</f>
        <v>-16419272</v>
      </c>
      <c r="D370" s="80">
        <v>0</v>
      </c>
      <c r="E370" s="80">
        <v>0</v>
      </c>
      <c r="F370" s="80">
        <v>0</v>
      </c>
      <c r="G370" s="80">
        <f t="shared" si="93"/>
        <v>-16419272</v>
      </c>
      <c r="H370" s="26">
        <f t="shared" si="118"/>
        <v>16419272</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c r="Z370" s="26">
        <f t="shared" si="104"/>
        <v>0</v>
      </c>
      <c r="AA370" s="95"/>
      <c r="AB370" s="95"/>
      <c r="AC370" s="95"/>
      <c r="AD370" s="95"/>
      <c r="AE370" s="95"/>
      <c r="AF370" s="95"/>
      <c r="AG370" s="95"/>
      <c r="AH370" s="95"/>
      <c r="AI370" s="95"/>
      <c r="AJ370" s="95"/>
      <c r="AK370" s="95"/>
      <c r="AL370" s="95"/>
      <c r="AM370" s="95"/>
      <c r="AN370" s="96"/>
      <c r="AO370" s="96"/>
      <c r="AP370" s="96"/>
      <c r="AQ370" s="96"/>
      <c r="AR370" s="96"/>
      <c r="AS370" s="96"/>
      <c r="AT370" s="96"/>
      <c r="AU370" s="96"/>
      <c r="AV370" s="96"/>
      <c r="AW370" s="96"/>
      <c r="AX370" s="96"/>
      <c r="AY370" s="96"/>
      <c r="AZ370" s="96"/>
      <c r="BA370" s="96"/>
    </row>
    <row r="371" spans="1:53" s="97" customFormat="1" ht="12" customHeight="1">
      <c r="A371" s="8">
        <v>40605</v>
      </c>
      <c r="B371" s="8" t="s">
        <v>229</v>
      </c>
      <c r="C371" s="80">
        <f>+VLOOKUP(A371,Clasificaciones!C:I,5,FALSE)</f>
        <v>0</v>
      </c>
      <c r="D371" s="80">
        <v>0</v>
      </c>
      <c r="E371" s="80">
        <v>0</v>
      </c>
      <c r="F371" s="80">
        <v>0</v>
      </c>
      <c r="G371" s="80">
        <f t="shared" si="93"/>
        <v>0</v>
      </c>
      <c r="H371" s="26">
        <v>0</v>
      </c>
      <c r="I371" s="26">
        <v>0</v>
      </c>
      <c r="J371" s="26">
        <v>0</v>
      </c>
      <c r="K371" s="26">
        <v>0</v>
      </c>
      <c r="L371" s="26">
        <v>0</v>
      </c>
      <c r="M371" s="26">
        <v>0</v>
      </c>
      <c r="N371" s="26">
        <v>0</v>
      </c>
      <c r="O371" s="26">
        <v>0</v>
      </c>
      <c r="P371" s="26">
        <v>0</v>
      </c>
      <c r="Q371" s="26">
        <v>0</v>
      </c>
      <c r="R371" s="26">
        <v>0</v>
      </c>
      <c r="S371" s="26">
        <v>0</v>
      </c>
      <c r="T371" s="26">
        <v>0</v>
      </c>
      <c r="U371" s="26">
        <v>0</v>
      </c>
      <c r="V371" s="26">
        <v>0</v>
      </c>
      <c r="W371" s="26">
        <v>0</v>
      </c>
      <c r="X371" s="26">
        <v>0</v>
      </c>
      <c r="Y371" s="26">
        <v>0</v>
      </c>
      <c r="Z371" s="26">
        <f t="shared" si="104"/>
        <v>0</v>
      </c>
      <c r="AA371" s="95"/>
      <c r="AB371" s="95"/>
      <c r="AC371" s="95"/>
      <c r="AD371" s="95"/>
      <c r="AE371" s="95"/>
      <c r="AF371" s="95"/>
      <c r="AG371" s="95"/>
      <c r="AH371" s="95"/>
      <c r="AI371" s="95"/>
      <c r="AJ371" s="95"/>
      <c r="AK371" s="95"/>
      <c r="AL371" s="95"/>
      <c r="AM371" s="95"/>
      <c r="AN371" s="96"/>
      <c r="AO371" s="96"/>
      <c r="AP371" s="96"/>
      <c r="AQ371" s="96"/>
      <c r="AR371" s="96"/>
      <c r="AS371" s="96"/>
      <c r="AT371" s="96"/>
      <c r="AU371" s="96"/>
      <c r="AV371" s="96"/>
      <c r="AW371" s="96"/>
      <c r="AX371" s="96"/>
      <c r="AY371" s="96"/>
      <c r="AZ371" s="96"/>
      <c r="BA371" s="96"/>
    </row>
    <row r="372" spans="1:53" s="97" customFormat="1" ht="12" customHeight="1">
      <c r="A372" s="8">
        <v>4060501</v>
      </c>
      <c r="B372" s="8" t="s">
        <v>789</v>
      </c>
      <c r="C372" s="80">
        <f>+VLOOKUP(A372,Clasificaciones!C:I,5,FALSE)</f>
        <v>-2680381</v>
      </c>
      <c r="D372" s="80">
        <v>0</v>
      </c>
      <c r="E372" s="80">
        <v>0</v>
      </c>
      <c r="F372" s="80">
        <v>0</v>
      </c>
      <c r="G372" s="80">
        <f t="shared" si="93"/>
        <v>-2680381</v>
      </c>
      <c r="H372" s="26">
        <f t="shared" si="118"/>
        <v>2680381</v>
      </c>
      <c r="I372" s="26">
        <v>0</v>
      </c>
      <c r="J372" s="26">
        <v>0</v>
      </c>
      <c r="K372" s="26">
        <v>0</v>
      </c>
      <c r="L372" s="26">
        <v>0</v>
      </c>
      <c r="M372" s="26">
        <v>0</v>
      </c>
      <c r="N372" s="26">
        <v>0</v>
      </c>
      <c r="O372" s="26">
        <v>0</v>
      </c>
      <c r="P372" s="26">
        <v>0</v>
      </c>
      <c r="Q372" s="26">
        <v>0</v>
      </c>
      <c r="R372" s="26">
        <v>0</v>
      </c>
      <c r="S372" s="26">
        <v>0</v>
      </c>
      <c r="T372" s="26">
        <v>0</v>
      </c>
      <c r="U372" s="26">
        <v>0</v>
      </c>
      <c r="V372" s="26">
        <v>0</v>
      </c>
      <c r="W372" s="26">
        <v>0</v>
      </c>
      <c r="X372" s="26">
        <v>0</v>
      </c>
      <c r="Y372" s="26">
        <v>0</v>
      </c>
      <c r="Z372" s="26">
        <f t="shared" si="104"/>
        <v>0</v>
      </c>
      <c r="AA372" s="95"/>
      <c r="AB372" s="95"/>
      <c r="AC372" s="95"/>
      <c r="AD372" s="95"/>
      <c r="AE372" s="95"/>
      <c r="AF372" s="95"/>
      <c r="AG372" s="95"/>
      <c r="AH372" s="95"/>
      <c r="AI372" s="95"/>
      <c r="AJ372" s="95"/>
      <c r="AK372" s="95"/>
      <c r="AL372" s="95"/>
      <c r="AM372" s="95"/>
      <c r="AN372" s="96"/>
      <c r="AO372" s="96"/>
      <c r="AP372" s="96"/>
      <c r="AQ372" s="96"/>
      <c r="AR372" s="96"/>
      <c r="AS372" s="96"/>
      <c r="AT372" s="96"/>
      <c r="AU372" s="96"/>
      <c r="AV372" s="96"/>
      <c r="AW372" s="96"/>
      <c r="AX372" s="96"/>
      <c r="AY372" s="96"/>
      <c r="AZ372" s="96"/>
      <c r="BA372" s="96"/>
    </row>
    <row r="373" spans="1:53" s="97" customFormat="1" ht="12" customHeight="1">
      <c r="A373" s="8">
        <v>4060502</v>
      </c>
      <c r="B373" s="8" t="s">
        <v>790</v>
      </c>
      <c r="C373" s="80">
        <f>+VLOOKUP(A373,Clasificaciones!C:I,5,FALSE)</f>
        <v>-2890368</v>
      </c>
      <c r="D373" s="80">
        <v>0</v>
      </c>
      <c r="E373" s="80">
        <v>0</v>
      </c>
      <c r="F373" s="80">
        <v>0</v>
      </c>
      <c r="G373" s="80">
        <f t="shared" si="93"/>
        <v>-2890368</v>
      </c>
      <c r="H373" s="26">
        <f t="shared" si="118"/>
        <v>2890368</v>
      </c>
      <c r="I373" s="26">
        <v>0</v>
      </c>
      <c r="J373" s="26">
        <v>0</v>
      </c>
      <c r="K373" s="26">
        <v>0</v>
      </c>
      <c r="L373" s="26">
        <v>0</v>
      </c>
      <c r="M373" s="26">
        <v>0</v>
      </c>
      <c r="N373" s="26">
        <v>0</v>
      </c>
      <c r="O373" s="26">
        <v>0</v>
      </c>
      <c r="P373" s="26">
        <v>0</v>
      </c>
      <c r="Q373" s="26">
        <v>0</v>
      </c>
      <c r="R373" s="26">
        <v>0</v>
      </c>
      <c r="S373" s="26">
        <v>0</v>
      </c>
      <c r="T373" s="26">
        <v>0</v>
      </c>
      <c r="U373" s="26">
        <v>0</v>
      </c>
      <c r="V373" s="26">
        <v>0</v>
      </c>
      <c r="W373" s="26">
        <v>0</v>
      </c>
      <c r="X373" s="26">
        <v>0</v>
      </c>
      <c r="Y373" s="26">
        <v>0</v>
      </c>
      <c r="Z373" s="26">
        <f t="shared" si="104"/>
        <v>0</v>
      </c>
      <c r="AA373" s="95"/>
      <c r="AB373" s="95"/>
      <c r="AC373" s="95"/>
      <c r="AD373" s="95"/>
      <c r="AE373" s="95"/>
      <c r="AF373" s="95"/>
      <c r="AG373" s="95"/>
      <c r="AH373" s="95"/>
      <c r="AI373" s="95"/>
      <c r="AJ373" s="95"/>
      <c r="AK373" s="95"/>
      <c r="AL373" s="95"/>
      <c r="AM373" s="95"/>
      <c r="AN373" s="96"/>
      <c r="AO373" s="96"/>
      <c r="AP373" s="96"/>
      <c r="AQ373" s="96"/>
      <c r="AR373" s="96"/>
      <c r="AS373" s="96"/>
      <c r="AT373" s="96"/>
      <c r="AU373" s="96"/>
      <c r="AV373" s="96"/>
      <c r="AW373" s="96"/>
      <c r="AX373" s="96"/>
      <c r="AY373" s="96"/>
      <c r="AZ373" s="96"/>
      <c r="BA373" s="96"/>
    </row>
    <row r="374" spans="1:53" s="97" customFormat="1" ht="12" customHeight="1">
      <c r="A374" s="8">
        <v>40606</v>
      </c>
      <c r="B374" s="8" t="s">
        <v>190</v>
      </c>
      <c r="C374" s="80">
        <f>+VLOOKUP(A374,Clasificaciones!C:I,5,FALSE)</f>
        <v>0</v>
      </c>
      <c r="D374" s="80">
        <v>0</v>
      </c>
      <c r="E374" s="80">
        <v>0</v>
      </c>
      <c r="F374" s="80">
        <v>0</v>
      </c>
      <c r="G374" s="80">
        <f t="shared" si="93"/>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c r="Z374" s="26">
        <f t="shared" si="104"/>
        <v>0</v>
      </c>
      <c r="AA374" s="95"/>
      <c r="AB374" s="95"/>
      <c r="AC374" s="95"/>
      <c r="AD374" s="95"/>
      <c r="AE374" s="95"/>
      <c r="AF374" s="95"/>
      <c r="AG374" s="95"/>
      <c r="AH374" s="95"/>
      <c r="AI374" s="95"/>
      <c r="AJ374" s="95"/>
      <c r="AK374" s="95"/>
      <c r="AL374" s="95"/>
      <c r="AM374" s="95"/>
      <c r="AN374" s="96"/>
      <c r="AO374" s="96"/>
      <c r="AP374" s="96"/>
      <c r="AQ374" s="96"/>
      <c r="AR374" s="96"/>
      <c r="AS374" s="96"/>
      <c r="AT374" s="96"/>
      <c r="AU374" s="96"/>
      <c r="AV374" s="96"/>
      <c r="AW374" s="96"/>
      <c r="AX374" s="96"/>
      <c r="AY374" s="96"/>
      <c r="AZ374" s="96"/>
      <c r="BA374" s="96"/>
    </row>
    <row r="375" spans="1:53" s="97" customFormat="1" ht="12" customHeight="1">
      <c r="A375" s="8">
        <v>4060601</v>
      </c>
      <c r="B375" s="8" t="s">
        <v>791</v>
      </c>
      <c r="C375" s="80">
        <f>+VLOOKUP(A375,Clasificaciones!C:I,5,FALSE)</f>
        <v>-1465821</v>
      </c>
      <c r="D375" s="80">
        <v>0</v>
      </c>
      <c r="E375" s="80">
        <v>0</v>
      </c>
      <c r="F375" s="80">
        <v>0</v>
      </c>
      <c r="G375" s="80">
        <f t="shared" si="93"/>
        <v>-1465821</v>
      </c>
      <c r="H375" s="26">
        <f t="shared" si="118"/>
        <v>1465821</v>
      </c>
      <c r="I375" s="26">
        <v>0</v>
      </c>
      <c r="J375" s="26">
        <v>0</v>
      </c>
      <c r="K375" s="26">
        <v>0</v>
      </c>
      <c r="L375" s="26">
        <v>0</v>
      </c>
      <c r="M375" s="26">
        <v>0</v>
      </c>
      <c r="N375" s="26">
        <v>0</v>
      </c>
      <c r="O375" s="26">
        <v>0</v>
      </c>
      <c r="P375" s="26">
        <v>0</v>
      </c>
      <c r="Q375" s="26">
        <v>0</v>
      </c>
      <c r="R375" s="26">
        <v>0</v>
      </c>
      <c r="S375" s="26">
        <v>0</v>
      </c>
      <c r="T375" s="26">
        <v>0</v>
      </c>
      <c r="U375" s="26">
        <v>0</v>
      </c>
      <c r="V375" s="26">
        <v>0</v>
      </c>
      <c r="W375" s="26">
        <v>0</v>
      </c>
      <c r="X375" s="26">
        <v>0</v>
      </c>
      <c r="Y375" s="26">
        <v>0</v>
      </c>
      <c r="Z375" s="26">
        <f t="shared" si="104"/>
        <v>0</v>
      </c>
      <c r="AA375" s="95"/>
      <c r="AB375" s="95"/>
      <c r="AC375" s="95"/>
      <c r="AD375" s="95"/>
      <c r="AE375" s="95"/>
      <c r="AF375" s="95"/>
      <c r="AG375" s="95"/>
      <c r="AH375" s="95"/>
      <c r="AI375" s="95"/>
      <c r="AJ375" s="95"/>
      <c r="AK375" s="95"/>
      <c r="AL375" s="95"/>
      <c r="AM375" s="95"/>
      <c r="AN375" s="96"/>
      <c r="AO375" s="96"/>
      <c r="AP375" s="96"/>
      <c r="AQ375" s="96"/>
      <c r="AR375" s="96"/>
      <c r="AS375" s="96"/>
      <c r="AT375" s="96"/>
      <c r="AU375" s="96"/>
      <c r="AV375" s="96"/>
      <c r="AW375" s="96"/>
      <c r="AX375" s="96"/>
      <c r="AY375" s="96"/>
      <c r="AZ375" s="96"/>
      <c r="BA375" s="96"/>
    </row>
    <row r="376" spans="1:53" s="97" customFormat="1" ht="12" customHeight="1">
      <c r="A376" s="8">
        <v>4060602</v>
      </c>
      <c r="B376" s="8" t="s">
        <v>1074</v>
      </c>
      <c r="C376" s="80">
        <f>+VLOOKUP(A376,Clasificaciones!C:I,5,FALSE)</f>
        <v>-6940526</v>
      </c>
      <c r="D376" s="80">
        <v>0</v>
      </c>
      <c r="E376" s="80">
        <v>0</v>
      </c>
      <c r="F376" s="80">
        <v>0</v>
      </c>
      <c r="G376" s="80">
        <f t="shared" si="93"/>
        <v>-6940526</v>
      </c>
      <c r="H376" s="26">
        <f t="shared" ref="H376" si="119">-G376</f>
        <v>6940526</v>
      </c>
      <c r="I376" s="26">
        <v>0</v>
      </c>
      <c r="J376" s="26">
        <v>0</v>
      </c>
      <c r="K376" s="26">
        <v>0</v>
      </c>
      <c r="L376" s="26">
        <v>0</v>
      </c>
      <c r="M376" s="26">
        <v>0</v>
      </c>
      <c r="N376" s="26">
        <v>0</v>
      </c>
      <c r="O376" s="26">
        <v>0</v>
      </c>
      <c r="P376" s="26">
        <v>0</v>
      </c>
      <c r="Q376" s="26">
        <v>0</v>
      </c>
      <c r="R376" s="26">
        <v>0</v>
      </c>
      <c r="S376" s="26">
        <v>0</v>
      </c>
      <c r="T376" s="26">
        <v>0</v>
      </c>
      <c r="U376" s="26">
        <v>0</v>
      </c>
      <c r="V376" s="26">
        <v>0</v>
      </c>
      <c r="W376" s="26">
        <v>0</v>
      </c>
      <c r="X376" s="26">
        <v>0</v>
      </c>
      <c r="Y376" s="26">
        <v>0</v>
      </c>
      <c r="Z376" s="26">
        <f t="shared" si="104"/>
        <v>0</v>
      </c>
      <c r="AA376" s="95"/>
      <c r="AB376" s="95"/>
      <c r="AC376" s="95"/>
      <c r="AD376" s="95"/>
      <c r="AE376" s="95"/>
      <c r="AF376" s="95"/>
      <c r="AG376" s="95"/>
      <c r="AH376" s="95"/>
      <c r="AI376" s="95"/>
      <c r="AJ376" s="95"/>
      <c r="AK376" s="95"/>
      <c r="AL376" s="95"/>
      <c r="AM376" s="95"/>
      <c r="AN376" s="96"/>
      <c r="AO376" s="96"/>
      <c r="AP376" s="96"/>
      <c r="AQ376" s="96"/>
      <c r="AR376" s="96"/>
      <c r="AS376" s="96"/>
      <c r="AT376" s="96"/>
      <c r="AU376" s="96"/>
      <c r="AV376" s="96"/>
      <c r="AW376" s="96"/>
      <c r="AX376" s="96"/>
      <c r="AY376" s="96"/>
      <c r="AZ376" s="96"/>
      <c r="BA376" s="96"/>
    </row>
    <row r="377" spans="1:53" s="97" customFormat="1" ht="12" customHeight="1">
      <c r="A377" s="8">
        <v>407</v>
      </c>
      <c r="B377" s="8" t="s">
        <v>230</v>
      </c>
      <c r="C377" s="80">
        <f>+VLOOKUP(A377,Clasificaciones!C:I,5,FALSE)</f>
        <v>0</v>
      </c>
      <c r="D377" s="80">
        <v>0</v>
      </c>
      <c r="E377" s="80">
        <v>0</v>
      </c>
      <c r="F377" s="80">
        <v>0</v>
      </c>
      <c r="G377" s="80">
        <f t="shared" si="93"/>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c r="Z377" s="26">
        <f t="shared" si="104"/>
        <v>0</v>
      </c>
      <c r="AA377" s="95"/>
      <c r="AB377" s="95"/>
      <c r="AC377" s="95"/>
      <c r="AD377" s="95"/>
      <c r="AE377" s="95"/>
      <c r="AF377" s="95"/>
      <c r="AG377" s="95"/>
      <c r="AH377" s="95"/>
      <c r="AI377" s="95"/>
      <c r="AJ377" s="95"/>
      <c r="AK377" s="95"/>
      <c r="AL377" s="95"/>
      <c r="AM377" s="95"/>
      <c r="AN377" s="96"/>
      <c r="AO377" s="96"/>
      <c r="AP377" s="96"/>
      <c r="AQ377" s="96"/>
      <c r="AR377" s="96"/>
      <c r="AS377" s="96"/>
      <c r="AT377" s="96"/>
      <c r="AU377" s="96"/>
      <c r="AV377" s="96"/>
      <c r="AW377" s="96"/>
      <c r="AX377" s="96"/>
      <c r="AY377" s="96"/>
      <c r="AZ377" s="96"/>
      <c r="BA377" s="96"/>
    </row>
    <row r="378" spans="1:53" s="97" customFormat="1" ht="12" customHeight="1">
      <c r="A378" s="8">
        <v>40701</v>
      </c>
      <c r="B378" s="8" t="s">
        <v>121</v>
      </c>
      <c r="C378" s="80">
        <f>+VLOOKUP(A378,Clasificaciones!C:I,5,FALSE)</f>
        <v>-612814</v>
      </c>
      <c r="D378" s="80">
        <v>0</v>
      </c>
      <c r="E378" s="80">
        <v>0</v>
      </c>
      <c r="F378" s="80">
        <v>0</v>
      </c>
      <c r="G378" s="80">
        <f t="shared" si="93"/>
        <v>-612814</v>
      </c>
      <c r="H378" s="26">
        <f t="shared" si="118"/>
        <v>612814</v>
      </c>
      <c r="I378" s="26">
        <v>0</v>
      </c>
      <c r="J378" s="26">
        <v>0</v>
      </c>
      <c r="K378" s="26">
        <v>0</v>
      </c>
      <c r="L378" s="26">
        <v>0</v>
      </c>
      <c r="M378" s="26">
        <v>0</v>
      </c>
      <c r="N378" s="26">
        <v>0</v>
      </c>
      <c r="O378" s="26">
        <v>0</v>
      </c>
      <c r="P378" s="26">
        <v>0</v>
      </c>
      <c r="Q378" s="26">
        <v>0</v>
      </c>
      <c r="R378" s="26">
        <v>0</v>
      </c>
      <c r="S378" s="26">
        <v>0</v>
      </c>
      <c r="T378" s="26">
        <v>0</v>
      </c>
      <c r="U378" s="26">
        <v>0</v>
      </c>
      <c r="V378" s="26">
        <v>0</v>
      </c>
      <c r="W378" s="26">
        <v>0</v>
      </c>
      <c r="X378" s="26">
        <v>0</v>
      </c>
      <c r="Y378" s="26">
        <v>0</v>
      </c>
      <c r="Z378" s="26">
        <f t="shared" si="104"/>
        <v>0</v>
      </c>
      <c r="AA378" s="95"/>
      <c r="AB378" s="95"/>
      <c r="AC378" s="95"/>
      <c r="AD378" s="95"/>
      <c r="AE378" s="95"/>
      <c r="AF378" s="95"/>
      <c r="AG378" s="95"/>
      <c r="AH378" s="95"/>
      <c r="AI378" s="95"/>
      <c r="AJ378" s="95"/>
      <c r="AK378" s="95"/>
      <c r="AL378" s="95"/>
      <c r="AM378" s="95"/>
      <c r="AN378" s="96"/>
      <c r="AO378" s="96"/>
      <c r="AP378" s="96"/>
      <c r="AQ378" s="96"/>
      <c r="AR378" s="96"/>
      <c r="AS378" s="96"/>
      <c r="AT378" s="96"/>
      <c r="AU378" s="96"/>
      <c r="AV378" s="96"/>
      <c r="AW378" s="96"/>
      <c r="AX378" s="96"/>
      <c r="AY378" s="96"/>
      <c r="AZ378" s="96"/>
      <c r="BA378" s="96"/>
    </row>
    <row r="379" spans="1:53" s="97" customFormat="1" ht="12" customHeight="1">
      <c r="A379" s="8">
        <v>40702</v>
      </c>
      <c r="B379" s="8" t="s">
        <v>792</v>
      </c>
      <c r="C379" s="80">
        <f>+VLOOKUP(A379,Clasificaciones!C:I,5,FALSE)</f>
        <v>0</v>
      </c>
      <c r="D379" s="80">
        <v>0</v>
      </c>
      <c r="E379" s="80">
        <v>0</v>
      </c>
      <c r="F379" s="80">
        <v>0</v>
      </c>
      <c r="G379" s="80">
        <f t="shared" si="93"/>
        <v>0</v>
      </c>
      <c r="H379" s="26">
        <v>0</v>
      </c>
      <c r="I379" s="26">
        <v>0</v>
      </c>
      <c r="J379" s="26">
        <v>0</v>
      </c>
      <c r="K379" s="26">
        <v>0</v>
      </c>
      <c r="L379" s="26">
        <v>0</v>
      </c>
      <c r="M379" s="26">
        <v>0</v>
      </c>
      <c r="N379" s="26">
        <v>0</v>
      </c>
      <c r="O379" s="26">
        <v>0</v>
      </c>
      <c r="P379" s="26">
        <v>0</v>
      </c>
      <c r="Q379" s="26">
        <v>0</v>
      </c>
      <c r="R379" s="26">
        <v>0</v>
      </c>
      <c r="S379" s="26">
        <v>0</v>
      </c>
      <c r="T379" s="26">
        <v>0</v>
      </c>
      <c r="U379" s="26">
        <v>0</v>
      </c>
      <c r="V379" s="26">
        <v>0</v>
      </c>
      <c r="W379" s="26">
        <v>0</v>
      </c>
      <c r="X379" s="26">
        <v>0</v>
      </c>
      <c r="Y379" s="26">
        <v>0</v>
      </c>
      <c r="Z379" s="26">
        <f t="shared" si="104"/>
        <v>0</v>
      </c>
      <c r="AA379" s="95"/>
      <c r="AB379" s="95"/>
      <c r="AC379" s="95"/>
      <c r="AD379" s="95"/>
      <c r="AE379" s="95"/>
      <c r="AF379" s="95"/>
      <c r="AG379" s="95"/>
      <c r="AH379" s="95"/>
      <c r="AI379" s="95"/>
      <c r="AJ379" s="95"/>
      <c r="AK379" s="95"/>
      <c r="AL379" s="95"/>
      <c r="AM379" s="95"/>
      <c r="AN379" s="96"/>
      <c r="AO379" s="96"/>
      <c r="AP379" s="96"/>
      <c r="AQ379" s="96"/>
      <c r="AR379" s="96"/>
      <c r="AS379" s="96"/>
      <c r="AT379" s="96"/>
      <c r="AU379" s="96"/>
      <c r="AV379" s="96"/>
      <c r="AW379" s="96"/>
      <c r="AX379" s="96"/>
      <c r="AY379" s="96"/>
      <c r="AZ379" s="96"/>
      <c r="BA379" s="96"/>
    </row>
    <row r="380" spans="1:53" s="97" customFormat="1" ht="12" customHeight="1">
      <c r="A380" s="8">
        <v>4070201</v>
      </c>
      <c r="B380" s="8" t="s">
        <v>793</v>
      </c>
      <c r="C380" s="80">
        <f>+VLOOKUP(A380,Clasificaciones!C:I,5,FALSE)</f>
        <v>-5940872797</v>
      </c>
      <c r="D380" s="80">
        <v>0</v>
      </c>
      <c r="E380" s="80">
        <v>0</v>
      </c>
      <c r="F380" s="80">
        <v>0</v>
      </c>
      <c r="G380" s="80">
        <f t="shared" ref="G380:G389" si="120">+C380-F380+D380-E380</f>
        <v>-5940872797</v>
      </c>
      <c r="H380" s="26">
        <v>0</v>
      </c>
      <c r="I380" s="26">
        <v>0</v>
      </c>
      <c r="J380" s="26">
        <v>0</v>
      </c>
      <c r="K380" s="26">
        <v>0</v>
      </c>
      <c r="L380" s="26">
        <v>0</v>
      </c>
      <c r="M380" s="26">
        <v>0</v>
      </c>
      <c r="N380" s="26">
        <v>0</v>
      </c>
      <c r="O380" s="26">
        <v>0</v>
      </c>
      <c r="P380" s="26">
        <v>0</v>
      </c>
      <c r="Q380" s="26">
        <v>0</v>
      </c>
      <c r="R380" s="26">
        <v>0</v>
      </c>
      <c r="S380" s="26">
        <v>0</v>
      </c>
      <c r="T380" s="26">
        <v>0</v>
      </c>
      <c r="U380" s="26">
        <v>0</v>
      </c>
      <c r="V380" s="26">
        <v>0</v>
      </c>
      <c r="W380" s="26">
        <v>0</v>
      </c>
      <c r="X380" s="26">
        <v>0</v>
      </c>
      <c r="Y380" s="26">
        <f>-G380</f>
        <v>5940872797</v>
      </c>
      <c r="Z380" s="26">
        <f t="shared" si="104"/>
        <v>0</v>
      </c>
      <c r="AA380" s="95"/>
      <c r="AB380" s="95"/>
      <c r="AC380" s="95"/>
      <c r="AD380" s="95"/>
      <c r="AE380" s="95"/>
      <c r="AF380" s="95"/>
      <c r="AG380" s="95"/>
      <c r="AH380" s="95"/>
      <c r="AI380" s="95"/>
      <c r="AJ380" s="95"/>
      <c r="AK380" s="95"/>
      <c r="AL380" s="95"/>
      <c r="AM380" s="95"/>
      <c r="AN380" s="96"/>
      <c r="AO380" s="96"/>
      <c r="AP380" s="96"/>
      <c r="AQ380" s="96"/>
      <c r="AR380" s="96"/>
      <c r="AS380" s="96"/>
      <c r="AT380" s="96"/>
      <c r="AU380" s="96"/>
      <c r="AV380" s="96"/>
      <c r="AW380" s="96"/>
      <c r="AX380" s="96"/>
      <c r="AY380" s="96"/>
      <c r="AZ380" s="96"/>
      <c r="BA380" s="96"/>
    </row>
    <row r="381" spans="1:53" s="97" customFormat="1" ht="12" customHeight="1">
      <c r="A381" s="8">
        <v>4070202</v>
      </c>
      <c r="B381" s="8" t="s">
        <v>794</v>
      </c>
      <c r="C381" s="80">
        <f>+VLOOKUP(A381,Clasificaciones!C:I,5,FALSE)</f>
        <v>-2884466004</v>
      </c>
      <c r="D381" s="80">
        <v>0</v>
      </c>
      <c r="E381" s="80">
        <v>0</v>
      </c>
      <c r="F381" s="80">
        <v>0</v>
      </c>
      <c r="G381" s="80">
        <f t="shared" si="120"/>
        <v>-2884466004</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f>-G381</f>
        <v>2884466004</v>
      </c>
      <c r="Z381" s="26">
        <f t="shared" si="104"/>
        <v>0</v>
      </c>
      <c r="AA381" s="95"/>
      <c r="AB381" s="95"/>
      <c r="AC381" s="95"/>
      <c r="AD381" s="95"/>
      <c r="AE381" s="95"/>
      <c r="AF381" s="95"/>
      <c r="AG381" s="95"/>
      <c r="AH381" s="95"/>
      <c r="AI381" s="95"/>
      <c r="AJ381" s="95"/>
      <c r="AK381" s="95"/>
      <c r="AL381" s="95"/>
      <c r="AM381" s="95"/>
      <c r="AN381" s="96"/>
      <c r="AO381" s="96"/>
      <c r="AP381" s="96"/>
      <c r="AQ381" s="96"/>
      <c r="AR381" s="96"/>
      <c r="AS381" s="96"/>
      <c r="AT381" s="96"/>
      <c r="AU381" s="96"/>
      <c r="AV381" s="96"/>
      <c r="AW381" s="96"/>
      <c r="AX381" s="96"/>
      <c r="AY381" s="96"/>
      <c r="AZ381" s="96"/>
      <c r="BA381" s="96"/>
    </row>
    <row r="382" spans="1:53" s="97" customFormat="1" ht="12" customHeight="1">
      <c r="A382" s="8">
        <v>408</v>
      </c>
      <c r="B382" s="8" t="s">
        <v>795</v>
      </c>
      <c r="C382" s="80">
        <f>+VLOOKUP(A382,Clasificaciones!C:I,5,FALSE)</f>
        <v>0</v>
      </c>
      <c r="D382" s="80">
        <v>0</v>
      </c>
      <c r="E382" s="80">
        <v>0</v>
      </c>
      <c r="F382" s="80">
        <v>0</v>
      </c>
      <c r="G382" s="80">
        <f t="shared" si="120"/>
        <v>0</v>
      </c>
      <c r="H382" s="26">
        <v>0</v>
      </c>
      <c r="I382" s="26">
        <v>0</v>
      </c>
      <c r="J382" s="26">
        <v>0</v>
      </c>
      <c r="K382" s="26">
        <v>0</v>
      </c>
      <c r="L382" s="26">
        <v>0</v>
      </c>
      <c r="M382" s="26">
        <v>0</v>
      </c>
      <c r="N382" s="26">
        <v>0</v>
      </c>
      <c r="O382" s="26">
        <v>0</v>
      </c>
      <c r="P382" s="26">
        <v>0</v>
      </c>
      <c r="Q382" s="26">
        <v>0</v>
      </c>
      <c r="R382" s="26">
        <v>0</v>
      </c>
      <c r="S382" s="26">
        <v>0</v>
      </c>
      <c r="T382" s="26">
        <v>0</v>
      </c>
      <c r="U382" s="26">
        <v>0</v>
      </c>
      <c r="V382" s="26">
        <v>0</v>
      </c>
      <c r="W382" s="26">
        <v>0</v>
      </c>
      <c r="X382" s="26">
        <v>0</v>
      </c>
      <c r="Y382" s="26">
        <v>0</v>
      </c>
      <c r="Z382" s="26">
        <f t="shared" si="104"/>
        <v>0</v>
      </c>
      <c r="AA382" s="95"/>
      <c r="AB382" s="95"/>
      <c r="AC382" s="95"/>
      <c r="AD382" s="95"/>
      <c r="AE382" s="95"/>
      <c r="AF382" s="95"/>
      <c r="AG382" s="95"/>
      <c r="AH382" s="95"/>
      <c r="AI382" s="95"/>
      <c r="AJ382" s="95"/>
      <c r="AK382" s="95"/>
      <c r="AL382" s="95"/>
      <c r="AM382" s="95"/>
      <c r="AN382" s="96"/>
      <c r="AO382" s="96"/>
      <c r="AP382" s="96"/>
      <c r="AQ382" s="96"/>
      <c r="AR382" s="96"/>
      <c r="AS382" s="96"/>
      <c r="AT382" s="96"/>
      <c r="AU382" s="96"/>
      <c r="AV382" s="96"/>
      <c r="AW382" s="96"/>
      <c r="AX382" s="96"/>
      <c r="AY382" s="96"/>
      <c r="AZ382" s="96"/>
      <c r="BA382" s="96"/>
    </row>
    <row r="383" spans="1:53" s="97" customFormat="1" ht="12" customHeight="1">
      <c r="A383" s="8">
        <v>40801</v>
      </c>
      <c r="B383" s="8" t="s">
        <v>1075</v>
      </c>
      <c r="C383" s="80">
        <f>+VLOOKUP(A383,Clasificaciones!C:I,5,FALSE)</f>
        <v>-5666190</v>
      </c>
      <c r="D383" s="80">
        <v>0</v>
      </c>
      <c r="E383" s="80">
        <v>0</v>
      </c>
      <c r="F383" s="80">
        <v>0</v>
      </c>
      <c r="G383" s="80">
        <f t="shared" ref="G383" si="121">+C383-F383+D383-E383</f>
        <v>-5666190</v>
      </c>
      <c r="H383" s="26">
        <f>-G383</f>
        <v>5666190</v>
      </c>
      <c r="I383" s="26">
        <v>0</v>
      </c>
      <c r="J383" s="26"/>
      <c r="K383" s="26">
        <v>0</v>
      </c>
      <c r="L383" s="26"/>
      <c r="M383" s="26">
        <v>0</v>
      </c>
      <c r="N383" s="26">
        <v>0</v>
      </c>
      <c r="O383" s="26">
        <v>0</v>
      </c>
      <c r="P383" s="26">
        <v>0</v>
      </c>
      <c r="Q383" s="26">
        <v>0</v>
      </c>
      <c r="R383" s="26">
        <v>0</v>
      </c>
      <c r="S383" s="26">
        <v>0</v>
      </c>
      <c r="T383" s="26">
        <v>0</v>
      </c>
      <c r="U383" s="26">
        <v>0</v>
      </c>
      <c r="V383" s="26">
        <v>0</v>
      </c>
      <c r="W383" s="26">
        <v>0</v>
      </c>
      <c r="X383" s="26">
        <v>0</v>
      </c>
      <c r="Y383" s="26">
        <v>0</v>
      </c>
      <c r="Z383" s="26">
        <f t="shared" ref="Z383" si="122">SUM(G383:Y383)</f>
        <v>0</v>
      </c>
      <c r="AA383" s="95"/>
      <c r="AB383" s="95"/>
      <c r="AC383" s="95"/>
      <c r="AD383" s="95"/>
      <c r="AE383" s="95"/>
      <c r="AF383" s="95"/>
      <c r="AG383" s="95"/>
      <c r="AH383" s="95"/>
      <c r="AI383" s="95"/>
      <c r="AJ383" s="95"/>
      <c r="AK383" s="95"/>
      <c r="AL383" s="95"/>
      <c r="AM383" s="95"/>
      <c r="AN383" s="96"/>
      <c r="AO383" s="96"/>
      <c r="AP383" s="96"/>
      <c r="AQ383" s="96"/>
      <c r="AR383" s="96"/>
      <c r="AS383" s="96"/>
      <c r="AT383" s="96"/>
      <c r="AU383" s="96"/>
      <c r="AV383" s="96"/>
      <c r="AW383" s="96"/>
      <c r="AX383" s="96"/>
      <c r="AY383" s="96"/>
      <c r="AZ383" s="96"/>
      <c r="BA383" s="96"/>
    </row>
    <row r="384" spans="1:53" s="97" customFormat="1" ht="12" customHeight="1">
      <c r="A384" s="8">
        <v>40802</v>
      </c>
      <c r="B384" s="8" t="s">
        <v>796</v>
      </c>
      <c r="C384" s="80">
        <f>+VLOOKUP(A384,Clasificaciones!C:I,5,FALSE)</f>
        <v>-2322</v>
      </c>
      <c r="D384" s="80">
        <v>0</v>
      </c>
      <c r="E384" s="80">
        <v>0</v>
      </c>
      <c r="F384" s="80">
        <v>0</v>
      </c>
      <c r="G384" s="80">
        <f t="shared" si="120"/>
        <v>-2322</v>
      </c>
      <c r="H384" s="26">
        <f>-G384</f>
        <v>2322</v>
      </c>
      <c r="I384" s="26">
        <v>0</v>
      </c>
      <c r="J384" s="26"/>
      <c r="K384" s="26">
        <v>0</v>
      </c>
      <c r="L384" s="26"/>
      <c r="M384" s="26">
        <v>0</v>
      </c>
      <c r="N384" s="26">
        <v>0</v>
      </c>
      <c r="O384" s="26">
        <v>0</v>
      </c>
      <c r="P384" s="26">
        <v>0</v>
      </c>
      <c r="Q384" s="26">
        <v>0</v>
      </c>
      <c r="R384" s="26">
        <v>0</v>
      </c>
      <c r="S384" s="26">
        <v>0</v>
      </c>
      <c r="T384" s="26">
        <v>0</v>
      </c>
      <c r="U384" s="26">
        <v>0</v>
      </c>
      <c r="V384" s="26">
        <v>0</v>
      </c>
      <c r="W384" s="26">
        <v>0</v>
      </c>
      <c r="X384" s="26">
        <v>0</v>
      </c>
      <c r="Y384" s="26">
        <v>0</v>
      </c>
      <c r="Z384" s="26">
        <f t="shared" si="104"/>
        <v>0</v>
      </c>
      <c r="AA384" s="95"/>
      <c r="AB384" s="95"/>
      <c r="AC384" s="95"/>
      <c r="AD384" s="95"/>
      <c r="AE384" s="95"/>
      <c r="AF384" s="95"/>
      <c r="AG384" s="95"/>
      <c r="AH384" s="95"/>
      <c r="AI384" s="95"/>
      <c r="AJ384" s="95"/>
      <c r="AK384" s="95"/>
      <c r="AL384" s="95"/>
      <c r="AM384" s="95"/>
      <c r="AN384" s="96"/>
      <c r="AO384" s="96"/>
      <c r="AP384" s="96"/>
      <c r="AQ384" s="96"/>
      <c r="AR384" s="96"/>
      <c r="AS384" s="96"/>
      <c r="AT384" s="96"/>
      <c r="AU384" s="96"/>
      <c r="AV384" s="96"/>
      <c r="AW384" s="96"/>
      <c r="AX384" s="96"/>
      <c r="AY384" s="96"/>
      <c r="AZ384" s="96"/>
      <c r="BA384" s="96"/>
    </row>
    <row r="385" spans="1:53" s="97" customFormat="1" ht="12" customHeight="1">
      <c r="A385" s="8">
        <v>40803</v>
      </c>
      <c r="B385" s="8" t="s">
        <v>614</v>
      </c>
      <c r="C385" s="80">
        <f>+VLOOKUP(A385,Clasificaciones!C:I,5,FALSE)</f>
        <v>-6473750</v>
      </c>
      <c r="D385" s="80">
        <v>0</v>
      </c>
      <c r="E385" s="80">
        <v>0</v>
      </c>
      <c r="F385" s="80">
        <v>0</v>
      </c>
      <c r="G385" s="80">
        <f t="shared" si="120"/>
        <v>-6473750</v>
      </c>
      <c r="H385" s="26">
        <f>-G385</f>
        <v>6473750</v>
      </c>
      <c r="I385" s="26">
        <v>0</v>
      </c>
      <c r="J385" s="26"/>
      <c r="K385" s="26">
        <v>0</v>
      </c>
      <c r="L385" s="26"/>
      <c r="M385" s="26">
        <v>0</v>
      </c>
      <c r="N385" s="26">
        <v>0</v>
      </c>
      <c r="O385" s="26">
        <v>0</v>
      </c>
      <c r="P385" s="26">
        <v>0</v>
      </c>
      <c r="Q385" s="26">
        <v>0</v>
      </c>
      <c r="R385" s="26">
        <v>0</v>
      </c>
      <c r="S385" s="26">
        <v>0</v>
      </c>
      <c r="T385" s="26">
        <v>0</v>
      </c>
      <c r="U385" s="26">
        <v>0</v>
      </c>
      <c r="V385" s="26">
        <v>0</v>
      </c>
      <c r="W385" s="26">
        <v>0</v>
      </c>
      <c r="X385" s="26">
        <v>0</v>
      </c>
      <c r="Y385" s="26">
        <v>0</v>
      </c>
      <c r="Z385" s="26">
        <f t="shared" si="104"/>
        <v>0</v>
      </c>
      <c r="AA385" s="95"/>
      <c r="AB385" s="95"/>
      <c r="AC385" s="95"/>
      <c r="AD385" s="95"/>
      <c r="AE385" s="95"/>
      <c r="AF385" s="95"/>
      <c r="AG385" s="95"/>
      <c r="AH385" s="95"/>
      <c r="AI385" s="95"/>
      <c r="AJ385" s="95"/>
      <c r="AK385" s="95"/>
      <c r="AL385" s="95"/>
      <c r="AM385" s="95"/>
      <c r="AN385" s="96"/>
      <c r="AO385" s="96"/>
      <c r="AP385" s="96"/>
      <c r="AQ385" s="96"/>
      <c r="AR385" s="96"/>
      <c r="AS385" s="96"/>
      <c r="AT385" s="96"/>
      <c r="AU385" s="96"/>
      <c r="AV385" s="96"/>
      <c r="AW385" s="96"/>
      <c r="AX385" s="96"/>
      <c r="AY385" s="96"/>
      <c r="AZ385" s="96"/>
      <c r="BA385" s="96"/>
    </row>
    <row r="386" spans="1:53" s="97" customFormat="1" ht="12" customHeight="1">
      <c r="A386" s="8">
        <v>40808</v>
      </c>
      <c r="B386" s="8" t="s">
        <v>506</v>
      </c>
      <c r="C386" s="80">
        <f>+VLOOKUP(A386,Clasificaciones!C:I,5,FALSE)</f>
        <v>-1406751239</v>
      </c>
      <c r="D386" s="788">
        <f>-C386</f>
        <v>1406751239</v>
      </c>
      <c r="E386" s="80">
        <v>0</v>
      </c>
      <c r="F386" s="80">
        <v>0</v>
      </c>
      <c r="G386" s="80">
        <f t="shared" si="120"/>
        <v>0</v>
      </c>
      <c r="H386" s="26">
        <v>0</v>
      </c>
      <c r="I386" s="26">
        <v>0</v>
      </c>
      <c r="J386" s="26">
        <f>-G386</f>
        <v>0</v>
      </c>
      <c r="K386" s="26">
        <v>0</v>
      </c>
      <c r="L386" s="26">
        <v>0</v>
      </c>
      <c r="M386" s="26">
        <v>0</v>
      </c>
      <c r="N386" s="26">
        <v>0</v>
      </c>
      <c r="O386" s="26">
        <v>0</v>
      </c>
      <c r="P386" s="26">
        <v>0</v>
      </c>
      <c r="Q386" s="26">
        <v>0</v>
      </c>
      <c r="R386" s="26">
        <v>0</v>
      </c>
      <c r="S386" s="26">
        <v>0</v>
      </c>
      <c r="T386" s="26">
        <v>0</v>
      </c>
      <c r="U386" s="26">
        <v>0</v>
      </c>
      <c r="V386" s="26">
        <v>0</v>
      </c>
      <c r="W386" s="26">
        <v>0</v>
      </c>
      <c r="X386" s="26">
        <v>0</v>
      </c>
      <c r="Y386" s="26">
        <v>0</v>
      </c>
      <c r="Z386" s="26">
        <f t="shared" si="104"/>
        <v>0</v>
      </c>
      <c r="AA386" s="95"/>
      <c r="AB386" s="95"/>
      <c r="AC386" s="95"/>
      <c r="AD386" s="95"/>
      <c r="AE386" s="95"/>
      <c r="AF386" s="95"/>
      <c r="AG386" s="95"/>
      <c r="AH386" s="95"/>
      <c r="AI386" s="95"/>
      <c r="AJ386" s="95"/>
      <c r="AK386" s="95"/>
      <c r="AL386" s="95"/>
      <c r="AM386" s="95"/>
      <c r="AN386" s="96"/>
      <c r="AO386" s="96"/>
      <c r="AP386" s="96"/>
      <c r="AQ386" s="96"/>
      <c r="AR386" s="96"/>
      <c r="AS386" s="96"/>
      <c r="AT386" s="96"/>
      <c r="AU386" s="96"/>
      <c r="AV386" s="96"/>
      <c r="AW386" s="96"/>
      <c r="AX386" s="96"/>
      <c r="AY386" s="96"/>
      <c r="AZ386" s="96"/>
      <c r="BA386" s="96"/>
    </row>
    <row r="387" spans="1:53" s="97" customFormat="1" ht="12" customHeight="1">
      <c r="A387" s="8">
        <v>40809</v>
      </c>
      <c r="B387" s="8" t="s">
        <v>1236</v>
      </c>
      <c r="C387" s="80">
        <f>+VLOOKUP(A387,Clasificaciones!C:I,5,FALSE)</f>
        <v>0</v>
      </c>
      <c r="D387" s="80">
        <v>0</v>
      </c>
      <c r="E387" s="80">
        <v>0</v>
      </c>
      <c r="F387" s="80">
        <v>0</v>
      </c>
      <c r="G387" s="80">
        <f t="shared" si="120"/>
        <v>0</v>
      </c>
      <c r="H387" s="26">
        <f>-G387</f>
        <v>0</v>
      </c>
      <c r="I387" s="26">
        <v>0</v>
      </c>
      <c r="J387" s="26">
        <v>0</v>
      </c>
      <c r="K387" s="26">
        <v>0</v>
      </c>
      <c r="L387" s="26">
        <v>0</v>
      </c>
      <c r="M387" s="26">
        <v>0</v>
      </c>
      <c r="N387" s="26">
        <v>0</v>
      </c>
      <c r="O387" s="26">
        <v>0</v>
      </c>
      <c r="P387" s="26">
        <v>0</v>
      </c>
      <c r="Q387" s="26">
        <v>0</v>
      </c>
      <c r="R387" s="26">
        <v>0</v>
      </c>
      <c r="S387" s="26">
        <v>0</v>
      </c>
      <c r="T387" s="26">
        <v>0</v>
      </c>
      <c r="U387" s="26">
        <v>0</v>
      </c>
      <c r="V387" s="26">
        <v>0</v>
      </c>
      <c r="W387" s="26">
        <v>0</v>
      </c>
      <c r="X387" s="26">
        <v>0</v>
      </c>
      <c r="Y387" s="26">
        <v>0</v>
      </c>
      <c r="Z387" s="26">
        <f t="shared" si="104"/>
        <v>0</v>
      </c>
      <c r="AA387" s="95"/>
      <c r="AB387" s="95"/>
      <c r="AC387" s="95"/>
      <c r="AD387" s="95"/>
      <c r="AE387" s="95"/>
      <c r="AF387" s="95"/>
      <c r="AG387" s="95"/>
      <c r="AH387" s="95"/>
      <c r="AI387" s="95"/>
      <c r="AJ387" s="95"/>
      <c r="AK387" s="95"/>
      <c r="AL387" s="95"/>
      <c r="AM387" s="95"/>
      <c r="AN387" s="96"/>
      <c r="AO387" s="96"/>
      <c r="AP387" s="96"/>
      <c r="AQ387" s="96"/>
      <c r="AR387" s="96"/>
      <c r="AS387" s="96"/>
      <c r="AT387" s="96"/>
      <c r="AU387" s="96"/>
      <c r="AV387" s="96"/>
      <c r="AW387" s="96"/>
      <c r="AX387" s="96"/>
      <c r="AY387" s="96"/>
      <c r="AZ387" s="96"/>
      <c r="BA387" s="96"/>
    </row>
    <row r="388" spans="1:53" s="97" customFormat="1" ht="12" customHeight="1">
      <c r="A388" s="8">
        <v>40811</v>
      </c>
      <c r="B388" s="8" t="s">
        <v>1197</v>
      </c>
      <c r="C388" s="80">
        <f>+VLOOKUP(A388,Clasificaciones!C:I,5,FALSE)</f>
        <v>-7538594</v>
      </c>
      <c r="D388" s="80">
        <v>0</v>
      </c>
      <c r="E388" s="80">
        <v>0</v>
      </c>
      <c r="F388" s="80">
        <v>0</v>
      </c>
      <c r="G388" s="80">
        <f t="shared" si="120"/>
        <v>-7538594</v>
      </c>
      <c r="H388" s="26">
        <f>-G388</f>
        <v>7538594</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c r="Z388" s="26">
        <f t="shared" si="104"/>
        <v>0</v>
      </c>
      <c r="AA388" s="95"/>
      <c r="AB388" s="95"/>
      <c r="AC388" s="95"/>
      <c r="AD388" s="95"/>
      <c r="AE388" s="95"/>
      <c r="AF388" s="95"/>
      <c r="AG388" s="95"/>
      <c r="AH388" s="95"/>
      <c r="AI388" s="95"/>
      <c r="AJ388" s="95"/>
      <c r="AK388" s="95"/>
      <c r="AL388" s="95"/>
      <c r="AM388" s="95"/>
      <c r="AN388" s="96"/>
      <c r="AO388" s="96"/>
      <c r="AP388" s="96"/>
      <c r="AQ388" s="96"/>
      <c r="AR388" s="96"/>
      <c r="AS388" s="96"/>
      <c r="AT388" s="96"/>
      <c r="AU388" s="96"/>
      <c r="AV388" s="96"/>
      <c r="AW388" s="96"/>
      <c r="AX388" s="96"/>
      <c r="AY388" s="96"/>
      <c r="AZ388" s="96"/>
      <c r="BA388" s="96"/>
    </row>
    <row r="389" spans="1:53" s="97" customFormat="1" ht="12" customHeight="1">
      <c r="A389" s="8">
        <v>40812</v>
      </c>
      <c r="B389" s="8" t="s">
        <v>1237</v>
      </c>
      <c r="C389" s="80">
        <f>+VLOOKUP(A389,Clasificaciones!C:I,5,FALSE)</f>
        <v>0</v>
      </c>
      <c r="D389" s="80">
        <v>0</v>
      </c>
      <c r="E389" s="80">
        <v>0</v>
      </c>
      <c r="F389" s="80">
        <v>0</v>
      </c>
      <c r="G389" s="80">
        <f t="shared" si="120"/>
        <v>0</v>
      </c>
      <c r="H389" s="26">
        <f t="shared" ref="H389" si="123">-G389</f>
        <v>0</v>
      </c>
      <c r="I389" s="26">
        <v>0</v>
      </c>
      <c r="J389" s="26">
        <v>0</v>
      </c>
      <c r="K389" s="26">
        <v>0</v>
      </c>
      <c r="L389" s="26">
        <v>0</v>
      </c>
      <c r="M389" s="26">
        <v>0</v>
      </c>
      <c r="N389" s="26">
        <v>0</v>
      </c>
      <c r="O389" s="26">
        <v>0</v>
      </c>
      <c r="P389" s="26">
        <v>0</v>
      </c>
      <c r="Q389" s="26">
        <v>0</v>
      </c>
      <c r="R389" s="26">
        <v>0</v>
      </c>
      <c r="S389" s="26">
        <v>0</v>
      </c>
      <c r="T389" s="26">
        <v>0</v>
      </c>
      <c r="U389" s="26">
        <v>0</v>
      </c>
      <c r="V389" s="26">
        <v>0</v>
      </c>
      <c r="W389" s="26">
        <v>0</v>
      </c>
      <c r="X389" s="26">
        <v>0</v>
      </c>
      <c r="Y389" s="26">
        <v>0</v>
      </c>
      <c r="Z389" s="26">
        <f t="shared" si="104"/>
        <v>0</v>
      </c>
      <c r="AA389" s="95"/>
      <c r="AB389" s="95"/>
      <c r="AC389" s="95"/>
      <c r="AD389" s="95"/>
      <c r="AE389" s="95"/>
      <c r="AF389" s="95"/>
      <c r="AG389" s="95"/>
      <c r="AH389" s="95"/>
      <c r="AI389" s="95"/>
      <c r="AJ389" s="95"/>
      <c r="AK389" s="95"/>
      <c r="AL389" s="95"/>
      <c r="AM389" s="95"/>
      <c r="AN389" s="96"/>
      <c r="AO389" s="96"/>
      <c r="AP389" s="96"/>
      <c r="AQ389" s="96"/>
      <c r="AR389" s="96"/>
      <c r="AS389" s="96"/>
      <c r="AT389" s="96"/>
      <c r="AU389" s="96"/>
      <c r="AV389" s="96"/>
      <c r="AW389" s="96"/>
      <c r="AX389" s="96"/>
      <c r="AY389" s="96"/>
      <c r="AZ389" s="96"/>
      <c r="BA389" s="96"/>
    </row>
    <row r="390" spans="1:53" s="97" customFormat="1" ht="12" customHeight="1">
      <c r="A390" s="8"/>
      <c r="B390" s="8"/>
      <c r="C390" s="80"/>
      <c r="D390" s="80">
        <v>0</v>
      </c>
      <c r="E390" s="80">
        <v>0</v>
      </c>
      <c r="F390" s="80">
        <v>0</v>
      </c>
      <c r="G390" s="80">
        <f t="shared" ref="G390:G395" si="124">+C390-F390+D390-E390</f>
        <v>0</v>
      </c>
      <c r="H390" s="26"/>
      <c r="I390" s="26"/>
      <c r="J390" s="26"/>
      <c r="K390" s="26"/>
      <c r="L390" s="26"/>
      <c r="M390" s="26"/>
      <c r="N390" s="26"/>
      <c r="O390" s="26">
        <v>0</v>
      </c>
      <c r="P390" s="26"/>
      <c r="Q390" s="26"/>
      <c r="R390" s="26"/>
      <c r="S390" s="26"/>
      <c r="T390" s="26"/>
      <c r="U390" s="26"/>
      <c r="V390" s="26"/>
      <c r="W390" s="26"/>
      <c r="X390" s="26"/>
      <c r="Y390" s="26"/>
      <c r="Z390" s="26">
        <f t="shared" si="104"/>
        <v>0</v>
      </c>
      <c r="AA390" s="95"/>
      <c r="AB390" s="95"/>
      <c r="AC390" s="95"/>
      <c r="AD390" s="95"/>
      <c r="AE390" s="95"/>
      <c r="AF390" s="95"/>
      <c r="AG390" s="95"/>
      <c r="AH390" s="95"/>
      <c r="AI390" s="95"/>
      <c r="AJ390" s="95"/>
      <c r="AK390" s="95"/>
      <c r="AL390" s="95"/>
      <c r="AM390" s="95"/>
      <c r="AN390" s="96"/>
      <c r="AO390" s="96"/>
      <c r="AP390" s="96"/>
      <c r="AQ390" s="96"/>
      <c r="AR390" s="96"/>
      <c r="AS390" s="96"/>
      <c r="AT390" s="96"/>
      <c r="AU390" s="96"/>
      <c r="AV390" s="96"/>
      <c r="AW390" s="96"/>
      <c r="AX390" s="96"/>
      <c r="AY390" s="96"/>
      <c r="AZ390" s="96"/>
      <c r="BA390" s="96"/>
    </row>
    <row r="391" spans="1:53" s="97" customFormat="1" ht="12" customHeight="1">
      <c r="A391" s="8">
        <v>5</v>
      </c>
      <c r="B391" s="8" t="s">
        <v>189</v>
      </c>
      <c r="C391" s="80">
        <f>+SUM(C392:C523)-'BG 062022'!C346</f>
        <v>0</v>
      </c>
      <c r="D391" s="80">
        <v>0</v>
      </c>
      <c r="E391" s="80">
        <v>0</v>
      </c>
      <c r="F391" s="80">
        <v>0</v>
      </c>
      <c r="G391" s="80">
        <f t="shared" si="124"/>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c r="Z391" s="26">
        <f t="shared" si="104"/>
        <v>0</v>
      </c>
      <c r="AA391" s="95"/>
      <c r="AB391" s="95"/>
      <c r="AC391" s="95"/>
      <c r="AD391" s="95"/>
      <c r="AE391" s="95"/>
      <c r="AF391" s="95"/>
      <c r="AG391" s="95"/>
      <c r="AH391" s="95"/>
      <c r="AI391" s="95"/>
      <c r="AJ391" s="95"/>
      <c r="AK391" s="95"/>
      <c r="AL391" s="95"/>
      <c r="AM391" s="95"/>
      <c r="AN391" s="96"/>
      <c r="AO391" s="96"/>
      <c r="AP391" s="96"/>
      <c r="AQ391" s="96"/>
      <c r="AR391" s="96"/>
      <c r="AS391" s="96"/>
      <c r="AT391" s="96"/>
      <c r="AU391" s="96"/>
      <c r="AV391" s="96"/>
      <c r="AW391" s="96"/>
      <c r="AX391" s="96"/>
      <c r="AY391" s="96"/>
      <c r="AZ391" s="96"/>
      <c r="BA391" s="96"/>
    </row>
    <row r="392" spans="1:53" s="97" customFormat="1" ht="12" customHeight="1">
      <c r="A392" s="8">
        <v>51</v>
      </c>
      <c r="B392" s="8" t="s">
        <v>797</v>
      </c>
      <c r="C392" s="80">
        <f>+VLOOKUP(A392,Clasificaciones!C:I,5,FALSE)</f>
        <v>0</v>
      </c>
      <c r="D392" s="80">
        <v>0</v>
      </c>
      <c r="E392" s="80">
        <v>0</v>
      </c>
      <c r="F392" s="80">
        <v>0</v>
      </c>
      <c r="G392" s="80">
        <f t="shared" si="124"/>
        <v>0</v>
      </c>
      <c r="H392" s="26">
        <v>0</v>
      </c>
      <c r="I392" s="26">
        <v>0</v>
      </c>
      <c r="J392" s="26">
        <v>0</v>
      </c>
      <c r="K392" s="26">
        <v>0</v>
      </c>
      <c r="L392" s="26">
        <v>0</v>
      </c>
      <c r="M392" s="26">
        <v>0</v>
      </c>
      <c r="N392" s="26">
        <v>0</v>
      </c>
      <c r="O392" s="26">
        <v>0</v>
      </c>
      <c r="P392" s="26">
        <v>0</v>
      </c>
      <c r="Q392" s="26">
        <v>0</v>
      </c>
      <c r="R392" s="26">
        <v>0</v>
      </c>
      <c r="S392" s="26">
        <v>0</v>
      </c>
      <c r="T392" s="26">
        <v>0</v>
      </c>
      <c r="U392" s="26">
        <v>0</v>
      </c>
      <c r="V392" s="26">
        <v>0</v>
      </c>
      <c r="W392" s="26">
        <v>0</v>
      </c>
      <c r="X392" s="26">
        <v>0</v>
      </c>
      <c r="Y392" s="26">
        <v>0</v>
      </c>
      <c r="Z392" s="26">
        <f t="shared" si="104"/>
        <v>0</v>
      </c>
      <c r="AA392" s="95"/>
      <c r="AB392" s="95"/>
      <c r="AC392" s="95"/>
      <c r="AD392" s="95"/>
      <c r="AE392" s="95"/>
      <c r="AF392" s="95"/>
      <c r="AG392" s="95"/>
      <c r="AH392" s="95"/>
      <c r="AI392" s="95"/>
      <c r="AJ392" s="95"/>
      <c r="AK392" s="95"/>
      <c r="AL392" s="95"/>
      <c r="AM392" s="95"/>
      <c r="AN392" s="96"/>
      <c r="AO392" s="96"/>
      <c r="AP392" s="96"/>
      <c r="AQ392" s="96"/>
      <c r="AR392" s="96"/>
      <c r="AS392" s="96"/>
      <c r="AT392" s="96"/>
      <c r="AU392" s="96"/>
      <c r="AV392" s="96"/>
      <c r="AW392" s="96"/>
      <c r="AX392" s="96"/>
      <c r="AY392" s="96"/>
      <c r="AZ392" s="96"/>
      <c r="BA392" s="96"/>
    </row>
    <row r="393" spans="1:53" s="97" customFormat="1" ht="12" customHeight="1">
      <c r="A393" s="8">
        <v>511</v>
      </c>
      <c r="B393" s="8" t="s">
        <v>798</v>
      </c>
      <c r="C393" s="80">
        <f>+VLOOKUP(A393,Clasificaciones!C:I,5,FALSE)</f>
        <v>0</v>
      </c>
      <c r="D393" s="80">
        <v>0</v>
      </c>
      <c r="E393" s="80">
        <v>0</v>
      </c>
      <c r="F393" s="80">
        <v>0</v>
      </c>
      <c r="G393" s="80">
        <f t="shared" si="124"/>
        <v>0</v>
      </c>
      <c r="H393" s="26">
        <v>0</v>
      </c>
      <c r="I393" s="26">
        <v>0</v>
      </c>
      <c r="J393" s="26">
        <v>0</v>
      </c>
      <c r="K393" s="26">
        <v>0</v>
      </c>
      <c r="L393" s="26">
        <v>0</v>
      </c>
      <c r="M393" s="26">
        <v>0</v>
      </c>
      <c r="N393" s="26">
        <v>0</v>
      </c>
      <c r="O393" s="26">
        <v>0</v>
      </c>
      <c r="P393" s="26">
        <v>0</v>
      </c>
      <c r="Q393" s="26">
        <v>0</v>
      </c>
      <c r="R393" s="26">
        <v>0</v>
      </c>
      <c r="S393" s="26">
        <v>0</v>
      </c>
      <c r="T393" s="26">
        <v>0</v>
      </c>
      <c r="U393" s="26">
        <v>0</v>
      </c>
      <c r="V393" s="26">
        <v>0</v>
      </c>
      <c r="W393" s="26">
        <v>0</v>
      </c>
      <c r="X393" s="26">
        <v>0</v>
      </c>
      <c r="Y393" s="26">
        <v>0</v>
      </c>
      <c r="Z393" s="26">
        <f t="shared" si="104"/>
        <v>0</v>
      </c>
      <c r="AA393" s="95"/>
      <c r="AB393" s="95"/>
      <c r="AC393" s="95"/>
      <c r="AD393" s="95"/>
      <c r="AE393" s="95"/>
      <c r="AF393" s="95"/>
      <c r="AG393" s="95"/>
      <c r="AH393" s="95"/>
      <c r="AI393" s="95"/>
      <c r="AJ393" s="95"/>
      <c r="AK393" s="95"/>
      <c r="AL393" s="95"/>
      <c r="AM393" s="95"/>
      <c r="AN393" s="96"/>
      <c r="AO393" s="96"/>
      <c r="AP393" s="96"/>
      <c r="AQ393" s="96"/>
      <c r="AR393" s="96"/>
      <c r="AS393" s="96"/>
      <c r="AT393" s="96"/>
      <c r="AU393" s="96"/>
      <c r="AV393" s="96"/>
      <c r="AW393" s="96"/>
      <c r="AX393" s="96"/>
      <c r="AY393" s="96"/>
      <c r="AZ393" s="96"/>
      <c r="BA393" s="96"/>
    </row>
    <row r="394" spans="1:53" s="97" customFormat="1" ht="12" customHeight="1">
      <c r="A394" s="8">
        <v>51101</v>
      </c>
      <c r="B394" s="8" t="s">
        <v>39</v>
      </c>
      <c r="C394" s="80">
        <f>+VLOOKUP(A394,Clasificaciones!C:I,5,FALSE)</f>
        <v>0</v>
      </c>
      <c r="D394" s="80">
        <v>0</v>
      </c>
      <c r="E394" s="80">
        <v>0</v>
      </c>
      <c r="F394" s="80">
        <v>0</v>
      </c>
      <c r="G394" s="80">
        <f t="shared" si="124"/>
        <v>0</v>
      </c>
      <c r="H394" s="26">
        <v>0</v>
      </c>
      <c r="I394" s="26">
        <v>0</v>
      </c>
      <c r="J394" s="26">
        <v>0</v>
      </c>
      <c r="K394" s="26">
        <v>0</v>
      </c>
      <c r="L394" s="26">
        <v>0</v>
      </c>
      <c r="M394" s="26">
        <v>0</v>
      </c>
      <c r="N394" s="26">
        <v>0</v>
      </c>
      <c r="O394" s="26">
        <v>0</v>
      </c>
      <c r="P394" s="26">
        <v>0</v>
      </c>
      <c r="Q394" s="26">
        <v>0</v>
      </c>
      <c r="R394" s="26">
        <v>0</v>
      </c>
      <c r="S394" s="26">
        <v>0</v>
      </c>
      <c r="T394" s="26">
        <v>0</v>
      </c>
      <c r="U394" s="26">
        <v>0</v>
      </c>
      <c r="V394" s="26">
        <v>0</v>
      </c>
      <c r="W394" s="26">
        <v>0</v>
      </c>
      <c r="X394" s="26">
        <v>0</v>
      </c>
      <c r="Y394" s="26">
        <v>0</v>
      </c>
      <c r="Z394" s="26">
        <f t="shared" si="104"/>
        <v>0</v>
      </c>
      <c r="AA394" s="95"/>
      <c r="AB394" s="95"/>
      <c r="AC394" s="95"/>
      <c r="AD394" s="95"/>
      <c r="AE394" s="95"/>
      <c r="AF394" s="95"/>
      <c r="AG394" s="95"/>
      <c r="AH394" s="95"/>
      <c r="AI394" s="95"/>
      <c r="AJ394" s="95"/>
      <c r="AK394" s="95"/>
      <c r="AL394" s="95"/>
      <c r="AM394" s="95"/>
      <c r="AN394" s="96"/>
      <c r="AO394" s="96"/>
      <c r="AP394" s="96"/>
      <c r="AQ394" s="96"/>
      <c r="AR394" s="96"/>
      <c r="AS394" s="96"/>
      <c r="AT394" s="96"/>
      <c r="AU394" s="96"/>
      <c r="AV394" s="96"/>
      <c r="AW394" s="96"/>
      <c r="AX394" s="96"/>
      <c r="AY394" s="96"/>
      <c r="AZ394" s="96"/>
      <c r="BA394" s="96"/>
    </row>
    <row r="395" spans="1:53" s="97" customFormat="1" ht="12" customHeight="1">
      <c r="A395" s="8">
        <v>5110102</v>
      </c>
      <c r="B395" s="8" t="s">
        <v>799</v>
      </c>
      <c r="C395" s="80">
        <f>+VLOOKUP(A395,Clasificaciones!C:I,5,FALSE)</f>
        <v>0</v>
      </c>
      <c r="D395" s="80">
        <v>0</v>
      </c>
      <c r="E395" s="80">
        <v>0</v>
      </c>
      <c r="F395" s="80">
        <v>0</v>
      </c>
      <c r="G395" s="80">
        <f t="shared" si="124"/>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c r="Z395" s="26">
        <f t="shared" si="104"/>
        <v>0</v>
      </c>
      <c r="AA395" s="95"/>
      <c r="AB395" s="95"/>
      <c r="AC395" s="95"/>
      <c r="AD395" s="95"/>
      <c r="AE395" s="95"/>
      <c r="AF395" s="95"/>
      <c r="AG395" s="95"/>
      <c r="AH395" s="95"/>
      <c r="AI395" s="95"/>
      <c r="AJ395" s="95"/>
      <c r="AK395" s="95"/>
      <c r="AL395" s="95"/>
      <c r="AM395" s="95"/>
      <c r="AN395" s="96"/>
      <c r="AO395" s="96"/>
      <c r="AP395" s="96"/>
      <c r="AQ395" s="96"/>
      <c r="AR395" s="96"/>
      <c r="AS395" s="96"/>
      <c r="AT395" s="96"/>
      <c r="AU395" s="96"/>
      <c r="AV395" s="96"/>
      <c r="AW395" s="96"/>
      <c r="AX395" s="96"/>
      <c r="AY395" s="96"/>
      <c r="AZ395" s="96"/>
      <c r="BA395" s="96"/>
    </row>
    <row r="396" spans="1:53" s="97" customFormat="1" ht="12" customHeight="1">
      <c r="A396" s="787">
        <v>511010201</v>
      </c>
      <c r="B396" s="787" t="s">
        <v>800</v>
      </c>
      <c r="C396" s="788">
        <f>+VLOOKUP(A396,Clasificaciones!C:I,5,FALSE)</f>
        <v>750000</v>
      </c>
      <c r="D396" s="788">
        <v>0</v>
      </c>
      <c r="E396" s="788">
        <v>0</v>
      </c>
      <c r="F396" s="788">
        <v>0</v>
      </c>
      <c r="G396" s="788">
        <f>+C396-F396+D396-E396</f>
        <v>750000</v>
      </c>
      <c r="H396" s="26">
        <f>-G396</f>
        <v>-750000</v>
      </c>
      <c r="I396" s="789">
        <v>0</v>
      </c>
      <c r="J396" s="789"/>
      <c r="K396" s="26">
        <v>0</v>
      </c>
      <c r="L396" s="26">
        <v>0</v>
      </c>
      <c r="M396" s="26">
        <v>0</v>
      </c>
      <c r="N396" s="26">
        <v>0</v>
      </c>
      <c r="O396" s="26">
        <v>0</v>
      </c>
      <c r="P396" s="26">
        <v>0</v>
      </c>
      <c r="Q396" s="26">
        <v>0</v>
      </c>
      <c r="R396" s="26">
        <v>0</v>
      </c>
      <c r="S396" s="26">
        <v>0</v>
      </c>
      <c r="T396" s="26">
        <v>0</v>
      </c>
      <c r="U396" s="26">
        <v>0</v>
      </c>
      <c r="V396" s="26">
        <v>0</v>
      </c>
      <c r="W396" s="26">
        <v>0</v>
      </c>
      <c r="X396" s="26">
        <v>0</v>
      </c>
      <c r="Y396" s="26">
        <v>0</v>
      </c>
      <c r="Z396" s="26">
        <f t="shared" si="104"/>
        <v>0</v>
      </c>
      <c r="AA396" s="95"/>
      <c r="AB396" s="95"/>
      <c r="AC396" s="95"/>
      <c r="AD396" s="95"/>
      <c r="AE396" s="95"/>
      <c r="AF396" s="95"/>
      <c r="AG396" s="95"/>
      <c r="AH396" s="95"/>
      <c r="AI396" s="95"/>
      <c r="AJ396" s="95"/>
      <c r="AK396" s="95"/>
      <c r="AL396" s="95"/>
      <c r="AM396" s="95"/>
      <c r="AN396" s="96"/>
      <c r="AO396" s="96"/>
      <c r="AP396" s="96"/>
      <c r="AQ396" s="96"/>
      <c r="AR396" s="96"/>
      <c r="AS396" s="96"/>
      <c r="AT396" s="96"/>
      <c r="AU396" s="96"/>
      <c r="AV396" s="96"/>
      <c r="AW396" s="96"/>
      <c r="AX396" s="96"/>
      <c r="AY396" s="96"/>
      <c r="AZ396" s="96"/>
      <c r="BA396" s="96"/>
    </row>
    <row r="397" spans="1:53" s="97" customFormat="1" ht="12" customHeight="1">
      <c r="A397" s="8">
        <v>51102</v>
      </c>
      <c r="B397" s="8" t="s">
        <v>801</v>
      </c>
      <c r="C397" s="80">
        <f>+VLOOKUP(A397,Clasificaciones!C:I,5,FALSE)</f>
        <v>0</v>
      </c>
      <c r="D397" s="80">
        <v>0</v>
      </c>
      <c r="E397" s="80">
        <v>0</v>
      </c>
      <c r="F397" s="80">
        <v>0</v>
      </c>
      <c r="G397" s="80">
        <f t="shared" ref="G397:G467" si="125">+C397-F397+D397-E397</f>
        <v>0</v>
      </c>
      <c r="H397" s="26">
        <v>0</v>
      </c>
      <c r="I397" s="26">
        <v>0</v>
      </c>
      <c r="J397" s="26">
        <v>0</v>
      </c>
      <c r="K397" s="26">
        <v>0</v>
      </c>
      <c r="L397" s="26">
        <v>0</v>
      </c>
      <c r="M397" s="26">
        <v>0</v>
      </c>
      <c r="N397" s="26">
        <v>0</v>
      </c>
      <c r="O397" s="26">
        <v>0</v>
      </c>
      <c r="P397" s="26">
        <v>0</v>
      </c>
      <c r="Q397" s="26">
        <v>0</v>
      </c>
      <c r="R397" s="26">
        <v>0</v>
      </c>
      <c r="S397" s="26">
        <v>0</v>
      </c>
      <c r="T397" s="26">
        <v>0</v>
      </c>
      <c r="U397" s="26">
        <v>0</v>
      </c>
      <c r="V397" s="26">
        <v>0</v>
      </c>
      <c r="W397" s="26">
        <v>0</v>
      </c>
      <c r="X397" s="26">
        <v>0</v>
      </c>
      <c r="Y397" s="26">
        <v>0</v>
      </c>
      <c r="Z397" s="26">
        <f t="shared" si="104"/>
        <v>0</v>
      </c>
      <c r="AA397" s="95"/>
      <c r="AB397" s="95"/>
      <c r="AC397" s="95"/>
      <c r="AD397" s="95"/>
      <c r="AE397" s="95"/>
      <c r="AF397" s="95"/>
      <c r="AG397" s="95"/>
      <c r="AH397" s="95"/>
      <c r="AI397" s="95"/>
      <c r="AJ397" s="95"/>
      <c r="AK397" s="95"/>
      <c r="AL397" s="95"/>
      <c r="AM397" s="95"/>
      <c r="AN397" s="96"/>
      <c r="AO397" s="96"/>
      <c r="AP397" s="96"/>
      <c r="AQ397" s="96"/>
      <c r="AR397" s="96"/>
      <c r="AS397" s="96"/>
      <c r="AT397" s="96"/>
      <c r="AU397" s="96"/>
      <c r="AV397" s="96"/>
      <c r="AW397" s="96"/>
      <c r="AX397" s="96"/>
      <c r="AY397" s="96"/>
      <c r="AZ397" s="96"/>
      <c r="BA397" s="96"/>
    </row>
    <row r="398" spans="1:53" s="97" customFormat="1" ht="12" customHeight="1">
      <c r="A398" s="8">
        <v>5110201</v>
      </c>
      <c r="B398" s="8" t="s">
        <v>802</v>
      </c>
      <c r="C398" s="80">
        <f>+VLOOKUP(A398,Clasificaciones!C:I,5,FALSE)</f>
        <v>0</v>
      </c>
      <c r="D398" s="80">
        <v>0</v>
      </c>
      <c r="E398" s="80">
        <v>0</v>
      </c>
      <c r="F398" s="80">
        <v>0</v>
      </c>
      <c r="G398" s="80">
        <f t="shared" si="125"/>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c r="Z398" s="26">
        <f t="shared" si="104"/>
        <v>0</v>
      </c>
      <c r="AA398" s="95"/>
      <c r="AB398" s="95"/>
      <c r="AC398" s="95"/>
      <c r="AD398" s="95"/>
      <c r="AE398" s="95"/>
      <c r="AF398" s="95"/>
      <c r="AG398" s="95"/>
      <c r="AH398" s="95"/>
      <c r="AI398" s="95"/>
      <c r="AJ398" s="95"/>
      <c r="AK398" s="95"/>
      <c r="AL398" s="95"/>
      <c r="AM398" s="95"/>
      <c r="AN398" s="96"/>
      <c r="AO398" s="96"/>
      <c r="AP398" s="96"/>
      <c r="AQ398" s="96"/>
      <c r="AR398" s="96"/>
      <c r="AS398" s="96"/>
      <c r="AT398" s="96"/>
      <c r="AU398" s="96"/>
      <c r="AV398" s="96"/>
      <c r="AW398" s="96"/>
      <c r="AX398" s="96"/>
      <c r="AY398" s="96"/>
      <c r="AZ398" s="96"/>
      <c r="BA398" s="96"/>
    </row>
    <row r="399" spans="1:53" s="97" customFormat="1" ht="12" customHeight="1">
      <c r="A399" s="8">
        <v>511020101</v>
      </c>
      <c r="B399" s="8" t="s">
        <v>856</v>
      </c>
      <c r="C399" s="80">
        <f>+VLOOKUP(A399,Clasificaciones!C:I,5,FALSE)</f>
        <v>18170512</v>
      </c>
      <c r="D399" s="80">
        <v>0</v>
      </c>
      <c r="E399" s="80">
        <v>0</v>
      </c>
      <c r="F399" s="80">
        <v>0</v>
      </c>
      <c r="G399" s="80">
        <f t="shared" si="125"/>
        <v>18170512</v>
      </c>
      <c r="H399" s="26">
        <f t="shared" ref="H399:H400" si="126">-G399</f>
        <v>-18170512</v>
      </c>
      <c r="I399" s="26">
        <v>0</v>
      </c>
      <c r="J399" s="26"/>
      <c r="K399" s="26">
        <v>0</v>
      </c>
      <c r="L399" s="26">
        <v>0</v>
      </c>
      <c r="M399" s="26">
        <v>0</v>
      </c>
      <c r="N399" s="26">
        <v>0</v>
      </c>
      <c r="O399" s="26">
        <v>0</v>
      </c>
      <c r="P399" s="26">
        <v>0</v>
      </c>
      <c r="Q399" s="26">
        <v>0</v>
      </c>
      <c r="R399" s="26">
        <v>0</v>
      </c>
      <c r="S399" s="26">
        <v>0</v>
      </c>
      <c r="T399" s="26">
        <v>0</v>
      </c>
      <c r="U399" s="26">
        <v>0</v>
      </c>
      <c r="V399" s="26">
        <v>0</v>
      </c>
      <c r="W399" s="26">
        <v>0</v>
      </c>
      <c r="X399" s="26">
        <v>0</v>
      </c>
      <c r="Y399" s="26">
        <v>0</v>
      </c>
      <c r="Z399" s="26">
        <f t="shared" si="104"/>
        <v>0</v>
      </c>
      <c r="AA399" s="95"/>
      <c r="AB399" s="95"/>
      <c r="AC399" s="95"/>
      <c r="AD399" s="95"/>
      <c r="AE399" s="95"/>
      <c r="AF399" s="95"/>
      <c r="AG399" s="95"/>
      <c r="AH399" s="95"/>
      <c r="AI399" s="95"/>
      <c r="AJ399" s="95"/>
      <c r="AK399" s="95"/>
      <c r="AL399" s="95"/>
      <c r="AM399" s="95"/>
      <c r="AN399" s="96"/>
      <c r="AO399" s="96"/>
      <c r="AP399" s="96"/>
      <c r="AQ399" s="96"/>
      <c r="AR399" s="96"/>
      <c r="AS399" s="96"/>
      <c r="AT399" s="96"/>
      <c r="AU399" s="96"/>
      <c r="AV399" s="96"/>
      <c r="AW399" s="96"/>
      <c r="AX399" s="96"/>
      <c r="AY399" s="96"/>
      <c r="AZ399" s="96"/>
      <c r="BA399" s="96"/>
    </row>
    <row r="400" spans="1:53" s="97" customFormat="1" ht="12" customHeight="1">
      <c r="A400" s="8">
        <v>511020102</v>
      </c>
      <c r="B400" s="8" t="s">
        <v>803</v>
      </c>
      <c r="C400" s="80">
        <f>+VLOOKUP(A400,Clasificaciones!C:I,5,FALSE)</f>
        <v>51409728</v>
      </c>
      <c r="D400" s="80">
        <v>0</v>
      </c>
      <c r="E400" s="80">
        <v>0</v>
      </c>
      <c r="F400" s="80">
        <v>0</v>
      </c>
      <c r="G400" s="80">
        <f t="shared" si="125"/>
        <v>51409728</v>
      </c>
      <c r="H400" s="26">
        <f t="shared" si="126"/>
        <v>-51409728</v>
      </c>
      <c r="I400" s="26">
        <v>0</v>
      </c>
      <c r="J400" s="26"/>
      <c r="K400" s="26">
        <v>0</v>
      </c>
      <c r="L400" s="26">
        <v>0</v>
      </c>
      <c r="M400" s="26">
        <v>0</v>
      </c>
      <c r="N400" s="26">
        <v>0</v>
      </c>
      <c r="O400" s="26">
        <v>0</v>
      </c>
      <c r="P400" s="26">
        <v>0</v>
      </c>
      <c r="Q400" s="26">
        <v>0</v>
      </c>
      <c r="R400" s="26">
        <v>0</v>
      </c>
      <c r="S400" s="26">
        <v>0</v>
      </c>
      <c r="T400" s="26">
        <v>0</v>
      </c>
      <c r="U400" s="26">
        <v>0</v>
      </c>
      <c r="V400" s="26">
        <v>0</v>
      </c>
      <c r="W400" s="26">
        <v>0</v>
      </c>
      <c r="X400" s="26">
        <v>0</v>
      </c>
      <c r="Y400" s="26">
        <v>0</v>
      </c>
      <c r="Z400" s="26">
        <f t="shared" si="104"/>
        <v>0</v>
      </c>
      <c r="AA400" s="95"/>
      <c r="AB400" s="95"/>
      <c r="AC400" s="95"/>
      <c r="AD400" s="95"/>
      <c r="AE400" s="95"/>
      <c r="AF400" s="95"/>
      <c r="AG400" s="95"/>
      <c r="AH400" s="95"/>
      <c r="AI400" s="95"/>
      <c r="AJ400" s="95"/>
      <c r="AK400" s="95"/>
      <c r="AL400" s="95"/>
      <c r="AM400" s="95"/>
      <c r="AN400" s="96"/>
      <c r="AO400" s="96"/>
      <c r="AP400" s="96"/>
      <c r="AQ400" s="96"/>
      <c r="AR400" s="96"/>
      <c r="AS400" s="96"/>
      <c r="AT400" s="96"/>
      <c r="AU400" s="96"/>
      <c r="AV400" s="96"/>
      <c r="AW400" s="96"/>
      <c r="AX400" s="96"/>
      <c r="AY400" s="96"/>
      <c r="AZ400" s="96"/>
      <c r="BA400" s="96"/>
    </row>
    <row r="401" spans="1:53" s="97" customFormat="1" ht="12" customHeight="1">
      <c r="A401" s="8">
        <v>5110202</v>
      </c>
      <c r="B401" s="8" t="s">
        <v>229</v>
      </c>
      <c r="C401" s="80">
        <f>+VLOOKUP(A401,Clasificaciones!C:I,5,FALSE)</f>
        <v>0</v>
      </c>
      <c r="D401" s="80">
        <v>0</v>
      </c>
      <c r="E401" s="80">
        <v>0</v>
      </c>
      <c r="F401" s="80">
        <v>0</v>
      </c>
      <c r="G401" s="80">
        <f t="shared" si="125"/>
        <v>0</v>
      </c>
      <c r="H401" s="26">
        <v>0</v>
      </c>
      <c r="I401" s="26">
        <v>0</v>
      </c>
      <c r="J401" s="26">
        <v>0</v>
      </c>
      <c r="K401" s="26">
        <v>0</v>
      </c>
      <c r="L401" s="26">
        <v>0</v>
      </c>
      <c r="M401" s="26">
        <v>0</v>
      </c>
      <c r="N401" s="26">
        <v>0</v>
      </c>
      <c r="O401" s="26">
        <v>0</v>
      </c>
      <c r="P401" s="26">
        <v>0</v>
      </c>
      <c r="Q401" s="26">
        <v>0</v>
      </c>
      <c r="R401" s="26">
        <v>0</v>
      </c>
      <c r="S401" s="26">
        <v>0</v>
      </c>
      <c r="T401" s="26">
        <v>0</v>
      </c>
      <c r="U401" s="26">
        <v>0</v>
      </c>
      <c r="V401" s="26">
        <v>0</v>
      </c>
      <c r="W401" s="26">
        <v>0</v>
      </c>
      <c r="X401" s="26">
        <v>0</v>
      </c>
      <c r="Y401" s="26">
        <v>0</v>
      </c>
      <c r="Z401" s="26">
        <f t="shared" si="104"/>
        <v>0</v>
      </c>
      <c r="AA401" s="95"/>
      <c r="AB401" s="95"/>
      <c r="AC401" s="95"/>
      <c r="AD401" s="95"/>
      <c r="AE401" s="95"/>
      <c r="AF401" s="95"/>
      <c r="AG401" s="95"/>
      <c r="AH401" s="95"/>
      <c r="AI401" s="95"/>
      <c r="AJ401" s="95"/>
      <c r="AK401" s="95"/>
      <c r="AL401" s="95"/>
      <c r="AM401" s="95"/>
      <c r="AN401" s="96"/>
      <c r="AO401" s="96"/>
      <c r="AP401" s="96"/>
      <c r="AQ401" s="96"/>
      <c r="AR401" s="96"/>
      <c r="AS401" s="96"/>
      <c r="AT401" s="96"/>
      <c r="AU401" s="96"/>
      <c r="AV401" s="96"/>
      <c r="AW401" s="96"/>
      <c r="AX401" s="96"/>
      <c r="AY401" s="96"/>
      <c r="AZ401" s="96"/>
      <c r="BA401" s="96"/>
    </row>
    <row r="402" spans="1:53" s="97" customFormat="1" ht="12" customHeight="1">
      <c r="A402" s="8">
        <v>511020201</v>
      </c>
      <c r="B402" s="8" t="s">
        <v>789</v>
      </c>
      <c r="C402" s="80">
        <f>+VLOOKUP(A402,Clasificaciones!C:I,5,FALSE)</f>
        <v>8783330</v>
      </c>
      <c r="D402" s="80">
        <v>0</v>
      </c>
      <c r="E402" s="80">
        <v>0</v>
      </c>
      <c r="F402" s="80">
        <v>0</v>
      </c>
      <c r="G402" s="80">
        <f t="shared" si="125"/>
        <v>8783330</v>
      </c>
      <c r="H402" s="26">
        <f t="shared" ref="H402:H403" si="127">-G402</f>
        <v>-8783330</v>
      </c>
      <c r="I402" s="26">
        <v>0</v>
      </c>
      <c r="J402" s="26"/>
      <c r="K402" s="26">
        <v>0</v>
      </c>
      <c r="L402" s="26">
        <v>0</v>
      </c>
      <c r="M402" s="26">
        <v>0</v>
      </c>
      <c r="N402" s="26">
        <v>0</v>
      </c>
      <c r="O402" s="26">
        <v>0</v>
      </c>
      <c r="P402" s="26">
        <v>0</v>
      </c>
      <c r="Q402" s="26">
        <v>0</v>
      </c>
      <c r="R402" s="26">
        <v>0</v>
      </c>
      <c r="S402" s="26">
        <v>0</v>
      </c>
      <c r="T402" s="26">
        <v>0</v>
      </c>
      <c r="U402" s="26">
        <v>0</v>
      </c>
      <c r="V402" s="26">
        <v>0</v>
      </c>
      <c r="W402" s="26">
        <v>0</v>
      </c>
      <c r="X402" s="26">
        <v>0</v>
      </c>
      <c r="Y402" s="26">
        <v>0</v>
      </c>
      <c r="Z402" s="26">
        <f t="shared" si="104"/>
        <v>0</v>
      </c>
      <c r="AA402" s="95"/>
      <c r="AB402" s="95"/>
      <c r="AC402" s="95"/>
      <c r="AD402" s="95"/>
      <c r="AE402" s="95"/>
      <c r="AF402" s="95"/>
      <c r="AG402" s="95"/>
      <c r="AH402" s="95"/>
      <c r="AI402" s="95"/>
      <c r="AJ402" s="95"/>
      <c r="AK402" s="95"/>
      <c r="AL402" s="95"/>
      <c r="AM402" s="95"/>
      <c r="AN402" s="96"/>
      <c r="AO402" s="96"/>
      <c r="AP402" s="96"/>
      <c r="AQ402" s="96"/>
      <c r="AR402" s="96"/>
      <c r="AS402" s="96"/>
      <c r="AT402" s="96"/>
      <c r="AU402" s="96"/>
      <c r="AV402" s="96"/>
      <c r="AW402" s="96"/>
      <c r="AX402" s="96"/>
      <c r="AY402" s="96"/>
      <c r="AZ402" s="96"/>
      <c r="BA402" s="96"/>
    </row>
    <row r="403" spans="1:53" s="97" customFormat="1" ht="12" customHeight="1">
      <c r="A403" s="8">
        <v>511020202</v>
      </c>
      <c r="B403" s="8" t="s">
        <v>790</v>
      </c>
      <c r="C403" s="80">
        <f>+VLOOKUP(A403,Clasificaciones!C:I,5,FALSE)</f>
        <v>5878493</v>
      </c>
      <c r="D403" s="80">
        <v>0</v>
      </c>
      <c r="E403" s="80">
        <v>0</v>
      </c>
      <c r="F403" s="80">
        <v>0</v>
      </c>
      <c r="G403" s="80">
        <f t="shared" si="125"/>
        <v>5878493</v>
      </c>
      <c r="H403" s="26">
        <f t="shared" si="127"/>
        <v>-5878493</v>
      </c>
      <c r="I403" s="26">
        <v>0</v>
      </c>
      <c r="J403" s="26"/>
      <c r="K403" s="26">
        <v>0</v>
      </c>
      <c r="L403" s="26">
        <v>0</v>
      </c>
      <c r="M403" s="26">
        <v>0</v>
      </c>
      <c r="N403" s="26">
        <v>0</v>
      </c>
      <c r="O403" s="26">
        <v>0</v>
      </c>
      <c r="P403" s="26">
        <v>0</v>
      </c>
      <c r="Q403" s="26">
        <v>0</v>
      </c>
      <c r="R403" s="26">
        <v>0</v>
      </c>
      <c r="S403" s="26">
        <v>0</v>
      </c>
      <c r="T403" s="26">
        <v>0</v>
      </c>
      <c r="U403" s="26">
        <v>0</v>
      </c>
      <c r="V403" s="26">
        <v>0</v>
      </c>
      <c r="W403" s="26">
        <v>0</v>
      </c>
      <c r="X403" s="26">
        <v>0</v>
      </c>
      <c r="Y403" s="26">
        <v>0</v>
      </c>
      <c r="Z403" s="26">
        <f t="shared" si="104"/>
        <v>0</v>
      </c>
      <c r="AA403" s="95"/>
      <c r="AB403" s="95"/>
      <c r="AC403" s="95"/>
      <c r="AD403" s="95"/>
      <c r="AE403" s="95"/>
      <c r="AF403" s="95"/>
      <c r="AG403" s="95"/>
      <c r="AH403" s="95"/>
      <c r="AI403" s="95"/>
      <c r="AJ403" s="95"/>
      <c r="AK403" s="95"/>
      <c r="AL403" s="95"/>
      <c r="AM403" s="95"/>
      <c r="AN403" s="96"/>
      <c r="AO403" s="96"/>
      <c r="AP403" s="96"/>
      <c r="AQ403" s="96"/>
      <c r="AR403" s="96"/>
      <c r="AS403" s="96"/>
      <c r="AT403" s="96"/>
      <c r="AU403" s="96"/>
      <c r="AV403" s="96"/>
      <c r="AW403" s="96"/>
      <c r="AX403" s="96"/>
      <c r="AY403" s="96"/>
      <c r="AZ403" s="96"/>
      <c r="BA403" s="96"/>
    </row>
    <row r="404" spans="1:53" s="97" customFormat="1" ht="12" customHeight="1">
      <c r="A404" s="8">
        <v>5110203</v>
      </c>
      <c r="B404" s="8" t="s">
        <v>702</v>
      </c>
      <c r="C404" s="80">
        <f>+VLOOKUP(A404,Clasificaciones!C:I,5,FALSE)</f>
        <v>0</v>
      </c>
      <c r="D404" s="80">
        <v>0</v>
      </c>
      <c r="E404" s="80">
        <v>0</v>
      </c>
      <c r="F404" s="80">
        <v>0</v>
      </c>
      <c r="G404" s="80">
        <f t="shared" si="125"/>
        <v>0</v>
      </c>
      <c r="H404" s="26">
        <v>0</v>
      </c>
      <c r="I404" s="26">
        <v>0</v>
      </c>
      <c r="J404" s="26"/>
      <c r="K404" s="26">
        <v>0</v>
      </c>
      <c r="L404" s="26">
        <f>-G404</f>
        <v>0</v>
      </c>
      <c r="M404" s="26">
        <v>0</v>
      </c>
      <c r="N404" s="26">
        <v>0</v>
      </c>
      <c r="O404" s="26">
        <v>0</v>
      </c>
      <c r="P404" s="26">
        <v>0</v>
      </c>
      <c r="Q404" s="26">
        <v>0</v>
      </c>
      <c r="R404" s="26">
        <v>0</v>
      </c>
      <c r="S404" s="26">
        <v>0</v>
      </c>
      <c r="T404" s="26">
        <v>0</v>
      </c>
      <c r="U404" s="26">
        <v>0</v>
      </c>
      <c r="V404" s="26">
        <v>0</v>
      </c>
      <c r="W404" s="26">
        <v>0</v>
      </c>
      <c r="X404" s="26">
        <v>0</v>
      </c>
      <c r="Y404" s="26">
        <v>0</v>
      </c>
      <c r="Z404" s="26">
        <f t="shared" si="104"/>
        <v>0</v>
      </c>
      <c r="AA404" s="95"/>
      <c r="AB404" s="95"/>
      <c r="AC404" s="95"/>
      <c r="AD404" s="95"/>
      <c r="AE404" s="95"/>
      <c r="AF404" s="95"/>
      <c r="AG404" s="95"/>
      <c r="AH404" s="95"/>
      <c r="AI404" s="95"/>
      <c r="AJ404" s="95"/>
      <c r="AK404" s="95"/>
      <c r="AL404" s="95"/>
      <c r="AM404" s="95"/>
      <c r="AN404" s="96"/>
      <c r="AO404" s="96"/>
      <c r="AP404" s="96"/>
      <c r="AQ404" s="96"/>
      <c r="AR404" s="96"/>
      <c r="AS404" s="96"/>
      <c r="AT404" s="96"/>
      <c r="AU404" s="96"/>
      <c r="AV404" s="96"/>
      <c r="AW404" s="96"/>
      <c r="AX404" s="96"/>
      <c r="AY404" s="96"/>
      <c r="AZ404" s="96"/>
      <c r="BA404" s="96"/>
    </row>
    <row r="405" spans="1:53" s="97" customFormat="1" ht="12" customHeight="1">
      <c r="A405" s="8">
        <v>51103</v>
      </c>
      <c r="B405" s="8" t="s">
        <v>217</v>
      </c>
      <c r="C405" s="80">
        <f>+VLOOKUP(A405,Clasificaciones!C:I,5,FALSE)</f>
        <v>0</v>
      </c>
      <c r="D405" s="80">
        <v>0</v>
      </c>
      <c r="E405" s="80">
        <v>0</v>
      </c>
      <c r="F405" s="80">
        <v>0</v>
      </c>
      <c r="G405" s="80">
        <f t="shared" si="125"/>
        <v>0</v>
      </c>
      <c r="H405" s="26">
        <v>0</v>
      </c>
      <c r="I405" s="26">
        <v>0</v>
      </c>
      <c r="J405" s="26">
        <f>-G405</f>
        <v>0</v>
      </c>
      <c r="K405" s="26">
        <v>0</v>
      </c>
      <c r="L405" s="26">
        <v>0</v>
      </c>
      <c r="M405" s="26">
        <v>0</v>
      </c>
      <c r="N405" s="26">
        <v>0</v>
      </c>
      <c r="O405" s="26">
        <v>0</v>
      </c>
      <c r="P405" s="26">
        <v>0</v>
      </c>
      <c r="Q405" s="26">
        <v>0</v>
      </c>
      <c r="R405" s="26">
        <v>0</v>
      </c>
      <c r="S405" s="26">
        <v>0</v>
      </c>
      <c r="T405" s="26">
        <v>0</v>
      </c>
      <c r="U405" s="26">
        <v>0</v>
      </c>
      <c r="V405" s="26">
        <v>0</v>
      </c>
      <c r="W405" s="26">
        <v>0</v>
      </c>
      <c r="X405" s="26">
        <v>0</v>
      </c>
      <c r="Y405" s="26">
        <v>0</v>
      </c>
      <c r="Z405" s="26">
        <f t="shared" si="104"/>
        <v>0</v>
      </c>
      <c r="AA405" s="95"/>
      <c r="AB405" s="95"/>
      <c r="AC405" s="95"/>
      <c r="AD405" s="95"/>
      <c r="AE405" s="95"/>
      <c r="AF405" s="95"/>
      <c r="AG405" s="95"/>
      <c r="AH405" s="95"/>
      <c r="AI405" s="95"/>
      <c r="AJ405" s="95"/>
      <c r="AK405" s="95"/>
      <c r="AL405" s="95"/>
      <c r="AM405" s="95"/>
      <c r="AN405" s="96"/>
      <c r="AO405" s="96"/>
      <c r="AP405" s="96"/>
      <c r="AQ405" s="96"/>
      <c r="AR405" s="96"/>
      <c r="AS405" s="96"/>
      <c r="AT405" s="96"/>
      <c r="AU405" s="96"/>
      <c r="AV405" s="96"/>
      <c r="AW405" s="96"/>
      <c r="AX405" s="96"/>
      <c r="AY405" s="96"/>
      <c r="AZ405" s="96"/>
      <c r="BA405" s="96"/>
    </row>
    <row r="406" spans="1:53" s="97" customFormat="1" ht="12" customHeight="1">
      <c r="A406" s="8">
        <v>5110301</v>
      </c>
      <c r="B406" s="8" t="s">
        <v>777</v>
      </c>
      <c r="C406" s="80">
        <f>+VLOOKUP(A406,Clasificaciones!C:I,5,FALSE)</f>
        <v>0</v>
      </c>
      <c r="D406" s="80">
        <v>0</v>
      </c>
      <c r="E406" s="80">
        <v>0</v>
      </c>
      <c r="F406" s="80">
        <v>0</v>
      </c>
      <c r="G406" s="80">
        <f t="shared" si="125"/>
        <v>0</v>
      </c>
      <c r="H406" s="26">
        <v>0</v>
      </c>
      <c r="I406" s="26">
        <v>0</v>
      </c>
      <c r="J406" s="26">
        <v>0</v>
      </c>
      <c r="K406" s="26">
        <v>0</v>
      </c>
      <c r="L406" s="26">
        <v>0</v>
      </c>
      <c r="M406" s="26">
        <v>0</v>
      </c>
      <c r="N406" s="26">
        <v>0</v>
      </c>
      <c r="O406" s="26">
        <v>0</v>
      </c>
      <c r="P406" s="26">
        <v>0</v>
      </c>
      <c r="Q406" s="26">
        <v>0</v>
      </c>
      <c r="R406" s="26">
        <v>0</v>
      </c>
      <c r="S406" s="26">
        <v>0</v>
      </c>
      <c r="T406" s="26">
        <v>0</v>
      </c>
      <c r="U406" s="26">
        <v>0</v>
      </c>
      <c r="V406" s="26">
        <v>0</v>
      </c>
      <c r="W406" s="26">
        <v>0</v>
      </c>
      <c r="X406" s="26">
        <v>0</v>
      </c>
      <c r="Y406" s="26">
        <v>0</v>
      </c>
      <c r="Z406" s="26">
        <f t="shared" si="104"/>
        <v>0</v>
      </c>
      <c r="AA406" s="95"/>
      <c r="AB406" s="95"/>
      <c r="AC406" s="95"/>
      <c r="AD406" s="95"/>
      <c r="AE406" s="95"/>
      <c r="AF406" s="95"/>
      <c r="AG406" s="95"/>
      <c r="AH406" s="95"/>
      <c r="AI406" s="95"/>
      <c r="AJ406" s="95"/>
      <c r="AK406" s="95"/>
      <c r="AL406" s="95"/>
      <c r="AM406" s="95"/>
      <c r="AN406" s="96"/>
      <c r="AO406" s="96"/>
      <c r="AP406" s="96"/>
      <c r="AQ406" s="96"/>
      <c r="AR406" s="96"/>
      <c r="AS406" s="96"/>
      <c r="AT406" s="96"/>
      <c r="AU406" s="96"/>
      <c r="AV406" s="96"/>
      <c r="AW406" s="96"/>
      <c r="AX406" s="96"/>
      <c r="AY406" s="96"/>
      <c r="AZ406" s="96"/>
      <c r="BA406" s="96"/>
    </row>
    <row r="407" spans="1:53" s="97" customFormat="1" ht="12" customHeight="1">
      <c r="A407" s="8">
        <v>511030101</v>
      </c>
      <c r="B407" s="8" t="s">
        <v>1063</v>
      </c>
      <c r="C407" s="80">
        <f>+VLOOKUP(A407,Clasificaciones!C:I,5,FALSE)</f>
        <v>0</v>
      </c>
      <c r="D407" s="80">
        <v>0</v>
      </c>
      <c r="E407" s="80">
        <v>0</v>
      </c>
      <c r="F407" s="80">
        <v>0</v>
      </c>
      <c r="G407" s="80">
        <f t="shared" si="125"/>
        <v>0</v>
      </c>
      <c r="H407" s="26">
        <v>0</v>
      </c>
      <c r="I407" s="26">
        <v>0</v>
      </c>
      <c r="J407" s="26">
        <f>-G407</f>
        <v>0</v>
      </c>
      <c r="K407" s="26">
        <v>0</v>
      </c>
      <c r="L407" s="26">
        <v>0</v>
      </c>
      <c r="M407" s="26">
        <v>0</v>
      </c>
      <c r="N407" s="26">
        <v>0</v>
      </c>
      <c r="O407" s="26">
        <v>0</v>
      </c>
      <c r="P407" s="26">
        <v>0</v>
      </c>
      <c r="Q407" s="26">
        <v>0</v>
      </c>
      <c r="R407" s="26">
        <v>0</v>
      </c>
      <c r="S407" s="26">
        <v>0</v>
      </c>
      <c r="T407" s="26">
        <v>0</v>
      </c>
      <c r="U407" s="26">
        <v>0</v>
      </c>
      <c r="V407" s="26">
        <v>0</v>
      </c>
      <c r="W407" s="26">
        <v>0</v>
      </c>
      <c r="X407" s="26">
        <v>0</v>
      </c>
      <c r="Y407" s="26">
        <v>0</v>
      </c>
      <c r="Z407" s="26">
        <f t="shared" si="104"/>
        <v>0</v>
      </c>
      <c r="AA407" s="95"/>
      <c r="AB407" s="95"/>
      <c r="AC407" s="95"/>
      <c r="AD407" s="95"/>
      <c r="AE407" s="95"/>
      <c r="AF407" s="95"/>
      <c r="AG407" s="95"/>
      <c r="AH407" s="95"/>
      <c r="AI407" s="95"/>
      <c r="AJ407" s="95"/>
      <c r="AK407" s="95"/>
      <c r="AL407" s="95"/>
      <c r="AM407" s="95"/>
      <c r="AN407" s="96"/>
      <c r="AO407" s="96"/>
      <c r="AP407" s="96"/>
      <c r="AQ407" s="96"/>
      <c r="AR407" s="96"/>
      <c r="AS407" s="96"/>
      <c r="AT407" s="96"/>
      <c r="AU407" s="96"/>
      <c r="AV407" s="96"/>
      <c r="AW407" s="96"/>
      <c r="AX407" s="96"/>
      <c r="AY407" s="96"/>
      <c r="AZ407" s="96"/>
      <c r="BA407" s="96"/>
    </row>
    <row r="408" spans="1:53" s="97" customFormat="1" ht="12" customHeight="1">
      <c r="A408" s="8">
        <v>51103010101</v>
      </c>
      <c r="B408" s="8" t="s">
        <v>767</v>
      </c>
      <c r="C408" s="80">
        <f>+VLOOKUP(A408,Clasificaciones!C:I,5,FALSE)</f>
        <v>104367348</v>
      </c>
      <c r="D408" s="80">
        <v>0</v>
      </c>
      <c r="E408" s="80">
        <v>0</v>
      </c>
      <c r="F408" s="80">
        <v>0</v>
      </c>
      <c r="G408" s="80">
        <f t="shared" si="125"/>
        <v>104367348</v>
      </c>
      <c r="H408" s="26">
        <f t="shared" ref="H408:H413" si="128">-G408</f>
        <v>-104367348</v>
      </c>
      <c r="I408" s="26">
        <v>0</v>
      </c>
      <c r="J408" s="26">
        <v>0</v>
      </c>
      <c r="K408" s="26">
        <v>0</v>
      </c>
      <c r="L408" s="26">
        <v>0</v>
      </c>
      <c r="M408" s="26">
        <v>0</v>
      </c>
      <c r="N408" s="26">
        <v>0</v>
      </c>
      <c r="O408" s="26">
        <v>0</v>
      </c>
      <c r="P408" s="26">
        <v>0</v>
      </c>
      <c r="Q408" s="26">
        <v>0</v>
      </c>
      <c r="R408" s="26"/>
      <c r="S408" s="26">
        <v>0</v>
      </c>
      <c r="T408" s="26">
        <v>0</v>
      </c>
      <c r="U408" s="26">
        <v>0</v>
      </c>
      <c r="V408" s="26">
        <v>0</v>
      </c>
      <c r="W408" s="26">
        <v>0</v>
      </c>
      <c r="X408" s="26">
        <v>0</v>
      </c>
      <c r="Y408" s="26">
        <v>0</v>
      </c>
      <c r="Z408" s="26">
        <f t="shared" si="104"/>
        <v>0</v>
      </c>
      <c r="AA408" s="95"/>
      <c r="AB408" s="95"/>
      <c r="AC408" s="95"/>
      <c r="AD408" s="95"/>
      <c r="AE408" s="95"/>
      <c r="AF408" s="95"/>
      <c r="AG408" s="95"/>
      <c r="AH408" s="95"/>
      <c r="AI408" s="95"/>
      <c r="AJ408" s="95"/>
      <c r="AK408" s="95"/>
      <c r="AL408" s="95"/>
      <c r="AM408" s="95"/>
      <c r="AN408" s="96"/>
      <c r="AO408" s="96"/>
      <c r="AP408" s="96"/>
      <c r="AQ408" s="96"/>
      <c r="AR408" s="96"/>
      <c r="AS408" s="96"/>
      <c r="AT408" s="96"/>
      <c r="AU408" s="96"/>
      <c r="AV408" s="96"/>
      <c r="AW408" s="96"/>
      <c r="AX408" s="96"/>
      <c r="AY408" s="96"/>
      <c r="AZ408" s="96"/>
      <c r="BA408" s="96"/>
    </row>
    <row r="409" spans="1:53" s="97" customFormat="1" ht="12" customHeight="1">
      <c r="A409" s="8">
        <v>51103010102</v>
      </c>
      <c r="B409" s="8" t="s">
        <v>653</v>
      </c>
      <c r="C409" s="80">
        <f>+VLOOKUP(A409,Clasificaciones!C:I,5,FALSE)</f>
        <v>782051372</v>
      </c>
      <c r="D409" s="80">
        <v>0</v>
      </c>
      <c r="E409" s="80">
        <v>0</v>
      </c>
      <c r="F409" s="80">
        <v>0</v>
      </c>
      <c r="G409" s="80">
        <f t="shared" si="125"/>
        <v>782051372</v>
      </c>
      <c r="H409" s="26">
        <f t="shared" si="128"/>
        <v>-782051372</v>
      </c>
      <c r="I409" s="26">
        <v>0</v>
      </c>
      <c r="J409" s="26">
        <v>0</v>
      </c>
      <c r="K409" s="26">
        <v>0</v>
      </c>
      <c r="L409" s="26">
        <v>0</v>
      </c>
      <c r="M409" s="26">
        <v>0</v>
      </c>
      <c r="N409" s="26">
        <v>0</v>
      </c>
      <c r="O409" s="26">
        <v>0</v>
      </c>
      <c r="P409" s="26">
        <v>0</v>
      </c>
      <c r="Q409" s="26">
        <v>0</v>
      </c>
      <c r="R409" s="26"/>
      <c r="S409" s="26">
        <v>0</v>
      </c>
      <c r="T409" s="26">
        <v>0</v>
      </c>
      <c r="U409" s="26">
        <v>0</v>
      </c>
      <c r="V409" s="26">
        <v>0</v>
      </c>
      <c r="W409" s="26">
        <v>0</v>
      </c>
      <c r="X409" s="26">
        <v>0</v>
      </c>
      <c r="Y409" s="26">
        <v>0</v>
      </c>
      <c r="Z409" s="26">
        <f t="shared" si="104"/>
        <v>0</v>
      </c>
      <c r="AA409" s="95"/>
      <c r="AB409" s="95"/>
      <c r="AC409" s="95"/>
      <c r="AD409" s="95"/>
      <c r="AE409" s="95"/>
      <c r="AF409" s="95"/>
      <c r="AG409" s="95"/>
      <c r="AH409" s="95"/>
      <c r="AI409" s="95"/>
      <c r="AJ409" s="95"/>
      <c r="AK409" s="95"/>
      <c r="AL409" s="95"/>
      <c r="AM409" s="95"/>
      <c r="AN409" s="96"/>
      <c r="AO409" s="96"/>
      <c r="AP409" s="96"/>
      <c r="AQ409" s="96"/>
      <c r="AR409" s="96"/>
      <c r="AS409" s="96"/>
      <c r="AT409" s="96"/>
      <c r="AU409" s="96"/>
      <c r="AV409" s="96"/>
      <c r="AW409" s="96"/>
      <c r="AX409" s="96"/>
      <c r="AY409" s="96"/>
      <c r="AZ409" s="96"/>
      <c r="BA409" s="96"/>
    </row>
    <row r="410" spans="1:53" s="97" customFormat="1" ht="12" customHeight="1">
      <c r="A410" s="8">
        <v>51103010103</v>
      </c>
      <c r="B410" s="8" t="s">
        <v>660</v>
      </c>
      <c r="C410" s="80">
        <f>+VLOOKUP(A410,Clasificaciones!C:I,5,FALSE)</f>
        <v>214001678</v>
      </c>
      <c r="D410" s="80">
        <v>0</v>
      </c>
      <c r="E410" s="80">
        <v>0</v>
      </c>
      <c r="F410" s="80">
        <v>0</v>
      </c>
      <c r="G410" s="80">
        <f t="shared" si="125"/>
        <v>214001678</v>
      </c>
      <c r="H410" s="26">
        <f t="shared" si="128"/>
        <v>-214001678</v>
      </c>
      <c r="I410" s="26">
        <v>0</v>
      </c>
      <c r="J410" s="26">
        <v>0</v>
      </c>
      <c r="K410" s="26">
        <v>0</v>
      </c>
      <c r="L410" s="26">
        <v>0</v>
      </c>
      <c r="M410" s="26">
        <v>0</v>
      </c>
      <c r="N410" s="26">
        <v>0</v>
      </c>
      <c r="O410" s="26">
        <v>0</v>
      </c>
      <c r="P410" s="26">
        <v>0</v>
      </c>
      <c r="Q410" s="26">
        <v>0</v>
      </c>
      <c r="R410" s="26"/>
      <c r="S410" s="26">
        <v>0</v>
      </c>
      <c r="T410" s="26">
        <v>0</v>
      </c>
      <c r="U410" s="26">
        <v>0</v>
      </c>
      <c r="V410" s="26">
        <v>0</v>
      </c>
      <c r="W410" s="26">
        <v>0</v>
      </c>
      <c r="X410" s="26">
        <v>0</v>
      </c>
      <c r="Y410" s="26">
        <v>0</v>
      </c>
      <c r="Z410" s="26">
        <f t="shared" si="104"/>
        <v>0</v>
      </c>
      <c r="AA410" s="95"/>
      <c r="AB410" s="95"/>
      <c r="AC410" s="95"/>
      <c r="AD410" s="95"/>
      <c r="AE410" s="95"/>
      <c r="AF410" s="95"/>
      <c r="AG410" s="95"/>
      <c r="AH410" s="95"/>
      <c r="AI410" s="95"/>
      <c r="AJ410" s="95"/>
      <c r="AK410" s="95"/>
      <c r="AL410" s="95"/>
      <c r="AM410" s="95"/>
      <c r="AN410" s="96"/>
      <c r="AO410" s="96"/>
      <c r="AP410" s="96"/>
      <c r="AQ410" s="96"/>
      <c r="AR410" s="96"/>
      <c r="AS410" s="96"/>
      <c r="AT410" s="96"/>
      <c r="AU410" s="96"/>
      <c r="AV410" s="96"/>
      <c r="AW410" s="96"/>
      <c r="AX410" s="96"/>
      <c r="AY410" s="96"/>
      <c r="AZ410" s="96"/>
      <c r="BA410" s="96"/>
    </row>
    <row r="411" spans="1:53" s="97" customFormat="1" ht="12" customHeight="1">
      <c r="A411" s="8">
        <v>51103010104</v>
      </c>
      <c r="B411" s="8" t="s">
        <v>764</v>
      </c>
      <c r="C411" s="80">
        <f>+VLOOKUP(A411,Clasificaciones!C:I,5,FALSE)</f>
        <v>287087011</v>
      </c>
      <c r="D411" s="80">
        <v>0</v>
      </c>
      <c r="E411" s="80">
        <v>0</v>
      </c>
      <c r="F411" s="80">
        <v>0</v>
      </c>
      <c r="G411" s="80">
        <f t="shared" si="125"/>
        <v>287087011</v>
      </c>
      <c r="H411" s="26">
        <f t="shared" si="128"/>
        <v>-287087011</v>
      </c>
      <c r="I411" s="26">
        <v>0</v>
      </c>
      <c r="J411" s="26">
        <v>0</v>
      </c>
      <c r="K411" s="26">
        <v>0</v>
      </c>
      <c r="L411" s="26">
        <v>0</v>
      </c>
      <c r="M411" s="26">
        <v>0</v>
      </c>
      <c r="N411" s="26">
        <v>0</v>
      </c>
      <c r="O411" s="26">
        <v>0</v>
      </c>
      <c r="P411" s="26">
        <v>0</v>
      </c>
      <c r="Q411" s="26">
        <v>0</v>
      </c>
      <c r="R411" s="26"/>
      <c r="S411" s="26">
        <v>0</v>
      </c>
      <c r="T411" s="26">
        <v>0</v>
      </c>
      <c r="U411" s="26">
        <v>0</v>
      </c>
      <c r="V411" s="26">
        <v>0</v>
      </c>
      <c r="W411" s="26">
        <v>0</v>
      </c>
      <c r="X411" s="26">
        <v>0</v>
      </c>
      <c r="Y411" s="26">
        <v>0</v>
      </c>
      <c r="Z411" s="26">
        <f t="shared" si="104"/>
        <v>0</v>
      </c>
      <c r="AA411" s="95"/>
      <c r="AB411" s="95"/>
      <c r="AC411" s="95"/>
      <c r="AD411" s="95"/>
      <c r="AE411" s="95"/>
      <c r="AF411" s="95"/>
      <c r="AG411" s="95"/>
      <c r="AH411" s="95"/>
      <c r="AI411" s="95"/>
      <c r="AJ411" s="95"/>
      <c r="AK411" s="95"/>
      <c r="AL411" s="95"/>
      <c r="AM411" s="95"/>
      <c r="AN411" s="96"/>
      <c r="AO411" s="96"/>
      <c r="AP411" s="96"/>
      <c r="AQ411" s="96"/>
      <c r="AR411" s="96"/>
      <c r="AS411" s="96"/>
      <c r="AT411" s="96"/>
      <c r="AU411" s="96"/>
      <c r="AV411" s="96"/>
      <c r="AW411" s="96"/>
      <c r="AX411" s="96"/>
      <c r="AY411" s="96"/>
      <c r="AZ411" s="96"/>
      <c r="BA411" s="96"/>
    </row>
    <row r="412" spans="1:53" s="97" customFormat="1" ht="12" customHeight="1">
      <c r="A412" s="8">
        <v>51103010105</v>
      </c>
      <c r="B412" s="8" t="s">
        <v>1238</v>
      </c>
      <c r="C412" s="80">
        <f>+VLOOKUP(A412,Clasificaciones!C:I,5,FALSE)</f>
        <v>738893458</v>
      </c>
      <c r="D412" s="80">
        <v>0</v>
      </c>
      <c r="E412" s="80">
        <v>0</v>
      </c>
      <c r="F412" s="80">
        <v>0</v>
      </c>
      <c r="G412" s="80">
        <f t="shared" si="125"/>
        <v>738893458</v>
      </c>
      <c r="H412" s="26">
        <f t="shared" si="128"/>
        <v>-738893458</v>
      </c>
      <c r="I412" s="26">
        <v>0</v>
      </c>
      <c r="J412" s="26">
        <v>0</v>
      </c>
      <c r="K412" s="26">
        <v>0</v>
      </c>
      <c r="L412" s="26">
        <v>0</v>
      </c>
      <c r="M412" s="26">
        <v>0</v>
      </c>
      <c r="N412" s="26">
        <v>0</v>
      </c>
      <c r="O412" s="26">
        <v>0</v>
      </c>
      <c r="P412" s="26">
        <v>0</v>
      </c>
      <c r="Q412" s="26">
        <v>0</v>
      </c>
      <c r="R412" s="26"/>
      <c r="S412" s="26">
        <v>0</v>
      </c>
      <c r="T412" s="26">
        <v>0</v>
      </c>
      <c r="U412" s="26">
        <v>0</v>
      </c>
      <c r="V412" s="26">
        <v>0</v>
      </c>
      <c r="W412" s="26">
        <v>0</v>
      </c>
      <c r="X412" s="26">
        <v>0</v>
      </c>
      <c r="Y412" s="26">
        <v>0</v>
      </c>
      <c r="Z412" s="26">
        <f t="shared" si="104"/>
        <v>0</v>
      </c>
      <c r="AA412" s="95"/>
      <c r="AB412" s="95"/>
      <c r="AC412" s="95"/>
      <c r="AD412" s="95"/>
      <c r="AE412" s="95"/>
      <c r="AF412" s="95"/>
      <c r="AG412" s="95"/>
      <c r="AH412" s="95"/>
      <c r="AI412" s="95"/>
      <c r="AJ412" s="95"/>
      <c r="AK412" s="95"/>
      <c r="AL412" s="95"/>
      <c r="AM412" s="95"/>
      <c r="AN412" s="96"/>
      <c r="AO412" s="96"/>
      <c r="AP412" s="96"/>
      <c r="AQ412" s="96"/>
      <c r="AR412" s="96"/>
      <c r="AS412" s="96"/>
      <c r="AT412" s="96"/>
      <c r="AU412" s="96"/>
      <c r="AV412" s="96"/>
      <c r="AW412" s="96"/>
      <c r="AX412" s="96"/>
      <c r="AY412" s="96"/>
      <c r="AZ412" s="96"/>
      <c r="BA412" s="96"/>
    </row>
    <row r="413" spans="1:53" s="97" customFormat="1" ht="12" customHeight="1">
      <c r="A413" s="8">
        <v>51103010106</v>
      </c>
      <c r="B413" s="8" t="s">
        <v>1264</v>
      </c>
      <c r="C413" s="80">
        <f>+VLOOKUP(A413,Clasificaciones!C:I,5,FALSE)</f>
        <v>28298329</v>
      </c>
      <c r="D413" s="80">
        <v>0</v>
      </c>
      <c r="E413" s="80">
        <v>0</v>
      </c>
      <c r="F413" s="80">
        <v>0</v>
      </c>
      <c r="G413" s="80">
        <f t="shared" ref="G413" si="129">+C413-F413+D413-E413</f>
        <v>28298329</v>
      </c>
      <c r="H413" s="26">
        <f t="shared" si="128"/>
        <v>-28298329</v>
      </c>
      <c r="I413" s="26">
        <v>0</v>
      </c>
      <c r="J413" s="26">
        <v>0</v>
      </c>
      <c r="K413" s="26">
        <v>0</v>
      </c>
      <c r="L413" s="26">
        <v>0</v>
      </c>
      <c r="M413" s="26">
        <v>0</v>
      </c>
      <c r="N413" s="26">
        <v>0</v>
      </c>
      <c r="O413" s="26">
        <v>0</v>
      </c>
      <c r="P413" s="26">
        <v>0</v>
      </c>
      <c r="Q413" s="26">
        <v>0</v>
      </c>
      <c r="R413" s="26"/>
      <c r="S413" s="26">
        <v>0</v>
      </c>
      <c r="T413" s="26">
        <v>0</v>
      </c>
      <c r="U413" s="26">
        <v>0</v>
      </c>
      <c r="V413" s="26">
        <v>0</v>
      </c>
      <c r="W413" s="26">
        <v>0</v>
      </c>
      <c r="X413" s="26">
        <v>0</v>
      </c>
      <c r="Y413" s="26">
        <v>0</v>
      </c>
      <c r="Z413" s="26">
        <f t="shared" si="104"/>
        <v>0</v>
      </c>
      <c r="AA413" s="95"/>
      <c r="AB413" s="95"/>
      <c r="AC413" s="95"/>
      <c r="AD413" s="95"/>
      <c r="AE413" s="95"/>
      <c r="AF413" s="95"/>
      <c r="AG413" s="95"/>
      <c r="AH413" s="95"/>
      <c r="AI413" s="95"/>
      <c r="AJ413" s="95"/>
      <c r="AK413" s="95"/>
      <c r="AL413" s="95"/>
      <c r="AM413" s="95"/>
      <c r="AN413" s="96"/>
      <c r="AO413" s="96"/>
      <c r="AP413" s="96"/>
      <c r="AQ413" s="96"/>
      <c r="AR413" s="96"/>
      <c r="AS413" s="96"/>
      <c r="AT413" s="96"/>
      <c r="AU413" s="96"/>
      <c r="AV413" s="96"/>
      <c r="AW413" s="96"/>
      <c r="AX413" s="96"/>
      <c r="AY413" s="96"/>
      <c r="AZ413" s="96"/>
      <c r="BA413" s="96"/>
    </row>
    <row r="414" spans="1:53" s="97" customFormat="1" ht="12" customHeight="1">
      <c r="A414" s="8">
        <v>51103010107</v>
      </c>
      <c r="B414" s="8" t="s">
        <v>1502</v>
      </c>
      <c r="C414" s="80">
        <f>+VLOOKUP(A414,Clasificaciones!C:I,5,FALSE)</f>
        <v>338516262</v>
      </c>
      <c r="D414" s="80">
        <v>0</v>
      </c>
      <c r="E414" s="80">
        <v>0</v>
      </c>
      <c r="F414" s="80">
        <v>0</v>
      </c>
      <c r="G414" s="80">
        <f t="shared" ref="G414" si="130">+C414-F414+D414-E414</f>
        <v>338516262</v>
      </c>
      <c r="H414" s="26">
        <f t="shared" ref="H414" si="131">-G414</f>
        <v>-338516262</v>
      </c>
      <c r="I414" s="26">
        <v>0</v>
      </c>
      <c r="J414" s="26">
        <v>0</v>
      </c>
      <c r="K414" s="26">
        <v>0</v>
      </c>
      <c r="L414" s="26">
        <v>0</v>
      </c>
      <c r="M414" s="26">
        <v>0</v>
      </c>
      <c r="N414" s="26">
        <v>0</v>
      </c>
      <c r="O414" s="26">
        <v>0</v>
      </c>
      <c r="P414" s="26">
        <v>0</v>
      </c>
      <c r="Q414" s="26">
        <v>0</v>
      </c>
      <c r="R414" s="26"/>
      <c r="S414" s="26">
        <v>0</v>
      </c>
      <c r="T414" s="26">
        <v>0</v>
      </c>
      <c r="U414" s="26">
        <v>0</v>
      </c>
      <c r="V414" s="26">
        <v>0</v>
      </c>
      <c r="W414" s="26">
        <v>0</v>
      </c>
      <c r="X414" s="26">
        <v>0</v>
      </c>
      <c r="Y414" s="26">
        <v>0</v>
      </c>
      <c r="Z414" s="26">
        <f t="shared" ref="Z414" si="132">SUM(G414:Y414)</f>
        <v>0</v>
      </c>
      <c r="AA414" s="95"/>
      <c r="AB414" s="95"/>
      <c r="AC414" s="95"/>
      <c r="AD414" s="95"/>
      <c r="AE414" s="95"/>
      <c r="AF414" s="95"/>
      <c r="AG414" s="95"/>
      <c r="AH414" s="95"/>
      <c r="AI414" s="95"/>
      <c r="AJ414" s="95"/>
      <c r="AK414" s="95"/>
      <c r="AL414" s="95"/>
      <c r="AM414" s="95"/>
      <c r="AN414" s="96"/>
      <c r="AO414" s="96"/>
      <c r="AP414" s="96"/>
      <c r="AQ414" s="96"/>
      <c r="AR414" s="96"/>
      <c r="AS414" s="96"/>
      <c r="AT414" s="96"/>
      <c r="AU414" s="96"/>
      <c r="AV414" s="96"/>
      <c r="AW414" s="96"/>
      <c r="AX414" s="96"/>
      <c r="AY414" s="96"/>
      <c r="AZ414" s="96"/>
      <c r="BA414" s="96"/>
    </row>
    <row r="415" spans="1:53" s="97" customFormat="1" ht="12" customHeight="1">
      <c r="A415" s="8">
        <v>511030120</v>
      </c>
      <c r="B415" s="8" t="s">
        <v>804</v>
      </c>
      <c r="C415" s="80">
        <f>+VLOOKUP(A415,Clasificaciones!C:I,5,FALSE)</f>
        <v>0</v>
      </c>
      <c r="D415" s="80">
        <v>0</v>
      </c>
      <c r="E415" s="80">
        <v>0</v>
      </c>
      <c r="F415" s="80">
        <v>0</v>
      </c>
      <c r="G415" s="80">
        <f t="shared" si="125"/>
        <v>0</v>
      </c>
      <c r="H415" s="26">
        <v>0</v>
      </c>
      <c r="I415" s="26">
        <v>0</v>
      </c>
      <c r="J415" s="26">
        <v>0</v>
      </c>
      <c r="K415" s="26">
        <v>0</v>
      </c>
      <c r="L415" s="26">
        <v>0</v>
      </c>
      <c r="M415" s="26">
        <v>0</v>
      </c>
      <c r="N415" s="26">
        <v>0</v>
      </c>
      <c r="O415" s="26">
        <v>0</v>
      </c>
      <c r="P415" s="26">
        <v>0</v>
      </c>
      <c r="Q415" s="26">
        <v>0</v>
      </c>
      <c r="R415" s="26">
        <f t="shared" ref="R415" si="133">-G415</f>
        <v>0</v>
      </c>
      <c r="S415" s="26">
        <v>0</v>
      </c>
      <c r="T415" s="26">
        <v>0</v>
      </c>
      <c r="U415" s="26">
        <v>0</v>
      </c>
      <c r="V415" s="26">
        <v>0</v>
      </c>
      <c r="W415" s="26">
        <v>0</v>
      </c>
      <c r="X415" s="26">
        <v>0</v>
      </c>
      <c r="Y415" s="26">
        <v>0</v>
      </c>
      <c r="Z415" s="26">
        <f t="shared" si="104"/>
        <v>0</v>
      </c>
      <c r="AA415" s="95"/>
      <c r="AB415" s="95"/>
      <c r="AC415" s="95"/>
      <c r="AD415" s="95"/>
      <c r="AE415" s="95"/>
      <c r="AF415" s="95"/>
      <c r="AG415" s="95"/>
      <c r="AH415" s="95"/>
      <c r="AI415" s="95"/>
      <c r="AJ415" s="95"/>
      <c r="AK415" s="95"/>
      <c r="AL415" s="95"/>
      <c r="AM415" s="95"/>
      <c r="AN415" s="96"/>
      <c r="AO415" s="96"/>
      <c r="AP415" s="96"/>
      <c r="AQ415" s="96"/>
      <c r="AR415" s="96"/>
      <c r="AS415" s="96"/>
      <c r="AT415" s="96"/>
      <c r="AU415" s="96"/>
      <c r="AV415" s="96"/>
      <c r="AW415" s="96"/>
      <c r="AX415" s="96"/>
      <c r="AY415" s="96"/>
      <c r="AZ415" s="96"/>
      <c r="BA415" s="96"/>
    </row>
    <row r="416" spans="1:53" s="97" customFormat="1" ht="12" customHeight="1">
      <c r="A416" s="8">
        <v>51103012001</v>
      </c>
      <c r="B416" s="8" t="s">
        <v>764</v>
      </c>
      <c r="C416" s="80">
        <f>+VLOOKUP(A416,Clasificaciones!C:I,5,FALSE)</f>
        <v>1790228</v>
      </c>
      <c r="D416" s="80">
        <v>0</v>
      </c>
      <c r="E416" s="80">
        <v>0</v>
      </c>
      <c r="F416" s="80">
        <v>0</v>
      </c>
      <c r="G416" s="80">
        <f t="shared" ref="G416" si="134">+C416-F416+D416-E416</f>
        <v>1790228</v>
      </c>
      <c r="H416" s="26">
        <f t="shared" ref="H416:H429" si="135">-G416</f>
        <v>-1790228</v>
      </c>
      <c r="I416" s="26">
        <v>0</v>
      </c>
      <c r="J416" s="26">
        <v>0</v>
      </c>
      <c r="K416" s="26">
        <v>0</v>
      </c>
      <c r="L416" s="26">
        <v>0</v>
      </c>
      <c r="M416" s="26">
        <v>0</v>
      </c>
      <c r="N416" s="26">
        <v>0</v>
      </c>
      <c r="O416" s="26">
        <v>0</v>
      </c>
      <c r="P416" s="26">
        <v>0</v>
      </c>
      <c r="Q416" s="26">
        <v>0</v>
      </c>
      <c r="R416" s="26"/>
      <c r="S416" s="26">
        <v>0</v>
      </c>
      <c r="T416" s="26">
        <v>0</v>
      </c>
      <c r="U416" s="26">
        <v>0</v>
      </c>
      <c r="V416" s="26">
        <v>0</v>
      </c>
      <c r="W416" s="26">
        <v>0</v>
      </c>
      <c r="X416" s="26">
        <v>0</v>
      </c>
      <c r="Y416" s="26">
        <v>0</v>
      </c>
      <c r="Z416" s="26">
        <f t="shared" si="104"/>
        <v>0</v>
      </c>
      <c r="AA416" s="95"/>
      <c r="AB416" s="95"/>
      <c r="AC416" s="95"/>
      <c r="AD416" s="95"/>
      <c r="AE416" s="95"/>
      <c r="AF416" s="95"/>
      <c r="AG416" s="95"/>
      <c r="AH416" s="95"/>
      <c r="AI416" s="95"/>
      <c r="AJ416" s="95"/>
      <c r="AK416" s="95"/>
      <c r="AL416" s="95"/>
      <c r="AM416" s="95"/>
      <c r="AN416" s="96"/>
      <c r="AO416" s="96"/>
      <c r="AP416" s="96"/>
      <c r="AQ416" s="96"/>
      <c r="AR416" s="96"/>
      <c r="AS416" s="96"/>
      <c r="AT416" s="96"/>
      <c r="AU416" s="96"/>
      <c r="AV416" s="96"/>
      <c r="AW416" s="96"/>
      <c r="AX416" s="96"/>
      <c r="AY416" s="96"/>
      <c r="AZ416" s="96"/>
      <c r="BA416" s="96"/>
    </row>
    <row r="417" spans="1:53" s="97" customFormat="1" ht="12" customHeight="1">
      <c r="A417" s="8">
        <v>51103012002</v>
      </c>
      <c r="B417" s="8" t="s">
        <v>779</v>
      </c>
      <c r="C417" s="80">
        <f>+VLOOKUP(A417,Clasificaciones!C:I,5,FALSE)</f>
        <v>412022</v>
      </c>
      <c r="D417" s="80">
        <v>0</v>
      </c>
      <c r="E417" s="80">
        <v>0</v>
      </c>
      <c r="F417" s="80">
        <v>0</v>
      </c>
      <c r="G417" s="80">
        <f t="shared" si="125"/>
        <v>412022</v>
      </c>
      <c r="H417" s="26">
        <f t="shared" si="135"/>
        <v>-412022</v>
      </c>
      <c r="I417" s="26">
        <v>0</v>
      </c>
      <c r="J417" s="26">
        <v>0</v>
      </c>
      <c r="K417" s="26">
        <v>0</v>
      </c>
      <c r="L417" s="26">
        <v>0</v>
      </c>
      <c r="M417" s="26">
        <v>0</v>
      </c>
      <c r="N417" s="26">
        <v>0</v>
      </c>
      <c r="O417" s="26">
        <v>0</v>
      </c>
      <c r="P417" s="26">
        <v>0</v>
      </c>
      <c r="Q417" s="26">
        <v>0</v>
      </c>
      <c r="R417" s="26"/>
      <c r="S417" s="26">
        <v>0</v>
      </c>
      <c r="T417" s="26">
        <v>0</v>
      </c>
      <c r="U417" s="26">
        <v>0</v>
      </c>
      <c r="V417" s="26">
        <v>0</v>
      </c>
      <c r="W417" s="26">
        <v>0</v>
      </c>
      <c r="X417" s="26">
        <v>0</v>
      </c>
      <c r="Y417" s="26">
        <v>0</v>
      </c>
      <c r="Z417" s="26">
        <f t="shared" si="104"/>
        <v>0</v>
      </c>
      <c r="AA417" s="95"/>
      <c r="AB417" s="95"/>
      <c r="AC417" s="95"/>
      <c r="AD417" s="95"/>
      <c r="AE417" s="95"/>
      <c r="AF417" s="95"/>
      <c r="AG417" s="95"/>
      <c r="AH417" s="95"/>
      <c r="AI417" s="95"/>
      <c r="AJ417" s="95"/>
      <c r="AK417" s="95"/>
      <c r="AL417" s="95"/>
      <c r="AM417" s="95"/>
      <c r="AN417" s="96"/>
      <c r="AO417" s="96"/>
      <c r="AP417" s="96"/>
      <c r="AQ417" s="96"/>
      <c r="AR417" s="96"/>
      <c r="AS417" s="96"/>
      <c r="AT417" s="96"/>
      <c r="AU417" s="96"/>
      <c r="AV417" s="96"/>
      <c r="AW417" s="96"/>
      <c r="AX417" s="96"/>
      <c r="AY417" s="96"/>
      <c r="AZ417" s="96"/>
      <c r="BA417" s="96"/>
    </row>
    <row r="418" spans="1:53" s="97" customFormat="1" ht="12" customHeight="1">
      <c r="A418" s="8">
        <v>51103012004</v>
      </c>
      <c r="B418" s="8" t="s">
        <v>766</v>
      </c>
      <c r="C418" s="80">
        <f>+VLOOKUP(A418,Clasificaciones!C:I,5,FALSE)</f>
        <v>225461360</v>
      </c>
      <c r="D418" s="80">
        <v>0</v>
      </c>
      <c r="E418" s="80">
        <v>0</v>
      </c>
      <c r="F418" s="80">
        <v>0</v>
      </c>
      <c r="G418" s="80">
        <f t="shared" si="125"/>
        <v>225461360</v>
      </c>
      <c r="H418" s="26">
        <f t="shared" si="135"/>
        <v>-225461360</v>
      </c>
      <c r="I418" s="26">
        <v>0</v>
      </c>
      <c r="J418" s="26">
        <v>0</v>
      </c>
      <c r="K418" s="26">
        <v>0</v>
      </c>
      <c r="L418" s="26">
        <v>0</v>
      </c>
      <c r="M418" s="26">
        <v>0</v>
      </c>
      <c r="N418" s="26">
        <v>0</v>
      </c>
      <c r="O418" s="26">
        <v>0</v>
      </c>
      <c r="P418" s="26">
        <v>0</v>
      </c>
      <c r="Q418" s="26">
        <v>0</v>
      </c>
      <c r="R418" s="26"/>
      <c r="S418" s="26">
        <v>0</v>
      </c>
      <c r="T418" s="26">
        <v>0</v>
      </c>
      <c r="U418" s="26">
        <v>0</v>
      </c>
      <c r="V418" s="26">
        <v>0</v>
      </c>
      <c r="W418" s="26">
        <v>0</v>
      </c>
      <c r="X418" s="26">
        <v>0</v>
      </c>
      <c r="Y418" s="26">
        <v>0</v>
      </c>
      <c r="Z418" s="26">
        <f t="shared" si="104"/>
        <v>0</v>
      </c>
      <c r="AA418" s="95"/>
      <c r="AB418" s="95"/>
      <c r="AC418" s="95"/>
      <c r="AD418" s="95"/>
      <c r="AE418" s="95"/>
      <c r="AF418" s="95"/>
      <c r="AG418" s="95"/>
      <c r="AH418" s="95"/>
      <c r="AI418" s="95"/>
      <c r="AJ418" s="95"/>
      <c r="AK418" s="95"/>
      <c r="AL418" s="95"/>
      <c r="AM418" s="95"/>
      <c r="AN418" s="96"/>
      <c r="AO418" s="96"/>
      <c r="AP418" s="96"/>
      <c r="AQ418" s="96"/>
      <c r="AR418" s="96"/>
      <c r="AS418" s="96"/>
      <c r="AT418" s="96"/>
      <c r="AU418" s="96"/>
      <c r="AV418" s="96"/>
      <c r="AW418" s="96"/>
      <c r="AX418" s="96"/>
      <c r="AY418" s="96"/>
      <c r="AZ418" s="96"/>
      <c r="BA418" s="96"/>
    </row>
    <row r="419" spans="1:53" s="97" customFormat="1" ht="12" customHeight="1">
      <c r="A419" s="8">
        <v>51103012005</v>
      </c>
      <c r="B419" s="8" t="s">
        <v>767</v>
      </c>
      <c r="C419" s="80">
        <f>+VLOOKUP(A419,Clasificaciones!C:I,5,FALSE)</f>
        <v>199802768</v>
      </c>
      <c r="D419" s="80">
        <v>0</v>
      </c>
      <c r="E419" s="80">
        <v>0</v>
      </c>
      <c r="F419" s="80">
        <v>0</v>
      </c>
      <c r="G419" s="80">
        <f t="shared" si="125"/>
        <v>199802768</v>
      </c>
      <c r="H419" s="26">
        <f t="shared" si="135"/>
        <v>-199802768</v>
      </c>
      <c r="I419" s="26">
        <v>0</v>
      </c>
      <c r="J419" s="26">
        <v>0</v>
      </c>
      <c r="K419" s="26">
        <v>0</v>
      </c>
      <c r="L419" s="26">
        <v>0</v>
      </c>
      <c r="M419" s="26">
        <v>0</v>
      </c>
      <c r="N419" s="26">
        <v>0</v>
      </c>
      <c r="O419" s="26">
        <v>0</v>
      </c>
      <c r="P419" s="26">
        <v>0</v>
      </c>
      <c r="Q419" s="26">
        <v>0</v>
      </c>
      <c r="R419" s="26"/>
      <c r="S419" s="26">
        <v>0</v>
      </c>
      <c r="T419" s="26">
        <v>0</v>
      </c>
      <c r="U419" s="26">
        <v>0</v>
      </c>
      <c r="V419" s="26">
        <v>0</v>
      </c>
      <c r="W419" s="26">
        <v>0</v>
      </c>
      <c r="X419" s="26">
        <v>0</v>
      </c>
      <c r="Y419" s="26">
        <v>0</v>
      </c>
      <c r="Z419" s="26">
        <f t="shared" si="104"/>
        <v>0</v>
      </c>
      <c r="AA419" s="95"/>
      <c r="AB419" s="95"/>
      <c r="AC419" s="95"/>
      <c r="AD419" s="95"/>
      <c r="AE419" s="95"/>
      <c r="AF419" s="95"/>
      <c r="AG419" s="95"/>
      <c r="AH419" s="95"/>
      <c r="AI419" s="95"/>
      <c r="AJ419" s="95"/>
      <c r="AK419" s="95"/>
      <c r="AL419" s="95"/>
      <c r="AM419" s="95"/>
      <c r="AN419" s="96"/>
      <c r="AO419" s="96"/>
      <c r="AP419" s="96"/>
      <c r="AQ419" s="96"/>
      <c r="AR419" s="96"/>
      <c r="AS419" s="96"/>
      <c r="AT419" s="96"/>
      <c r="AU419" s="96"/>
      <c r="AV419" s="96"/>
      <c r="AW419" s="96"/>
      <c r="AX419" s="96"/>
      <c r="AY419" s="96"/>
      <c r="AZ419" s="96"/>
      <c r="BA419" s="96"/>
    </row>
    <row r="420" spans="1:53" s="97" customFormat="1" ht="12" customHeight="1">
      <c r="A420" s="8">
        <v>51103012006</v>
      </c>
      <c r="B420" s="8" t="s">
        <v>653</v>
      </c>
      <c r="C420" s="80">
        <f>+VLOOKUP(A420,Clasificaciones!C:I,5,FALSE)</f>
        <v>691520558</v>
      </c>
      <c r="D420" s="80">
        <v>0</v>
      </c>
      <c r="E420" s="80">
        <v>0</v>
      </c>
      <c r="F420" s="80">
        <v>0</v>
      </c>
      <c r="G420" s="80">
        <f t="shared" si="125"/>
        <v>691520558</v>
      </c>
      <c r="H420" s="26">
        <f t="shared" si="135"/>
        <v>-691520558</v>
      </c>
      <c r="I420" s="26">
        <v>0</v>
      </c>
      <c r="J420" s="26">
        <v>0</v>
      </c>
      <c r="K420" s="26">
        <v>0</v>
      </c>
      <c r="L420" s="26">
        <v>0</v>
      </c>
      <c r="M420" s="26">
        <v>0</v>
      </c>
      <c r="N420" s="26">
        <v>0</v>
      </c>
      <c r="O420" s="26">
        <v>0</v>
      </c>
      <c r="P420" s="26">
        <v>0</v>
      </c>
      <c r="Q420" s="26">
        <v>0</v>
      </c>
      <c r="R420" s="26"/>
      <c r="S420" s="26">
        <v>0</v>
      </c>
      <c r="T420" s="26">
        <v>0</v>
      </c>
      <c r="U420" s="26">
        <v>0</v>
      </c>
      <c r="V420" s="26">
        <v>0</v>
      </c>
      <c r="W420" s="26">
        <v>0</v>
      </c>
      <c r="X420" s="26">
        <v>0</v>
      </c>
      <c r="Y420" s="26">
        <v>0</v>
      </c>
      <c r="Z420" s="26">
        <f t="shared" si="104"/>
        <v>0</v>
      </c>
      <c r="AA420" s="95"/>
      <c r="AB420" s="95"/>
      <c r="AC420" s="95"/>
      <c r="AD420" s="95"/>
      <c r="AE420" s="95"/>
      <c r="AF420" s="95"/>
      <c r="AG420" s="95"/>
      <c r="AH420" s="95"/>
      <c r="AI420" s="95"/>
      <c r="AJ420" s="95"/>
      <c r="AK420" s="95"/>
      <c r="AL420" s="95"/>
      <c r="AM420" s="95"/>
      <c r="AN420" s="96"/>
      <c r="AO420" s="96"/>
      <c r="AP420" s="96"/>
      <c r="AQ420" s="96"/>
      <c r="AR420" s="96"/>
      <c r="AS420" s="96"/>
      <c r="AT420" s="96"/>
      <c r="AU420" s="96"/>
      <c r="AV420" s="96"/>
      <c r="AW420" s="96"/>
      <c r="AX420" s="96"/>
      <c r="AY420" s="96"/>
      <c r="AZ420" s="96"/>
      <c r="BA420" s="96"/>
    </row>
    <row r="421" spans="1:53" s="97" customFormat="1" ht="12" customHeight="1">
      <c r="A421" s="8">
        <v>51103012007</v>
      </c>
      <c r="B421" s="8" t="s">
        <v>768</v>
      </c>
      <c r="C421" s="80">
        <f>+VLOOKUP(A421,Clasificaciones!C:I,5,FALSE)</f>
        <v>207495957</v>
      </c>
      <c r="D421" s="80">
        <v>0</v>
      </c>
      <c r="E421" s="80">
        <v>0</v>
      </c>
      <c r="F421" s="80">
        <v>0</v>
      </c>
      <c r="G421" s="80">
        <f t="shared" si="125"/>
        <v>207495957</v>
      </c>
      <c r="H421" s="26">
        <f t="shared" si="135"/>
        <v>-207495957</v>
      </c>
      <c r="I421" s="26">
        <v>0</v>
      </c>
      <c r="J421" s="26">
        <v>0</v>
      </c>
      <c r="K421" s="26">
        <v>0</v>
      </c>
      <c r="L421" s="26">
        <v>0</v>
      </c>
      <c r="M421" s="26">
        <v>0</v>
      </c>
      <c r="N421" s="26">
        <v>0</v>
      </c>
      <c r="O421" s="26">
        <v>0</v>
      </c>
      <c r="P421" s="26">
        <v>0</v>
      </c>
      <c r="Q421" s="26">
        <v>0</v>
      </c>
      <c r="R421" s="26"/>
      <c r="S421" s="26">
        <v>0</v>
      </c>
      <c r="T421" s="26">
        <v>0</v>
      </c>
      <c r="U421" s="26">
        <v>0</v>
      </c>
      <c r="V421" s="26">
        <v>0</v>
      </c>
      <c r="W421" s="26">
        <v>0</v>
      </c>
      <c r="X421" s="26">
        <v>0</v>
      </c>
      <c r="Y421" s="26">
        <v>0</v>
      </c>
      <c r="Z421" s="26">
        <f t="shared" si="104"/>
        <v>0</v>
      </c>
      <c r="AA421" s="95"/>
      <c r="AB421" s="95"/>
      <c r="AC421" s="95"/>
      <c r="AD421" s="95"/>
      <c r="AE421" s="95"/>
      <c r="AF421" s="95"/>
      <c r="AG421" s="95"/>
      <c r="AH421" s="95"/>
      <c r="AI421" s="95"/>
      <c r="AJ421" s="95"/>
      <c r="AK421" s="95"/>
      <c r="AL421" s="95"/>
      <c r="AM421" s="95"/>
      <c r="AN421" s="96"/>
      <c r="AO421" s="96"/>
      <c r="AP421" s="96"/>
      <c r="AQ421" s="96"/>
      <c r="AR421" s="96"/>
      <c r="AS421" s="96"/>
      <c r="AT421" s="96"/>
      <c r="AU421" s="96"/>
      <c r="AV421" s="96"/>
      <c r="AW421" s="96"/>
      <c r="AX421" s="96"/>
      <c r="AY421" s="96"/>
      <c r="AZ421" s="96"/>
      <c r="BA421" s="96"/>
    </row>
    <row r="422" spans="1:53" s="97" customFormat="1" ht="12" customHeight="1">
      <c r="A422" s="8">
        <v>51103012008</v>
      </c>
      <c r="B422" s="8" t="s">
        <v>769</v>
      </c>
      <c r="C422" s="80">
        <f>+VLOOKUP(A422,Clasificaciones!C:I,5,FALSE)</f>
        <v>8090895</v>
      </c>
      <c r="D422" s="80">
        <v>0</v>
      </c>
      <c r="E422" s="80">
        <v>0</v>
      </c>
      <c r="F422" s="80">
        <v>0</v>
      </c>
      <c r="G422" s="80">
        <f t="shared" ref="G422" si="136">+C422-F422+D422-E422</f>
        <v>8090895</v>
      </c>
      <c r="H422" s="26">
        <f t="shared" si="135"/>
        <v>-8090895</v>
      </c>
      <c r="I422" s="26">
        <v>0</v>
      </c>
      <c r="J422" s="26">
        <v>0</v>
      </c>
      <c r="K422" s="26">
        <v>0</v>
      </c>
      <c r="L422" s="26">
        <v>0</v>
      </c>
      <c r="M422" s="26">
        <v>0</v>
      </c>
      <c r="N422" s="26">
        <v>0</v>
      </c>
      <c r="O422" s="26">
        <v>0</v>
      </c>
      <c r="P422" s="26">
        <v>0</v>
      </c>
      <c r="Q422" s="26">
        <v>0</v>
      </c>
      <c r="R422" s="26"/>
      <c r="S422" s="26">
        <v>0</v>
      </c>
      <c r="T422" s="26">
        <v>0</v>
      </c>
      <c r="U422" s="26">
        <v>0</v>
      </c>
      <c r="V422" s="26">
        <v>0</v>
      </c>
      <c r="W422" s="26">
        <v>0</v>
      </c>
      <c r="X422" s="26">
        <v>0</v>
      </c>
      <c r="Y422" s="26">
        <v>0</v>
      </c>
      <c r="Z422" s="26">
        <f t="shared" ref="Z422:Z488" si="137">SUM(G422:Y422)</f>
        <v>0</v>
      </c>
      <c r="AA422" s="95"/>
      <c r="AB422" s="95"/>
      <c r="AC422" s="95"/>
      <c r="AD422" s="95"/>
      <c r="AE422" s="95"/>
      <c r="AF422" s="95"/>
      <c r="AG422" s="95"/>
      <c r="AH422" s="95"/>
      <c r="AI422" s="95"/>
      <c r="AJ422" s="95"/>
      <c r="AK422" s="95"/>
      <c r="AL422" s="95"/>
      <c r="AM422" s="95"/>
      <c r="AN422" s="96"/>
      <c r="AO422" s="96"/>
      <c r="AP422" s="96"/>
      <c r="AQ422" s="96"/>
      <c r="AR422" s="96"/>
      <c r="AS422" s="96"/>
      <c r="AT422" s="96"/>
      <c r="AU422" s="96"/>
      <c r="AV422" s="96"/>
      <c r="AW422" s="96"/>
      <c r="AX422" s="96"/>
      <c r="AY422" s="96"/>
      <c r="AZ422" s="96"/>
      <c r="BA422" s="96"/>
    </row>
    <row r="423" spans="1:53" s="97" customFormat="1" ht="12" customHeight="1">
      <c r="A423" s="8">
        <v>51103012009</v>
      </c>
      <c r="B423" s="8" t="s">
        <v>770</v>
      </c>
      <c r="C423" s="80">
        <f>+VLOOKUP(A423,Clasificaciones!C:I,5,FALSE)</f>
        <v>0</v>
      </c>
      <c r="D423" s="80">
        <v>0</v>
      </c>
      <c r="E423" s="80">
        <v>0</v>
      </c>
      <c r="F423" s="80">
        <v>0</v>
      </c>
      <c r="G423" s="80">
        <f t="shared" si="125"/>
        <v>0</v>
      </c>
      <c r="H423" s="26">
        <f t="shared" si="135"/>
        <v>0</v>
      </c>
      <c r="I423" s="26">
        <v>0</v>
      </c>
      <c r="J423" s="26">
        <v>0</v>
      </c>
      <c r="K423" s="26">
        <v>0</v>
      </c>
      <c r="L423" s="26">
        <v>0</v>
      </c>
      <c r="M423" s="26">
        <v>0</v>
      </c>
      <c r="N423" s="26">
        <v>0</v>
      </c>
      <c r="O423" s="26">
        <v>0</v>
      </c>
      <c r="P423" s="26">
        <v>0</v>
      </c>
      <c r="Q423" s="26">
        <v>0</v>
      </c>
      <c r="R423" s="26"/>
      <c r="S423" s="26">
        <v>0</v>
      </c>
      <c r="T423" s="26">
        <v>0</v>
      </c>
      <c r="U423" s="26">
        <v>0</v>
      </c>
      <c r="V423" s="26">
        <v>0</v>
      </c>
      <c r="W423" s="26">
        <v>0</v>
      </c>
      <c r="X423" s="26">
        <v>0</v>
      </c>
      <c r="Y423" s="26">
        <v>0</v>
      </c>
      <c r="Z423" s="26">
        <f t="shared" si="137"/>
        <v>0</v>
      </c>
      <c r="AA423" s="95"/>
      <c r="AB423" s="95"/>
      <c r="AC423" s="95"/>
      <c r="AD423" s="95"/>
      <c r="AE423" s="95"/>
      <c r="AF423" s="95"/>
      <c r="AG423" s="95"/>
      <c r="AH423" s="95"/>
      <c r="AI423" s="95"/>
      <c r="AJ423" s="95"/>
      <c r="AK423" s="95"/>
      <c r="AL423" s="95"/>
      <c r="AM423" s="95"/>
      <c r="AN423" s="96"/>
      <c r="AO423" s="96"/>
      <c r="AP423" s="96"/>
      <c r="AQ423" s="96"/>
      <c r="AR423" s="96"/>
      <c r="AS423" s="96"/>
      <c r="AT423" s="96"/>
      <c r="AU423" s="96"/>
      <c r="AV423" s="96"/>
      <c r="AW423" s="96"/>
      <c r="AX423" s="96"/>
      <c r="AY423" s="96"/>
      <c r="AZ423" s="96"/>
      <c r="BA423" s="96"/>
    </row>
    <row r="424" spans="1:53" s="97" customFormat="1" ht="12" customHeight="1">
      <c r="A424" s="8">
        <v>51103012013</v>
      </c>
      <c r="B424" s="8" t="s">
        <v>781</v>
      </c>
      <c r="C424" s="80">
        <f>+VLOOKUP(A424,Clasificaciones!C:I,5,FALSE)</f>
        <v>0</v>
      </c>
      <c r="D424" s="80">
        <v>0</v>
      </c>
      <c r="E424" s="80">
        <v>0</v>
      </c>
      <c r="F424" s="80">
        <v>0</v>
      </c>
      <c r="G424" s="80">
        <f t="shared" si="125"/>
        <v>0</v>
      </c>
      <c r="H424" s="26">
        <f t="shared" si="135"/>
        <v>0</v>
      </c>
      <c r="I424" s="26">
        <v>0</v>
      </c>
      <c r="J424" s="26">
        <v>0</v>
      </c>
      <c r="K424" s="26">
        <v>0</v>
      </c>
      <c r="L424" s="26">
        <v>0</v>
      </c>
      <c r="M424" s="26">
        <v>0</v>
      </c>
      <c r="N424" s="26">
        <v>0</v>
      </c>
      <c r="O424" s="26">
        <v>0</v>
      </c>
      <c r="P424" s="26">
        <v>0</v>
      </c>
      <c r="Q424" s="26">
        <v>0</v>
      </c>
      <c r="R424" s="26"/>
      <c r="S424" s="26">
        <v>0</v>
      </c>
      <c r="T424" s="26">
        <v>0</v>
      </c>
      <c r="U424" s="26">
        <v>0</v>
      </c>
      <c r="V424" s="26">
        <v>0</v>
      </c>
      <c r="W424" s="26">
        <v>0</v>
      </c>
      <c r="X424" s="26">
        <v>0</v>
      </c>
      <c r="Y424" s="26">
        <v>0</v>
      </c>
      <c r="Z424" s="26">
        <f t="shared" si="137"/>
        <v>0</v>
      </c>
      <c r="AA424" s="95"/>
      <c r="AB424" s="95"/>
      <c r="AC424" s="95"/>
      <c r="AD424" s="95"/>
      <c r="AE424" s="95"/>
      <c r="AF424" s="95"/>
      <c r="AG424" s="95"/>
      <c r="AH424" s="95"/>
      <c r="AI424" s="95"/>
      <c r="AJ424" s="95"/>
      <c r="AK424" s="95"/>
      <c r="AL424" s="95"/>
      <c r="AM424" s="95"/>
      <c r="AN424" s="96"/>
      <c r="AO424" s="96"/>
      <c r="AP424" s="96"/>
      <c r="AQ424" s="96"/>
      <c r="AR424" s="96"/>
      <c r="AS424" s="96"/>
      <c r="AT424" s="96"/>
      <c r="AU424" s="96"/>
      <c r="AV424" s="96"/>
      <c r="AW424" s="96"/>
      <c r="AX424" s="96"/>
      <c r="AY424" s="96"/>
      <c r="AZ424" s="96"/>
      <c r="BA424" s="96"/>
    </row>
    <row r="425" spans="1:53" s="97" customFormat="1" ht="12" customHeight="1">
      <c r="A425" s="8">
        <v>51103012017</v>
      </c>
      <c r="B425" s="8" t="s">
        <v>773</v>
      </c>
      <c r="C425" s="80">
        <f>+VLOOKUP(A425,Clasificaciones!C:I,5,FALSE)</f>
        <v>136176813</v>
      </c>
      <c r="D425" s="80">
        <v>0</v>
      </c>
      <c r="E425" s="80">
        <v>0</v>
      </c>
      <c r="F425" s="80">
        <v>0</v>
      </c>
      <c r="G425" s="80">
        <f t="shared" si="125"/>
        <v>136176813</v>
      </c>
      <c r="H425" s="26">
        <f t="shared" si="135"/>
        <v>-136176813</v>
      </c>
      <c r="I425" s="26">
        <v>0</v>
      </c>
      <c r="J425" s="26">
        <v>0</v>
      </c>
      <c r="K425" s="26">
        <v>0</v>
      </c>
      <c r="L425" s="26">
        <v>0</v>
      </c>
      <c r="M425" s="26">
        <v>0</v>
      </c>
      <c r="N425" s="26">
        <v>0</v>
      </c>
      <c r="O425" s="26">
        <v>0</v>
      </c>
      <c r="P425" s="26">
        <v>0</v>
      </c>
      <c r="Q425" s="26">
        <v>0</v>
      </c>
      <c r="R425" s="26"/>
      <c r="S425" s="26">
        <v>0</v>
      </c>
      <c r="T425" s="26">
        <v>0</v>
      </c>
      <c r="U425" s="26">
        <v>0</v>
      </c>
      <c r="V425" s="26">
        <v>0</v>
      </c>
      <c r="W425" s="26">
        <v>0</v>
      </c>
      <c r="X425" s="26">
        <v>0</v>
      </c>
      <c r="Y425" s="26">
        <v>0</v>
      </c>
      <c r="Z425" s="26">
        <f t="shared" si="137"/>
        <v>0</v>
      </c>
      <c r="AA425" s="95"/>
      <c r="AB425" s="95"/>
      <c r="AC425" s="95"/>
      <c r="AD425" s="95"/>
      <c r="AE425" s="95"/>
      <c r="AF425" s="95"/>
      <c r="AG425" s="95"/>
      <c r="AH425" s="95"/>
      <c r="AI425" s="95"/>
      <c r="AJ425" s="95"/>
      <c r="AK425" s="95"/>
      <c r="AL425" s="95"/>
      <c r="AM425" s="95"/>
      <c r="AN425" s="96"/>
      <c r="AO425" s="96"/>
      <c r="AP425" s="96"/>
      <c r="AQ425" s="96"/>
      <c r="AR425" s="96"/>
      <c r="AS425" s="96"/>
      <c r="AT425" s="96"/>
      <c r="AU425" s="96"/>
      <c r="AV425" s="96"/>
      <c r="AW425" s="96"/>
      <c r="AX425" s="96"/>
      <c r="AY425" s="96"/>
      <c r="AZ425" s="96"/>
      <c r="BA425" s="96"/>
    </row>
    <row r="426" spans="1:53" s="97" customFormat="1" ht="12" customHeight="1">
      <c r="A426" s="8">
        <v>51103012018</v>
      </c>
      <c r="B426" s="8" t="s">
        <v>774</v>
      </c>
      <c r="C426" s="80">
        <f>+VLOOKUP(A426,Clasificaciones!C:I,5,FALSE)</f>
        <v>0</v>
      </c>
      <c r="D426" s="80">
        <v>0</v>
      </c>
      <c r="E426" s="80">
        <v>0</v>
      </c>
      <c r="F426" s="80">
        <v>0</v>
      </c>
      <c r="G426" s="80">
        <f t="shared" si="125"/>
        <v>0</v>
      </c>
      <c r="H426" s="26">
        <f t="shared" si="135"/>
        <v>0</v>
      </c>
      <c r="I426" s="26">
        <v>0</v>
      </c>
      <c r="J426" s="26">
        <v>0</v>
      </c>
      <c r="K426" s="26">
        <v>0</v>
      </c>
      <c r="L426" s="26">
        <v>0</v>
      </c>
      <c r="M426" s="26">
        <v>0</v>
      </c>
      <c r="N426" s="26">
        <v>0</v>
      </c>
      <c r="O426" s="26">
        <v>0</v>
      </c>
      <c r="P426" s="26">
        <v>0</v>
      </c>
      <c r="Q426" s="26">
        <v>0</v>
      </c>
      <c r="R426" s="26"/>
      <c r="S426" s="26">
        <v>0</v>
      </c>
      <c r="T426" s="26">
        <v>0</v>
      </c>
      <c r="U426" s="26">
        <v>0</v>
      </c>
      <c r="V426" s="26">
        <v>0</v>
      </c>
      <c r="W426" s="26">
        <v>0</v>
      </c>
      <c r="X426" s="26">
        <v>0</v>
      </c>
      <c r="Y426" s="26">
        <v>0</v>
      </c>
      <c r="Z426" s="26">
        <f t="shared" si="137"/>
        <v>0</v>
      </c>
      <c r="AA426" s="95"/>
      <c r="AB426" s="95"/>
      <c r="AC426" s="95"/>
      <c r="AD426" s="95"/>
      <c r="AE426" s="95"/>
      <c r="AF426" s="95"/>
      <c r="AG426" s="95"/>
      <c r="AH426" s="95"/>
      <c r="AI426" s="95"/>
      <c r="AJ426" s="95"/>
      <c r="AK426" s="95"/>
      <c r="AL426" s="95"/>
      <c r="AM426" s="95"/>
      <c r="AN426" s="96"/>
      <c r="AO426" s="96"/>
      <c r="AP426" s="96"/>
      <c r="AQ426" s="96"/>
      <c r="AR426" s="96"/>
      <c r="AS426" s="96"/>
      <c r="AT426" s="96"/>
      <c r="AU426" s="96"/>
      <c r="AV426" s="96"/>
      <c r="AW426" s="96"/>
      <c r="AX426" s="96"/>
      <c r="AY426" s="96"/>
      <c r="AZ426" s="96"/>
      <c r="BA426" s="96"/>
    </row>
    <row r="427" spans="1:53" s="97" customFormat="1" ht="12" customHeight="1">
      <c r="A427" s="8">
        <v>51103012019</v>
      </c>
      <c r="B427" s="8" t="s">
        <v>1051</v>
      </c>
      <c r="C427" s="80">
        <f>+VLOOKUP(A427,Clasificaciones!C:I,5,FALSE)</f>
        <v>1096</v>
      </c>
      <c r="D427" s="80">
        <v>0</v>
      </c>
      <c r="E427" s="80">
        <v>0</v>
      </c>
      <c r="F427" s="80">
        <v>0</v>
      </c>
      <c r="G427" s="80">
        <f t="shared" si="125"/>
        <v>1096</v>
      </c>
      <c r="H427" s="26">
        <f t="shared" si="135"/>
        <v>-1096</v>
      </c>
      <c r="I427" s="26">
        <v>0</v>
      </c>
      <c r="J427" s="26">
        <v>0</v>
      </c>
      <c r="K427" s="26">
        <v>0</v>
      </c>
      <c r="L427" s="26">
        <v>0</v>
      </c>
      <c r="M427" s="26">
        <v>0</v>
      </c>
      <c r="N427" s="26">
        <v>0</v>
      </c>
      <c r="O427" s="26">
        <v>0</v>
      </c>
      <c r="P427" s="26">
        <v>0</v>
      </c>
      <c r="Q427" s="26">
        <v>0</v>
      </c>
      <c r="R427" s="26"/>
      <c r="S427" s="26">
        <v>0</v>
      </c>
      <c r="T427" s="26">
        <v>0</v>
      </c>
      <c r="U427" s="26">
        <v>0</v>
      </c>
      <c r="V427" s="26">
        <v>0</v>
      </c>
      <c r="W427" s="26">
        <v>0</v>
      </c>
      <c r="X427" s="26">
        <v>0</v>
      </c>
      <c r="Y427" s="26">
        <v>0</v>
      </c>
      <c r="Z427" s="26">
        <f t="shared" si="137"/>
        <v>0</v>
      </c>
      <c r="AA427" s="95"/>
      <c r="AB427" s="95"/>
      <c r="AC427" s="95"/>
      <c r="AD427" s="95"/>
      <c r="AE427" s="95"/>
      <c r="AF427" s="95"/>
      <c r="AG427" s="95"/>
      <c r="AH427" s="95"/>
      <c r="AI427" s="95"/>
      <c r="AJ427" s="95"/>
      <c r="AK427" s="95"/>
      <c r="AL427" s="95"/>
      <c r="AM427" s="95"/>
      <c r="AN427" s="96"/>
      <c r="AO427" s="96"/>
      <c r="AP427" s="96"/>
      <c r="AQ427" s="96"/>
      <c r="AR427" s="96"/>
      <c r="AS427" s="96"/>
      <c r="AT427" s="96"/>
      <c r="AU427" s="96"/>
      <c r="AV427" s="96"/>
      <c r="AW427" s="96"/>
      <c r="AX427" s="96"/>
      <c r="AY427" s="96"/>
      <c r="AZ427" s="96"/>
      <c r="BA427" s="96"/>
    </row>
    <row r="428" spans="1:53" s="97" customFormat="1" ht="12" customHeight="1">
      <c r="A428" s="8">
        <v>51103012029</v>
      </c>
      <c r="B428" s="8" t="s">
        <v>648</v>
      </c>
      <c r="C428" s="80">
        <f>+VLOOKUP(A428,Clasificaciones!C:I,5,FALSE)</f>
        <v>33750148</v>
      </c>
      <c r="D428" s="80">
        <v>0</v>
      </c>
      <c r="E428" s="80">
        <v>0</v>
      </c>
      <c r="F428" s="80">
        <v>0</v>
      </c>
      <c r="G428" s="80">
        <f t="shared" si="125"/>
        <v>33750148</v>
      </c>
      <c r="H428" s="26">
        <f t="shared" si="135"/>
        <v>-33750148</v>
      </c>
      <c r="I428" s="26">
        <v>0</v>
      </c>
      <c r="J428" s="26">
        <v>0</v>
      </c>
      <c r="K428" s="26">
        <v>0</v>
      </c>
      <c r="L428" s="26">
        <v>0</v>
      </c>
      <c r="M428" s="26">
        <v>0</v>
      </c>
      <c r="N428" s="26">
        <v>0</v>
      </c>
      <c r="O428" s="26">
        <v>0</v>
      </c>
      <c r="P428" s="26">
        <v>0</v>
      </c>
      <c r="Q428" s="26">
        <v>0</v>
      </c>
      <c r="R428" s="26"/>
      <c r="S428" s="26">
        <v>0</v>
      </c>
      <c r="T428" s="26">
        <v>0</v>
      </c>
      <c r="U428" s="26">
        <v>0</v>
      </c>
      <c r="V428" s="26">
        <v>0</v>
      </c>
      <c r="W428" s="26">
        <v>0</v>
      </c>
      <c r="X428" s="26">
        <v>0</v>
      </c>
      <c r="Y428" s="26">
        <v>0</v>
      </c>
      <c r="Z428" s="26">
        <f t="shared" si="137"/>
        <v>0</v>
      </c>
      <c r="AA428" s="95"/>
      <c r="AB428" s="95"/>
      <c r="AC428" s="95"/>
      <c r="AD428" s="95"/>
      <c r="AE428" s="95"/>
      <c r="AF428" s="95"/>
      <c r="AG428" s="95"/>
      <c r="AH428" s="95"/>
      <c r="AI428" s="95"/>
      <c r="AJ428" s="95"/>
      <c r="AK428" s="95"/>
      <c r="AL428" s="95"/>
      <c r="AM428" s="95"/>
      <c r="AN428" s="96"/>
      <c r="AO428" s="96"/>
      <c r="AP428" s="96"/>
      <c r="AQ428" s="96"/>
      <c r="AR428" s="96"/>
      <c r="AS428" s="96"/>
      <c r="AT428" s="96"/>
      <c r="AU428" s="96"/>
      <c r="AV428" s="96"/>
      <c r="AW428" s="96"/>
      <c r="AX428" s="96"/>
      <c r="AY428" s="96"/>
      <c r="AZ428" s="96"/>
      <c r="BA428" s="96"/>
    </row>
    <row r="429" spans="1:53" s="97" customFormat="1" ht="12" customHeight="1">
      <c r="A429" s="8">
        <v>51103012032</v>
      </c>
      <c r="B429" s="8" t="s">
        <v>784</v>
      </c>
      <c r="C429" s="80">
        <f>+VLOOKUP(A429,Clasificaciones!C:I,5,FALSE)</f>
        <v>0</v>
      </c>
      <c r="D429" s="80">
        <v>0</v>
      </c>
      <c r="E429" s="80">
        <v>0</v>
      </c>
      <c r="F429" s="80">
        <v>0</v>
      </c>
      <c r="G429" s="80">
        <f t="shared" si="125"/>
        <v>0</v>
      </c>
      <c r="H429" s="26">
        <f t="shared" si="135"/>
        <v>0</v>
      </c>
      <c r="I429" s="26">
        <v>0</v>
      </c>
      <c r="J429" s="26">
        <v>0</v>
      </c>
      <c r="K429" s="26">
        <v>0</v>
      </c>
      <c r="L429" s="26">
        <v>0</v>
      </c>
      <c r="M429" s="26">
        <v>0</v>
      </c>
      <c r="N429" s="26">
        <v>0</v>
      </c>
      <c r="O429" s="26">
        <v>0</v>
      </c>
      <c r="P429" s="26">
        <v>0</v>
      </c>
      <c r="Q429" s="26">
        <v>0</v>
      </c>
      <c r="R429" s="26"/>
      <c r="S429" s="26">
        <v>0</v>
      </c>
      <c r="T429" s="26">
        <v>0</v>
      </c>
      <c r="U429" s="26">
        <v>0</v>
      </c>
      <c r="V429" s="26">
        <v>0</v>
      </c>
      <c r="W429" s="26">
        <v>0</v>
      </c>
      <c r="X429" s="26">
        <v>0</v>
      </c>
      <c r="Y429" s="26">
        <v>0</v>
      </c>
      <c r="Z429" s="26">
        <f t="shared" si="137"/>
        <v>0</v>
      </c>
      <c r="AA429" s="95"/>
      <c r="AB429" s="95"/>
      <c r="AC429" s="95"/>
      <c r="AD429" s="95"/>
      <c r="AE429" s="95"/>
      <c r="AF429" s="95"/>
      <c r="AG429" s="95"/>
      <c r="AH429" s="95"/>
      <c r="AI429" s="95"/>
      <c r="AJ429" s="95"/>
      <c r="AK429" s="95"/>
      <c r="AL429" s="95"/>
      <c r="AM429" s="95"/>
      <c r="AN429" s="96"/>
      <c r="AO429" s="96"/>
      <c r="AP429" s="96"/>
      <c r="AQ429" s="96"/>
      <c r="AR429" s="96"/>
      <c r="AS429" s="96"/>
      <c r="AT429" s="96"/>
      <c r="AU429" s="96"/>
      <c r="AV429" s="96"/>
      <c r="AW429" s="96"/>
      <c r="AX429" s="96"/>
      <c r="AY429" s="96"/>
      <c r="AZ429" s="96"/>
      <c r="BA429" s="96"/>
    </row>
    <row r="430" spans="1:53" s="97" customFormat="1" ht="12" customHeight="1">
      <c r="A430" s="8">
        <v>511030130</v>
      </c>
      <c r="B430" s="8" t="s">
        <v>1198</v>
      </c>
      <c r="C430" s="80">
        <f>+VLOOKUP(A430,Clasificaciones!C:I,5,FALSE)</f>
        <v>0</v>
      </c>
      <c r="D430" s="80">
        <v>0</v>
      </c>
      <c r="E430" s="80">
        <v>0</v>
      </c>
      <c r="F430" s="80">
        <v>0</v>
      </c>
      <c r="G430" s="80">
        <f t="shared" si="125"/>
        <v>0</v>
      </c>
      <c r="H430" s="26">
        <v>0</v>
      </c>
      <c r="I430" s="26">
        <v>0</v>
      </c>
      <c r="J430" s="26">
        <f>-G430</f>
        <v>0</v>
      </c>
      <c r="K430" s="26">
        <v>0</v>
      </c>
      <c r="L430" s="26">
        <v>0</v>
      </c>
      <c r="M430" s="26">
        <v>0</v>
      </c>
      <c r="N430" s="26">
        <v>0</v>
      </c>
      <c r="O430" s="26">
        <v>0</v>
      </c>
      <c r="P430" s="26">
        <v>0</v>
      </c>
      <c r="Q430" s="26">
        <v>0</v>
      </c>
      <c r="R430" s="26">
        <v>0</v>
      </c>
      <c r="S430" s="26">
        <v>0</v>
      </c>
      <c r="T430" s="26">
        <v>0</v>
      </c>
      <c r="U430" s="26">
        <v>0</v>
      </c>
      <c r="V430" s="26">
        <v>0</v>
      </c>
      <c r="W430" s="26">
        <v>0</v>
      </c>
      <c r="X430" s="26">
        <v>0</v>
      </c>
      <c r="Y430" s="26">
        <v>0</v>
      </c>
      <c r="Z430" s="26">
        <f t="shared" si="137"/>
        <v>0</v>
      </c>
      <c r="AA430" s="95"/>
      <c r="AB430" s="95"/>
      <c r="AC430" s="95"/>
      <c r="AD430" s="95"/>
      <c r="AE430" s="95"/>
      <c r="AF430" s="95"/>
      <c r="AG430" s="95"/>
      <c r="AH430" s="95"/>
      <c r="AI430" s="95"/>
      <c r="AJ430" s="95"/>
      <c r="AK430" s="95"/>
      <c r="AL430" s="95"/>
      <c r="AM430" s="95"/>
      <c r="AN430" s="96"/>
      <c r="AO430" s="96"/>
      <c r="AP430" s="96"/>
      <c r="AQ430" s="96"/>
      <c r="AR430" s="96"/>
      <c r="AS430" s="96"/>
      <c r="AT430" s="96"/>
      <c r="AU430" s="96"/>
      <c r="AV430" s="96"/>
      <c r="AW430" s="96"/>
      <c r="AX430" s="96"/>
      <c r="AY430" s="96"/>
      <c r="AZ430" s="96"/>
      <c r="BA430" s="96"/>
    </row>
    <row r="431" spans="1:53" s="97" customFormat="1" ht="12" customHeight="1">
      <c r="A431" s="8">
        <v>51103013001</v>
      </c>
      <c r="B431" s="8" t="s">
        <v>1199</v>
      </c>
      <c r="C431" s="80">
        <f>+VLOOKUP(A431,Clasificaciones!C:I,5,FALSE)</f>
        <v>0</v>
      </c>
      <c r="D431" s="80">
        <v>0</v>
      </c>
      <c r="E431" s="80">
        <v>0</v>
      </c>
      <c r="F431" s="80">
        <v>0</v>
      </c>
      <c r="G431" s="80">
        <f t="shared" si="125"/>
        <v>0</v>
      </c>
      <c r="H431" s="26">
        <v>0</v>
      </c>
      <c r="I431" s="26">
        <v>0</v>
      </c>
      <c r="J431" s="26">
        <v>0</v>
      </c>
      <c r="K431" s="26">
        <v>0</v>
      </c>
      <c r="L431" s="26">
        <v>0</v>
      </c>
      <c r="M431" s="26">
        <v>0</v>
      </c>
      <c r="N431" s="26">
        <v>0</v>
      </c>
      <c r="O431" s="26">
        <v>0</v>
      </c>
      <c r="P431" s="26">
        <v>0</v>
      </c>
      <c r="Q431" s="26">
        <v>0</v>
      </c>
      <c r="R431" s="26">
        <f>-G431</f>
        <v>0</v>
      </c>
      <c r="S431" s="26">
        <v>0</v>
      </c>
      <c r="T431" s="26">
        <v>0</v>
      </c>
      <c r="U431" s="26">
        <v>0</v>
      </c>
      <c r="V431" s="26">
        <v>0</v>
      </c>
      <c r="W431" s="26">
        <v>0</v>
      </c>
      <c r="X431" s="26">
        <v>0</v>
      </c>
      <c r="Y431" s="26">
        <v>0</v>
      </c>
      <c r="Z431" s="26">
        <f t="shared" si="137"/>
        <v>0</v>
      </c>
      <c r="AA431" s="95"/>
      <c r="AB431" s="95"/>
      <c r="AC431" s="95"/>
      <c r="AD431" s="95"/>
      <c r="AE431" s="95"/>
      <c r="AF431" s="95"/>
      <c r="AG431" s="95"/>
      <c r="AH431" s="95"/>
      <c r="AI431" s="95"/>
      <c r="AJ431" s="95"/>
      <c r="AK431" s="95"/>
      <c r="AL431" s="95"/>
      <c r="AM431" s="95"/>
      <c r="AN431" s="96"/>
      <c r="AO431" s="96"/>
      <c r="AP431" s="96"/>
      <c r="AQ431" s="96"/>
      <c r="AR431" s="96"/>
      <c r="AS431" s="96"/>
      <c r="AT431" s="96"/>
      <c r="AU431" s="96"/>
      <c r="AV431" s="96"/>
      <c r="AW431" s="96"/>
      <c r="AX431" s="96"/>
      <c r="AY431" s="96"/>
      <c r="AZ431" s="96"/>
      <c r="BA431" s="96"/>
    </row>
    <row r="432" spans="1:53" s="97" customFormat="1" ht="12" customHeight="1">
      <c r="A432" s="8">
        <v>51104</v>
      </c>
      <c r="B432" s="8" t="s">
        <v>805</v>
      </c>
      <c r="C432" s="80">
        <f>+VLOOKUP(A432,Clasificaciones!C:I,5,FALSE)</f>
        <v>0</v>
      </c>
      <c r="D432" s="80">
        <v>0</v>
      </c>
      <c r="E432" s="80">
        <v>0</v>
      </c>
      <c r="F432" s="80">
        <v>0</v>
      </c>
      <c r="G432" s="80">
        <f t="shared" si="125"/>
        <v>0</v>
      </c>
      <c r="H432" s="26">
        <v>0</v>
      </c>
      <c r="I432" s="26">
        <v>0</v>
      </c>
      <c r="J432" s="26"/>
      <c r="K432" s="26">
        <v>0</v>
      </c>
      <c r="L432" s="26">
        <f>-G432</f>
        <v>0</v>
      </c>
      <c r="M432" s="26">
        <v>0</v>
      </c>
      <c r="N432" s="26">
        <v>0</v>
      </c>
      <c r="O432" s="26">
        <v>0</v>
      </c>
      <c r="P432" s="26">
        <v>0</v>
      </c>
      <c r="Q432" s="26">
        <v>0</v>
      </c>
      <c r="R432" s="26">
        <v>0</v>
      </c>
      <c r="S432" s="26">
        <v>0</v>
      </c>
      <c r="T432" s="26">
        <v>0</v>
      </c>
      <c r="U432" s="26">
        <v>0</v>
      </c>
      <c r="V432" s="26">
        <v>0</v>
      </c>
      <c r="W432" s="26">
        <v>0</v>
      </c>
      <c r="X432" s="26">
        <v>0</v>
      </c>
      <c r="Y432" s="26">
        <v>0</v>
      </c>
      <c r="Z432" s="26">
        <f t="shared" si="137"/>
        <v>0</v>
      </c>
      <c r="AA432" s="95"/>
      <c r="AB432" s="95"/>
      <c r="AC432" s="95"/>
      <c r="AD432" s="95"/>
      <c r="AE432" s="95"/>
      <c r="AF432" s="95"/>
      <c r="AG432" s="95"/>
      <c r="AH432" s="95"/>
      <c r="AI432" s="95"/>
      <c r="AJ432" s="95"/>
      <c r="AK432" s="95"/>
      <c r="AL432" s="95"/>
      <c r="AM432" s="95"/>
      <c r="AN432" s="96"/>
      <c r="AO432" s="96"/>
      <c r="AP432" s="96"/>
      <c r="AQ432" s="96"/>
      <c r="AR432" s="96"/>
      <c r="AS432" s="96"/>
      <c r="AT432" s="96"/>
      <c r="AU432" s="96"/>
      <c r="AV432" s="96"/>
      <c r="AW432" s="96"/>
      <c r="AX432" s="96"/>
      <c r="AY432" s="96"/>
      <c r="AZ432" s="96"/>
      <c r="BA432" s="96"/>
    </row>
    <row r="433" spans="1:53" s="97" customFormat="1" ht="12" customHeight="1">
      <c r="A433" s="8">
        <v>5110401</v>
      </c>
      <c r="B433" s="8" t="s">
        <v>805</v>
      </c>
      <c r="C433" s="80">
        <f>+VLOOKUP(A433,Clasificaciones!C:I,5,FALSE)</f>
        <v>3641710</v>
      </c>
      <c r="D433" s="80">
        <v>0</v>
      </c>
      <c r="E433" s="80">
        <v>0</v>
      </c>
      <c r="F433" s="80">
        <v>0</v>
      </c>
      <c r="G433" s="80">
        <f t="shared" ref="G433" si="138">+C433-F433+D433-E433</f>
        <v>3641710</v>
      </c>
      <c r="H433" s="26">
        <v>0</v>
      </c>
      <c r="I433" s="26">
        <v>0</v>
      </c>
      <c r="J433" s="26"/>
      <c r="K433" s="26">
        <v>0</v>
      </c>
      <c r="L433" s="26">
        <f>-G433</f>
        <v>-3641710</v>
      </c>
      <c r="M433" s="26">
        <v>0</v>
      </c>
      <c r="N433" s="26">
        <v>0</v>
      </c>
      <c r="O433" s="26">
        <v>0</v>
      </c>
      <c r="P433" s="26">
        <v>0</v>
      </c>
      <c r="Q433" s="26">
        <v>0</v>
      </c>
      <c r="R433" s="26">
        <v>0</v>
      </c>
      <c r="S433" s="26">
        <v>0</v>
      </c>
      <c r="T433" s="26">
        <v>0</v>
      </c>
      <c r="U433" s="26">
        <v>0</v>
      </c>
      <c r="V433" s="26">
        <v>0</v>
      </c>
      <c r="W433" s="26">
        <v>0</v>
      </c>
      <c r="X433" s="26">
        <v>0</v>
      </c>
      <c r="Y433" s="26">
        <v>0</v>
      </c>
      <c r="Z433" s="26">
        <f t="shared" ref="Z433" si="139">SUM(G433:Y433)</f>
        <v>0</v>
      </c>
      <c r="AA433" s="95"/>
      <c r="AB433" s="95"/>
      <c r="AC433" s="95"/>
      <c r="AD433" s="95"/>
      <c r="AE433" s="95"/>
      <c r="AF433" s="95"/>
      <c r="AG433" s="95"/>
      <c r="AH433" s="95"/>
      <c r="AI433" s="95"/>
      <c r="AJ433" s="95"/>
      <c r="AK433" s="95"/>
      <c r="AL433" s="95"/>
      <c r="AM433" s="95"/>
      <c r="AN433" s="96"/>
      <c r="AO433" s="96"/>
      <c r="AP433" s="96"/>
      <c r="AQ433" s="96"/>
      <c r="AR433" s="96"/>
      <c r="AS433" s="96"/>
      <c r="AT433" s="96"/>
      <c r="AU433" s="96"/>
      <c r="AV433" s="96"/>
      <c r="AW433" s="96"/>
      <c r="AX433" s="96"/>
      <c r="AY433" s="96"/>
      <c r="AZ433" s="96"/>
      <c r="BA433" s="96"/>
    </row>
    <row r="434" spans="1:53" s="97" customFormat="1" ht="12" customHeight="1">
      <c r="A434" s="8">
        <v>512</v>
      </c>
      <c r="B434" s="8" t="s">
        <v>233</v>
      </c>
      <c r="C434" s="80">
        <f>+VLOOKUP(A434,Clasificaciones!C:I,5,FALSE)</f>
        <v>0</v>
      </c>
      <c r="D434" s="80">
        <v>0</v>
      </c>
      <c r="E434" s="80">
        <v>0</v>
      </c>
      <c r="F434" s="80">
        <v>0</v>
      </c>
      <c r="G434" s="80">
        <f t="shared" si="125"/>
        <v>0</v>
      </c>
      <c r="H434" s="26">
        <v>0</v>
      </c>
      <c r="I434" s="26">
        <v>0</v>
      </c>
      <c r="J434" s="26">
        <f>-G434</f>
        <v>0</v>
      </c>
      <c r="K434" s="26">
        <v>0</v>
      </c>
      <c r="L434" s="26">
        <v>0</v>
      </c>
      <c r="M434" s="26">
        <v>0</v>
      </c>
      <c r="N434" s="26">
        <v>0</v>
      </c>
      <c r="O434" s="26">
        <v>0</v>
      </c>
      <c r="P434" s="26">
        <v>0</v>
      </c>
      <c r="Q434" s="26">
        <v>0</v>
      </c>
      <c r="R434" s="26">
        <v>0</v>
      </c>
      <c r="S434" s="26">
        <v>0</v>
      </c>
      <c r="T434" s="26">
        <v>0</v>
      </c>
      <c r="U434" s="26">
        <v>0</v>
      </c>
      <c r="V434" s="26">
        <v>0</v>
      </c>
      <c r="W434" s="26">
        <v>0</v>
      </c>
      <c r="X434" s="26">
        <v>0</v>
      </c>
      <c r="Y434" s="26">
        <v>0</v>
      </c>
      <c r="Z434" s="26">
        <f t="shared" si="137"/>
        <v>0</v>
      </c>
      <c r="AA434" s="95"/>
      <c r="AB434" s="95"/>
      <c r="AC434" s="95"/>
      <c r="AD434" s="95"/>
      <c r="AE434" s="95"/>
      <c r="AF434" s="95"/>
      <c r="AG434" s="95"/>
      <c r="AH434" s="95"/>
      <c r="AI434" s="95"/>
      <c r="AJ434" s="95"/>
      <c r="AK434" s="95"/>
      <c r="AL434" s="95"/>
      <c r="AM434" s="95"/>
      <c r="AN434" s="96"/>
      <c r="AO434" s="96"/>
      <c r="AP434" s="96"/>
      <c r="AQ434" s="96"/>
      <c r="AR434" s="96"/>
      <c r="AS434" s="96"/>
      <c r="AT434" s="96"/>
      <c r="AU434" s="96"/>
      <c r="AV434" s="96"/>
      <c r="AW434" s="96"/>
      <c r="AX434" s="96"/>
      <c r="AY434" s="96"/>
      <c r="AZ434" s="96"/>
      <c r="BA434" s="96"/>
    </row>
    <row r="435" spans="1:53" s="97" customFormat="1" ht="12" customHeight="1">
      <c r="A435" s="8">
        <v>51201</v>
      </c>
      <c r="B435" s="8" t="s">
        <v>806</v>
      </c>
      <c r="C435" s="80">
        <f>+VLOOKUP(A435,Clasificaciones!C:I,5,FALSE)</f>
        <v>163174020</v>
      </c>
      <c r="D435" s="80">
        <v>0</v>
      </c>
      <c r="E435" s="80">
        <v>0</v>
      </c>
      <c r="F435" s="80">
        <v>0</v>
      </c>
      <c r="G435" s="80">
        <f t="shared" si="125"/>
        <v>163174020</v>
      </c>
      <c r="H435" s="26">
        <v>0</v>
      </c>
      <c r="I435" s="26">
        <v>0</v>
      </c>
      <c r="J435" s="26"/>
      <c r="K435" s="26">
        <v>0</v>
      </c>
      <c r="L435" s="26">
        <f t="shared" ref="L435:L438" si="140">-G435</f>
        <v>-163174020</v>
      </c>
      <c r="M435" s="26">
        <v>0</v>
      </c>
      <c r="N435" s="26">
        <v>0</v>
      </c>
      <c r="O435" s="26">
        <v>0</v>
      </c>
      <c r="P435" s="26">
        <v>0</v>
      </c>
      <c r="Q435" s="26">
        <v>0</v>
      </c>
      <c r="R435" s="26">
        <v>0</v>
      </c>
      <c r="S435" s="26">
        <v>0</v>
      </c>
      <c r="T435" s="26">
        <v>0</v>
      </c>
      <c r="U435" s="26">
        <v>0</v>
      </c>
      <c r="V435" s="26">
        <v>0</v>
      </c>
      <c r="W435" s="26">
        <v>0</v>
      </c>
      <c r="X435" s="26">
        <v>0</v>
      </c>
      <c r="Y435" s="26">
        <v>0</v>
      </c>
      <c r="Z435" s="26">
        <f t="shared" si="137"/>
        <v>0</v>
      </c>
      <c r="AA435" s="95"/>
      <c r="AB435" s="95"/>
      <c r="AC435" s="95"/>
      <c r="AD435" s="95"/>
      <c r="AE435" s="95"/>
      <c r="AF435" s="95"/>
      <c r="AG435" s="95"/>
      <c r="AH435" s="95"/>
      <c r="AI435" s="95"/>
      <c r="AJ435" s="95"/>
      <c r="AK435" s="95"/>
      <c r="AL435" s="95"/>
      <c r="AM435" s="95"/>
      <c r="AN435" s="96"/>
      <c r="AO435" s="96"/>
      <c r="AP435" s="96"/>
      <c r="AQ435" s="96"/>
      <c r="AR435" s="96"/>
      <c r="AS435" s="96"/>
      <c r="AT435" s="96"/>
      <c r="AU435" s="96"/>
      <c r="AV435" s="96"/>
      <c r="AW435" s="96"/>
      <c r="AX435" s="96"/>
      <c r="AY435" s="96"/>
      <c r="AZ435" s="96"/>
      <c r="BA435" s="96"/>
    </row>
    <row r="436" spans="1:53" s="97" customFormat="1" ht="12" customHeight="1">
      <c r="A436" s="8">
        <v>51203</v>
      </c>
      <c r="B436" s="8" t="s">
        <v>177</v>
      </c>
      <c r="C436" s="80">
        <f>+VLOOKUP(A436,Clasificaciones!C:I,5,FALSE)</f>
        <v>45608034</v>
      </c>
      <c r="D436" s="80">
        <v>0</v>
      </c>
      <c r="E436" s="80">
        <v>0</v>
      </c>
      <c r="F436" s="80">
        <v>0</v>
      </c>
      <c r="G436" s="80">
        <f t="shared" ref="G436" si="141">+C436-F436+D436-E436</f>
        <v>45608034</v>
      </c>
      <c r="H436" s="26">
        <v>0</v>
      </c>
      <c r="I436" s="26">
        <v>0</v>
      </c>
      <c r="J436" s="26"/>
      <c r="K436" s="26">
        <v>0</v>
      </c>
      <c r="L436" s="26">
        <f t="shared" si="140"/>
        <v>-45608034</v>
      </c>
      <c r="M436" s="26">
        <v>0</v>
      </c>
      <c r="N436" s="26">
        <v>0</v>
      </c>
      <c r="O436" s="26">
        <v>0</v>
      </c>
      <c r="P436" s="26">
        <v>0</v>
      </c>
      <c r="Q436" s="26">
        <v>0</v>
      </c>
      <c r="R436" s="26">
        <v>0</v>
      </c>
      <c r="S436" s="26">
        <v>0</v>
      </c>
      <c r="T436" s="26">
        <v>0</v>
      </c>
      <c r="U436" s="26">
        <v>0</v>
      </c>
      <c r="V436" s="26">
        <v>0</v>
      </c>
      <c r="W436" s="26">
        <v>0</v>
      </c>
      <c r="X436" s="26">
        <v>0</v>
      </c>
      <c r="Y436" s="26">
        <v>0</v>
      </c>
      <c r="Z436" s="26">
        <f t="shared" si="137"/>
        <v>0</v>
      </c>
      <c r="AA436" s="95"/>
      <c r="AB436" s="95"/>
      <c r="AC436" s="95"/>
      <c r="AD436" s="95"/>
      <c r="AE436" s="95"/>
      <c r="AF436" s="95"/>
      <c r="AG436" s="95"/>
      <c r="AH436" s="95"/>
      <c r="AI436" s="95"/>
      <c r="AJ436" s="95"/>
      <c r="AK436" s="95"/>
      <c r="AL436" s="95"/>
      <c r="AM436" s="95"/>
      <c r="AN436" s="96"/>
      <c r="AO436" s="96"/>
      <c r="AP436" s="96"/>
      <c r="AQ436" s="96"/>
      <c r="AR436" s="96"/>
      <c r="AS436" s="96"/>
      <c r="AT436" s="96"/>
      <c r="AU436" s="96"/>
      <c r="AV436" s="96"/>
      <c r="AW436" s="96"/>
      <c r="AX436" s="96"/>
      <c r="AY436" s="96"/>
      <c r="AZ436" s="96"/>
      <c r="BA436" s="96"/>
    </row>
    <row r="437" spans="1:53" s="97" customFormat="1" ht="12" customHeight="1">
      <c r="A437" s="8">
        <v>51204</v>
      </c>
      <c r="B437" s="8" t="s">
        <v>807</v>
      </c>
      <c r="C437" s="80">
        <f>+VLOOKUP(A437,Clasificaciones!C:I,5,FALSE)</f>
        <v>49788329</v>
      </c>
      <c r="D437" s="80">
        <v>0</v>
      </c>
      <c r="E437" s="80">
        <v>0</v>
      </c>
      <c r="F437" s="80">
        <v>0</v>
      </c>
      <c r="G437" s="80">
        <f t="shared" si="125"/>
        <v>49788329</v>
      </c>
      <c r="H437" s="26">
        <v>0</v>
      </c>
      <c r="I437" s="26">
        <v>0</v>
      </c>
      <c r="J437" s="26"/>
      <c r="K437" s="26">
        <v>0</v>
      </c>
      <c r="L437" s="26">
        <f t="shared" si="140"/>
        <v>-49788329</v>
      </c>
      <c r="M437" s="26">
        <v>0</v>
      </c>
      <c r="N437" s="26">
        <v>0</v>
      </c>
      <c r="O437" s="26">
        <v>0</v>
      </c>
      <c r="P437" s="26">
        <v>0</v>
      </c>
      <c r="Q437" s="26">
        <v>0</v>
      </c>
      <c r="R437" s="26">
        <v>0</v>
      </c>
      <c r="S437" s="26">
        <v>0</v>
      </c>
      <c r="T437" s="26">
        <v>0</v>
      </c>
      <c r="U437" s="26">
        <v>0</v>
      </c>
      <c r="V437" s="26">
        <v>0</v>
      </c>
      <c r="W437" s="26">
        <v>0</v>
      </c>
      <c r="X437" s="26">
        <v>0</v>
      </c>
      <c r="Y437" s="26">
        <v>0</v>
      </c>
      <c r="Z437" s="26">
        <f t="shared" si="137"/>
        <v>0</v>
      </c>
      <c r="AA437" s="95"/>
      <c r="AB437" s="95"/>
      <c r="AC437" s="95"/>
      <c r="AD437" s="95"/>
      <c r="AE437" s="95"/>
      <c r="AF437" s="95"/>
      <c r="AG437" s="95"/>
      <c r="AH437" s="95"/>
      <c r="AI437" s="95"/>
      <c r="AJ437" s="95"/>
      <c r="AK437" s="95"/>
      <c r="AL437" s="95"/>
      <c r="AM437" s="95"/>
      <c r="AN437" s="96"/>
      <c r="AO437" s="96"/>
      <c r="AP437" s="96"/>
      <c r="AQ437" s="96"/>
      <c r="AR437" s="96"/>
      <c r="AS437" s="96"/>
      <c r="AT437" s="96"/>
      <c r="AU437" s="96"/>
      <c r="AV437" s="96"/>
      <c r="AW437" s="96"/>
      <c r="AX437" s="96"/>
      <c r="AY437" s="96"/>
      <c r="AZ437" s="96"/>
      <c r="BA437" s="96"/>
    </row>
    <row r="438" spans="1:53" s="97" customFormat="1" ht="12" customHeight="1">
      <c r="A438" s="8">
        <v>51206</v>
      </c>
      <c r="B438" s="8" t="s">
        <v>1200</v>
      </c>
      <c r="C438" s="80">
        <f>+VLOOKUP(A438,Clasificaciones!C:I,5,FALSE)</f>
        <v>200000000</v>
      </c>
      <c r="D438" s="80">
        <v>0</v>
      </c>
      <c r="E438" s="80">
        <v>0</v>
      </c>
      <c r="F438" s="80">
        <v>0</v>
      </c>
      <c r="G438" s="80">
        <f t="shared" si="125"/>
        <v>200000000</v>
      </c>
      <c r="H438" s="26">
        <v>0</v>
      </c>
      <c r="I438" s="26">
        <v>0</v>
      </c>
      <c r="J438" s="26"/>
      <c r="K438" s="26">
        <v>0</v>
      </c>
      <c r="L438" s="26">
        <f t="shared" si="140"/>
        <v>-200000000</v>
      </c>
      <c r="M438" s="26">
        <v>0</v>
      </c>
      <c r="N438" s="26">
        <v>0</v>
      </c>
      <c r="O438" s="26">
        <v>0</v>
      </c>
      <c r="P438" s="26">
        <v>0</v>
      </c>
      <c r="Q438" s="26">
        <v>0</v>
      </c>
      <c r="R438" s="26">
        <v>0</v>
      </c>
      <c r="S438" s="26">
        <v>0</v>
      </c>
      <c r="T438" s="26">
        <v>0</v>
      </c>
      <c r="U438" s="26">
        <v>0</v>
      </c>
      <c r="V438" s="26">
        <v>0</v>
      </c>
      <c r="W438" s="26">
        <v>0</v>
      </c>
      <c r="X438" s="26">
        <v>0</v>
      </c>
      <c r="Y438" s="26">
        <v>0</v>
      </c>
      <c r="Z438" s="26">
        <f t="shared" si="137"/>
        <v>0</v>
      </c>
      <c r="AA438" s="95"/>
      <c r="AB438" s="95"/>
      <c r="AC438" s="95"/>
      <c r="AD438" s="95"/>
      <c r="AE438" s="95"/>
      <c r="AF438" s="95"/>
      <c r="AG438" s="95"/>
      <c r="AH438" s="95"/>
      <c r="AI438" s="95"/>
      <c r="AJ438" s="95"/>
      <c r="AK438" s="95"/>
      <c r="AL438" s="95"/>
      <c r="AM438" s="95"/>
      <c r="AN438" s="96"/>
      <c r="AO438" s="96"/>
      <c r="AP438" s="96"/>
      <c r="AQ438" s="96"/>
      <c r="AR438" s="96"/>
      <c r="AS438" s="96"/>
      <c r="AT438" s="96"/>
      <c r="AU438" s="96"/>
      <c r="AV438" s="96"/>
      <c r="AW438" s="96"/>
      <c r="AX438" s="96"/>
      <c r="AY438" s="96"/>
      <c r="AZ438" s="96"/>
      <c r="BA438" s="96"/>
    </row>
    <row r="439" spans="1:53" s="97" customFormat="1" ht="12" customHeight="1">
      <c r="A439" s="8">
        <v>51207</v>
      </c>
      <c r="B439" s="8" t="s">
        <v>298</v>
      </c>
      <c r="C439" s="80">
        <f>+VLOOKUP(A439,Clasificaciones!C:I,5,FALSE)</f>
        <v>41666665</v>
      </c>
      <c r="D439" s="80">
        <v>0</v>
      </c>
      <c r="E439" s="80">
        <v>0</v>
      </c>
      <c r="F439" s="80">
        <v>0</v>
      </c>
      <c r="G439" s="80">
        <f t="shared" si="125"/>
        <v>41666665</v>
      </c>
      <c r="H439" s="26">
        <v>0</v>
      </c>
      <c r="I439" s="26">
        <v>0</v>
      </c>
      <c r="J439" s="26">
        <v>0</v>
      </c>
      <c r="K439" s="26">
        <v>0</v>
      </c>
      <c r="L439" s="26">
        <f>-G439</f>
        <v>-41666665</v>
      </c>
      <c r="M439" s="26">
        <v>0</v>
      </c>
      <c r="N439" s="26">
        <v>0</v>
      </c>
      <c r="O439" s="26">
        <v>0</v>
      </c>
      <c r="P439" s="26">
        <v>0</v>
      </c>
      <c r="Q439" s="26">
        <v>0</v>
      </c>
      <c r="R439" s="26">
        <v>0</v>
      </c>
      <c r="S439" s="26">
        <v>0</v>
      </c>
      <c r="T439" s="26">
        <v>0</v>
      </c>
      <c r="U439" s="26">
        <v>0</v>
      </c>
      <c r="V439" s="26">
        <v>0</v>
      </c>
      <c r="W439" s="26">
        <v>0</v>
      </c>
      <c r="X439" s="26">
        <v>0</v>
      </c>
      <c r="Y439" s="26">
        <v>0</v>
      </c>
      <c r="Z439" s="26">
        <f t="shared" si="137"/>
        <v>0</v>
      </c>
      <c r="AA439" s="95"/>
      <c r="AB439" s="95"/>
      <c r="AC439" s="95"/>
      <c r="AD439" s="95"/>
      <c r="AE439" s="95"/>
      <c r="AF439" s="95"/>
      <c r="AG439" s="95"/>
      <c r="AH439" s="95"/>
      <c r="AI439" s="95"/>
      <c r="AJ439" s="95"/>
      <c r="AK439" s="95"/>
      <c r="AL439" s="95"/>
      <c r="AM439" s="95"/>
      <c r="AN439" s="96"/>
      <c r="AO439" s="96"/>
      <c r="AP439" s="96"/>
      <c r="AQ439" s="96"/>
      <c r="AR439" s="96"/>
      <c r="AS439" s="96"/>
      <c r="AT439" s="96"/>
      <c r="AU439" s="96"/>
      <c r="AV439" s="96"/>
      <c r="AW439" s="96"/>
      <c r="AX439" s="96"/>
      <c r="AY439" s="96"/>
      <c r="AZ439" s="96"/>
      <c r="BA439" s="96"/>
    </row>
    <row r="440" spans="1:53" s="97" customFormat="1" ht="12" customHeight="1">
      <c r="A440" s="8">
        <v>513</v>
      </c>
      <c r="B440" s="8" t="s">
        <v>14</v>
      </c>
      <c r="C440" s="80">
        <f>+VLOOKUP(A440,Clasificaciones!C:I,5,FALSE)</f>
        <v>0</v>
      </c>
      <c r="D440" s="80">
        <v>0</v>
      </c>
      <c r="E440" s="80">
        <v>0</v>
      </c>
      <c r="F440" s="80">
        <v>0</v>
      </c>
      <c r="G440" s="80">
        <f t="shared" si="125"/>
        <v>0</v>
      </c>
      <c r="H440" s="26">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c r="Z440" s="26">
        <f t="shared" si="137"/>
        <v>0</v>
      </c>
      <c r="AA440" s="95"/>
      <c r="AB440" s="95"/>
      <c r="AC440" s="95"/>
      <c r="AD440" s="95"/>
      <c r="AE440" s="95"/>
      <c r="AF440" s="95"/>
      <c r="AG440" s="95"/>
      <c r="AH440" s="95"/>
      <c r="AI440" s="95"/>
      <c r="AJ440" s="95"/>
      <c r="AK440" s="95"/>
      <c r="AL440" s="95"/>
      <c r="AM440" s="95"/>
      <c r="AN440" s="96"/>
      <c r="AO440" s="96"/>
      <c r="AP440" s="96"/>
      <c r="AQ440" s="96"/>
      <c r="AR440" s="96"/>
      <c r="AS440" s="96"/>
      <c r="AT440" s="96"/>
      <c r="AU440" s="96"/>
      <c r="AV440" s="96"/>
      <c r="AW440" s="96"/>
      <c r="AX440" s="96"/>
      <c r="AY440" s="96"/>
      <c r="AZ440" s="96"/>
      <c r="BA440" s="96"/>
    </row>
    <row r="441" spans="1:53" s="97" customFormat="1" ht="12" customHeight="1">
      <c r="A441" s="8">
        <v>51301</v>
      </c>
      <c r="B441" s="8" t="s">
        <v>235</v>
      </c>
      <c r="C441" s="80">
        <f>+VLOOKUP(A441,Clasificaciones!C:I,5,FALSE)</f>
        <v>0</v>
      </c>
      <c r="D441" s="80">
        <v>0</v>
      </c>
      <c r="E441" s="80">
        <v>0</v>
      </c>
      <c r="F441" s="80">
        <v>0</v>
      </c>
      <c r="G441" s="80">
        <f t="shared" si="125"/>
        <v>0</v>
      </c>
      <c r="H441" s="26">
        <v>0</v>
      </c>
      <c r="I441" s="26">
        <v>0</v>
      </c>
      <c r="J441" s="26">
        <v>0</v>
      </c>
      <c r="K441" s="26">
        <v>0</v>
      </c>
      <c r="L441" s="26">
        <v>0</v>
      </c>
      <c r="M441" s="26">
        <v>0</v>
      </c>
      <c r="N441" s="26">
        <v>0</v>
      </c>
      <c r="O441" s="26">
        <v>0</v>
      </c>
      <c r="P441" s="26">
        <v>0</v>
      </c>
      <c r="Q441" s="26">
        <v>0</v>
      </c>
      <c r="R441" s="26">
        <v>0</v>
      </c>
      <c r="S441" s="26">
        <v>0</v>
      </c>
      <c r="T441" s="26">
        <v>0</v>
      </c>
      <c r="U441" s="26">
        <v>0</v>
      </c>
      <c r="V441" s="26">
        <v>0</v>
      </c>
      <c r="W441" s="26">
        <v>0</v>
      </c>
      <c r="X441" s="26">
        <v>0</v>
      </c>
      <c r="Y441" s="26">
        <v>0</v>
      </c>
      <c r="Z441" s="26">
        <f t="shared" si="137"/>
        <v>0</v>
      </c>
      <c r="AA441" s="95"/>
      <c r="AB441" s="95"/>
      <c r="AC441" s="95"/>
      <c r="AD441" s="95"/>
      <c r="AE441" s="95"/>
      <c r="AF441" s="95"/>
      <c r="AG441" s="95"/>
      <c r="AH441" s="95"/>
      <c r="AI441" s="95"/>
      <c r="AJ441" s="95"/>
      <c r="AK441" s="95"/>
      <c r="AL441" s="95"/>
      <c r="AM441" s="95"/>
      <c r="AN441" s="96"/>
      <c r="AO441" s="96"/>
      <c r="AP441" s="96"/>
      <c r="AQ441" s="96"/>
      <c r="AR441" s="96"/>
      <c r="AS441" s="96"/>
      <c r="AT441" s="96"/>
      <c r="AU441" s="96"/>
      <c r="AV441" s="96"/>
      <c r="AW441" s="96"/>
      <c r="AX441" s="96"/>
      <c r="AY441" s="96"/>
      <c r="AZ441" s="96"/>
      <c r="BA441" s="96"/>
    </row>
    <row r="442" spans="1:53" s="97" customFormat="1" ht="12" customHeight="1">
      <c r="A442" s="8">
        <v>5130101</v>
      </c>
      <c r="B442" s="8" t="s">
        <v>172</v>
      </c>
      <c r="C442" s="80">
        <f>+VLOOKUP(A442,Clasificaciones!C:I,5,FALSE)</f>
        <v>1477878666</v>
      </c>
      <c r="D442" s="80">
        <v>0</v>
      </c>
      <c r="E442" s="80">
        <v>0</v>
      </c>
      <c r="F442" s="80">
        <v>0</v>
      </c>
      <c r="G442" s="80">
        <f t="shared" si="125"/>
        <v>1477878666</v>
      </c>
      <c r="H442" s="26">
        <v>0</v>
      </c>
      <c r="I442" s="26">
        <f>-G442</f>
        <v>-1477878666</v>
      </c>
      <c r="J442" s="26">
        <v>0</v>
      </c>
      <c r="K442" s="26">
        <v>0</v>
      </c>
      <c r="L442" s="26">
        <v>0</v>
      </c>
      <c r="M442" s="26">
        <v>0</v>
      </c>
      <c r="N442" s="26">
        <v>0</v>
      </c>
      <c r="O442" s="26">
        <v>0</v>
      </c>
      <c r="P442" s="26">
        <v>0</v>
      </c>
      <c r="Q442" s="26">
        <v>0</v>
      </c>
      <c r="R442" s="26">
        <v>0</v>
      </c>
      <c r="S442" s="26">
        <v>0</v>
      </c>
      <c r="T442" s="26">
        <v>0</v>
      </c>
      <c r="U442" s="26">
        <v>0</v>
      </c>
      <c r="V442" s="26">
        <v>0</v>
      </c>
      <c r="W442" s="26">
        <v>0</v>
      </c>
      <c r="X442" s="26">
        <v>0</v>
      </c>
      <c r="Y442" s="26">
        <v>0</v>
      </c>
      <c r="Z442" s="26">
        <f t="shared" si="137"/>
        <v>0</v>
      </c>
      <c r="AA442" s="95"/>
      <c r="AB442" s="95"/>
      <c r="AC442" s="95"/>
      <c r="AD442" s="95"/>
      <c r="AE442" s="95"/>
      <c r="AF442" s="95"/>
      <c r="AG442" s="95"/>
      <c r="AH442" s="95"/>
      <c r="AI442" s="95"/>
      <c r="AJ442" s="95"/>
      <c r="AK442" s="95"/>
      <c r="AL442" s="95"/>
      <c r="AM442" s="95"/>
      <c r="AN442" s="96"/>
      <c r="AO442" s="96"/>
      <c r="AP442" s="96"/>
      <c r="AQ442" s="96"/>
      <c r="AR442" s="96"/>
      <c r="AS442" s="96"/>
      <c r="AT442" s="96"/>
      <c r="AU442" s="96"/>
      <c r="AV442" s="96"/>
      <c r="AW442" s="96"/>
      <c r="AX442" s="96"/>
      <c r="AY442" s="96"/>
      <c r="AZ442" s="96"/>
      <c r="BA442" s="96"/>
    </row>
    <row r="443" spans="1:53" s="97" customFormat="1" ht="12" customHeight="1">
      <c r="A443" s="8">
        <v>5130104</v>
      </c>
      <c r="B443" s="8" t="s">
        <v>174</v>
      </c>
      <c r="C443" s="80">
        <f>+VLOOKUP(A443,Clasificaciones!C:I,5,FALSE)</f>
        <v>136991991</v>
      </c>
      <c r="D443" s="80">
        <v>0</v>
      </c>
      <c r="E443" s="80">
        <v>0</v>
      </c>
      <c r="F443" s="80">
        <v>0</v>
      </c>
      <c r="G443" s="80">
        <f t="shared" si="125"/>
        <v>136991991</v>
      </c>
      <c r="H443" s="26">
        <v>0</v>
      </c>
      <c r="I443" s="26">
        <f t="shared" ref="I443:I444" si="142">-G443</f>
        <v>-136991991</v>
      </c>
      <c r="J443" s="26">
        <v>0</v>
      </c>
      <c r="K443" s="26">
        <v>0</v>
      </c>
      <c r="L443" s="26">
        <v>0</v>
      </c>
      <c r="M443" s="26">
        <v>0</v>
      </c>
      <c r="N443" s="26">
        <v>0</v>
      </c>
      <c r="O443" s="26">
        <v>0</v>
      </c>
      <c r="P443" s="26">
        <v>0</v>
      </c>
      <c r="Q443" s="26">
        <v>0</v>
      </c>
      <c r="R443" s="26">
        <v>0</v>
      </c>
      <c r="S443" s="26">
        <v>0</v>
      </c>
      <c r="T443" s="26">
        <v>0</v>
      </c>
      <c r="U443" s="26">
        <v>0</v>
      </c>
      <c r="V443" s="26">
        <v>0</v>
      </c>
      <c r="W443" s="26">
        <v>0</v>
      </c>
      <c r="X443" s="26">
        <v>0</v>
      </c>
      <c r="Y443" s="26">
        <v>0</v>
      </c>
      <c r="Z443" s="26">
        <f t="shared" si="137"/>
        <v>0</v>
      </c>
      <c r="AA443" s="95"/>
      <c r="AB443" s="95"/>
      <c r="AC443" s="95"/>
      <c r="AD443" s="95"/>
      <c r="AE443" s="95"/>
      <c r="AF443" s="95"/>
      <c r="AG443" s="95"/>
      <c r="AH443" s="95"/>
      <c r="AI443" s="95"/>
      <c r="AJ443" s="95"/>
      <c r="AK443" s="95"/>
      <c r="AL443" s="95"/>
      <c r="AM443" s="95"/>
      <c r="AN443" s="96"/>
      <c r="AO443" s="96"/>
      <c r="AP443" s="96"/>
      <c r="AQ443" s="96"/>
      <c r="AR443" s="96"/>
      <c r="AS443" s="96"/>
      <c r="AT443" s="96"/>
      <c r="AU443" s="96"/>
      <c r="AV443" s="96"/>
      <c r="AW443" s="96"/>
      <c r="AX443" s="96"/>
      <c r="AY443" s="96"/>
      <c r="AZ443" s="96"/>
      <c r="BA443" s="96"/>
    </row>
    <row r="444" spans="1:53" s="97" customFormat="1" ht="12" customHeight="1">
      <c r="A444" s="8">
        <v>5130105</v>
      </c>
      <c r="B444" s="8" t="s">
        <v>175</v>
      </c>
      <c r="C444" s="80">
        <f>+VLOOKUP(A444,Clasificaciones!C:I,5,FALSE)</f>
        <v>21541334</v>
      </c>
      <c r="D444" s="80">
        <v>0</v>
      </c>
      <c r="E444" s="80">
        <v>0</v>
      </c>
      <c r="F444" s="80">
        <v>0</v>
      </c>
      <c r="G444" s="80">
        <f t="shared" si="125"/>
        <v>21541334</v>
      </c>
      <c r="H444" s="26">
        <v>0</v>
      </c>
      <c r="I444" s="26">
        <f t="shared" si="142"/>
        <v>-21541334</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c r="Z444" s="26">
        <f t="shared" si="137"/>
        <v>0</v>
      </c>
      <c r="AA444" s="95"/>
      <c r="AB444" s="95"/>
      <c r="AC444" s="95"/>
      <c r="AD444" s="95"/>
      <c r="AE444" s="95"/>
      <c r="AF444" s="95"/>
      <c r="AG444" s="95"/>
      <c r="AH444" s="95"/>
      <c r="AI444" s="95"/>
      <c r="AJ444" s="95"/>
      <c r="AK444" s="95"/>
      <c r="AL444" s="95"/>
      <c r="AM444" s="95"/>
      <c r="AN444" s="96"/>
      <c r="AO444" s="96"/>
      <c r="AP444" s="96"/>
      <c r="AQ444" s="96"/>
      <c r="AR444" s="96"/>
      <c r="AS444" s="96"/>
      <c r="AT444" s="96"/>
      <c r="AU444" s="96"/>
      <c r="AV444" s="96"/>
      <c r="AW444" s="96"/>
      <c r="AX444" s="96"/>
      <c r="AY444" s="96"/>
      <c r="AZ444" s="96"/>
      <c r="BA444" s="96"/>
    </row>
    <row r="445" spans="1:53" s="97" customFormat="1" ht="12" customHeight="1">
      <c r="A445" s="8">
        <v>51302</v>
      </c>
      <c r="B445" s="8" t="s">
        <v>808</v>
      </c>
      <c r="C445" s="80">
        <f>+VLOOKUP(A445,Clasificaciones!C:I,5,FALSE)</f>
        <v>0</v>
      </c>
      <c r="D445" s="80">
        <v>0</v>
      </c>
      <c r="E445" s="80">
        <v>0</v>
      </c>
      <c r="F445" s="80">
        <v>0</v>
      </c>
      <c r="G445" s="80">
        <f t="shared" si="125"/>
        <v>0</v>
      </c>
      <c r="H445" s="26">
        <v>0</v>
      </c>
      <c r="I445" s="26">
        <v>0</v>
      </c>
      <c r="J445" s="26">
        <v>0</v>
      </c>
      <c r="K445" s="26">
        <v>0</v>
      </c>
      <c r="L445" s="26">
        <v>0</v>
      </c>
      <c r="M445" s="26">
        <v>0</v>
      </c>
      <c r="N445" s="26">
        <v>0</v>
      </c>
      <c r="O445" s="26">
        <v>0</v>
      </c>
      <c r="P445" s="26">
        <v>0</v>
      </c>
      <c r="Q445" s="26">
        <v>0</v>
      </c>
      <c r="R445" s="26">
        <v>0</v>
      </c>
      <c r="S445" s="26">
        <v>0</v>
      </c>
      <c r="T445" s="26">
        <v>0</v>
      </c>
      <c r="U445" s="26">
        <v>0</v>
      </c>
      <c r="V445" s="26">
        <v>0</v>
      </c>
      <c r="W445" s="26">
        <v>0</v>
      </c>
      <c r="X445" s="26">
        <v>0</v>
      </c>
      <c r="Y445" s="26">
        <v>0</v>
      </c>
      <c r="Z445" s="26">
        <f t="shared" si="137"/>
        <v>0</v>
      </c>
      <c r="AA445" s="95"/>
      <c r="AB445" s="95"/>
      <c r="AC445" s="95"/>
      <c r="AD445" s="95"/>
      <c r="AE445" s="95"/>
      <c r="AF445" s="95"/>
      <c r="AG445" s="95"/>
      <c r="AH445" s="95"/>
      <c r="AI445" s="95"/>
      <c r="AJ445" s="95"/>
      <c r="AK445" s="95"/>
      <c r="AL445" s="95"/>
      <c r="AM445" s="95"/>
      <c r="AN445" s="96"/>
      <c r="AO445" s="96"/>
      <c r="AP445" s="96"/>
      <c r="AQ445" s="96"/>
      <c r="AR445" s="96"/>
      <c r="AS445" s="96"/>
      <c r="AT445" s="96"/>
      <c r="AU445" s="96"/>
      <c r="AV445" s="96"/>
      <c r="AW445" s="96"/>
      <c r="AX445" s="96"/>
      <c r="AY445" s="96"/>
      <c r="AZ445" s="96"/>
      <c r="BA445" s="96"/>
    </row>
    <row r="446" spans="1:53" s="97" customFormat="1" ht="12" customHeight="1">
      <c r="A446" s="8">
        <v>5130201</v>
      </c>
      <c r="B446" s="8" t="s">
        <v>809</v>
      </c>
      <c r="C446" s="80">
        <f>+VLOOKUP(A446,Clasificaciones!C:I,5,FALSE)</f>
        <v>272275272</v>
      </c>
      <c r="D446" s="80">
        <v>0</v>
      </c>
      <c r="E446" s="80">
        <v>0</v>
      </c>
      <c r="F446" s="80">
        <v>0</v>
      </c>
      <c r="G446" s="80">
        <f t="shared" si="125"/>
        <v>272275272</v>
      </c>
      <c r="H446" s="26">
        <v>0</v>
      </c>
      <c r="I446" s="26">
        <v>0</v>
      </c>
      <c r="J446" s="26"/>
      <c r="K446" s="26">
        <v>0</v>
      </c>
      <c r="L446" s="26">
        <f>-G446</f>
        <v>-272275272</v>
      </c>
      <c r="M446" s="26">
        <v>0</v>
      </c>
      <c r="N446" s="26">
        <v>0</v>
      </c>
      <c r="O446" s="26">
        <v>0</v>
      </c>
      <c r="P446" s="26">
        <v>0</v>
      </c>
      <c r="Q446" s="26">
        <v>0</v>
      </c>
      <c r="R446" s="26">
        <v>0</v>
      </c>
      <c r="S446" s="26">
        <v>0</v>
      </c>
      <c r="T446" s="26">
        <v>0</v>
      </c>
      <c r="U446" s="26">
        <v>0</v>
      </c>
      <c r="V446" s="26">
        <v>0</v>
      </c>
      <c r="W446" s="26">
        <v>0</v>
      </c>
      <c r="X446" s="26">
        <v>0</v>
      </c>
      <c r="Y446" s="26">
        <v>0</v>
      </c>
      <c r="Z446" s="26">
        <f t="shared" si="137"/>
        <v>0</v>
      </c>
      <c r="AA446" s="95"/>
      <c r="AB446" s="95"/>
      <c r="AC446" s="95"/>
      <c r="AD446" s="95"/>
      <c r="AE446" s="95"/>
      <c r="AF446" s="95"/>
      <c r="AG446" s="95"/>
      <c r="AH446" s="95"/>
      <c r="AI446" s="95"/>
      <c r="AJ446" s="95"/>
      <c r="AK446" s="95"/>
      <c r="AL446" s="95"/>
      <c r="AM446" s="95"/>
      <c r="AN446" s="96"/>
      <c r="AO446" s="96"/>
      <c r="AP446" s="96"/>
      <c r="AQ446" s="96"/>
      <c r="AR446" s="96"/>
      <c r="AS446" s="96"/>
      <c r="AT446" s="96"/>
      <c r="AU446" s="96"/>
      <c r="AV446" s="96"/>
      <c r="AW446" s="96"/>
      <c r="AX446" s="96"/>
      <c r="AY446" s="96"/>
      <c r="AZ446" s="96"/>
      <c r="BA446" s="96"/>
    </row>
    <row r="447" spans="1:53" s="97" customFormat="1" ht="12" customHeight="1">
      <c r="A447" s="8">
        <v>5130202</v>
      </c>
      <c r="B447" s="8" t="s">
        <v>1087</v>
      </c>
      <c r="C447" s="80">
        <f>+VLOOKUP(A447,Clasificaciones!C:I,5,FALSE)</f>
        <v>4500000</v>
      </c>
      <c r="D447" s="80">
        <v>0</v>
      </c>
      <c r="E447" s="80">
        <v>0</v>
      </c>
      <c r="F447" s="80">
        <v>0</v>
      </c>
      <c r="G447" s="80">
        <f t="shared" si="125"/>
        <v>4500000</v>
      </c>
      <c r="H447" s="26">
        <v>0</v>
      </c>
      <c r="I447" s="26">
        <f>-G447</f>
        <v>-4500000</v>
      </c>
      <c r="J447" s="26"/>
      <c r="K447" s="26">
        <v>0</v>
      </c>
      <c r="L447" s="26">
        <v>0</v>
      </c>
      <c r="M447" s="26">
        <v>0</v>
      </c>
      <c r="N447" s="26">
        <v>0</v>
      </c>
      <c r="O447" s="26">
        <v>0</v>
      </c>
      <c r="P447" s="26">
        <v>0</v>
      </c>
      <c r="Q447" s="26">
        <v>0</v>
      </c>
      <c r="R447" s="26">
        <v>0</v>
      </c>
      <c r="S447" s="26">
        <v>0</v>
      </c>
      <c r="T447" s="26">
        <v>0</v>
      </c>
      <c r="U447" s="26">
        <v>0</v>
      </c>
      <c r="V447" s="26">
        <v>0</v>
      </c>
      <c r="W447" s="26">
        <v>0</v>
      </c>
      <c r="X447" s="26">
        <v>0</v>
      </c>
      <c r="Y447" s="26">
        <v>0</v>
      </c>
      <c r="Z447" s="26">
        <f t="shared" si="137"/>
        <v>0</v>
      </c>
      <c r="AA447" s="95"/>
      <c r="AB447" s="95"/>
      <c r="AC447" s="95"/>
      <c r="AD447" s="95"/>
      <c r="AE447" s="95"/>
      <c r="AF447" s="95"/>
      <c r="AG447" s="95"/>
      <c r="AH447" s="95"/>
      <c r="AI447" s="95"/>
      <c r="AJ447" s="95"/>
      <c r="AK447" s="95"/>
      <c r="AL447" s="95"/>
      <c r="AM447" s="95"/>
      <c r="AN447" s="96"/>
      <c r="AO447" s="96"/>
      <c r="AP447" s="96"/>
      <c r="AQ447" s="96"/>
      <c r="AR447" s="96"/>
      <c r="AS447" s="96"/>
      <c r="AT447" s="96"/>
      <c r="AU447" s="96"/>
      <c r="AV447" s="96"/>
      <c r="AW447" s="96"/>
      <c r="AX447" s="96"/>
      <c r="AY447" s="96"/>
      <c r="AZ447" s="96"/>
      <c r="BA447" s="96"/>
    </row>
    <row r="448" spans="1:53" s="97" customFormat="1" ht="12" customHeight="1">
      <c r="A448" s="8">
        <v>5130203</v>
      </c>
      <c r="B448" s="8" t="s">
        <v>810</v>
      </c>
      <c r="C448" s="80">
        <f>+VLOOKUP(A448,Clasificaciones!C:I,5,FALSE)</f>
        <v>412916665</v>
      </c>
      <c r="D448" s="80">
        <v>0</v>
      </c>
      <c r="E448" s="80">
        <v>0</v>
      </c>
      <c r="F448" s="80">
        <v>0</v>
      </c>
      <c r="G448" s="80">
        <f t="shared" si="125"/>
        <v>412916665</v>
      </c>
      <c r="H448" s="26">
        <v>0</v>
      </c>
      <c r="I448" s="26">
        <f>-G448</f>
        <v>-412916665</v>
      </c>
      <c r="J448" s="26"/>
      <c r="K448" s="26">
        <v>0</v>
      </c>
      <c r="L448" s="26">
        <v>0</v>
      </c>
      <c r="M448" s="26">
        <v>0</v>
      </c>
      <c r="N448" s="26">
        <v>0</v>
      </c>
      <c r="O448" s="26">
        <v>0</v>
      </c>
      <c r="P448" s="26">
        <v>0</v>
      </c>
      <c r="Q448" s="26">
        <v>0</v>
      </c>
      <c r="R448" s="26">
        <v>0</v>
      </c>
      <c r="S448" s="26">
        <v>0</v>
      </c>
      <c r="T448" s="26">
        <v>0</v>
      </c>
      <c r="U448" s="26">
        <v>0</v>
      </c>
      <c r="V448" s="26">
        <v>0</v>
      </c>
      <c r="W448" s="26">
        <v>0</v>
      </c>
      <c r="X448" s="26">
        <v>0</v>
      </c>
      <c r="Y448" s="26">
        <v>0</v>
      </c>
      <c r="Z448" s="26">
        <f t="shared" si="137"/>
        <v>0</v>
      </c>
      <c r="AA448" s="95"/>
      <c r="AB448" s="95"/>
      <c r="AC448" s="95"/>
      <c r="AD448" s="95"/>
      <c r="AE448" s="95"/>
      <c r="AF448" s="95"/>
      <c r="AG448" s="95"/>
      <c r="AH448" s="95"/>
      <c r="AI448" s="95"/>
      <c r="AJ448" s="95"/>
      <c r="AK448" s="95"/>
      <c r="AL448" s="95"/>
      <c r="AM448" s="95"/>
      <c r="AN448" s="96"/>
      <c r="AO448" s="96"/>
      <c r="AP448" s="96"/>
      <c r="AQ448" s="96"/>
      <c r="AR448" s="96"/>
      <c r="AS448" s="96"/>
      <c r="AT448" s="96"/>
      <c r="AU448" s="96"/>
      <c r="AV448" s="96"/>
      <c r="AW448" s="96"/>
      <c r="AX448" s="96"/>
      <c r="AY448" s="96"/>
      <c r="AZ448" s="96"/>
      <c r="BA448" s="96"/>
    </row>
    <row r="449" spans="1:53" s="97" customFormat="1" ht="12" customHeight="1">
      <c r="A449" s="8">
        <v>5130204</v>
      </c>
      <c r="B449" s="8" t="s">
        <v>176</v>
      </c>
      <c r="C449" s="80">
        <f>+VLOOKUP(A449,Clasificaciones!C:I,5,FALSE)</f>
        <v>45583335</v>
      </c>
      <c r="D449" s="80">
        <v>0</v>
      </c>
      <c r="E449" s="80">
        <v>0</v>
      </c>
      <c r="F449" s="80">
        <v>0</v>
      </c>
      <c r="G449" s="80">
        <f t="shared" si="125"/>
        <v>45583335</v>
      </c>
      <c r="H449" s="26">
        <v>0</v>
      </c>
      <c r="I449" s="26">
        <v>0</v>
      </c>
      <c r="J449" s="26"/>
      <c r="K449" s="26">
        <v>0</v>
      </c>
      <c r="L449" s="26">
        <f t="shared" ref="L449:L451" si="143">-G449</f>
        <v>-45583335</v>
      </c>
      <c r="M449" s="26">
        <v>0</v>
      </c>
      <c r="N449" s="26">
        <v>0</v>
      </c>
      <c r="O449" s="26">
        <v>0</v>
      </c>
      <c r="P449" s="26">
        <v>0</v>
      </c>
      <c r="Q449" s="26">
        <v>0</v>
      </c>
      <c r="R449" s="26">
        <v>0</v>
      </c>
      <c r="S449" s="26">
        <v>0</v>
      </c>
      <c r="T449" s="26">
        <v>0</v>
      </c>
      <c r="U449" s="26">
        <v>0</v>
      </c>
      <c r="V449" s="26">
        <v>0</v>
      </c>
      <c r="W449" s="26">
        <v>0</v>
      </c>
      <c r="X449" s="26">
        <v>0</v>
      </c>
      <c r="Y449" s="26">
        <v>0</v>
      </c>
      <c r="Z449" s="26">
        <f t="shared" si="137"/>
        <v>0</v>
      </c>
      <c r="AA449" s="95"/>
      <c r="AB449" s="95"/>
      <c r="AC449" s="95"/>
      <c r="AD449" s="95"/>
      <c r="AE449" s="95"/>
      <c r="AF449" s="95"/>
      <c r="AG449" s="95"/>
      <c r="AH449" s="95"/>
      <c r="AI449" s="95"/>
      <c r="AJ449" s="95"/>
      <c r="AK449" s="95"/>
      <c r="AL449" s="95"/>
      <c r="AM449" s="95"/>
      <c r="AN449" s="96"/>
      <c r="AO449" s="96"/>
      <c r="AP449" s="96"/>
      <c r="AQ449" s="96"/>
      <c r="AR449" s="96"/>
      <c r="AS449" s="96"/>
      <c r="AT449" s="96"/>
      <c r="AU449" s="96"/>
      <c r="AV449" s="96"/>
      <c r="AW449" s="96"/>
      <c r="AX449" s="96"/>
      <c r="AY449" s="96"/>
      <c r="AZ449" s="96"/>
      <c r="BA449" s="96"/>
    </row>
    <row r="450" spans="1:53" s="97" customFormat="1" ht="12" customHeight="1">
      <c r="A450" s="8">
        <v>5130205</v>
      </c>
      <c r="B450" s="8" t="s">
        <v>1088</v>
      </c>
      <c r="C450" s="80">
        <f>+VLOOKUP(A450,Clasificaciones!C:I,5,FALSE)</f>
        <v>4120908</v>
      </c>
      <c r="D450" s="80">
        <v>0</v>
      </c>
      <c r="E450" s="80">
        <v>0</v>
      </c>
      <c r="F450" s="80">
        <v>0</v>
      </c>
      <c r="G450" s="80">
        <f t="shared" ref="G450" si="144">+C450-F450+D450-E450</f>
        <v>4120908</v>
      </c>
      <c r="H450" s="26">
        <v>0</v>
      </c>
      <c r="I450" s="26">
        <v>0</v>
      </c>
      <c r="J450" s="26"/>
      <c r="K450" s="26">
        <v>0</v>
      </c>
      <c r="L450" s="26">
        <f t="shared" si="143"/>
        <v>-4120908</v>
      </c>
      <c r="M450" s="26">
        <v>0</v>
      </c>
      <c r="N450" s="26">
        <v>0</v>
      </c>
      <c r="O450" s="26">
        <v>0</v>
      </c>
      <c r="P450" s="26">
        <v>0</v>
      </c>
      <c r="Q450" s="26">
        <v>0</v>
      </c>
      <c r="R450" s="26">
        <v>0</v>
      </c>
      <c r="S450" s="26">
        <v>0</v>
      </c>
      <c r="T450" s="26">
        <v>0</v>
      </c>
      <c r="U450" s="26">
        <v>0</v>
      </c>
      <c r="V450" s="26">
        <v>0</v>
      </c>
      <c r="W450" s="26">
        <v>0</v>
      </c>
      <c r="X450" s="26">
        <v>0</v>
      </c>
      <c r="Y450" s="26">
        <v>0</v>
      </c>
      <c r="Z450" s="26">
        <f t="shared" si="137"/>
        <v>0</v>
      </c>
      <c r="AA450" s="95"/>
      <c r="AB450" s="95"/>
      <c r="AC450" s="95"/>
      <c r="AD450" s="95"/>
      <c r="AE450" s="95"/>
      <c r="AF450" s="95"/>
      <c r="AG450" s="95"/>
      <c r="AH450" s="95"/>
      <c r="AI450" s="95"/>
      <c r="AJ450" s="95"/>
      <c r="AK450" s="95"/>
      <c r="AL450" s="95"/>
      <c r="AM450" s="95"/>
      <c r="AN450" s="96"/>
      <c r="AO450" s="96"/>
      <c r="AP450" s="96"/>
      <c r="AQ450" s="96"/>
      <c r="AR450" s="96"/>
      <c r="AS450" s="96"/>
      <c r="AT450" s="96"/>
      <c r="AU450" s="96"/>
      <c r="AV450" s="96"/>
      <c r="AW450" s="96"/>
      <c r="AX450" s="96"/>
      <c r="AY450" s="96"/>
      <c r="AZ450" s="96"/>
      <c r="BA450" s="96"/>
    </row>
    <row r="451" spans="1:53" s="97" customFormat="1" ht="12" customHeight="1">
      <c r="A451" s="8">
        <v>5130206</v>
      </c>
      <c r="B451" s="8" t="s">
        <v>811</v>
      </c>
      <c r="C451" s="80">
        <f>+VLOOKUP(A451,Clasificaciones!C:I,5,FALSE)</f>
        <v>93253333</v>
      </c>
      <c r="D451" s="80">
        <v>0</v>
      </c>
      <c r="E451" s="80">
        <v>0</v>
      </c>
      <c r="F451" s="80">
        <v>0</v>
      </c>
      <c r="G451" s="80">
        <f t="shared" si="125"/>
        <v>93253333</v>
      </c>
      <c r="H451" s="26">
        <v>0</v>
      </c>
      <c r="I451" s="26">
        <v>0</v>
      </c>
      <c r="J451" s="26"/>
      <c r="K451" s="26">
        <v>0</v>
      </c>
      <c r="L451" s="26">
        <f t="shared" si="143"/>
        <v>-93253333</v>
      </c>
      <c r="M451" s="26">
        <v>0</v>
      </c>
      <c r="N451" s="26">
        <v>0</v>
      </c>
      <c r="O451" s="26">
        <v>0</v>
      </c>
      <c r="P451" s="26">
        <v>0</v>
      </c>
      <c r="Q451" s="26">
        <v>0</v>
      </c>
      <c r="R451" s="26">
        <v>0</v>
      </c>
      <c r="S451" s="26">
        <v>0</v>
      </c>
      <c r="T451" s="26">
        <v>0</v>
      </c>
      <c r="U451" s="26">
        <v>0</v>
      </c>
      <c r="V451" s="26">
        <v>0</v>
      </c>
      <c r="W451" s="26">
        <v>0</v>
      </c>
      <c r="X451" s="26">
        <v>0</v>
      </c>
      <c r="Y451" s="26">
        <v>0</v>
      </c>
      <c r="Z451" s="26">
        <f t="shared" si="137"/>
        <v>0</v>
      </c>
      <c r="AA451" s="95"/>
      <c r="AB451" s="95"/>
      <c r="AC451" s="95"/>
      <c r="AD451" s="95"/>
      <c r="AE451" s="95"/>
      <c r="AF451" s="95"/>
      <c r="AG451" s="95"/>
      <c r="AH451" s="95"/>
      <c r="AI451" s="95"/>
      <c r="AJ451" s="95"/>
      <c r="AK451" s="95"/>
      <c r="AL451" s="95"/>
      <c r="AM451" s="95"/>
      <c r="AN451" s="96"/>
      <c r="AO451" s="96"/>
      <c r="AP451" s="96"/>
      <c r="AQ451" s="96"/>
      <c r="AR451" s="96"/>
      <c r="AS451" s="96"/>
      <c r="AT451" s="96"/>
      <c r="AU451" s="96"/>
      <c r="AV451" s="96"/>
      <c r="AW451" s="96"/>
      <c r="AX451" s="96"/>
      <c r="AY451" s="96"/>
      <c r="AZ451" s="96"/>
      <c r="BA451" s="96"/>
    </row>
    <row r="452" spans="1:53" s="97" customFormat="1" ht="12" customHeight="1">
      <c r="A452" s="8">
        <v>5130207</v>
      </c>
      <c r="B452" s="8" t="s">
        <v>407</v>
      </c>
      <c r="C452" s="80">
        <f>+VLOOKUP(A452,Clasificaciones!C:I,5,FALSE)</f>
        <v>101957334</v>
      </c>
      <c r="D452" s="80">
        <v>0</v>
      </c>
      <c r="E452" s="80">
        <v>0</v>
      </c>
      <c r="F452" s="80">
        <v>0</v>
      </c>
      <c r="G452" s="80">
        <f t="shared" si="125"/>
        <v>101957334</v>
      </c>
      <c r="H452" s="26">
        <v>0</v>
      </c>
      <c r="I452" s="26">
        <f>-G452</f>
        <v>-101957334</v>
      </c>
      <c r="J452" s="26">
        <v>0</v>
      </c>
      <c r="K452" s="26">
        <v>0</v>
      </c>
      <c r="L452" s="26">
        <v>0</v>
      </c>
      <c r="M452" s="26">
        <v>0</v>
      </c>
      <c r="N452" s="26">
        <v>0</v>
      </c>
      <c r="O452" s="26">
        <v>0</v>
      </c>
      <c r="P452" s="26">
        <v>0</v>
      </c>
      <c r="Q452" s="26">
        <v>0</v>
      </c>
      <c r="R452" s="26">
        <v>0</v>
      </c>
      <c r="S452" s="26">
        <v>0</v>
      </c>
      <c r="T452" s="26">
        <v>0</v>
      </c>
      <c r="U452" s="26">
        <v>0</v>
      </c>
      <c r="V452" s="26">
        <v>0</v>
      </c>
      <c r="W452" s="26">
        <v>0</v>
      </c>
      <c r="X452" s="26">
        <v>0</v>
      </c>
      <c r="Y452" s="26">
        <v>0</v>
      </c>
      <c r="Z452" s="26">
        <f t="shared" si="137"/>
        <v>0</v>
      </c>
      <c r="AA452" s="95"/>
      <c r="AB452" s="95"/>
      <c r="AC452" s="95"/>
      <c r="AD452" s="95"/>
      <c r="AE452" s="95"/>
      <c r="AF452" s="95"/>
      <c r="AG452" s="95"/>
      <c r="AH452" s="95"/>
      <c r="AI452" s="95"/>
      <c r="AJ452" s="95"/>
      <c r="AK452" s="95"/>
      <c r="AL452" s="95"/>
      <c r="AM452" s="95"/>
      <c r="AN452" s="96"/>
      <c r="AO452" s="96"/>
      <c r="AP452" s="96"/>
      <c r="AQ452" s="96"/>
      <c r="AR452" s="96"/>
      <c r="AS452" s="96"/>
      <c r="AT452" s="96"/>
      <c r="AU452" s="96"/>
      <c r="AV452" s="96"/>
      <c r="AW452" s="96"/>
      <c r="AX452" s="96"/>
      <c r="AY452" s="96"/>
      <c r="AZ452" s="96"/>
      <c r="BA452" s="96"/>
    </row>
    <row r="453" spans="1:53" s="97" customFormat="1" ht="12" customHeight="1">
      <c r="A453" s="8">
        <v>51303</v>
      </c>
      <c r="B453" s="8" t="s">
        <v>173</v>
      </c>
      <c r="C453" s="80">
        <f>+VLOOKUP(A453,Clasificaciones!C:I,5,FALSE)</f>
        <v>0</v>
      </c>
      <c r="D453" s="80">
        <v>0</v>
      </c>
      <c r="E453" s="80">
        <v>0</v>
      </c>
      <c r="F453" s="80">
        <v>0</v>
      </c>
      <c r="G453" s="80">
        <f t="shared" si="125"/>
        <v>0</v>
      </c>
      <c r="H453" s="26">
        <v>0</v>
      </c>
      <c r="I453" s="26">
        <v>0</v>
      </c>
      <c r="J453" s="26">
        <v>0</v>
      </c>
      <c r="K453" s="26">
        <v>0</v>
      </c>
      <c r="L453" s="26">
        <v>0</v>
      </c>
      <c r="M453" s="26">
        <v>0</v>
      </c>
      <c r="N453" s="26">
        <v>0</v>
      </c>
      <c r="O453" s="26">
        <v>0</v>
      </c>
      <c r="P453" s="26">
        <v>0</v>
      </c>
      <c r="Q453" s="26">
        <v>0</v>
      </c>
      <c r="R453" s="26">
        <v>0</v>
      </c>
      <c r="S453" s="26">
        <v>0</v>
      </c>
      <c r="T453" s="26">
        <v>0</v>
      </c>
      <c r="U453" s="26">
        <v>0</v>
      </c>
      <c r="V453" s="26">
        <v>0</v>
      </c>
      <c r="W453" s="26">
        <v>0</v>
      </c>
      <c r="X453" s="26">
        <v>0</v>
      </c>
      <c r="Y453" s="26">
        <v>0</v>
      </c>
      <c r="Z453" s="26">
        <f t="shared" si="137"/>
        <v>0</v>
      </c>
      <c r="AA453" s="95"/>
      <c r="AB453" s="95"/>
      <c r="AC453" s="95"/>
      <c r="AD453" s="95"/>
      <c r="AE453" s="95"/>
      <c r="AF453" s="95"/>
      <c r="AG453" s="95"/>
      <c r="AH453" s="95"/>
      <c r="AI453" s="95"/>
      <c r="AJ453" s="95"/>
      <c r="AK453" s="95"/>
      <c r="AL453" s="95"/>
      <c r="AM453" s="95"/>
      <c r="AN453" s="96"/>
      <c r="AO453" s="96"/>
      <c r="AP453" s="96"/>
      <c r="AQ453" s="96"/>
      <c r="AR453" s="96"/>
      <c r="AS453" s="96"/>
      <c r="AT453" s="96"/>
      <c r="AU453" s="96"/>
      <c r="AV453" s="96"/>
      <c r="AW453" s="96"/>
      <c r="AX453" s="96"/>
      <c r="AY453" s="96"/>
      <c r="AZ453" s="96"/>
      <c r="BA453" s="96"/>
    </row>
    <row r="454" spans="1:53" s="97" customFormat="1" ht="12" customHeight="1">
      <c r="A454" s="8">
        <v>5130301</v>
      </c>
      <c r="B454" s="8" t="s">
        <v>269</v>
      </c>
      <c r="C454" s="80">
        <f>+VLOOKUP(A454,Clasificaciones!C:I,5,FALSE)</f>
        <v>332926850</v>
      </c>
      <c r="D454" s="80">
        <v>0</v>
      </c>
      <c r="E454" s="80">
        <v>0</v>
      </c>
      <c r="F454" s="80">
        <v>0</v>
      </c>
      <c r="G454" s="80">
        <f t="shared" si="125"/>
        <v>332926850</v>
      </c>
      <c r="H454" s="26">
        <v>0</v>
      </c>
      <c r="I454" s="26">
        <v>0</v>
      </c>
      <c r="J454" s="26"/>
      <c r="K454" s="26">
        <v>0</v>
      </c>
      <c r="L454" s="26">
        <f t="shared" ref="L454:L455" si="145">-G454</f>
        <v>-332926850</v>
      </c>
      <c r="M454" s="26">
        <v>0</v>
      </c>
      <c r="N454" s="26">
        <v>0</v>
      </c>
      <c r="O454" s="26">
        <v>0</v>
      </c>
      <c r="P454" s="26">
        <v>0</v>
      </c>
      <c r="Q454" s="26">
        <v>0</v>
      </c>
      <c r="R454" s="26">
        <v>0</v>
      </c>
      <c r="S454" s="26">
        <v>0</v>
      </c>
      <c r="T454" s="26">
        <v>0</v>
      </c>
      <c r="U454" s="26">
        <v>0</v>
      </c>
      <c r="V454" s="26">
        <v>0</v>
      </c>
      <c r="W454" s="26">
        <v>0</v>
      </c>
      <c r="X454" s="26">
        <v>0</v>
      </c>
      <c r="Y454" s="26">
        <v>0</v>
      </c>
      <c r="Z454" s="26">
        <f t="shared" si="137"/>
        <v>0</v>
      </c>
      <c r="AA454" s="95"/>
      <c r="AB454" s="95"/>
      <c r="AC454" s="95"/>
      <c r="AD454" s="95"/>
      <c r="AE454" s="95"/>
      <c r="AF454" s="95"/>
      <c r="AG454" s="95"/>
      <c r="AH454" s="95"/>
      <c r="AI454" s="95"/>
      <c r="AJ454" s="95"/>
      <c r="AK454" s="95"/>
      <c r="AL454" s="95"/>
      <c r="AM454" s="95"/>
      <c r="AN454" s="96"/>
      <c r="AO454" s="96"/>
      <c r="AP454" s="96"/>
      <c r="AQ454" s="96"/>
      <c r="AR454" s="96"/>
      <c r="AS454" s="96"/>
      <c r="AT454" s="96"/>
      <c r="AU454" s="96"/>
      <c r="AV454" s="96"/>
      <c r="AW454" s="96"/>
      <c r="AX454" s="96"/>
      <c r="AY454" s="96"/>
      <c r="AZ454" s="96"/>
      <c r="BA454" s="96"/>
    </row>
    <row r="455" spans="1:53" s="97" customFormat="1" ht="12" customHeight="1">
      <c r="A455" s="8">
        <v>5130303</v>
      </c>
      <c r="B455" s="8" t="s">
        <v>812</v>
      </c>
      <c r="C455" s="80">
        <f>+VLOOKUP(A455,Clasificaciones!C:I,5,FALSE)</f>
        <v>20822440</v>
      </c>
      <c r="D455" s="80">
        <v>0</v>
      </c>
      <c r="E455" s="80">
        <v>0</v>
      </c>
      <c r="F455" s="80">
        <v>0</v>
      </c>
      <c r="G455" s="80">
        <f t="shared" si="125"/>
        <v>20822440</v>
      </c>
      <c r="H455" s="26">
        <v>0</v>
      </c>
      <c r="I455" s="26">
        <v>0</v>
      </c>
      <c r="J455" s="26"/>
      <c r="K455" s="26">
        <v>0</v>
      </c>
      <c r="L455" s="26">
        <f t="shared" si="145"/>
        <v>-20822440</v>
      </c>
      <c r="M455" s="26">
        <v>0</v>
      </c>
      <c r="N455" s="26">
        <v>0</v>
      </c>
      <c r="O455" s="26">
        <v>0</v>
      </c>
      <c r="P455" s="26">
        <v>0</v>
      </c>
      <c r="Q455" s="26">
        <v>0</v>
      </c>
      <c r="R455" s="26">
        <v>0</v>
      </c>
      <c r="S455" s="26">
        <v>0</v>
      </c>
      <c r="T455" s="26">
        <v>0</v>
      </c>
      <c r="U455" s="26">
        <v>0</v>
      </c>
      <c r="V455" s="26">
        <v>0</v>
      </c>
      <c r="W455" s="26">
        <v>0</v>
      </c>
      <c r="X455" s="26">
        <v>0</v>
      </c>
      <c r="Y455" s="26">
        <v>0</v>
      </c>
      <c r="Z455" s="26">
        <f t="shared" si="137"/>
        <v>0</v>
      </c>
      <c r="AA455" s="95"/>
      <c r="AB455" s="95"/>
      <c r="AC455" s="95"/>
      <c r="AD455" s="95"/>
      <c r="AE455" s="95"/>
      <c r="AF455" s="95"/>
      <c r="AG455" s="95"/>
      <c r="AH455" s="95"/>
      <c r="AI455" s="95"/>
      <c r="AJ455" s="95"/>
      <c r="AK455" s="95"/>
      <c r="AL455" s="95"/>
      <c r="AM455" s="95"/>
      <c r="AN455" s="96"/>
      <c r="AO455" s="96"/>
      <c r="AP455" s="96"/>
      <c r="AQ455" s="96"/>
      <c r="AR455" s="96"/>
      <c r="AS455" s="96"/>
      <c r="AT455" s="96"/>
      <c r="AU455" s="96"/>
      <c r="AV455" s="96"/>
      <c r="AW455" s="96"/>
      <c r="AX455" s="96"/>
      <c r="AY455" s="96"/>
      <c r="AZ455" s="96"/>
      <c r="BA455" s="96"/>
    </row>
    <row r="456" spans="1:53" s="97" customFormat="1" ht="12" customHeight="1">
      <c r="A456" s="8">
        <v>5130304</v>
      </c>
      <c r="B456" s="8" t="s">
        <v>173</v>
      </c>
      <c r="C456" s="80">
        <f>+VLOOKUP(A456,Clasificaciones!C:I,5,FALSE)</f>
        <v>114040548</v>
      </c>
      <c r="D456" s="80">
        <v>0</v>
      </c>
      <c r="E456" s="80">
        <v>0</v>
      </c>
      <c r="F456" s="80">
        <v>0</v>
      </c>
      <c r="G456" s="80">
        <f t="shared" si="125"/>
        <v>114040548</v>
      </c>
      <c r="H456" s="26">
        <v>0</v>
      </c>
      <c r="I456" s="26">
        <f>-G456</f>
        <v>-114040548</v>
      </c>
      <c r="J456" s="26">
        <v>0</v>
      </c>
      <c r="K456" s="26">
        <v>0</v>
      </c>
      <c r="L456" s="26">
        <v>0</v>
      </c>
      <c r="M456" s="26">
        <v>0</v>
      </c>
      <c r="N456" s="26">
        <v>0</v>
      </c>
      <c r="O456" s="26">
        <v>0</v>
      </c>
      <c r="P456" s="26">
        <v>0</v>
      </c>
      <c r="Q456" s="26">
        <v>0</v>
      </c>
      <c r="R456" s="26">
        <v>0</v>
      </c>
      <c r="S456" s="26">
        <v>0</v>
      </c>
      <c r="T456" s="26">
        <v>0</v>
      </c>
      <c r="U456" s="26">
        <v>0</v>
      </c>
      <c r="V456" s="26">
        <v>0</v>
      </c>
      <c r="W456" s="26">
        <v>0</v>
      </c>
      <c r="X456" s="26">
        <v>0</v>
      </c>
      <c r="Y456" s="26">
        <v>0</v>
      </c>
      <c r="Z456" s="26">
        <f t="shared" si="137"/>
        <v>0</v>
      </c>
      <c r="AA456" s="95"/>
      <c r="AB456" s="95"/>
      <c r="AC456" s="95"/>
      <c r="AD456" s="95"/>
      <c r="AE456" s="95"/>
      <c r="AF456" s="95"/>
      <c r="AG456" s="95"/>
      <c r="AH456" s="95"/>
      <c r="AI456" s="95"/>
      <c r="AJ456" s="95"/>
      <c r="AK456" s="95"/>
      <c r="AL456" s="95"/>
      <c r="AM456" s="95"/>
      <c r="AN456" s="96"/>
      <c r="AO456" s="96"/>
      <c r="AP456" s="96"/>
      <c r="AQ456" s="96"/>
      <c r="AR456" s="96"/>
      <c r="AS456" s="96"/>
      <c r="AT456" s="96"/>
      <c r="AU456" s="96"/>
      <c r="AV456" s="96"/>
      <c r="AW456" s="96"/>
      <c r="AX456" s="96"/>
      <c r="AY456" s="96"/>
      <c r="AZ456" s="96"/>
      <c r="BA456" s="96"/>
    </row>
    <row r="457" spans="1:53" s="97" customFormat="1" ht="12" customHeight="1">
      <c r="A457" s="8">
        <v>51304</v>
      </c>
      <c r="B457" s="8" t="s">
        <v>191</v>
      </c>
      <c r="C457" s="80">
        <f>+VLOOKUP(A457,Clasificaciones!C:I,5,FALSE)</f>
        <v>0</v>
      </c>
      <c r="D457" s="80">
        <v>0</v>
      </c>
      <c r="E457" s="80">
        <v>0</v>
      </c>
      <c r="F457" s="80">
        <v>0</v>
      </c>
      <c r="G457" s="80">
        <f t="shared" si="125"/>
        <v>0</v>
      </c>
      <c r="H457" s="26">
        <v>0</v>
      </c>
      <c r="I457" s="26">
        <v>0</v>
      </c>
      <c r="J457" s="26">
        <f t="shared" ref="J457:J465" si="146">-G457</f>
        <v>0</v>
      </c>
      <c r="K457" s="26">
        <v>0</v>
      </c>
      <c r="L457" s="26">
        <v>0</v>
      </c>
      <c r="M457" s="26">
        <v>0</v>
      </c>
      <c r="N457" s="26">
        <v>0</v>
      </c>
      <c r="O457" s="26">
        <v>0</v>
      </c>
      <c r="P457" s="26">
        <v>0</v>
      </c>
      <c r="Q457" s="26">
        <v>0</v>
      </c>
      <c r="R457" s="26">
        <v>0</v>
      </c>
      <c r="S457" s="26">
        <v>0</v>
      </c>
      <c r="T457" s="26">
        <v>0</v>
      </c>
      <c r="U457" s="26">
        <v>0</v>
      </c>
      <c r="V457" s="26">
        <v>0</v>
      </c>
      <c r="W457" s="26">
        <v>0</v>
      </c>
      <c r="X457" s="26">
        <v>0</v>
      </c>
      <c r="Y457" s="26">
        <v>0</v>
      </c>
      <c r="Z457" s="26">
        <f t="shared" si="137"/>
        <v>0</v>
      </c>
      <c r="AA457" s="95"/>
      <c r="AB457" s="95"/>
      <c r="AC457" s="95"/>
      <c r="AD457" s="95"/>
      <c r="AE457" s="95"/>
      <c r="AF457" s="95"/>
      <c r="AG457" s="95"/>
      <c r="AH457" s="95"/>
      <c r="AI457" s="95"/>
      <c r="AJ457" s="95"/>
      <c r="AK457" s="95"/>
      <c r="AL457" s="95"/>
      <c r="AM457" s="95"/>
      <c r="AN457" s="96"/>
      <c r="AO457" s="96"/>
      <c r="AP457" s="96"/>
      <c r="AQ457" s="96"/>
      <c r="AR457" s="96"/>
      <c r="AS457" s="96"/>
      <c r="AT457" s="96"/>
      <c r="AU457" s="96"/>
      <c r="AV457" s="96"/>
      <c r="AW457" s="96"/>
      <c r="AX457" s="96"/>
      <c r="AY457" s="96"/>
      <c r="AZ457" s="96"/>
      <c r="BA457" s="96"/>
    </row>
    <row r="458" spans="1:53" s="97" customFormat="1" ht="12" customHeight="1">
      <c r="A458" s="8">
        <v>5130401</v>
      </c>
      <c r="B458" s="8" t="s">
        <v>1032</v>
      </c>
      <c r="C458" s="80">
        <f>+VLOOKUP(A458,Clasificaciones!C:I,5,FALSE)</f>
        <v>75000000</v>
      </c>
      <c r="D458" s="80">
        <v>0</v>
      </c>
      <c r="E458" s="80">
        <v>0</v>
      </c>
      <c r="F458" s="80">
        <v>0</v>
      </c>
      <c r="G458" s="80">
        <f t="shared" si="125"/>
        <v>75000000</v>
      </c>
      <c r="H458" s="26">
        <v>0</v>
      </c>
      <c r="I458" s="26">
        <v>0</v>
      </c>
      <c r="J458" s="26">
        <v>0</v>
      </c>
      <c r="K458" s="26">
        <v>0</v>
      </c>
      <c r="L458" s="26">
        <f t="shared" ref="L458:L464" si="147">-G458</f>
        <v>-75000000</v>
      </c>
      <c r="M458" s="26">
        <v>0</v>
      </c>
      <c r="N458" s="26">
        <v>0</v>
      </c>
      <c r="O458" s="26">
        <v>0</v>
      </c>
      <c r="P458" s="26">
        <v>0</v>
      </c>
      <c r="Q458" s="26">
        <v>0</v>
      </c>
      <c r="R458" s="26">
        <v>0</v>
      </c>
      <c r="S458" s="26">
        <v>0</v>
      </c>
      <c r="T458" s="26">
        <v>0</v>
      </c>
      <c r="U458" s="26">
        <v>0</v>
      </c>
      <c r="V458" s="26">
        <v>0</v>
      </c>
      <c r="W458" s="26">
        <v>0</v>
      </c>
      <c r="X458" s="26">
        <v>0</v>
      </c>
      <c r="Y458" s="26">
        <v>0</v>
      </c>
      <c r="Z458" s="26">
        <f t="shared" si="137"/>
        <v>0</v>
      </c>
      <c r="AA458" s="95"/>
      <c r="AB458" s="95"/>
      <c r="AC458" s="95"/>
      <c r="AD458" s="95"/>
      <c r="AE458" s="95"/>
      <c r="AF458" s="95"/>
      <c r="AG458" s="95"/>
      <c r="AH458" s="95"/>
      <c r="AI458" s="95"/>
      <c r="AJ458" s="95"/>
      <c r="AK458" s="95"/>
      <c r="AL458" s="95"/>
      <c r="AM458" s="95"/>
      <c r="AN458" s="96"/>
      <c r="AO458" s="96"/>
      <c r="AP458" s="96"/>
      <c r="AQ458" s="96"/>
      <c r="AR458" s="96"/>
      <c r="AS458" s="96"/>
      <c r="AT458" s="96"/>
      <c r="AU458" s="96"/>
      <c r="AV458" s="96"/>
      <c r="AW458" s="96"/>
      <c r="AX458" s="96"/>
      <c r="AY458" s="96"/>
      <c r="AZ458" s="96"/>
      <c r="BA458" s="96"/>
    </row>
    <row r="459" spans="1:53" s="97" customFormat="1" ht="12" customHeight="1">
      <c r="A459" s="8">
        <v>5130402</v>
      </c>
      <c r="B459" s="8" t="s">
        <v>180</v>
      </c>
      <c r="C459" s="80">
        <f>+VLOOKUP(A459,Clasificaciones!C:I,5,FALSE)</f>
        <v>0</v>
      </c>
      <c r="D459" s="80">
        <v>0</v>
      </c>
      <c r="E459" s="80">
        <v>0</v>
      </c>
      <c r="F459" s="80">
        <v>0</v>
      </c>
      <c r="G459" s="80">
        <f t="shared" si="125"/>
        <v>0</v>
      </c>
      <c r="H459" s="26">
        <v>0</v>
      </c>
      <c r="I459" s="26">
        <v>0</v>
      </c>
      <c r="J459" s="26">
        <v>0</v>
      </c>
      <c r="K459" s="26">
        <v>0</v>
      </c>
      <c r="L459" s="26">
        <f t="shared" si="147"/>
        <v>0</v>
      </c>
      <c r="M459" s="26">
        <v>0</v>
      </c>
      <c r="N459" s="26">
        <v>0</v>
      </c>
      <c r="O459" s="26">
        <v>0</v>
      </c>
      <c r="P459" s="26">
        <v>0</v>
      </c>
      <c r="Q459" s="26">
        <v>0</v>
      </c>
      <c r="R459" s="26">
        <v>0</v>
      </c>
      <c r="S459" s="26">
        <v>0</v>
      </c>
      <c r="T459" s="26">
        <v>0</v>
      </c>
      <c r="U459" s="26">
        <v>0</v>
      </c>
      <c r="V459" s="26">
        <v>0</v>
      </c>
      <c r="W459" s="26">
        <v>0</v>
      </c>
      <c r="X459" s="26">
        <v>0</v>
      </c>
      <c r="Y459" s="26">
        <v>0</v>
      </c>
      <c r="Z459" s="26">
        <f t="shared" si="137"/>
        <v>0</v>
      </c>
      <c r="AA459" s="95"/>
      <c r="AB459" s="95"/>
      <c r="AC459" s="95"/>
      <c r="AD459" s="95"/>
      <c r="AE459" s="95"/>
      <c r="AF459" s="95"/>
      <c r="AG459" s="95"/>
      <c r="AH459" s="95"/>
      <c r="AI459" s="95"/>
      <c r="AJ459" s="95"/>
      <c r="AK459" s="95"/>
      <c r="AL459" s="95"/>
      <c r="AM459" s="95"/>
      <c r="AN459" s="96"/>
      <c r="AO459" s="96"/>
      <c r="AP459" s="96"/>
      <c r="AQ459" s="96"/>
      <c r="AR459" s="96"/>
      <c r="AS459" s="96"/>
      <c r="AT459" s="96"/>
      <c r="AU459" s="96"/>
      <c r="AV459" s="96"/>
      <c r="AW459" s="96"/>
      <c r="AX459" s="96"/>
      <c r="AY459" s="96"/>
      <c r="AZ459" s="96"/>
      <c r="BA459" s="96"/>
    </row>
    <row r="460" spans="1:53" s="97" customFormat="1" ht="12" customHeight="1">
      <c r="A460" s="8">
        <v>5130403</v>
      </c>
      <c r="B460" s="8" t="s">
        <v>1239</v>
      </c>
      <c r="C460" s="80">
        <f>+VLOOKUP(A460,Clasificaciones!C:I,5,FALSE)</f>
        <v>0</v>
      </c>
      <c r="D460" s="80">
        <v>0</v>
      </c>
      <c r="E460" s="80">
        <v>0</v>
      </c>
      <c r="F460" s="80">
        <v>0</v>
      </c>
      <c r="G460" s="80">
        <f t="shared" si="125"/>
        <v>0</v>
      </c>
      <c r="H460" s="26">
        <v>0</v>
      </c>
      <c r="I460" s="26">
        <v>0</v>
      </c>
      <c r="J460" s="26">
        <v>0</v>
      </c>
      <c r="K460" s="26">
        <v>0</v>
      </c>
      <c r="L460" s="26">
        <f t="shared" si="147"/>
        <v>0</v>
      </c>
      <c r="M460" s="26">
        <v>0</v>
      </c>
      <c r="N460" s="26">
        <v>0</v>
      </c>
      <c r="O460" s="26">
        <v>0</v>
      </c>
      <c r="P460" s="26">
        <v>0</v>
      </c>
      <c r="Q460" s="26">
        <v>0</v>
      </c>
      <c r="R460" s="26">
        <v>0</v>
      </c>
      <c r="S460" s="26">
        <v>0</v>
      </c>
      <c r="T460" s="26">
        <v>0</v>
      </c>
      <c r="U460" s="26">
        <v>0</v>
      </c>
      <c r="V460" s="26">
        <v>0</v>
      </c>
      <c r="W460" s="26">
        <v>0</v>
      </c>
      <c r="X460" s="26">
        <v>0</v>
      </c>
      <c r="Y460" s="26">
        <v>0</v>
      </c>
      <c r="Z460" s="26">
        <f t="shared" si="137"/>
        <v>0</v>
      </c>
      <c r="AA460" s="95"/>
      <c r="AB460" s="95"/>
      <c r="AC460" s="95"/>
      <c r="AD460" s="95"/>
      <c r="AE460" s="95"/>
      <c r="AF460" s="95"/>
      <c r="AG460" s="95"/>
      <c r="AH460" s="95"/>
      <c r="AI460" s="95"/>
      <c r="AJ460" s="95"/>
      <c r="AK460" s="95"/>
      <c r="AL460" s="95"/>
      <c r="AM460" s="95"/>
      <c r="AN460" s="96"/>
      <c r="AO460" s="96"/>
      <c r="AP460" s="96"/>
      <c r="AQ460" s="96"/>
      <c r="AR460" s="96"/>
      <c r="AS460" s="96"/>
      <c r="AT460" s="96"/>
      <c r="AU460" s="96"/>
      <c r="AV460" s="96"/>
      <c r="AW460" s="96"/>
      <c r="AX460" s="96"/>
      <c r="AY460" s="96"/>
      <c r="AZ460" s="96"/>
      <c r="BA460" s="96"/>
    </row>
    <row r="461" spans="1:53" s="97" customFormat="1" ht="12" customHeight="1">
      <c r="A461" s="8">
        <v>5130404</v>
      </c>
      <c r="B461" s="8" t="s">
        <v>813</v>
      </c>
      <c r="C461" s="80">
        <f>+VLOOKUP(A461,Clasificaciones!C:I,5,FALSE)</f>
        <v>2864657</v>
      </c>
      <c r="D461" s="80">
        <v>0</v>
      </c>
      <c r="E461" s="80">
        <v>0</v>
      </c>
      <c r="F461" s="80">
        <v>0</v>
      </c>
      <c r="G461" s="80">
        <f t="shared" si="125"/>
        <v>2864657</v>
      </c>
      <c r="H461" s="26">
        <v>0</v>
      </c>
      <c r="I461" s="26">
        <v>0</v>
      </c>
      <c r="J461" s="26">
        <v>0</v>
      </c>
      <c r="K461" s="26">
        <v>0</v>
      </c>
      <c r="L461" s="26">
        <f t="shared" si="147"/>
        <v>-2864657</v>
      </c>
      <c r="M461" s="26">
        <v>0</v>
      </c>
      <c r="N461" s="26">
        <v>0</v>
      </c>
      <c r="O461" s="26">
        <v>0</v>
      </c>
      <c r="P461" s="26">
        <v>0</v>
      </c>
      <c r="Q461" s="26">
        <v>0</v>
      </c>
      <c r="R461" s="26">
        <v>0</v>
      </c>
      <c r="S461" s="26">
        <v>0</v>
      </c>
      <c r="T461" s="26">
        <v>0</v>
      </c>
      <c r="U461" s="26">
        <v>0</v>
      </c>
      <c r="V461" s="26">
        <v>0</v>
      </c>
      <c r="W461" s="26">
        <v>0</v>
      </c>
      <c r="X461" s="26">
        <v>0</v>
      </c>
      <c r="Y461" s="26">
        <v>0</v>
      </c>
      <c r="Z461" s="26">
        <f t="shared" si="137"/>
        <v>0</v>
      </c>
      <c r="AA461" s="95"/>
      <c r="AB461" s="95"/>
      <c r="AC461" s="95"/>
      <c r="AD461" s="95"/>
      <c r="AE461" s="95"/>
      <c r="AF461" s="95"/>
      <c r="AG461" s="95"/>
      <c r="AH461" s="95"/>
      <c r="AI461" s="95"/>
      <c r="AJ461" s="95"/>
      <c r="AK461" s="95"/>
      <c r="AL461" s="95"/>
      <c r="AM461" s="95"/>
      <c r="AN461" s="96"/>
      <c r="AO461" s="96"/>
      <c r="AP461" s="96"/>
      <c r="AQ461" s="96"/>
      <c r="AR461" s="96"/>
      <c r="AS461" s="96"/>
      <c r="AT461" s="96"/>
      <c r="AU461" s="96"/>
      <c r="AV461" s="96"/>
      <c r="AW461" s="96"/>
      <c r="AX461" s="96"/>
      <c r="AY461" s="96"/>
      <c r="AZ461" s="96"/>
      <c r="BA461" s="96"/>
    </row>
    <row r="462" spans="1:53" s="97" customFormat="1" ht="12" customHeight="1">
      <c r="A462" s="8">
        <v>5130405</v>
      </c>
      <c r="B462" s="8" t="s">
        <v>814</v>
      </c>
      <c r="C462" s="80">
        <f>+VLOOKUP(A462,Clasificaciones!C:I,5,FALSE)</f>
        <v>252244377</v>
      </c>
      <c r="D462" s="80">
        <v>0</v>
      </c>
      <c r="E462" s="80">
        <v>0</v>
      </c>
      <c r="F462" s="80">
        <v>0</v>
      </c>
      <c r="G462" s="80">
        <f t="shared" si="125"/>
        <v>252244377</v>
      </c>
      <c r="H462" s="26">
        <v>0</v>
      </c>
      <c r="I462" s="26">
        <v>0</v>
      </c>
      <c r="J462" s="26">
        <v>0</v>
      </c>
      <c r="K462" s="26">
        <v>0</v>
      </c>
      <c r="L462" s="26">
        <f t="shared" si="147"/>
        <v>-252244377</v>
      </c>
      <c r="M462" s="26">
        <v>0</v>
      </c>
      <c r="N462" s="26">
        <v>0</v>
      </c>
      <c r="O462" s="26">
        <v>0</v>
      </c>
      <c r="P462" s="26">
        <v>0</v>
      </c>
      <c r="Q462" s="26">
        <v>0</v>
      </c>
      <c r="R462" s="26">
        <v>0</v>
      </c>
      <c r="S462" s="26">
        <v>0</v>
      </c>
      <c r="T462" s="26">
        <v>0</v>
      </c>
      <c r="U462" s="26">
        <v>0</v>
      </c>
      <c r="V462" s="26">
        <v>0</v>
      </c>
      <c r="W462" s="26">
        <v>0</v>
      </c>
      <c r="X462" s="26">
        <v>0</v>
      </c>
      <c r="Y462" s="26">
        <v>0</v>
      </c>
      <c r="Z462" s="26">
        <f t="shared" si="137"/>
        <v>0</v>
      </c>
      <c r="AA462" s="95"/>
      <c r="AB462" s="95"/>
      <c r="AC462" s="95"/>
      <c r="AD462" s="95"/>
      <c r="AE462" s="95"/>
      <c r="AF462" s="95"/>
      <c r="AG462" s="95"/>
      <c r="AH462" s="95"/>
      <c r="AI462" s="95"/>
      <c r="AJ462" s="95"/>
      <c r="AK462" s="95"/>
      <c r="AL462" s="95"/>
      <c r="AM462" s="95"/>
      <c r="AN462" s="96"/>
      <c r="AO462" s="96"/>
      <c r="AP462" s="96"/>
      <c r="AQ462" s="96"/>
      <c r="AR462" s="96"/>
      <c r="AS462" s="96"/>
      <c r="AT462" s="96"/>
      <c r="AU462" s="96"/>
      <c r="AV462" s="96"/>
      <c r="AW462" s="96"/>
      <c r="AX462" s="96"/>
      <c r="AY462" s="96"/>
      <c r="AZ462" s="96"/>
      <c r="BA462" s="96"/>
    </row>
    <row r="463" spans="1:53" s="97" customFormat="1" ht="12" customHeight="1">
      <c r="A463" s="8">
        <v>5130406</v>
      </c>
      <c r="B463" s="8" t="s">
        <v>1503</v>
      </c>
      <c r="C463" s="80">
        <f>+VLOOKUP(A463,Clasificaciones!C:I,5,FALSE)</f>
        <v>12554424</v>
      </c>
      <c r="D463" s="80">
        <v>0</v>
      </c>
      <c r="E463" s="80">
        <v>0</v>
      </c>
      <c r="F463" s="80">
        <v>0</v>
      </c>
      <c r="G463" s="80">
        <f t="shared" ref="G463" si="148">+C463-F463+D463-E463</f>
        <v>12554424</v>
      </c>
      <c r="H463" s="26">
        <v>0</v>
      </c>
      <c r="I463" s="26">
        <v>0</v>
      </c>
      <c r="J463" s="26">
        <v>0</v>
      </c>
      <c r="K463" s="26">
        <v>0</v>
      </c>
      <c r="L463" s="26">
        <f t="shared" ref="L463" si="149">-G463</f>
        <v>-12554424</v>
      </c>
      <c r="M463" s="26">
        <v>0</v>
      </c>
      <c r="N463" s="26">
        <v>0</v>
      </c>
      <c r="O463" s="26">
        <v>0</v>
      </c>
      <c r="P463" s="26">
        <v>0</v>
      </c>
      <c r="Q463" s="26">
        <v>0</v>
      </c>
      <c r="R463" s="26">
        <v>0</v>
      </c>
      <c r="S463" s="26">
        <v>0</v>
      </c>
      <c r="T463" s="26">
        <v>0</v>
      </c>
      <c r="U463" s="26">
        <v>0</v>
      </c>
      <c r="V463" s="26">
        <v>0</v>
      </c>
      <c r="W463" s="26">
        <v>0</v>
      </c>
      <c r="X463" s="26">
        <v>0</v>
      </c>
      <c r="Y463" s="26">
        <v>0</v>
      </c>
      <c r="Z463" s="26">
        <f t="shared" ref="Z463" si="150">SUM(G463:Y463)</f>
        <v>0</v>
      </c>
      <c r="AA463" s="95"/>
      <c r="AB463" s="95"/>
      <c r="AC463" s="95"/>
      <c r="AD463" s="95"/>
      <c r="AE463" s="95"/>
      <c r="AF463" s="95"/>
      <c r="AG463" s="95"/>
      <c r="AH463" s="95"/>
      <c r="AI463" s="95"/>
      <c r="AJ463" s="95"/>
      <c r="AK463" s="95"/>
      <c r="AL463" s="95"/>
      <c r="AM463" s="95"/>
      <c r="AN463" s="96"/>
      <c r="AO463" s="96"/>
      <c r="AP463" s="96"/>
      <c r="AQ463" s="96"/>
      <c r="AR463" s="96"/>
      <c r="AS463" s="96"/>
      <c r="AT463" s="96"/>
      <c r="AU463" s="96"/>
      <c r="AV463" s="96"/>
      <c r="AW463" s="96"/>
      <c r="AX463" s="96"/>
      <c r="AY463" s="96"/>
      <c r="AZ463" s="96"/>
      <c r="BA463" s="96"/>
    </row>
    <row r="464" spans="1:53" s="97" customFormat="1" ht="12" customHeight="1">
      <c r="A464" s="8">
        <v>5130407</v>
      </c>
      <c r="B464" s="8" t="s">
        <v>1240</v>
      </c>
      <c r="C464" s="80">
        <f>+VLOOKUP(A464,Clasificaciones!C:I,5,FALSE)</f>
        <v>19461173</v>
      </c>
      <c r="D464" s="80">
        <v>0</v>
      </c>
      <c r="E464" s="80">
        <v>0</v>
      </c>
      <c r="F464" s="80">
        <v>0</v>
      </c>
      <c r="G464" s="80">
        <f t="shared" si="125"/>
        <v>19461173</v>
      </c>
      <c r="H464" s="26">
        <v>0</v>
      </c>
      <c r="I464" s="26">
        <v>0</v>
      </c>
      <c r="J464" s="26">
        <v>0</v>
      </c>
      <c r="K464" s="26">
        <v>0</v>
      </c>
      <c r="L464" s="26">
        <f t="shared" si="147"/>
        <v>-19461173</v>
      </c>
      <c r="M464" s="26">
        <v>0</v>
      </c>
      <c r="N464" s="26">
        <v>0</v>
      </c>
      <c r="O464" s="26">
        <v>0</v>
      </c>
      <c r="P464" s="26">
        <v>0</v>
      </c>
      <c r="Q464" s="26">
        <v>0</v>
      </c>
      <c r="R464" s="26">
        <v>0</v>
      </c>
      <c r="S464" s="26">
        <v>0</v>
      </c>
      <c r="T464" s="26">
        <v>0</v>
      </c>
      <c r="U464" s="26">
        <v>0</v>
      </c>
      <c r="V464" s="26">
        <v>0</v>
      </c>
      <c r="W464" s="26">
        <v>0</v>
      </c>
      <c r="X464" s="26">
        <v>0</v>
      </c>
      <c r="Y464" s="26">
        <v>0</v>
      </c>
      <c r="Z464" s="26">
        <f t="shared" si="137"/>
        <v>0</v>
      </c>
      <c r="AA464" s="95"/>
      <c r="AB464" s="95"/>
      <c r="AC464" s="95"/>
      <c r="AD464" s="95"/>
      <c r="AE464" s="95"/>
      <c r="AF464" s="95"/>
      <c r="AG464" s="95"/>
      <c r="AH464" s="95"/>
      <c r="AI464" s="95"/>
      <c r="AJ464" s="95"/>
      <c r="AK464" s="95"/>
      <c r="AL464" s="95"/>
      <c r="AM464" s="95"/>
      <c r="AN464" s="96"/>
      <c r="AO464" s="96"/>
      <c r="AP464" s="96"/>
      <c r="AQ464" s="96"/>
      <c r="AR464" s="96"/>
      <c r="AS464" s="96"/>
      <c r="AT464" s="96"/>
      <c r="AU464" s="96"/>
      <c r="AV464" s="96"/>
      <c r="AW464" s="96"/>
      <c r="AX464" s="96"/>
      <c r="AY464" s="96"/>
      <c r="AZ464" s="96"/>
      <c r="BA464" s="96"/>
    </row>
    <row r="465" spans="1:53" s="97" customFormat="1" ht="12" customHeight="1">
      <c r="A465" s="8">
        <v>51305</v>
      </c>
      <c r="B465" s="8" t="s">
        <v>816</v>
      </c>
      <c r="C465" s="80">
        <f>+VLOOKUP(A465,Clasificaciones!C:I,5,FALSE)</f>
        <v>0</v>
      </c>
      <c r="D465" s="80">
        <v>0</v>
      </c>
      <c r="E465" s="80">
        <v>0</v>
      </c>
      <c r="F465" s="80">
        <v>0</v>
      </c>
      <c r="G465" s="80">
        <f t="shared" si="125"/>
        <v>0</v>
      </c>
      <c r="H465" s="26">
        <v>0</v>
      </c>
      <c r="I465" s="26">
        <v>0</v>
      </c>
      <c r="J465" s="26">
        <f t="shared" si="146"/>
        <v>0</v>
      </c>
      <c r="K465" s="26">
        <v>0</v>
      </c>
      <c r="L465" s="26">
        <v>0</v>
      </c>
      <c r="M465" s="26">
        <v>0</v>
      </c>
      <c r="N465" s="26">
        <v>0</v>
      </c>
      <c r="O465" s="26">
        <v>0</v>
      </c>
      <c r="P465" s="26">
        <v>0</v>
      </c>
      <c r="Q465" s="26">
        <v>0</v>
      </c>
      <c r="R465" s="26">
        <v>0</v>
      </c>
      <c r="S465" s="26">
        <v>0</v>
      </c>
      <c r="T465" s="26">
        <v>0</v>
      </c>
      <c r="U465" s="26">
        <v>0</v>
      </c>
      <c r="V465" s="26">
        <v>0</v>
      </c>
      <c r="W465" s="26">
        <v>0</v>
      </c>
      <c r="X465" s="26">
        <v>0</v>
      </c>
      <c r="Y465" s="26">
        <v>0</v>
      </c>
      <c r="Z465" s="26">
        <f t="shared" si="137"/>
        <v>0</v>
      </c>
      <c r="AA465" s="95"/>
      <c r="AB465" s="95"/>
      <c r="AC465" s="95"/>
      <c r="AD465" s="95"/>
      <c r="AE465" s="95"/>
      <c r="AF465" s="95"/>
      <c r="AG465" s="95"/>
      <c r="AH465" s="95"/>
      <c r="AI465" s="95"/>
      <c r="AJ465" s="95"/>
      <c r="AK465" s="95"/>
      <c r="AL465" s="95"/>
      <c r="AM465" s="95"/>
      <c r="AN465" s="96"/>
      <c r="AO465" s="96"/>
      <c r="AP465" s="96"/>
      <c r="AQ465" s="96"/>
      <c r="AR465" s="96"/>
      <c r="AS465" s="96"/>
      <c r="AT465" s="96"/>
      <c r="AU465" s="96"/>
      <c r="AV465" s="96"/>
      <c r="AW465" s="96"/>
      <c r="AX465" s="96"/>
      <c r="AY465" s="96"/>
      <c r="AZ465" s="96"/>
      <c r="BA465" s="96"/>
    </row>
    <row r="466" spans="1:53" s="97" customFormat="1" ht="12" customHeight="1">
      <c r="A466" s="8">
        <v>5130501</v>
      </c>
      <c r="B466" s="8" t="s">
        <v>817</v>
      </c>
      <c r="C466" s="80">
        <f>+VLOOKUP(A466,Clasificaciones!C:I,5,FALSE)</f>
        <v>0</v>
      </c>
      <c r="D466" s="80">
        <v>0</v>
      </c>
      <c r="E466" s="80">
        <v>0</v>
      </c>
      <c r="F466" s="80">
        <v>0</v>
      </c>
      <c r="G466" s="80">
        <f t="shared" si="125"/>
        <v>0</v>
      </c>
      <c r="H466" s="26">
        <v>0</v>
      </c>
      <c r="I466" s="26">
        <v>0</v>
      </c>
      <c r="J466" s="26">
        <v>0</v>
      </c>
      <c r="K466" s="26">
        <v>0</v>
      </c>
      <c r="L466" s="26">
        <v>0</v>
      </c>
      <c r="M466" s="26">
        <v>0</v>
      </c>
      <c r="N466" s="26">
        <v>0</v>
      </c>
      <c r="O466" s="26">
        <v>0</v>
      </c>
      <c r="P466" s="26">
        <v>0</v>
      </c>
      <c r="Q466" s="26">
        <v>0</v>
      </c>
      <c r="R466" s="26">
        <v>0</v>
      </c>
      <c r="S466" s="26">
        <v>0</v>
      </c>
      <c r="T466" s="26">
        <v>0</v>
      </c>
      <c r="U466" s="26">
        <v>0</v>
      </c>
      <c r="V466" s="26">
        <v>0</v>
      </c>
      <c r="W466" s="26">
        <v>0</v>
      </c>
      <c r="X466" s="26">
        <v>0</v>
      </c>
      <c r="Y466" s="26">
        <v>0</v>
      </c>
      <c r="Z466" s="26">
        <f t="shared" si="137"/>
        <v>0</v>
      </c>
      <c r="AA466" s="95"/>
      <c r="AB466" s="95"/>
      <c r="AC466" s="95"/>
      <c r="AD466" s="95"/>
      <c r="AE466" s="95"/>
      <c r="AF466" s="95"/>
      <c r="AG466" s="95"/>
      <c r="AH466" s="95"/>
      <c r="AI466" s="95"/>
      <c r="AJ466" s="95"/>
      <c r="AK466" s="95"/>
      <c r="AL466" s="95"/>
      <c r="AM466" s="95"/>
      <c r="AN466" s="96"/>
      <c r="AO466" s="96"/>
      <c r="AP466" s="96"/>
      <c r="AQ466" s="96"/>
      <c r="AR466" s="96"/>
      <c r="AS466" s="96"/>
      <c r="AT466" s="96"/>
      <c r="AU466" s="96"/>
      <c r="AV466" s="96"/>
      <c r="AW466" s="96"/>
      <c r="AX466" s="96"/>
      <c r="AY466" s="96"/>
      <c r="AZ466" s="96"/>
      <c r="BA466" s="96"/>
    </row>
    <row r="467" spans="1:53" s="97" customFormat="1" ht="12" customHeight="1">
      <c r="A467" s="8">
        <v>513050101</v>
      </c>
      <c r="B467" s="8" t="s">
        <v>818</v>
      </c>
      <c r="C467" s="80">
        <f>+VLOOKUP(A467,Clasificaciones!C:I,5,FALSE)</f>
        <v>37302276</v>
      </c>
      <c r="D467" s="80">
        <v>0</v>
      </c>
      <c r="E467" s="788">
        <f>+C467</f>
        <v>37302276</v>
      </c>
      <c r="F467" s="80">
        <v>0</v>
      </c>
      <c r="G467" s="80">
        <f t="shared" si="125"/>
        <v>0</v>
      </c>
      <c r="H467" s="26">
        <v>0</v>
      </c>
      <c r="I467" s="26">
        <v>0</v>
      </c>
      <c r="J467" s="26">
        <f>-G467</f>
        <v>0</v>
      </c>
      <c r="K467" s="26">
        <v>0</v>
      </c>
      <c r="L467" s="26">
        <v>0</v>
      </c>
      <c r="M467" s="26">
        <v>0</v>
      </c>
      <c r="N467" s="26">
        <v>0</v>
      </c>
      <c r="O467" s="26">
        <v>0</v>
      </c>
      <c r="P467" s="26">
        <v>0</v>
      </c>
      <c r="Q467" s="26">
        <v>0</v>
      </c>
      <c r="R467" s="26">
        <v>0</v>
      </c>
      <c r="S467" s="26">
        <v>0</v>
      </c>
      <c r="T467" s="26">
        <v>0</v>
      </c>
      <c r="U467" s="26">
        <v>0</v>
      </c>
      <c r="V467" s="26">
        <v>0</v>
      </c>
      <c r="W467" s="26">
        <v>0</v>
      </c>
      <c r="X467" s="26">
        <v>0</v>
      </c>
      <c r="Y467" s="26">
        <v>0</v>
      </c>
      <c r="Z467" s="26">
        <f t="shared" si="137"/>
        <v>0</v>
      </c>
      <c r="AA467" s="95"/>
      <c r="AB467" s="95"/>
      <c r="AC467" s="95"/>
      <c r="AD467" s="95"/>
      <c r="AE467" s="95"/>
      <c r="AF467" s="95"/>
      <c r="AG467" s="95"/>
      <c r="AH467" s="95"/>
      <c r="AI467" s="95"/>
      <c r="AJ467" s="95"/>
      <c r="AK467" s="95"/>
      <c r="AL467" s="95"/>
      <c r="AM467" s="95"/>
      <c r="AN467" s="96"/>
      <c r="AO467" s="96"/>
      <c r="AP467" s="96"/>
      <c r="AQ467" s="96"/>
      <c r="AR467" s="96"/>
      <c r="AS467" s="96"/>
      <c r="AT467" s="96"/>
      <c r="AU467" s="96"/>
      <c r="AV467" s="96"/>
      <c r="AW467" s="96"/>
      <c r="AX467" s="96"/>
      <c r="AY467" s="96"/>
      <c r="AZ467" s="96"/>
      <c r="BA467" s="96"/>
    </row>
    <row r="468" spans="1:53" s="97" customFormat="1" ht="12" customHeight="1">
      <c r="A468" s="8">
        <v>513050103</v>
      </c>
      <c r="B468" s="8" t="s">
        <v>819</v>
      </c>
      <c r="C468" s="80">
        <f>+VLOOKUP(A468,Clasificaciones!C:I,5,FALSE)</f>
        <v>32175738</v>
      </c>
      <c r="D468" s="80">
        <v>0</v>
      </c>
      <c r="E468" s="788">
        <f>+C468</f>
        <v>32175738</v>
      </c>
      <c r="F468" s="80">
        <v>0</v>
      </c>
      <c r="G468" s="80">
        <f t="shared" ref="G468:G523" si="151">+C468-F468+D468-E468</f>
        <v>0</v>
      </c>
      <c r="H468" s="26">
        <v>0</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c r="Z468" s="26">
        <f t="shared" si="137"/>
        <v>0</v>
      </c>
      <c r="AA468" s="95"/>
      <c r="AB468" s="95"/>
      <c r="AC468" s="95"/>
      <c r="AD468" s="95"/>
      <c r="AE468" s="95"/>
      <c r="AF468" s="95"/>
      <c r="AG468" s="95"/>
      <c r="AH468" s="95"/>
      <c r="AI468" s="95"/>
      <c r="AJ468" s="95"/>
      <c r="AK468" s="95"/>
      <c r="AL468" s="95"/>
      <c r="AM468" s="95"/>
      <c r="AN468" s="96"/>
      <c r="AO468" s="96"/>
      <c r="AP468" s="96"/>
      <c r="AQ468" s="96"/>
      <c r="AR468" s="96"/>
      <c r="AS468" s="96"/>
      <c r="AT468" s="96"/>
      <c r="AU468" s="96"/>
      <c r="AV468" s="96"/>
      <c r="AW468" s="96"/>
      <c r="AX468" s="96"/>
      <c r="AY468" s="96"/>
      <c r="AZ468" s="96"/>
      <c r="BA468" s="96"/>
    </row>
    <row r="469" spans="1:53" s="97" customFormat="1" ht="12" customHeight="1">
      <c r="A469" s="8">
        <v>513050109</v>
      </c>
      <c r="B469" s="8" t="s">
        <v>1504</v>
      </c>
      <c r="C469" s="80">
        <f>+VLOOKUP(A469,Clasificaciones!C:I,5,FALSE)</f>
        <v>5514324</v>
      </c>
      <c r="D469" s="80">
        <v>0</v>
      </c>
      <c r="E469" s="788">
        <f>+C469</f>
        <v>5514324</v>
      </c>
      <c r="F469" s="80">
        <v>0</v>
      </c>
      <c r="G469" s="80">
        <f t="shared" ref="G469" si="152">+C469-F469+D469-E469</f>
        <v>0</v>
      </c>
      <c r="H469" s="26">
        <v>0</v>
      </c>
      <c r="I469" s="26">
        <v>0</v>
      </c>
      <c r="J469" s="26">
        <v>0</v>
      </c>
      <c r="K469" s="26">
        <v>0</v>
      </c>
      <c r="L469" s="26">
        <v>0</v>
      </c>
      <c r="M469" s="26">
        <v>0</v>
      </c>
      <c r="N469" s="26">
        <v>0</v>
      </c>
      <c r="O469" s="26">
        <v>0</v>
      </c>
      <c r="P469" s="26">
        <v>0</v>
      </c>
      <c r="Q469" s="26">
        <v>0</v>
      </c>
      <c r="R469" s="26">
        <v>0</v>
      </c>
      <c r="S469" s="26">
        <v>0</v>
      </c>
      <c r="T469" s="26">
        <v>0</v>
      </c>
      <c r="U469" s="26">
        <v>0</v>
      </c>
      <c r="V469" s="26">
        <v>0</v>
      </c>
      <c r="W469" s="26">
        <v>0</v>
      </c>
      <c r="X469" s="26">
        <v>0</v>
      </c>
      <c r="Y469" s="26">
        <v>0</v>
      </c>
      <c r="Z469" s="26">
        <f t="shared" ref="Z469" si="153">SUM(G469:Y469)</f>
        <v>0</v>
      </c>
      <c r="AA469" s="95"/>
      <c r="AB469" s="95"/>
      <c r="AC469" s="95"/>
      <c r="AD469" s="95"/>
      <c r="AE469" s="95"/>
      <c r="AF469" s="95"/>
      <c r="AG469" s="95"/>
      <c r="AH469" s="95"/>
      <c r="AI469" s="95"/>
      <c r="AJ469" s="95"/>
      <c r="AK469" s="95"/>
      <c r="AL469" s="95"/>
      <c r="AM469" s="95"/>
      <c r="AN469" s="96"/>
      <c r="AO469" s="96"/>
      <c r="AP469" s="96"/>
      <c r="AQ469" s="96"/>
      <c r="AR469" s="96"/>
      <c r="AS469" s="96"/>
      <c r="AT469" s="96"/>
      <c r="AU469" s="96"/>
      <c r="AV469" s="96"/>
      <c r="AW469" s="96"/>
      <c r="AX469" s="96"/>
      <c r="AY469" s="96"/>
      <c r="AZ469" s="96"/>
      <c r="BA469" s="96"/>
    </row>
    <row r="470" spans="1:53" s="97" customFormat="1" ht="12" customHeight="1">
      <c r="A470" s="8">
        <v>513050110</v>
      </c>
      <c r="B470" s="8" t="s">
        <v>1505</v>
      </c>
      <c r="C470" s="80">
        <f>+VLOOKUP(A470,Clasificaciones!C:I,5,FALSE)</f>
        <v>14243514</v>
      </c>
      <c r="D470" s="80">
        <v>0</v>
      </c>
      <c r="E470" s="788">
        <f>+C470</f>
        <v>14243514</v>
      </c>
      <c r="F470" s="80">
        <v>0</v>
      </c>
      <c r="G470" s="80">
        <f t="shared" ref="G470" si="154">+C470-F470+D470-E470</f>
        <v>0</v>
      </c>
      <c r="H470" s="26">
        <v>0</v>
      </c>
      <c r="I470" s="26">
        <v>0</v>
      </c>
      <c r="J470" s="26">
        <v>0</v>
      </c>
      <c r="K470" s="26">
        <v>0</v>
      </c>
      <c r="L470" s="26">
        <v>0</v>
      </c>
      <c r="M470" s="26">
        <v>0</v>
      </c>
      <c r="N470" s="26">
        <v>0</v>
      </c>
      <c r="O470" s="26">
        <v>0</v>
      </c>
      <c r="P470" s="26">
        <v>0</v>
      </c>
      <c r="Q470" s="26">
        <v>0</v>
      </c>
      <c r="R470" s="26">
        <v>0</v>
      </c>
      <c r="S470" s="26">
        <v>0</v>
      </c>
      <c r="T470" s="26">
        <v>0</v>
      </c>
      <c r="U470" s="26">
        <v>0</v>
      </c>
      <c r="V470" s="26">
        <v>0</v>
      </c>
      <c r="W470" s="26">
        <v>0</v>
      </c>
      <c r="X470" s="26">
        <v>0</v>
      </c>
      <c r="Y470" s="26">
        <v>0</v>
      </c>
      <c r="Z470" s="26">
        <f t="shared" ref="Z470" si="155">SUM(G470:Y470)</f>
        <v>0</v>
      </c>
      <c r="AA470" s="95"/>
      <c r="AB470" s="95"/>
      <c r="AC470" s="95"/>
      <c r="AD470" s="95"/>
      <c r="AE470" s="95"/>
      <c r="AF470" s="95"/>
      <c r="AG470" s="95"/>
      <c r="AH470" s="95"/>
      <c r="AI470" s="95"/>
      <c r="AJ470" s="95"/>
      <c r="AK470" s="95"/>
      <c r="AL470" s="95"/>
      <c r="AM470" s="95"/>
      <c r="AN470" s="96"/>
      <c r="AO470" s="96"/>
      <c r="AP470" s="96"/>
      <c r="AQ470" s="96"/>
      <c r="AR470" s="96"/>
      <c r="AS470" s="96"/>
      <c r="AT470" s="96"/>
      <c r="AU470" s="96"/>
      <c r="AV470" s="96"/>
      <c r="AW470" s="96"/>
      <c r="AX470" s="96"/>
      <c r="AY470" s="96"/>
      <c r="AZ470" s="96"/>
      <c r="BA470" s="96"/>
    </row>
    <row r="471" spans="1:53" s="97" customFormat="1" ht="12" customHeight="1">
      <c r="A471" s="8">
        <v>5130502</v>
      </c>
      <c r="B471" s="8" t="s">
        <v>820</v>
      </c>
      <c r="C471" s="80">
        <f>+VLOOKUP(A471,Clasificaciones!C:I,5,FALSE)</f>
        <v>0</v>
      </c>
      <c r="D471" s="80">
        <v>0</v>
      </c>
      <c r="E471" s="80">
        <v>0</v>
      </c>
      <c r="F471" s="80">
        <v>0</v>
      </c>
      <c r="G471" s="80">
        <f t="shared" si="151"/>
        <v>0</v>
      </c>
      <c r="H471" s="26">
        <v>0</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f>-G471</f>
        <v>0</v>
      </c>
      <c r="Y471" s="26">
        <v>0</v>
      </c>
      <c r="Z471" s="26">
        <f t="shared" si="137"/>
        <v>0</v>
      </c>
      <c r="AA471" s="95"/>
      <c r="AB471" s="95"/>
      <c r="AC471" s="95"/>
      <c r="AD471" s="95"/>
      <c r="AE471" s="95"/>
      <c r="AF471" s="95"/>
      <c r="AG471" s="95"/>
      <c r="AH471" s="95"/>
      <c r="AI471" s="95"/>
      <c r="AJ471" s="95"/>
      <c r="AK471" s="95"/>
      <c r="AL471" s="95"/>
      <c r="AM471" s="95"/>
      <c r="AN471" s="96"/>
      <c r="AO471" s="96"/>
      <c r="AP471" s="96"/>
      <c r="AQ471" s="96"/>
      <c r="AR471" s="96"/>
      <c r="AS471" s="96"/>
      <c r="AT471" s="96"/>
      <c r="AU471" s="96"/>
      <c r="AV471" s="96"/>
      <c r="AW471" s="96"/>
      <c r="AX471" s="96"/>
      <c r="AY471" s="96"/>
      <c r="AZ471" s="96"/>
      <c r="BA471" s="96"/>
    </row>
    <row r="472" spans="1:53" s="97" customFormat="1" ht="12" customHeight="1">
      <c r="A472" s="8">
        <v>513050201</v>
      </c>
      <c r="B472" s="8" t="s">
        <v>821</v>
      </c>
      <c r="C472" s="80">
        <f>+VLOOKUP(A472,Clasificaciones!C:I,5,FALSE)</f>
        <v>3617928</v>
      </c>
      <c r="D472" s="80">
        <v>0</v>
      </c>
      <c r="E472" s="788">
        <f>+C472</f>
        <v>3617928</v>
      </c>
      <c r="F472" s="80">
        <v>0</v>
      </c>
      <c r="G472" s="80">
        <f t="shared" si="151"/>
        <v>0</v>
      </c>
      <c r="H472" s="26">
        <v>0</v>
      </c>
      <c r="I472" s="26">
        <v>0</v>
      </c>
      <c r="J472" s="26">
        <f>-G472</f>
        <v>0</v>
      </c>
      <c r="K472" s="26">
        <v>0</v>
      </c>
      <c r="L472" s="26">
        <v>0</v>
      </c>
      <c r="M472" s="26">
        <v>0</v>
      </c>
      <c r="N472" s="26">
        <v>0</v>
      </c>
      <c r="O472" s="26">
        <v>0</v>
      </c>
      <c r="P472" s="26">
        <v>0</v>
      </c>
      <c r="Q472" s="26">
        <v>0</v>
      </c>
      <c r="R472" s="26">
        <v>0</v>
      </c>
      <c r="S472" s="26">
        <v>0</v>
      </c>
      <c r="T472" s="26">
        <v>0</v>
      </c>
      <c r="U472" s="26">
        <v>0</v>
      </c>
      <c r="V472" s="26">
        <v>0</v>
      </c>
      <c r="W472" s="26">
        <v>0</v>
      </c>
      <c r="X472" s="26">
        <v>0</v>
      </c>
      <c r="Y472" s="26">
        <v>0</v>
      </c>
      <c r="Z472" s="26">
        <f t="shared" si="137"/>
        <v>0</v>
      </c>
      <c r="AA472" s="95"/>
      <c r="AB472" s="95"/>
      <c r="AC472" s="95"/>
      <c r="AD472" s="95"/>
      <c r="AE472" s="95"/>
      <c r="AF472" s="95"/>
      <c r="AG472" s="95"/>
      <c r="AH472" s="95"/>
      <c r="AI472" s="95"/>
      <c r="AJ472" s="95"/>
      <c r="AK472" s="95"/>
      <c r="AL472" s="95"/>
      <c r="AM472" s="95"/>
      <c r="AN472" s="96"/>
      <c r="AO472" s="96"/>
      <c r="AP472" s="96"/>
      <c r="AQ472" s="96"/>
      <c r="AR472" s="96"/>
      <c r="AS472" s="96"/>
      <c r="AT472" s="96"/>
      <c r="AU472" s="96"/>
      <c r="AV472" s="96"/>
      <c r="AW472" s="96"/>
      <c r="AX472" s="96"/>
      <c r="AY472" s="96"/>
      <c r="AZ472" s="96"/>
      <c r="BA472" s="96"/>
    </row>
    <row r="473" spans="1:53" s="97" customFormat="1" ht="12" customHeight="1">
      <c r="A473" s="8">
        <v>513050202</v>
      </c>
      <c r="B473" s="8" t="s">
        <v>822</v>
      </c>
      <c r="C473" s="80">
        <f>+VLOOKUP(A473,Clasificaciones!C:I,5,FALSE)</f>
        <v>69061152</v>
      </c>
      <c r="D473" s="80">
        <v>0</v>
      </c>
      <c r="E473" s="788">
        <f>+C473</f>
        <v>69061152</v>
      </c>
      <c r="F473" s="80">
        <v>0</v>
      </c>
      <c r="G473" s="80">
        <f t="shared" si="151"/>
        <v>0</v>
      </c>
      <c r="H473" s="26">
        <v>0</v>
      </c>
      <c r="I473" s="26">
        <v>0</v>
      </c>
      <c r="J473" s="26">
        <f>-G473</f>
        <v>0</v>
      </c>
      <c r="K473" s="26">
        <v>0</v>
      </c>
      <c r="L473" s="26">
        <v>0</v>
      </c>
      <c r="M473" s="26">
        <v>0</v>
      </c>
      <c r="N473" s="26">
        <v>0</v>
      </c>
      <c r="O473" s="26">
        <v>0</v>
      </c>
      <c r="P473" s="26">
        <v>0</v>
      </c>
      <c r="Q473" s="26">
        <v>0</v>
      </c>
      <c r="R473" s="26">
        <v>0</v>
      </c>
      <c r="S473" s="26">
        <v>0</v>
      </c>
      <c r="T473" s="26">
        <v>0</v>
      </c>
      <c r="U473" s="26">
        <v>0</v>
      </c>
      <c r="V473" s="26">
        <v>0</v>
      </c>
      <c r="W473" s="26">
        <v>0</v>
      </c>
      <c r="X473" s="26">
        <v>0</v>
      </c>
      <c r="Y473" s="26">
        <v>0</v>
      </c>
      <c r="Z473" s="26">
        <f t="shared" si="137"/>
        <v>0</v>
      </c>
      <c r="AA473" s="95"/>
      <c r="AB473" s="95"/>
      <c r="AC473" s="95"/>
      <c r="AD473" s="95"/>
      <c r="AE473" s="95"/>
      <c r="AF473" s="95"/>
      <c r="AG473" s="95"/>
      <c r="AH473" s="95"/>
      <c r="AI473" s="95"/>
      <c r="AJ473" s="95"/>
      <c r="AK473" s="95"/>
      <c r="AL473" s="95"/>
      <c r="AM473" s="95"/>
      <c r="AN473" s="96"/>
      <c r="AO473" s="96"/>
      <c r="AP473" s="96"/>
      <c r="AQ473" s="96"/>
      <c r="AR473" s="96"/>
      <c r="AS473" s="96"/>
      <c r="AT473" s="96"/>
      <c r="AU473" s="96"/>
      <c r="AV473" s="96"/>
      <c r="AW473" s="96"/>
      <c r="AX473" s="96"/>
      <c r="AY473" s="96"/>
      <c r="AZ473" s="96"/>
      <c r="BA473" s="96"/>
    </row>
    <row r="474" spans="1:53" s="97" customFormat="1" ht="12" customHeight="1">
      <c r="A474" s="8">
        <v>513050203</v>
      </c>
      <c r="B474" s="8" t="s">
        <v>823</v>
      </c>
      <c r="C474" s="80">
        <f>+VLOOKUP(A474,Clasificaciones!C:I,5,FALSE)</f>
        <v>34517394</v>
      </c>
      <c r="D474" s="80">
        <v>0</v>
      </c>
      <c r="E474" s="788">
        <f>+C474</f>
        <v>34517394</v>
      </c>
      <c r="F474" s="80">
        <v>0</v>
      </c>
      <c r="G474" s="80">
        <f t="shared" si="151"/>
        <v>0</v>
      </c>
      <c r="H474" s="26">
        <v>0</v>
      </c>
      <c r="I474" s="26">
        <v>0</v>
      </c>
      <c r="J474" s="26">
        <v>0</v>
      </c>
      <c r="K474" s="26">
        <v>0</v>
      </c>
      <c r="L474" s="26">
        <v>0</v>
      </c>
      <c r="M474" s="26">
        <v>0</v>
      </c>
      <c r="N474" s="26">
        <v>0</v>
      </c>
      <c r="O474" s="26">
        <v>0</v>
      </c>
      <c r="P474" s="26">
        <v>0</v>
      </c>
      <c r="Q474" s="26">
        <v>0</v>
      </c>
      <c r="R474" s="26">
        <v>0</v>
      </c>
      <c r="S474" s="26">
        <v>0</v>
      </c>
      <c r="T474" s="26">
        <v>0</v>
      </c>
      <c r="U474" s="26">
        <v>0</v>
      </c>
      <c r="V474" s="26">
        <v>0</v>
      </c>
      <c r="W474" s="26">
        <v>0</v>
      </c>
      <c r="X474" s="26">
        <v>0</v>
      </c>
      <c r="Y474" s="26">
        <v>0</v>
      </c>
      <c r="Z474" s="26">
        <f t="shared" si="137"/>
        <v>0</v>
      </c>
      <c r="AA474" s="95"/>
      <c r="AB474" s="95"/>
      <c r="AC474" s="95"/>
      <c r="AD474" s="95"/>
      <c r="AE474" s="95"/>
      <c r="AF474" s="95"/>
      <c r="AG474" s="95"/>
      <c r="AH474" s="95"/>
      <c r="AI474" s="95"/>
      <c r="AJ474" s="95"/>
      <c r="AK474" s="95"/>
      <c r="AL474" s="95"/>
      <c r="AM474" s="95"/>
      <c r="AN474" s="96"/>
      <c r="AO474" s="96"/>
      <c r="AP474" s="96"/>
      <c r="AQ474" s="96"/>
      <c r="AR474" s="96"/>
      <c r="AS474" s="96"/>
      <c r="AT474" s="96"/>
      <c r="AU474" s="96"/>
      <c r="AV474" s="96"/>
      <c r="AW474" s="96"/>
      <c r="AX474" s="96"/>
      <c r="AY474" s="96"/>
      <c r="AZ474" s="96"/>
      <c r="BA474" s="96"/>
    </row>
    <row r="475" spans="1:53" s="97" customFormat="1" ht="12" customHeight="1">
      <c r="A475" s="8">
        <v>513050204</v>
      </c>
      <c r="B475" s="8" t="s">
        <v>824</v>
      </c>
      <c r="C475" s="80">
        <f>+VLOOKUP(A475,Clasificaciones!C:I,5,FALSE)</f>
        <v>799998</v>
      </c>
      <c r="D475" s="80">
        <v>0</v>
      </c>
      <c r="E475" s="788">
        <f>+C475</f>
        <v>799998</v>
      </c>
      <c r="F475" s="80">
        <v>0</v>
      </c>
      <c r="G475" s="80">
        <f t="shared" si="151"/>
        <v>0</v>
      </c>
      <c r="H475" s="26">
        <v>0</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f>-G475</f>
        <v>0</v>
      </c>
      <c r="Z475" s="26">
        <f t="shared" si="137"/>
        <v>0</v>
      </c>
      <c r="AA475" s="95"/>
      <c r="AB475" s="95"/>
      <c r="AC475" s="95"/>
      <c r="AD475" s="95"/>
      <c r="AE475" s="95"/>
      <c r="AF475" s="95"/>
      <c r="AG475" s="95"/>
      <c r="AH475" s="95"/>
      <c r="AI475" s="95"/>
      <c r="AJ475" s="95"/>
      <c r="AK475" s="95"/>
      <c r="AL475" s="95"/>
      <c r="AM475" s="95"/>
      <c r="AN475" s="96"/>
      <c r="AO475" s="96"/>
      <c r="AP475" s="96"/>
      <c r="AQ475" s="96"/>
      <c r="AR475" s="96"/>
      <c r="AS475" s="96"/>
      <c r="AT475" s="96"/>
      <c r="AU475" s="96"/>
      <c r="AV475" s="96"/>
      <c r="AW475" s="96"/>
      <c r="AX475" s="96"/>
      <c r="AY475" s="96"/>
      <c r="AZ475" s="96"/>
      <c r="BA475" s="96"/>
    </row>
    <row r="476" spans="1:53" s="97" customFormat="1" ht="12" customHeight="1">
      <c r="A476" s="8">
        <v>51306</v>
      </c>
      <c r="B476" s="8" t="s">
        <v>178</v>
      </c>
      <c r="C476" s="80">
        <f>+VLOOKUP(A476,Clasificaciones!C:I,5,FALSE)</f>
        <v>0</v>
      </c>
      <c r="D476" s="80">
        <v>0</v>
      </c>
      <c r="E476" s="80">
        <v>0</v>
      </c>
      <c r="F476" s="80">
        <v>0</v>
      </c>
      <c r="G476" s="80">
        <f t="shared" si="151"/>
        <v>0</v>
      </c>
      <c r="H476" s="26">
        <v>0</v>
      </c>
      <c r="I476" s="26">
        <v>0</v>
      </c>
      <c r="J476" s="26">
        <v>0</v>
      </c>
      <c r="K476" s="26">
        <v>0</v>
      </c>
      <c r="L476" s="26">
        <v>0</v>
      </c>
      <c r="M476" s="26">
        <v>0</v>
      </c>
      <c r="N476" s="26">
        <v>0</v>
      </c>
      <c r="O476" s="26">
        <v>0</v>
      </c>
      <c r="P476" s="26">
        <v>0</v>
      </c>
      <c r="Q476" s="26">
        <v>0</v>
      </c>
      <c r="R476" s="26">
        <v>0</v>
      </c>
      <c r="S476" s="26">
        <v>0</v>
      </c>
      <c r="T476" s="26">
        <v>0</v>
      </c>
      <c r="U476" s="26">
        <v>0</v>
      </c>
      <c r="V476" s="26">
        <v>0</v>
      </c>
      <c r="W476" s="26">
        <v>0</v>
      </c>
      <c r="X476" s="26">
        <v>0</v>
      </c>
      <c r="Y476" s="26">
        <f>-G476</f>
        <v>0</v>
      </c>
      <c r="Z476" s="26">
        <f t="shared" si="137"/>
        <v>0</v>
      </c>
      <c r="AA476" s="95"/>
      <c r="AB476" s="95"/>
      <c r="AC476" s="95"/>
      <c r="AD476" s="95"/>
      <c r="AE476" s="95"/>
      <c r="AF476" s="95"/>
      <c r="AG476" s="95"/>
      <c r="AH476" s="95"/>
      <c r="AI476" s="95"/>
      <c r="AJ476" s="95"/>
      <c r="AK476" s="95"/>
      <c r="AL476" s="95"/>
      <c r="AM476" s="95"/>
      <c r="AN476" s="96"/>
      <c r="AO476" s="96"/>
      <c r="AP476" s="96"/>
      <c r="AQ476" s="96"/>
      <c r="AR476" s="96"/>
      <c r="AS476" s="96"/>
      <c r="AT476" s="96"/>
      <c r="AU476" s="96"/>
      <c r="AV476" s="96"/>
      <c r="AW476" s="96"/>
      <c r="AX476" s="96"/>
      <c r="AY476" s="96"/>
      <c r="AZ476" s="96"/>
      <c r="BA476" s="96"/>
    </row>
    <row r="477" spans="1:53" s="97" customFormat="1" ht="12" customHeight="1">
      <c r="A477" s="8">
        <v>5130601</v>
      </c>
      <c r="B477" s="8" t="s">
        <v>1096</v>
      </c>
      <c r="C477" s="80">
        <f>+VLOOKUP(A477,Clasificaciones!C:I,5,FALSE)</f>
        <v>500000</v>
      </c>
      <c r="D477" s="80">
        <v>0</v>
      </c>
      <c r="E477" s="80">
        <v>0</v>
      </c>
      <c r="F477" s="80">
        <v>0</v>
      </c>
      <c r="G477" s="80">
        <f t="shared" si="151"/>
        <v>500000</v>
      </c>
      <c r="H477" s="26">
        <v>0</v>
      </c>
      <c r="I477" s="26">
        <v>0</v>
      </c>
      <c r="J477" s="26"/>
      <c r="K477" s="26">
        <v>0</v>
      </c>
      <c r="L477" s="26">
        <f t="shared" ref="L477:L479" si="156">-G477</f>
        <v>-500000</v>
      </c>
      <c r="M477" s="26">
        <v>0</v>
      </c>
      <c r="N477" s="26">
        <v>0</v>
      </c>
      <c r="O477" s="26">
        <v>0</v>
      </c>
      <c r="P477" s="26">
        <v>0</v>
      </c>
      <c r="Q477" s="26">
        <v>0</v>
      </c>
      <c r="R477" s="26">
        <v>0</v>
      </c>
      <c r="S477" s="26">
        <v>0</v>
      </c>
      <c r="T477" s="26">
        <v>0</v>
      </c>
      <c r="U477" s="26">
        <v>0</v>
      </c>
      <c r="V477" s="26">
        <v>0</v>
      </c>
      <c r="W477" s="26">
        <v>0</v>
      </c>
      <c r="X477" s="26">
        <v>0</v>
      </c>
      <c r="Y477" s="26">
        <v>0</v>
      </c>
      <c r="Z477" s="26">
        <f t="shared" si="137"/>
        <v>0</v>
      </c>
      <c r="AA477" s="95"/>
      <c r="AB477" s="95"/>
      <c r="AC477" s="95"/>
      <c r="AD477" s="95"/>
      <c r="AE477" s="95"/>
      <c r="AF477" s="95"/>
      <c r="AG477" s="95"/>
      <c r="AH477" s="95"/>
      <c r="AI477" s="95"/>
      <c r="AJ477" s="95"/>
      <c r="AK477" s="95"/>
      <c r="AL477" s="95"/>
      <c r="AM477" s="95"/>
      <c r="AN477" s="96"/>
      <c r="AO477" s="96"/>
      <c r="AP477" s="96"/>
      <c r="AQ477" s="96"/>
      <c r="AR477" s="96"/>
      <c r="AS477" s="96"/>
      <c r="AT477" s="96"/>
      <c r="AU477" s="96"/>
      <c r="AV477" s="96"/>
      <c r="AW477" s="96"/>
      <c r="AX477" s="96"/>
      <c r="AY477" s="96"/>
      <c r="AZ477" s="96"/>
      <c r="BA477" s="96"/>
    </row>
    <row r="478" spans="1:53" s="97" customFormat="1" ht="12" customHeight="1">
      <c r="A478" s="8">
        <v>5130603</v>
      </c>
      <c r="B478" s="8" t="s">
        <v>825</v>
      </c>
      <c r="C478" s="80">
        <f>+VLOOKUP(A478,Clasificaciones!C:I,5,FALSE)</f>
        <v>79215368</v>
      </c>
      <c r="D478" s="80">
        <v>0</v>
      </c>
      <c r="E478" s="80">
        <v>0</v>
      </c>
      <c r="F478" s="80">
        <v>0</v>
      </c>
      <c r="G478" s="80">
        <f t="shared" si="151"/>
        <v>79215368</v>
      </c>
      <c r="H478" s="26">
        <v>0</v>
      </c>
      <c r="I478" s="26">
        <v>0</v>
      </c>
      <c r="J478" s="26"/>
      <c r="K478" s="26">
        <v>0</v>
      </c>
      <c r="L478" s="26">
        <f t="shared" si="156"/>
        <v>-79215368</v>
      </c>
      <c r="M478" s="26">
        <v>0</v>
      </c>
      <c r="N478" s="26">
        <v>0</v>
      </c>
      <c r="O478" s="26">
        <v>0</v>
      </c>
      <c r="P478" s="26">
        <v>0</v>
      </c>
      <c r="Q478" s="26">
        <v>0</v>
      </c>
      <c r="R478" s="26">
        <v>0</v>
      </c>
      <c r="S478" s="26">
        <v>0</v>
      </c>
      <c r="T478" s="26">
        <v>0</v>
      </c>
      <c r="U478" s="26">
        <v>0</v>
      </c>
      <c r="V478" s="26">
        <v>0</v>
      </c>
      <c r="W478" s="26">
        <v>0</v>
      </c>
      <c r="X478" s="26">
        <v>0</v>
      </c>
      <c r="Y478" s="26">
        <v>0</v>
      </c>
      <c r="Z478" s="26">
        <f t="shared" si="137"/>
        <v>0</v>
      </c>
      <c r="AA478" s="95"/>
      <c r="AB478" s="95"/>
      <c r="AC478" s="95"/>
      <c r="AD478" s="95"/>
      <c r="AE478" s="95"/>
      <c r="AF478" s="95"/>
      <c r="AG478" s="95"/>
      <c r="AH478" s="95"/>
      <c r="AI478" s="95"/>
      <c r="AJ478" s="95"/>
      <c r="AK478" s="95"/>
      <c r="AL478" s="95"/>
      <c r="AM478" s="95"/>
      <c r="AN478" s="96"/>
      <c r="AO478" s="96"/>
      <c r="AP478" s="96"/>
      <c r="AQ478" s="96"/>
      <c r="AR478" s="96"/>
      <c r="AS478" s="96"/>
      <c r="AT478" s="96"/>
      <c r="AU478" s="96"/>
      <c r="AV478" s="96"/>
      <c r="AW478" s="96"/>
      <c r="AX478" s="96"/>
      <c r="AY478" s="96"/>
      <c r="AZ478" s="96"/>
      <c r="BA478" s="96"/>
    </row>
    <row r="479" spans="1:53" s="97" customFormat="1" ht="12" customHeight="1">
      <c r="A479" s="8">
        <v>5130605</v>
      </c>
      <c r="B479" s="8" t="s">
        <v>237</v>
      </c>
      <c r="C479" s="80">
        <f>+VLOOKUP(A479,Clasificaciones!C:I,5,FALSE)</f>
        <v>0</v>
      </c>
      <c r="D479" s="80">
        <v>0</v>
      </c>
      <c r="E479" s="80">
        <v>0</v>
      </c>
      <c r="F479" s="80">
        <v>0</v>
      </c>
      <c r="G479" s="80">
        <f t="shared" si="151"/>
        <v>0</v>
      </c>
      <c r="H479" s="26">
        <v>0</v>
      </c>
      <c r="I479" s="26">
        <v>0</v>
      </c>
      <c r="J479" s="26"/>
      <c r="K479" s="26">
        <v>0</v>
      </c>
      <c r="L479" s="26">
        <f t="shared" si="156"/>
        <v>0</v>
      </c>
      <c r="M479" s="26">
        <v>0</v>
      </c>
      <c r="N479" s="26">
        <v>0</v>
      </c>
      <c r="O479" s="26">
        <v>0</v>
      </c>
      <c r="P479" s="26">
        <v>0</v>
      </c>
      <c r="Q479" s="26">
        <v>0</v>
      </c>
      <c r="R479" s="26">
        <v>0</v>
      </c>
      <c r="S479" s="26">
        <v>0</v>
      </c>
      <c r="T479" s="26">
        <v>0</v>
      </c>
      <c r="U479" s="26">
        <v>0</v>
      </c>
      <c r="V479" s="26">
        <v>0</v>
      </c>
      <c r="W479" s="26">
        <v>0</v>
      </c>
      <c r="X479" s="26">
        <v>0</v>
      </c>
      <c r="Y479" s="26">
        <v>0</v>
      </c>
      <c r="Z479" s="26">
        <f t="shared" si="137"/>
        <v>0</v>
      </c>
      <c r="AA479" s="95"/>
      <c r="AB479" s="95"/>
      <c r="AC479" s="95"/>
      <c r="AD479" s="95"/>
      <c r="AE479" s="95"/>
      <c r="AF479" s="95"/>
      <c r="AG479" s="95"/>
      <c r="AH479" s="95"/>
      <c r="AI479" s="95"/>
      <c r="AJ479" s="95"/>
      <c r="AK479" s="95"/>
      <c r="AL479" s="95"/>
      <c r="AM479" s="95"/>
      <c r="AN479" s="96"/>
      <c r="AO479" s="96"/>
      <c r="AP479" s="96"/>
      <c r="AQ479" s="96"/>
      <c r="AR479" s="96"/>
      <c r="AS479" s="96"/>
      <c r="AT479" s="96"/>
      <c r="AU479" s="96"/>
      <c r="AV479" s="96"/>
      <c r="AW479" s="96"/>
      <c r="AX479" s="96"/>
      <c r="AY479" s="96"/>
      <c r="AZ479" s="96"/>
      <c r="BA479" s="96"/>
    </row>
    <row r="480" spans="1:53" s="97" customFormat="1" ht="12" customHeight="1">
      <c r="A480" s="8">
        <v>51307</v>
      </c>
      <c r="B480" s="8" t="s">
        <v>1098</v>
      </c>
      <c r="C480" s="80">
        <f>+VLOOKUP(A480,Clasificaciones!C:I,5,FALSE)</f>
        <v>0</v>
      </c>
      <c r="D480" s="80">
        <v>0</v>
      </c>
      <c r="E480" s="80">
        <v>0</v>
      </c>
      <c r="F480" s="80">
        <v>0</v>
      </c>
      <c r="G480" s="80">
        <f t="shared" si="151"/>
        <v>0</v>
      </c>
      <c r="H480" s="26">
        <v>0</v>
      </c>
      <c r="I480" s="26">
        <v>0</v>
      </c>
      <c r="J480" s="26">
        <v>0</v>
      </c>
      <c r="K480" s="26">
        <v>0</v>
      </c>
      <c r="L480" s="26">
        <v>0</v>
      </c>
      <c r="M480" s="26">
        <v>0</v>
      </c>
      <c r="N480" s="26">
        <v>0</v>
      </c>
      <c r="O480" s="26">
        <v>0</v>
      </c>
      <c r="P480" s="26">
        <v>0</v>
      </c>
      <c r="Q480" s="26">
        <v>0</v>
      </c>
      <c r="R480" s="26">
        <v>0</v>
      </c>
      <c r="S480" s="26">
        <v>0</v>
      </c>
      <c r="T480" s="26">
        <v>0</v>
      </c>
      <c r="U480" s="26">
        <v>0</v>
      </c>
      <c r="V480" s="26">
        <v>0</v>
      </c>
      <c r="W480" s="26">
        <v>0</v>
      </c>
      <c r="X480" s="26">
        <v>0</v>
      </c>
      <c r="Y480" s="26">
        <v>0</v>
      </c>
      <c r="Z480" s="26">
        <f t="shared" si="137"/>
        <v>0</v>
      </c>
      <c r="AA480" s="95"/>
      <c r="AB480" s="95"/>
      <c r="AC480" s="95"/>
      <c r="AD480" s="95"/>
      <c r="AE480" s="95"/>
      <c r="AF480" s="95"/>
      <c r="AG480" s="95"/>
      <c r="AH480" s="95"/>
      <c r="AI480" s="95"/>
      <c r="AJ480" s="95"/>
      <c r="AK480" s="95"/>
      <c r="AL480" s="95"/>
      <c r="AM480" s="95"/>
      <c r="AN480" s="96"/>
      <c r="AO480" s="96"/>
      <c r="AP480" s="96"/>
      <c r="AQ480" s="96"/>
      <c r="AR480" s="96"/>
      <c r="AS480" s="96"/>
      <c r="AT480" s="96"/>
      <c r="AU480" s="96"/>
      <c r="AV480" s="96"/>
      <c r="AW480" s="96"/>
      <c r="AX480" s="96"/>
      <c r="AY480" s="96"/>
      <c r="AZ480" s="96"/>
      <c r="BA480" s="96"/>
    </row>
    <row r="481" spans="1:53" s="97" customFormat="1" ht="12" customHeight="1">
      <c r="A481" s="8">
        <v>5130701</v>
      </c>
      <c r="B481" s="8" t="s">
        <v>815</v>
      </c>
      <c r="C481" s="80">
        <f>+VLOOKUP(A481,Clasificaciones!C:I,5,FALSE)</f>
        <v>102003747</v>
      </c>
      <c r="D481" s="80">
        <v>0</v>
      </c>
      <c r="E481" s="80">
        <v>0</v>
      </c>
      <c r="F481" s="80">
        <v>0</v>
      </c>
      <c r="G481" s="80">
        <f t="shared" si="151"/>
        <v>102003747</v>
      </c>
      <c r="H481" s="26">
        <v>0</v>
      </c>
      <c r="I481" s="26">
        <v>0</v>
      </c>
      <c r="J481" s="26"/>
      <c r="K481" s="26">
        <v>0</v>
      </c>
      <c r="L481" s="26">
        <f t="shared" ref="L481:L483" si="157">-G481</f>
        <v>-102003747</v>
      </c>
      <c r="M481" s="26">
        <v>0</v>
      </c>
      <c r="N481" s="26">
        <v>0</v>
      </c>
      <c r="O481" s="26">
        <v>0</v>
      </c>
      <c r="P481" s="26">
        <v>0</v>
      </c>
      <c r="Q481" s="26">
        <v>0</v>
      </c>
      <c r="R481" s="26">
        <v>0</v>
      </c>
      <c r="S481" s="26">
        <v>0</v>
      </c>
      <c r="T481" s="26">
        <v>0</v>
      </c>
      <c r="U481" s="26">
        <v>0</v>
      </c>
      <c r="V481" s="26">
        <v>0</v>
      </c>
      <c r="W481" s="26">
        <v>0</v>
      </c>
      <c r="X481" s="26">
        <v>0</v>
      </c>
      <c r="Y481" s="26">
        <v>0</v>
      </c>
      <c r="Z481" s="26">
        <f t="shared" si="137"/>
        <v>0</v>
      </c>
      <c r="AA481" s="95"/>
      <c r="AB481" s="95"/>
      <c r="AC481" s="95"/>
      <c r="AD481" s="95"/>
      <c r="AE481" s="95"/>
      <c r="AF481" s="95"/>
      <c r="AG481" s="95"/>
      <c r="AH481" s="95"/>
      <c r="AI481" s="95"/>
      <c r="AJ481" s="95"/>
      <c r="AK481" s="95"/>
      <c r="AL481" s="95"/>
      <c r="AM481" s="95"/>
      <c r="AN481" s="96"/>
      <c r="AO481" s="96"/>
      <c r="AP481" s="96"/>
      <c r="AQ481" s="96"/>
      <c r="AR481" s="96"/>
      <c r="AS481" s="96"/>
      <c r="AT481" s="96"/>
      <c r="AU481" s="96"/>
      <c r="AV481" s="96"/>
      <c r="AW481" s="96"/>
      <c r="AX481" s="96"/>
      <c r="AY481" s="96"/>
      <c r="AZ481" s="96"/>
      <c r="BA481" s="96"/>
    </row>
    <row r="482" spans="1:53" s="97" customFormat="1" ht="12" customHeight="1">
      <c r="A482" s="8">
        <v>5130702</v>
      </c>
      <c r="B482" s="8" t="s">
        <v>1091</v>
      </c>
      <c r="C482" s="80">
        <f>+VLOOKUP(A482,Clasificaciones!C:I,5,FALSE)</f>
        <v>3994732</v>
      </c>
      <c r="D482" s="80">
        <v>0</v>
      </c>
      <c r="E482" s="80">
        <v>0</v>
      </c>
      <c r="F482" s="80">
        <v>0</v>
      </c>
      <c r="G482" s="80">
        <f t="shared" si="151"/>
        <v>3994732</v>
      </c>
      <c r="H482" s="26">
        <v>0</v>
      </c>
      <c r="I482" s="26">
        <v>0</v>
      </c>
      <c r="J482" s="26"/>
      <c r="K482" s="26">
        <v>0</v>
      </c>
      <c r="L482" s="26">
        <f t="shared" si="157"/>
        <v>-3994732</v>
      </c>
      <c r="M482" s="26">
        <v>0</v>
      </c>
      <c r="N482" s="26">
        <v>0</v>
      </c>
      <c r="O482" s="26">
        <v>0</v>
      </c>
      <c r="P482" s="26">
        <v>0</v>
      </c>
      <c r="Q482" s="26">
        <v>0</v>
      </c>
      <c r="R482" s="26">
        <v>0</v>
      </c>
      <c r="S482" s="26">
        <v>0</v>
      </c>
      <c r="T482" s="26">
        <v>0</v>
      </c>
      <c r="U482" s="26">
        <v>0</v>
      </c>
      <c r="V482" s="26">
        <v>0</v>
      </c>
      <c r="W482" s="26">
        <v>0</v>
      </c>
      <c r="X482" s="26">
        <v>0</v>
      </c>
      <c r="Y482" s="26">
        <v>0</v>
      </c>
      <c r="Z482" s="26">
        <f t="shared" si="137"/>
        <v>0</v>
      </c>
      <c r="AA482" s="95"/>
      <c r="AB482" s="95"/>
      <c r="AC482" s="95"/>
      <c r="AD482" s="95"/>
      <c r="AE482" s="95"/>
      <c r="AF482" s="95"/>
      <c r="AG482" s="95"/>
      <c r="AH482" s="95"/>
      <c r="AI482" s="95"/>
      <c r="AJ482" s="95"/>
      <c r="AK482" s="95"/>
      <c r="AL482" s="95"/>
      <c r="AM482" s="95"/>
      <c r="AN482" s="96"/>
      <c r="AO482" s="96"/>
      <c r="AP482" s="96"/>
      <c r="AQ482" s="96"/>
      <c r="AR482" s="96"/>
      <c r="AS482" s="96"/>
      <c r="AT482" s="96"/>
      <c r="AU482" s="96"/>
      <c r="AV482" s="96"/>
      <c r="AW482" s="96"/>
      <c r="AX482" s="96"/>
      <c r="AY482" s="96"/>
      <c r="AZ482" s="96"/>
      <c r="BA482" s="96"/>
    </row>
    <row r="483" spans="1:53" s="97" customFormat="1" ht="12" customHeight="1">
      <c r="A483" s="8">
        <v>5130703</v>
      </c>
      <c r="B483" s="8" t="s">
        <v>1241</v>
      </c>
      <c r="C483" s="80">
        <f>+VLOOKUP(A483,Clasificaciones!C:I,5,FALSE)</f>
        <v>12201721</v>
      </c>
      <c r="D483" s="80">
        <v>0</v>
      </c>
      <c r="E483" s="80">
        <v>0</v>
      </c>
      <c r="F483" s="80">
        <v>0</v>
      </c>
      <c r="G483" s="80">
        <f t="shared" si="151"/>
        <v>12201721</v>
      </c>
      <c r="H483" s="26">
        <v>0</v>
      </c>
      <c r="I483" s="26">
        <v>0</v>
      </c>
      <c r="J483" s="26"/>
      <c r="K483" s="26">
        <v>0</v>
      </c>
      <c r="L483" s="26">
        <f t="shared" si="157"/>
        <v>-12201721</v>
      </c>
      <c r="M483" s="26">
        <v>0</v>
      </c>
      <c r="N483" s="26">
        <v>0</v>
      </c>
      <c r="O483" s="26">
        <v>0</v>
      </c>
      <c r="P483" s="26">
        <v>0</v>
      </c>
      <c r="Q483" s="26">
        <v>0</v>
      </c>
      <c r="R483" s="26">
        <v>0</v>
      </c>
      <c r="S483" s="26">
        <v>0</v>
      </c>
      <c r="T483" s="26">
        <v>0</v>
      </c>
      <c r="U483" s="26">
        <v>0</v>
      </c>
      <c r="V483" s="26">
        <v>0</v>
      </c>
      <c r="W483" s="26">
        <v>0</v>
      </c>
      <c r="X483" s="26">
        <v>0</v>
      </c>
      <c r="Y483" s="26">
        <v>0</v>
      </c>
      <c r="Z483" s="26">
        <f t="shared" si="137"/>
        <v>0</v>
      </c>
      <c r="AA483" s="95"/>
      <c r="AB483" s="95"/>
      <c r="AC483" s="95"/>
      <c r="AD483" s="95"/>
      <c r="AE483" s="95"/>
      <c r="AF483" s="95"/>
      <c r="AG483" s="95"/>
      <c r="AH483" s="95"/>
      <c r="AI483" s="95"/>
      <c r="AJ483" s="95"/>
      <c r="AK483" s="95"/>
      <c r="AL483" s="95"/>
      <c r="AM483" s="95"/>
      <c r="AN483" s="96"/>
      <c r="AO483" s="96"/>
      <c r="AP483" s="96"/>
      <c r="AQ483" s="96"/>
      <c r="AR483" s="96"/>
      <c r="AS483" s="96"/>
      <c r="AT483" s="96"/>
      <c r="AU483" s="96"/>
      <c r="AV483" s="96"/>
      <c r="AW483" s="96"/>
      <c r="AX483" s="96"/>
      <c r="AY483" s="96"/>
      <c r="AZ483" s="96"/>
      <c r="BA483" s="96"/>
    </row>
    <row r="484" spans="1:53" s="97" customFormat="1" ht="12" customHeight="1">
      <c r="A484" s="8">
        <v>51308</v>
      </c>
      <c r="B484" s="8" t="s">
        <v>48</v>
      </c>
      <c r="C484" s="80">
        <f>+VLOOKUP(A484,Clasificaciones!C:I,5,FALSE)</f>
        <v>0</v>
      </c>
      <c r="D484" s="80">
        <v>0</v>
      </c>
      <c r="E484" s="80">
        <v>0</v>
      </c>
      <c r="F484" s="80">
        <v>0</v>
      </c>
      <c r="G484" s="80">
        <f t="shared" si="151"/>
        <v>0</v>
      </c>
      <c r="H484" s="26">
        <v>0</v>
      </c>
      <c r="I484" s="26">
        <v>0</v>
      </c>
      <c r="J484" s="26">
        <v>0</v>
      </c>
      <c r="K484" s="26">
        <v>0</v>
      </c>
      <c r="L484" s="26">
        <v>0</v>
      </c>
      <c r="M484" s="26">
        <v>0</v>
      </c>
      <c r="N484" s="26">
        <v>0</v>
      </c>
      <c r="O484" s="26">
        <v>0</v>
      </c>
      <c r="P484" s="26">
        <v>0</v>
      </c>
      <c r="Q484" s="26">
        <v>0</v>
      </c>
      <c r="R484" s="26">
        <v>0</v>
      </c>
      <c r="S484" s="26">
        <v>0</v>
      </c>
      <c r="T484" s="26">
        <v>0</v>
      </c>
      <c r="U484" s="26">
        <v>0</v>
      </c>
      <c r="V484" s="26">
        <v>0</v>
      </c>
      <c r="W484" s="26">
        <v>0</v>
      </c>
      <c r="X484" s="26">
        <v>0</v>
      </c>
      <c r="Y484" s="26">
        <v>0</v>
      </c>
      <c r="Z484" s="26">
        <f t="shared" si="137"/>
        <v>0</v>
      </c>
      <c r="AA484" s="95"/>
      <c r="AB484" s="95"/>
      <c r="AC484" s="95"/>
      <c r="AD484" s="95"/>
      <c r="AE484" s="95"/>
      <c r="AF484" s="95"/>
      <c r="AG484" s="95"/>
      <c r="AH484" s="95"/>
      <c r="AI484" s="95"/>
      <c r="AJ484" s="95"/>
      <c r="AK484" s="95"/>
      <c r="AL484" s="95"/>
      <c r="AM484" s="95"/>
      <c r="AN484" s="96"/>
      <c r="AO484" s="96"/>
      <c r="AP484" s="96"/>
      <c r="AQ484" s="96"/>
      <c r="AR484" s="96"/>
      <c r="AS484" s="96"/>
      <c r="AT484" s="96"/>
      <c r="AU484" s="96"/>
      <c r="AV484" s="96"/>
      <c r="AW484" s="96"/>
      <c r="AX484" s="96"/>
      <c r="AY484" s="96"/>
      <c r="AZ484" s="96"/>
      <c r="BA484" s="96"/>
    </row>
    <row r="485" spans="1:53" s="97" customFormat="1" ht="12" customHeight="1">
      <c r="A485" s="8">
        <v>5130801</v>
      </c>
      <c r="B485" s="8" t="s">
        <v>826</v>
      </c>
      <c r="C485" s="80">
        <f>+VLOOKUP(A485,Clasificaciones!C:I,5,FALSE)</f>
        <v>3668369</v>
      </c>
      <c r="D485" s="80">
        <v>0</v>
      </c>
      <c r="E485" s="80">
        <v>0</v>
      </c>
      <c r="F485" s="80">
        <v>0</v>
      </c>
      <c r="G485" s="80">
        <f t="shared" si="151"/>
        <v>3668369</v>
      </c>
      <c r="H485" s="26">
        <v>0</v>
      </c>
      <c r="I485" s="26">
        <v>0</v>
      </c>
      <c r="J485" s="26"/>
      <c r="K485" s="26">
        <v>0</v>
      </c>
      <c r="L485" s="26">
        <f>-G485</f>
        <v>-3668369</v>
      </c>
      <c r="M485" s="26">
        <v>0</v>
      </c>
      <c r="N485" s="26">
        <v>0</v>
      </c>
      <c r="O485" s="26">
        <v>0</v>
      </c>
      <c r="P485" s="26">
        <v>0</v>
      </c>
      <c r="Q485" s="26">
        <v>0</v>
      </c>
      <c r="R485" s="26">
        <v>0</v>
      </c>
      <c r="S485" s="26">
        <v>0</v>
      </c>
      <c r="T485" s="26">
        <v>0</v>
      </c>
      <c r="U485" s="26">
        <v>0</v>
      </c>
      <c r="V485" s="26">
        <v>0</v>
      </c>
      <c r="W485" s="26">
        <v>0</v>
      </c>
      <c r="X485" s="26">
        <v>0</v>
      </c>
      <c r="Y485" s="26">
        <v>0</v>
      </c>
      <c r="Z485" s="26">
        <f t="shared" si="137"/>
        <v>0</v>
      </c>
      <c r="AA485" s="95"/>
      <c r="AB485" s="95"/>
      <c r="AC485" s="95"/>
      <c r="AD485" s="95"/>
      <c r="AE485" s="95"/>
      <c r="AF485" s="95"/>
      <c r="AG485" s="95"/>
      <c r="AH485" s="95"/>
      <c r="AI485" s="95"/>
      <c r="AJ485" s="95"/>
      <c r="AK485" s="95"/>
      <c r="AL485" s="95"/>
      <c r="AM485" s="95"/>
      <c r="AN485" s="96"/>
      <c r="AO485" s="96"/>
      <c r="AP485" s="96"/>
      <c r="AQ485" s="96"/>
      <c r="AR485" s="96"/>
      <c r="AS485" s="96"/>
      <c r="AT485" s="96"/>
      <c r="AU485" s="96"/>
      <c r="AV485" s="96"/>
      <c r="AW485" s="96"/>
      <c r="AX485" s="96"/>
      <c r="AY485" s="96"/>
      <c r="AZ485" s="96"/>
      <c r="BA485" s="96"/>
    </row>
    <row r="486" spans="1:53" s="97" customFormat="1" ht="12" customHeight="1">
      <c r="A486" s="8">
        <v>51309</v>
      </c>
      <c r="B486" s="8" t="s">
        <v>51</v>
      </c>
      <c r="C486" s="80">
        <f>+VLOOKUP(A486,Clasificaciones!C:I,5,FALSE)</f>
        <v>0</v>
      </c>
      <c r="D486" s="80">
        <v>0</v>
      </c>
      <c r="E486" s="80">
        <v>0</v>
      </c>
      <c r="F486" s="80">
        <v>0</v>
      </c>
      <c r="G486" s="80">
        <f t="shared" si="151"/>
        <v>0</v>
      </c>
      <c r="H486" s="26">
        <v>0</v>
      </c>
      <c r="I486" s="26">
        <v>0</v>
      </c>
      <c r="J486" s="26">
        <f t="shared" ref="J486:J489" si="158">-G486</f>
        <v>0</v>
      </c>
      <c r="K486" s="26">
        <v>0</v>
      </c>
      <c r="L486" s="26">
        <v>0</v>
      </c>
      <c r="M486" s="26">
        <v>0</v>
      </c>
      <c r="N486" s="26">
        <v>0</v>
      </c>
      <c r="O486" s="26">
        <v>0</v>
      </c>
      <c r="P486" s="26">
        <v>0</v>
      </c>
      <c r="Q486" s="26">
        <v>0</v>
      </c>
      <c r="R486" s="26">
        <v>0</v>
      </c>
      <c r="S486" s="26">
        <v>0</v>
      </c>
      <c r="T486" s="26">
        <v>0</v>
      </c>
      <c r="U486" s="26">
        <v>0</v>
      </c>
      <c r="V486" s="26">
        <v>0</v>
      </c>
      <c r="W486" s="26">
        <v>0</v>
      </c>
      <c r="X486" s="26">
        <v>0</v>
      </c>
      <c r="Y486" s="26">
        <v>0</v>
      </c>
      <c r="Z486" s="26">
        <f t="shared" si="137"/>
        <v>0</v>
      </c>
      <c r="AA486" s="95"/>
      <c r="AB486" s="95"/>
      <c r="AC486" s="95"/>
      <c r="AD486" s="95"/>
      <c r="AE486" s="95"/>
      <c r="AF486" s="95"/>
      <c r="AG486" s="95"/>
      <c r="AH486" s="95"/>
      <c r="AI486" s="95"/>
      <c r="AJ486" s="95"/>
      <c r="AK486" s="95"/>
      <c r="AL486" s="95"/>
      <c r="AM486" s="95"/>
      <c r="AN486" s="96"/>
      <c r="AO486" s="96"/>
      <c r="AP486" s="96"/>
      <c r="AQ486" s="96"/>
      <c r="AR486" s="96"/>
      <c r="AS486" s="96"/>
      <c r="AT486" s="96"/>
      <c r="AU486" s="96"/>
      <c r="AV486" s="96"/>
      <c r="AW486" s="96"/>
      <c r="AX486" s="96"/>
      <c r="AY486" s="96"/>
      <c r="AZ486" s="96"/>
      <c r="BA486" s="96"/>
    </row>
    <row r="487" spans="1:53" s="97" customFormat="1" ht="12" customHeight="1">
      <c r="A487" s="8">
        <v>5130902</v>
      </c>
      <c r="B487" s="8" t="s">
        <v>827</v>
      </c>
      <c r="C487" s="80">
        <f>+VLOOKUP(A487,Clasificaciones!C:I,5,FALSE)</f>
        <v>22808838</v>
      </c>
      <c r="D487" s="80">
        <v>0</v>
      </c>
      <c r="E487" s="80">
        <v>0</v>
      </c>
      <c r="F487" s="80">
        <v>0</v>
      </c>
      <c r="G487" s="80">
        <f t="shared" si="151"/>
        <v>22808838</v>
      </c>
      <c r="H487" s="26">
        <v>0</v>
      </c>
      <c r="I487" s="26">
        <v>0</v>
      </c>
      <c r="J487" s="26"/>
      <c r="K487" s="26">
        <v>0</v>
      </c>
      <c r="L487" s="26">
        <f t="shared" ref="L487:L488" si="159">-G487</f>
        <v>-22808838</v>
      </c>
      <c r="M487" s="26">
        <v>0</v>
      </c>
      <c r="N487" s="26">
        <v>0</v>
      </c>
      <c r="O487" s="26">
        <v>0</v>
      </c>
      <c r="P487" s="26">
        <v>0</v>
      </c>
      <c r="Q487" s="26">
        <v>0</v>
      </c>
      <c r="R487" s="26">
        <v>0</v>
      </c>
      <c r="S487" s="26">
        <v>0</v>
      </c>
      <c r="T487" s="26">
        <v>0</v>
      </c>
      <c r="U487" s="26">
        <v>0</v>
      </c>
      <c r="V487" s="26">
        <v>0</v>
      </c>
      <c r="W487" s="26">
        <v>0</v>
      </c>
      <c r="X487" s="26">
        <v>0</v>
      </c>
      <c r="Y487" s="26">
        <v>0</v>
      </c>
      <c r="Z487" s="26">
        <f t="shared" si="137"/>
        <v>0</v>
      </c>
      <c r="AA487" s="95"/>
      <c r="AB487" s="95"/>
      <c r="AC487" s="95"/>
      <c r="AD487" s="95"/>
      <c r="AE487" s="95"/>
      <c r="AF487" s="95"/>
      <c r="AG487" s="95"/>
      <c r="AH487" s="95"/>
      <c r="AI487" s="95"/>
      <c r="AJ487" s="95"/>
      <c r="AK487" s="95"/>
      <c r="AL487" s="95"/>
      <c r="AM487" s="95"/>
      <c r="AN487" s="96"/>
      <c r="AO487" s="96"/>
      <c r="AP487" s="96"/>
      <c r="AQ487" s="96"/>
      <c r="AR487" s="96"/>
      <c r="AS487" s="96"/>
      <c r="AT487" s="96"/>
      <c r="AU487" s="96"/>
      <c r="AV487" s="96"/>
      <c r="AW487" s="96"/>
      <c r="AX487" s="96"/>
      <c r="AY487" s="96"/>
      <c r="AZ487" s="96"/>
      <c r="BA487" s="96"/>
    </row>
    <row r="488" spans="1:53" s="97" customFormat="1" ht="12" customHeight="1">
      <c r="A488" s="8">
        <v>5130904</v>
      </c>
      <c r="B488" s="8" t="s">
        <v>828</v>
      </c>
      <c r="C488" s="80">
        <f>+VLOOKUP(A488,Clasificaciones!C:I,5,FALSE)</f>
        <v>0</v>
      </c>
      <c r="D488" s="80">
        <v>0</v>
      </c>
      <c r="E488" s="80">
        <v>0</v>
      </c>
      <c r="F488" s="80">
        <v>0</v>
      </c>
      <c r="G488" s="80">
        <f t="shared" si="151"/>
        <v>0</v>
      </c>
      <c r="H488" s="26">
        <v>0</v>
      </c>
      <c r="I488" s="26">
        <v>0</v>
      </c>
      <c r="J488" s="26"/>
      <c r="K488" s="26">
        <v>0</v>
      </c>
      <c r="L488" s="26">
        <f t="shared" si="159"/>
        <v>0</v>
      </c>
      <c r="M488" s="26">
        <v>0</v>
      </c>
      <c r="N488" s="26">
        <v>0</v>
      </c>
      <c r="O488" s="26">
        <v>0</v>
      </c>
      <c r="P488" s="26">
        <v>0</v>
      </c>
      <c r="Q488" s="26">
        <v>0</v>
      </c>
      <c r="R488" s="26">
        <v>0</v>
      </c>
      <c r="S488" s="26">
        <v>0</v>
      </c>
      <c r="T488" s="26">
        <v>0</v>
      </c>
      <c r="U488" s="26">
        <v>0</v>
      </c>
      <c r="V488" s="26">
        <v>0</v>
      </c>
      <c r="W488" s="26">
        <v>0</v>
      </c>
      <c r="X488" s="26">
        <v>0</v>
      </c>
      <c r="Y488" s="26">
        <v>0</v>
      </c>
      <c r="Z488" s="26">
        <f t="shared" si="137"/>
        <v>0</v>
      </c>
      <c r="AA488" s="95"/>
      <c r="AB488" s="95"/>
      <c r="AC488" s="95"/>
      <c r="AD488" s="95"/>
      <c r="AE488" s="95"/>
      <c r="AF488" s="95"/>
      <c r="AG488" s="95"/>
      <c r="AH488" s="95"/>
      <c r="AI488" s="95"/>
      <c r="AJ488" s="95"/>
      <c r="AK488" s="95"/>
      <c r="AL488" s="95"/>
      <c r="AM488" s="95"/>
      <c r="AN488" s="96"/>
      <c r="AO488" s="96"/>
      <c r="AP488" s="96"/>
      <c r="AQ488" s="96"/>
      <c r="AR488" s="96"/>
      <c r="AS488" s="96"/>
      <c r="AT488" s="96"/>
      <c r="AU488" s="96"/>
      <c r="AV488" s="96"/>
      <c r="AW488" s="96"/>
      <c r="AX488" s="96"/>
      <c r="AY488" s="96"/>
      <c r="AZ488" s="96"/>
      <c r="BA488" s="96"/>
    </row>
    <row r="489" spans="1:53" s="97" customFormat="1" ht="12" customHeight="1">
      <c r="A489" s="8">
        <v>51310</v>
      </c>
      <c r="B489" s="8" t="s">
        <v>247</v>
      </c>
      <c r="C489" s="80">
        <f>+VLOOKUP(A489,Clasificaciones!C:I,5,FALSE)</f>
        <v>0</v>
      </c>
      <c r="D489" s="80">
        <v>0</v>
      </c>
      <c r="E489" s="80">
        <v>0</v>
      </c>
      <c r="F489" s="80">
        <v>0</v>
      </c>
      <c r="G489" s="80">
        <f t="shared" si="151"/>
        <v>0</v>
      </c>
      <c r="H489" s="26">
        <v>0</v>
      </c>
      <c r="I489" s="26">
        <v>0</v>
      </c>
      <c r="J489" s="26">
        <f t="shared" si="158"/>
        <v>0</v>
      </c>
      <c r="K489" s="26">
        <v>0</v>
      </c>
      <c r="L489" s="26">
        <v>0</v>
      </c>
      <c r="M489" s="26">
        <v>0</v>
      </c>
      <c r="N489" s="26">
        <v>0</v>
      </c>
      <c r="O489" s="26">
        <v>0</v>
      </c>
      <c r="P489" s="26">
        <v>0</v>
      </c>
      <c r="Q489" s="26">
        <v>0</v>
      </c>
      <c r="R489" s="26">
        <v>0</v>
      </c>
      <c r="S489" s="26">
        <v>0</v>
      </c>
      <c r="T489" s="26">
        <v>0</v>
      </c>
      <c r="U489" s="26">
        <v>0</v>
      </c>
      <c r="V489" s="26">
        <v>0</v>
      </c>
      <c r="W489" s="26">
        <v>0</v>
      </c>
      <c r="X489" s="26">
        <v>0</v>
      </c>
      <c r="Y489" s="26">
        <v>0</v>
      </c>
      <c r="Z489" s="26">
        <f t="shared" ref="Z489:Z523" si="160">SUM(G489:Y489)</f>
        <v>0</v>
      </c>
      <c r="AA489" s="95"/>
      <c r="AB489" s="95"/>
      <c r="AC489" s="95"/>
      <c r="AD489" s="95"/>
      <c r="AE489" s="95"/>
      <c r="AF489" s="95"/>
      <c r="AG489" s="95"/>
      <c r="AH489" s="95"/>
      <c r="AI489" s="95"/>
      <c r="AJ489" s="95"/>
      <c r="AK489" s="95"/>
      <c r="AL489" s="95"/>
      <c r="AM489" s="95"/>
      <c r="AN489" s="96"/>
      <c r="AO489" s="96"/>
      <c r="AP489" s="96"/>
      <c r="AQ489" s="96"/>
      <c r="AR489" s="96"/>
      <c r="AS489" s="96"/>
      <c r="AT489" s="96"/>
      <c r="AU489" s="96"/>
      <c r="AV489" s="96"/>
      <c r="AW489" s="96"/>
      <c r="AX489" s="96"/>
      <c r="AY489" s="96"/>
      <c r="AZ489" s="96"/>
      <c r="BA489" s="96"/>
    </row>
    <row r="490" spans="1:53" s="97" customFormat="1" ht="12" customHeight="1">
      <c r="A490" s="8">
        <v>5131001</v>
      </c>
      <c r="B490" s="8" t="s">
        <v>1101</v>
      </c>
      <c r="C490" s="80">
        <f>+VLOOKUP(A490,Clasificaciones!C:I,5,FALSE)</f>
        <v>7848438</v>
      </c>
      <c r="D490" s="80">
        <v>0</v>
      </c>
      <c r="E490" s="80">
        <v>0</v>
      </c>
      <c r="F490" s="80">
        <v>0</v>
      </c>
      <c r="G490" s="80">
        <f t="shared" si="151"/>
        <v>7848438</v>
      </c>
      <c r="H490" s="26">
        <v>0</v>
      </c>
      <c r="I490" s="26">
        <v>0</v>
      </c>
      <c r="J490" s="26">
        <v>0</v>
      </c>
      <c r="K490" s="26">
        <v>0</v>
      </c>
      <c r="L490" s="26">
        <f t="shared" ref="L490:L499" si="161">-G490</f>
        <v>-7848438</v>
      </c>
      <c r="M490" s="26">
        <v>0</v>
      </c>
      <c r="N490" s="26">
        <v>0</v>
      </c>
      <c r="O490" s="26">
        <v>0</v>
      </c>
      <c r="P490" s="26">
        <v>0</v>
      </c>
      <c r="Q490" s="26">
        <v>0</v>
      </c>
      <c r="R490" s="26">
        <v>0</v>
      </c>
      <c r="S490" s="26">
        <v>0</v>
      </c>
      <c r="T490" s="26">
        <v>0</v>
      </c>
      <c r="U490" s="26">
        <v>0</v>
      </c>
      <c r="V490" s="26">
        <v>0</v>
      </c>
      <c r="W490" s="26">
        <v>0</v>
      </c>
      <c r="X490" s="26">
        <v>0</v>
      </c>
      <c r="Y490" s="26">
        <v>0</v>
      </c>
      <c r="Z490" s="26">
        <f t="shared" si="160"/>
        <v>0</v>
      </c>
      <c r="AA490" s="95"/>
      <c r="AB490" s="95"/>
      <c r="AC490" s="95"/>
      <c r="AD490" s="95"/>
      <c r="AE490" s="95"/>
      <c r="AF490" s="95"/>
      <c r="AG490" s="95"/>
      <c r="AH490" s="95"/>
      <c r="AI490" s="95"/>
      <c r="AJ490" s="95"/>
      <c r="AK490" s="95"/>
      <c r="AL490" s="95"/>
      <c r="AM490" s="95"/>
      <c r="AN490" s="96"/>
      <c r="AO490" s="96"/>
      <c r="AP490" s="96"/>
      <c r="AQ490" s="96"/>
      <c r="AR490" s="96"/>
      <c r="AS490" s="96"/>
      <c r="AT490" s="96"/>
      <c r="AU490" s="96"/>
      <c r="AV490" s="96"/>
      <c r="AW490" s="96"/>
      <c r="AX490" s="96"/>
      <c r="AY490" s="96"/>
      <c r="AZ490" s="96"/>
      <c r="BA490" s="96"/>
    </row>
    <row r="491" spans="1:53" s="97" customFormat="1" ht="12" customHeight="1">
      <c r="A491" s="8">
        <v>5131002</v>
      </c>
      <c r="B491" s="8" t="s">
        <v>829</v>
      </c>
      <c r="C491" s="80">
        <f>+VLOOKUP(A491,Clasificaciones!C:I,5,FALSE)</f>
        <v>25905866</v>
      </c>
      <c r="D491" s="80">
        <v>0</v>
      </c>
      <c r="E491" s="80">
        <v>0</v>
      </c>
      <c r="F491" s="80">
        <v>0</v>
      </c>
      <c r="G491" s="80">
        <f t="shared" si="151"/>
        <v>25905866</v>
      </c>
      <c r="H491" s="26">
        <v>0</v>
      </c>
      <c r="I491" s="26">
        <v>0</v>
      </c>
      <c r="J491" s="26">
        <v>0</v>
      </c>
      <c r="K491" s="26">
        <v>0</v>
      </c>
      <c r="L491" s="26">
        <f t="shared" si="161"/>
        <v>-25905866</v>
      </c>
      <c r="M491" s="26">
        <v>0</v>
      </c>
      <c r="N491" s="26">
        <v>0</v>
      </c>
      <c r="O491" s="26">
        <v>0</v>
      </c>
      <c r="P491" s="26">
        <v>0</v>
      </c>
      <c r="Q491" s="26">
        <v>0</v>
      </c>
      <c r="R491" s="26">
        <v>0</v>
      </c>
      <c r="S491" s="26">
        <v>0</v>
      </c>
      <c r="T491" s="26">
        <v>0</v>
      </c>
      <c r="U491" s="26">
        <v>0</v>
      </c>
      <c r="V491" s="26">
        <v>0</v>
      </c>
      <c r="W491" s="26">
        <v>0</v>
      </c>
      <c r="X491" s="26">
        <v>0</v>
      </c>
      <c r="Y491" s="26">
        <v>0</v>
      </c>
      <c r="Z491" s="26">
        <f t="shared" si="160"/>
        <v>0</v>
      </c>
      <c r="AA491" s="95"/>
      <c r="AB491" s="95"/>
      <c r="AC491" s="95"/>
      <c r="AD491" s="95"/>
      <c r="AE491" s="95"/>
      <c r="AF491" s="95"/>
      <c r="AG491" s="95"/>
      <c r="AH491" s="95"/>
      <c r="AI491" s="95"/>
      <c r="AJ491" s="95"/>
      <c r="AK491" s="95"/>
      <c r="AL491" s="95"/>
      <c r="AM491" s="95"/>
      <c r="AN491" s="96"/>
      <c r="AO491" s="96"/>
      <c r="AP491" s="96"/>
      <c r="AQ491" s="96"/>
      <c r="AR491" s="96"/>
      <c r="AS491" s="96"/>
      <c r="AT491" s="96"/>
      <c r="AU491" s="96"/>
      <c r="AV491" s="96"/>
      <c r="AW491" s="96"/>
      <c r="AX491" s="96"/>
      <c r="AY491" s="96"/>
      <c r="AZ491" s="96"/>
      <c r="BA491" s="96"/>
    </row>
    <row r="492" spans="1:53" s="97" customFormat="1" ht="12" customHeight="1">
      <c r="A492" s="8">
        <v>5131005</v>
      </c>
      <c r="B492" s="8" t="s">
        <v>1104</v>
      </c>
      <c r="C492" s="80">
        <f>+VLOOKUP(A492,Clasificaciones!C:I,5,FALSE)</f>
        <v>299092</v>
      </c>
      <c r="D492" s="80">
        <v>0</v>
      </c>
      <c r="E492" s="80">
        <v>0</v>
      </c>
      <c r="F492" s="80">
        <v>0</v>
      </c>
      <c r="G492" s="80">
        <f t="shared" ref="G492" si="162">+C492-F492+D492-E492</f>
        <v>299092</v>
      </c>
      <c r="H492" s="26">
        <v>0</v>
      </c>
      <c r="I492" s="26">
        <v>0</v>
      </c>
      <c r="J492" s="26">
        <v>0</v>
      </c>
      <c r="K492" s="26">
        <v>0</v>
      </c>
      <c r="L492" s="26">
        <f t="shared" ref="L492" si="163">-G492</f>
        <v>-299092</v>
      </c>
      <c r="M492" s="26">
        <v>0</v>
      </c>
      <c r="N492" s="26">
        <v>0</v>
      </c>
      <c r="O492" s="26">
        <v>0</v>
      </c>
      <c r="P492" s="26">
        <v>0</v>
      </c>
      <c r="Q492" s="26">
        <v>0</v>
      </c>
      <c r="R492" s="26">
        <v>0</v>
      </c>
      <c r="S492" s="26">
        <v>0</v>
      </c>
      <c r="T492" s="26">
        <v>0</v>
      </c>
      <c r="U492" s="26">
        <v>0</v>
      </c>
      <c r="V492" s="26">
        <v>0</v>
      </c>
      <c r="W492" s="26">
        <v>0</v>
      </c>
      <c r="X492" s="26">
        <v>0</v>
      </c>
      <c r="Y492" s="26">
        <v>0</v>
      </c>
      <c r="Z492" s="26">
        <f t="shared" ref="Z492" si="164">SUM(G492:Y492)</f>
        <v>0</v>
      </c>
      <c r="AA492" s="95"/>
      <c r="AB492" s="95"/>
      <c r="AC492" s="95"/>
      <c r="AD492" s="95"/>
      <c r="AE492" s="95"/>
      <c r="AF492" s="95"/>
      <c r="AG492" s="95"/>
      <c r="AH492" s="95"/>
      <c r="AI492" s="95"/>
      <c r="AJ492" s="95"/>
      <c r="AK492" s="95"/>
      <c r="AL492" s="95"/>
      <c r="AM492" s="95"/>
      <c r="AN492" s="96"/>
      <c r="AO492" s="96"/>
      <c r="AP492" s="96"/>
      <c r="AQ492" s="96"/>
      <c r="AR492" s="96"/>
      <c r="AS492" s="96"/>
      <c r="AT492" s="96"/>
      <c r="AU492" s="96"/>
      <c r="AV492" s="96"/>
      <c r="AW492" s="96"/>
      <c r="AX492" s="96"/>
      <c r="AY492" s="96"/>
      <c r="AZ492" s="96"/>
      <c r="BA492" s="96"/>
    </row>
    <row r="493" spans="1:53" s="97" customFormat="1" ht="12" customHeight="1">
      <c r="A493" s="8">
        <v>5131006</v>
      </c>
      <c r="B493" s="8" t="s">
        <v>830</v>
      </c>
      <c r="C493" s="80">
        <f>+VLOOKUP(A493,Clasificaciones!C:I,5,FALSE)</f>
        <v>10330123</v>
      </c>
      <c r="D493" s="80">
        <v>0</v>
      </c>
      <c r="E493" s="80">
        <v>0</v>
      </c>
      <c r="F493" s="80">
        <v>0</v>
      </c>
      <c r="G493" s="80">
        <f t="shared" si="151"/>
        <v>10330123</v>
      </c>
      <c r="H493" s="26">
        <v>0</v>
      </c>
      <c r="I493" s="26">
        <v>0</v>
      </c>
      <c r="J493" s="26">
        <v>0</v>
      </c>
      <c r="K493" s="26">
        <v>0</v>
      </c>
      <c r="L493" s="26">
        <f t="shared" si="161"/>
        <v>-10330123</v>
      </c>
      <c r="M493" s="26">
        <v>0</v>
      </c>
      <c r="N493" s="26">
        <v>0</v>
      </c>
      <c r="O493" s="26">
        <v>0</v>
      </c>
      <c r="P493" s="26">
        <v>0</v>
      </c>
      <c r="Q493" s="26">
        <v>0</v>
      </c>
      <c r="R493" s="26">
        <v>0</v>
      </c>
      <c r="S493" s="26">
        <v>0</v>
      </c>
      <c r="T493" s="26">
        <v>0</v>
      </c>
      <c r="U493" s="26">
        <v>0</v>
      </c>
      <c r="V493" s="26">
        <v>0</v>
      </c>
      <c r="W493" s="26">
        <v>0</v>
      </c>
      <c r="X493" s="26">
        <v>0</v>
      </c>
      <c r="Y493" s="26">
        <v>0</v>
      </c>
      <c r="Z493" s="26">
        <f t="shared" si="160"/>
        <v>0</v>
      </c>
      <c r="AA493" s="95"/>
      <c r="AB493" s="95"/>
      <c r="AC493" s="95"/>
      <c r="AD493" s="95"/>
      <c r="AE493" s="95"/>
      <c r="AF493" s="95"/>
      <c r="AG493" s="95"/>
      <c r="AH493" s="95"/>
      <c r="AI493" s="95"/>
      <c r="AJ493" s="95"/>
      <c r="AK493" s="95"/>
      <c r="AL493" s="95"/>
      <c r="AM493" s="95"/>
      <c r="AN493" s="96"/>
      <c r="AO493" s="96"/>
      <c r="AP493" s="96"/>
      <c r="AQ493" s="96"/>
      <c r="AR493" s="96"/>
      <c r="AS493" s="96"/>
      <c r="AT493" s="96"/>
      <c r="AU493" s="96"/>
      <c r="AV493" s="96"/>
      <c r="AW493" s="96"/>
      <c r="AX493" s="96"/>
      <c r="AY493" s="96"/>
      <c r="AZ493" s="96"/>
      <c r="BA493" s="96"/>
    </row>
    <row r="494" spans="1:53" s="97" customFormat="1" ht="12" customHeight="1">
      <c r="A494" s="8">
        <v>5131007</v>
      </c>
      <c r="B494" s="8" t="s">
        <v>971</v>
      </c>
      <c r="C494" s="80">
        <f>+VLOOKUP(A494,Clasificaciones!C:I,5,FALSE)</f>
        <v>4478763</v>
      </c>
      <c r="D494" s="80">
        <v>0</v>
      </c>
      <c r="E494" s="80">
        <v>0</v>
      </c>
      <c r="F494" s="80">
        <v>0</v>
      </c>
      <c r="G494" s="80">
        <f t="shared" si="151"/>
        <v>4478763</v>
      </c>
      <c r="H494" s="26">
        <v>0</v>
      </c>
      <c r="I494" s="26">
        <v>0</v>
      </c>
      <c r="J494" s="26">
        <v>0</v>
      </c>
      <c r="K494" s="26">
        <v>0</v>
      </c>
      <c r="L494" s="26">
        <f t="shared" si="161"/>
        <v>-4478763</v>
      </c>
      <c r="M494" s="26">
        <v>0</v>
      </c>
      <c r="N494" s="26">
        <v>0</v>
      </c>
      <c r="O494" s="26">
        <v>0</v>
      </c>
      <c r="P494" s="26">
        <v>0</v>
      </c>
      <c r="Q494" s="26">
        <v>0</v>
      </c>
      <c r="R494" s="26">
        <v>0</v>
      </c>
      <c r="S494" s="26">
        <v>0</v>
      </c>
      <c r="T494" s="26">
        <v>0</v>
      </c>
      <c r="U494" s="26">
        <v>0</v>
      </c>
      <c r="V494" s="26">
        <v>0</v>
      </c>
      <c r="W494" s="26">
        <v>0</v>
      </c>
      <c r="X494" s="26">
        <v>0</v>
      </c>
      <c r="Y494" s="26">
        <v>0</v>
      </c>
      <c r="Z494" s="26">
        <f t="shared" si="160"/>
        <v>0</v>
      </c>
      <c r="AA494" s="95"/>
      <c r="AB494" s="95"/>
      <c r="AC494" s="95"/>
      <c r="AD494" s="95"/>
      <c r="AE494" s="95"/>
      <c r="AF494" s="95"/>
      <c r="AG494" s="95"/>
      <c r="AH494" s="95"/>
      <c r="AI494" s="95"/>
      <c r="AJ494" s="95"/>
      <c r="AK494" s="95"/>
      <c r="AL494" s="95"/>
      <c r="AM494" s="95"/>
      <c r="AN494" s="96"/>
      <c r="AO494" s="96"/>
      <c r="AP494" s="96"/>
      <c r="AQ494" s="96"/>
      <c r="AR494" s="96"/>
      <c r="AS494" s="96"/>
      <c r="AT494" s="96"/>
      <c r="AU494" s="96"/>
      <c r="AV494" s="96"/>
      <c r="AW494" s="96"/>
      <c r="AX494" s="96"/>
      <c r="AY494" s="96"/>
      <c r="AZ494" s="96"/>
      <c r="BA494" s="96"/>
    </row>
    <row r="495" spans="1:53" s="97" customFormat="1" ht="12" customHeight="1">
      <c r="A495" s="8">
        <v>5131008</v>
      </c>
      <c r="B495" s="8" t="s">
        <v>1105</v>
      </c>
      <c r="C495" s="80">
        <f>+VLOOKUP(A495,Clasificaciones!C:I,5,FALSE)</f>
        <v>2769000</v>
      </c>
      <c r="D495" s="80">
        <v>0</v>
      </c>
      <c r="E495" s="80">
        <v>0</v>
      </c>
      <c r="F495" s="80">
        <v>0</v>
      </c>
      <c r="G495" s="80">
        <f t="shared" si="151"/>
        <v>2769000</v>
      </c>
      <c r="H495" s="26">
        <v>0</v>
      </c>
      <c r="I495" s="26">
        <v>0</v>
      </c>
      <c r="J495" s="26">
        <v>0</v>
      </c>
      <c r="K495" s="26">
        <v>0</v>
      </c>
      <c r="L495" s="26">
        <f t="shared" si="161"/>
        <v>-2769000</v>
      </c>
      <c r="M495" s="26">
        <v>0</v>
      </c>
      <c r="N495" s="26">
        <v>0</v>
      </c>
      <c r="O495" s="26">
        <v>0</v>
      </c>
      <c r="P495" s="26">
        <v>0</v>
      </c>
      <c r="Q495" s="26">
        <v>0</v>
      </c>
      <c r="R495" s="26">
        <v>0</v>
      </c>
      <c r="S495" s="26">
        <v>0</v>
      </c>
      <c r="T495" s="26">
        <v>0</v>
      </c>
      <c r="U495" s="26">
        <v>0</v>
      </c>
      <c r="V495" s="26">
        <v>0</v>
      </c>
      <c r="W495" s="26">
        <v>0</v>
      </c>
      <c r="X495" s="26">
        <v>0</v>
      </c>
      <c r="Y495" s="26">
        <v>0</v>
      </c>
      <c r="Z495" s="26">
        <f t="shared" si="160"/>
        <v>0</v>
      </c>
      <c r="AA495" s="95"/>
      <c r="AB495" s="95"/>
      <c r="AC495" s="95"/>
      <c r="AD495" s="95"/>
      <c r="AE495" s="95"/>
      <c r="AF495" s="95"/>
      <c r="AG495" s="95"/>
      <c r="AH495" s="95"/>
      <c r="AI495" s="95"/>
      <c r="AJ495" s="95"/>
      <c r="AK495" s="95"/>
      <c r="AL495" s="95"/>
      <c r="AM495" s="95"/>
      <c r="AN495" s="96"/>
      <c r="AO495" s="96"/>
      <c r="AP495" s="96"/>
      <c r="AQ495" s="96"/>
      <c r="AR495" s="96"/>
      <c r="AS495" s="96"/>
      <c r="AT495" s="96"/>
      <c r="AU495" s="96"/>
      <c r="AV495" s="96"/>
      <c r="AW495" s="96"/>
      <c r="AX495" s="96"/>
      <c r="AY495" s="96"/>
      <c r="AZ495" s="96"/>
      <c r="BA495" s="96"/>
    </row>
    <row r="496" spans="1:53" s="97" customFormat="1" ht="12" customHeight="1">
      <c r="A496" s="8">
        <v>5131010</v>
      </c>
      <c r="B496" s="8" t="s">
        <v>179</v>
      </c>
      <c r="C496" s="80">
        <f>+VLOOKUP(A496,Clasificaciones!C:I,5,FALSE)</f>
        <v>34589688</v>
      </c>
      <c r="D496" s="80">
        <v>0</v>
      </c>
      <c r="E496" s="80">
        <v>0</v>
      </c>
      <c r="F496" s="80">
        <v>0</v>
      </c>
      <c r="G496" s="80">
        <f t="shared" si="151"/>
        <v>34589688</v>
      </c>
      <c r="H496" s="26">
        <v>0</v>
      </c>
      <c r="I496" s="26">
        <v>0</v>
      </c>
      <c r="J496" s="26">
        <v>0</v>
      </c>
      <c r="K496" s="26">
        <v>0</v>
      </c>
      <c r="L496" s="26">
        <f t="shared" si="161"/>
        <v>-34589688</v>
      </c>
      <c r="M496" s="26">
        <v>0</v>
      </c>
      <c r="N496" s="26">
        <v>0</v>
      </c>
      <c r="O496" s="26">
        <v>0</v>
      </c>
      <c r="P496" s="26">
        <v>0</v>
      </c>
      <c r="Q496" s="26">
        <v>0</v>
      </c>
      <c r="R496" s="26">
        <v>0</v>
      </c>
      <c r="S496" s="26">
        <v>0</v>
      </c>
      <c r="T496" s="26">
        <v>0</v>
      </c>
      <c r="U496" s="26">
        <v>0</v>
      </c>
      <c r="V496" s="26">
        <v>0</v>
      </c>
      <c r="W496" s="26">
        <v>0</v>
      </c>
      <c r="X496" s="26">
        <v>0</v>
      </c>
      <c r="Y496" s="26">
        <v>0</v>
      </c>
      <c r="Z496" s="26">
        <f t="shared" si="160"/>
        <v>0</v>
      </c>
      <c r="AA496" s="95"/>
      <c r="AB496" s="95"/>
      <c r="AC496" s="95"/>
      <c r="AD496" s="95"/>
      <c r="AE496" s="95"/>
      <c r="AF496" s="95"/>
      <c r="AG496" s="95"/>
      <c r="AH496" s="95"/>
      <c r="AI496" s="95"/>
      <c r="AJ496" s="95"/>
      <c r="AK496" s="95"/>
      <c r="AL496" s="95"/>
      <c r="AM496" s="95"/>
      <c r="AN496" s="96"/>
      <c r="AO496" s="96"/>
      <c r="AP496" s="96"/>
      <c r="AQ496" s="96"/>
      <c r="AR496" s="96"/>
      <c r="AS496" s="96"/>
      <c r="AT496" s="96"/>
      <c r="AU496" s="96"/>
      <c r="AV496" s="96"/>
      <c r="AW496" s="96"/>
      <c r="AX496" s="96"/>
      <c r="AY496" s="96"/>
      <c r="AZ496" s="96"/>
      <c r="BA496" s="96"/>
    </row>
    <row r="497" spans="1:53" s="97" customFormat="1" ht="12" customHeight="1">
      <c r="A497" s="8">
        <v>5131012</v>
      </c>
      <c r="B497" s="8" t="s">
        <v>831</v>
      </c>
      <c r="C497" s="80">
        <f>+VLOOKUP(A497,Clasificaciones!C:I,5,FALSE)</f>
        <v>3061819</v>
      </c>
      <c r="D497" s="80">
        <v>0</v>
      </c>
      <c r="E497" s="80">
        <v>0</v>
      </c>
      <c r="F497" s="80">
        <v>0</v>
      </c>
      <c r="G497" s="80">
        <f t="shared" si="151"/>
        <v>3061819</v>
      </c>
      <c r="H497" s="26">
        <v>0</v>
      </c>
      <c r="I497" s="26">
        <v>0</v>
      </c>
      <c r="J497" s="26">
        <v>0</v>
      </c>
      <c r="K497" s="26">
        <v>0</v>
      </c>
      <c r="L497" s="26">
        <f t="shared" si="161"/>
        <v>-3061819</v>
      </c>
      <c r="M497" s="26">
        <v>0</v>
      </c>
      <c r="N497" s="26">
        <v>0</v>
      </c>
      <c r="O497" s="26">
        <v>0</v>
      </c>
      <c r="P497" s="26">
        <v>0</v>
      </c>
      <c r="Q497" s="26">
        <v>0</v>
      </c>
      <c r="R497" s="26">
        <v>0</v>
      </c>
      <c r="S497" s="26">
        <v>0</v>
      </c>
      <c r="T497" s="26">
        <v>0</v>
      </c>
      <c r="U497" s="26">
        <v>0</v>
      </c>
      <c r="V497" s="26">
        <v>0</v>
      </c>
      <c r="W497" s="26">
        <v>0</v>
      </c>
      <c r="X497" s="26">
        <v>0</v>
      </c>
      <c r="Y497" s="26">
        <v>0</v>
      </c>
      <c r="Z497" s="26">
        <f t="shared" si="160"/>
        <v>0</v>
      </c>
      <c r="AA497" s="95"/>
      <c r="AB497" s="95"/>
      <c r="AC497" s="95"/>
      <c r="AD497" s="95"/>
      <c r="AE497" s="95"/>
      <c r="AF497" s="95"/>
      <c r="AG497" s="95"/>
      <c r="AH497" s="95"/>
      <c r="AI497" s="95"/>
      <c r="AJ497" s="95"/>
      <c r="AK497" s="95"/>
      <c r="AL497" s="95"/>
      <c r="AM497" s="95"/>
      <c r="AN497" s="96"/>
      <c r="AO497" s="96"/>
      <c r="AP497" s="96"/>
      <c r="AQ497" s="96"/>
      <c r="AR497" s="96"/>
      <c r="AS497" s="96"/>
      <c r="AT497" s="96"/>
      <c r="AU497" s="96"/>
      <c r="AV497" s="96"/>
      <c r="AW497" s="96"/>
      <c r="AX497" s="96"/>
      <c r="AY497" s="96"/>
      <c r="AZ497" s="96"/>
      <c r="BA497" s="96"/>
    </row>
    <row r="498" spans="1:53" s="97" customFormat="1" ht="12" customHeight="1">
      <c r="A498" s="8">
        <v>5131014</v>
      </c>
      <c r="B498" s="8" t="s">
        <v>832</v>
      </c>
      <c r="C498" s="80">
        <f>+VLOOKUP(A498,Clasificaciones!C:I,5,FALSE)</f>
        <v>8900741</v>
      </c>
      <c r="D498" s="80">
        <v>0</v>
      </c>
      <c r="E498" s="80">
        <v>0</v>
      </c>
      <c r="F498" s="80">
        <v>0</v>
      </c>
      <c r="G498" s="80">
        <f t="shared" si="151"/>
        <v>8900741</v>
      </c>
      <c r="H498" s="26">
        <v>0</v>
      </c>
      <c r="I498" s="26">
        <v>0</v>
      </c>
      <c r="J498" s="26">
        <v>0</v>
      </c>
      <c r="K498" s="26">
        <v>0</v>
      </c>
      <c r="L498" s="26">
        <f t="shared" si="161"/>
        <v>-8900741</v>
      </c>
      <c r="M498" s="26">
        <v>0</v>
      </c>
      <c r="N498" s="26">
        <v>0</v>
      </c>
      <c r="O498" s="26">
        <v>0</v>
      </c>
      <c r="P498" s="26">
        <v>0</v>
      </c>
      <c r="Q498" s="26">
        <v>0</v>
      </c>
      <c r="R498" s="26">
        <v>0</v>
      </c>
      <c r="S498" s="26">
        <v>0</v>
      </c>
      <c r="T498" s="26">
        <v>0</v>
      </c>
      <c r="U498" s="26">
        <v>0</v>
      </c>
      <c r="V498" s="26">
        <v>0</v>
      </c>
      <c r="W498" s="26">
        <v>0</v>
      </c>
      <c r="X498" s="26">
        <v>0</v>
      </c>
      <c r="Y498" s="26">
        <v>0</v>
      </c>
      <c r="Z498" s="26">
        <f t="shared" si="160"/>
        <v>0</v>
      </c>
      <c r="AA498" s="95"/>
      <c r="AB498" s="95"/>
      <c r="AC498" s="95"/>
      <c r="AD498" s="95"/>
      <c r="AE498" s="95"/>
      <c r="AF498" s="95"/>
      <c r="AG498" s="95"/>
      <c r="AH498" s="95"/>
      <c r="AI498" s="95"/>
      <c r="AJ498" s="95"/>
      <c r="AK498" s="95"/>
      <c r="AL498" s="95"/>
      <c r="AM498" s="95"/>
      <c r="AN498" s="96"/>
      <c r="AO498" s="96"/>
      <c r="AP498" s="96"/>
      <c r="AQ498" s="96"/>
      <c r="AR498" s="96"/>
      <c r="AS498" s="96"/>
      <c r="AT498" s="96"/>
      <c r="AU498" s="96"/>
      <c r="AV498" s="96"/>
      <c r="AW498" s="96"/>
      <c r="AX498" s="96"/>
      <c r="AY498" s="96"/>
      <c r="AZ498" s="96"/>
      <c r="BA498" s="96"/>
    </row>
    <row r="499" spans="1:53" s="97" customFormat="1" ht="12" customHeight="1">
      <c r="A499" s="8">
        <v>5131015</v>
      </c>
      <c r="B499" s="8" t="s">
        <v>236</v>
      </c>
      <c r="C499" s="80">
        <f>+VLOOKUP(A499,Clasificaciones!C:I,5,FALSE)</f>
        <v>17719364</v>
      </c>
      <c r="D499" s="80">
        <v>0</v>
      </c>
      <c r="E499" s="80">
        <v>0</v>
      </c>
      <c r="F499" s="80">
        <v>0</v>
      </c>
      <c r="G499" s="80">
        <f t="shared" si="151"/>
        <v>17719364</v>
      </c>
      <c r="H499" s="26">
        <v>0</v>
      </c>
      <c r="I499" s="26">
        <v>0</v>
      </c>
      <c r="J499" s="26">
        <v>0</v>
      </c>
      <c r="K499" s="26">
        <v>0</v>
      </c>
      <c r="L499" s="26">
        <f t="shared" si="161"/>
        <v>-17719364</v>
      </c>
      <c r="M499" s="26">
        <v>0</v>
      </c>
      <c r="N499" s="26">
        <v>0</v>
      </c>
      <c r="O499" s="26">
        <v>0</v>
      </c>
      <c r="P499" s="26">
        <v>0</v>
      </c>
      <c r="Q499" s="26">
        <v>0</v>
      </c>
      <c r="R499" s="26">
        <v>0</v>
      </c>
      <c r="S499" s="26">
        <v>0</v>
      </c>
      <c r="T499" s="26">
        <v>0</v>
      </c>
      <c r="U499" s="26">
        <v>0</v>
      </c>
      <c r="V499" s="26">
        <v>0</v>
      </c>
      <c r="W499" s="26">
        <v>0</v>
      </c>
      <c r="X499" s="26">
        <v>0</v>
      </c>
      <c r="Y499" s="26">
        <v>0</v>
      </c>
      <c r="Z499" s="26">
        <f t="shared" si="160"/>
        <v>0</v>
      </c>
      <c r="AA499" s="95"/>
      <c r="AB499" s="95"/>
      <c r="AC499" s="95"/>
      <c r="AD499" s="95"/>
      <c r="AE499" s="95"/>
      <c r="AF499" s="95"/>
      <c r="AG499" s="95"/>
      <c r="AH499" s="95"/>
      <c r="AI499" s="95"/>
      <c r="AJ499" s="95"/>
      <c r="AK499" s="95"/>
      <c r="AL499" s="95"/>
      <c r="AM499" s="95"/>
      <c r="AN499" s="96"/>
      <c r="AO499" s="96"/>
      <c r="AP499" s="96"/>
      <c r="AQ499" s="96"/>
      <c r="AR499" s="96"/>
      <c r="AS499" s="96"/>
      <c r="AT499" s="96"/>
      <c r="AU499" s="96"/>
      <c r="AV499" s="96"/>
      <c r="AW499" s="96"/>
      <c r="AX499" s="96"/>
      <c r="AY499" s="96"/>
      <c r="AZ499" s="96"/>
      <c r="BA499" s="96"/>
    </row>
    <row r="500" spans="1:53" s="97" customFormat="1" ht="12" customHeight="1">
      <c r="A500" s="8">
        <v>5131016</v>
      </c>
      <c r="B500" s="8" t="s">
        <v>238</v>
      </c>
      <c r="C500" s="80">
        <f>+VLOOKUP(A500,Clasificaciones!C:I,5,FALSE)</f>
        <v>600000</v>
      </c>
      <c r="D500" s="80">
        <v>0</v>
      </c>
      <c r="E500" s="80">
        <v>0</v>
      </c>
      <c r="F500" s="80">
        <v>0</v>
      </c>
      <c r="G500" s="80">
        <f t="shared" si="151"/>
        <v>600000</v>
      </c>
      <c r="H500" s="26">
        <v>0</v>
      </c>
      <c r="I500" s="26">
        <v>0</v>
      </c>
      <c r="J500" s="26"/>
      <c r="K500" s="26">
        <v>0</v>
      </c>
      <c r="L500" s="26">
        <f t="shared" ref="L500:L505" si="165">-G500</f>
        <v>-600000</v>
      </c>
      <c r="M500" s="26">
        <v>0</v>
      </c>
      <c r="N500" s="26">
        <v>0</v>
      </c>
      <c r="O500" s="26">
        <v>0</v>
      </c>
      <c r="P500" s="26">
        <v>0</v>
      </c>
      <c r="Q500" s="26">
        <v>0</v>
      </c>
      <c r="R500" s="26">
        <v>0</v>
      </c>
      <c r="S500" s="26">
        <v>0</v>
      </c>
      <c r="T500" s="26">
        <v>0</v>
      </c>
      <c r="U500" s="26">
        <v>0</v>
      </c>
      <c r="V500" s="26">
        <v>0</v>
      </c>
      <c r="W500" s="26">
        <v>0</v>
      </c>
      <c r="X500" s="26">
        <v>0</v>
      </c>
      <c r="Y500" s="26">
        <v>0</v>
      </c>
      <c r="Z500" s="26">
        <f t="shared" si="160"/>
        <v>0</v>
      </c>
      <c r="AA500" s="95"/>
      <c r="AB500" s="95"/>
      <c r="AC500" s="95"/>
      <c r="AD500" s="95"/>
      <c r="AE500" s="95"/>
      <c r="AF500" s="95"/>
      <c r="AG500" s="95"/>
      <c r="AH500" s="95"/>
      <c r="AI500" s="95"/>
      <c r="AJ500" s="95"/>
      <c r="AK500" s="95"/>
      <c r="AL500" s="95"/>
      <c r="AM500" s="95"/>
      <c r="AN500" s="96"/>
      <c r="AO500" s="96"/>
      <c r="AP500" s="96"/>
      <c r="AQ500" s="96"/>
      <c r="AR500" s="96"/>
      <c r="AS500" s="96"/>
      <c r="AT500" s="96"/>
      <c r="AU500" s="96"/>
      <c r="AV500" s="96"/>
      <c r="AW500" s="96"/>
      <c r="AX500" s="96"/>
      <c r="AY500" s="96"/>
      <c r="AZ500" s="96"/>
      <c r="BA500" s="96"/>
    </row>
    <row r="501" spans="1:53" s="97" customFormat="1" ht="12" customHeight="1">
      <c r="A501" s="8">
        <v>5131018</v>
      </c>
      <c r="B501" s="8" t="s">
        <v>833</v>
      </c>
      <c r="C501" s="80">
        <f>+VLOOKUP(A501,Clasificaciones!C:I,5,FALSE)</f>
        <v>2500000</v>
      </c>
      <c r="D501" s="80">
        <v>0</v>
      </c>
      <c r="E501" s="80">
        <v>0</v>
      </c>
      <c r="F501" s="80">
        <v>0</v>
      </c>
      <c r="G501" s="80">
        <f t="shared" si="151"/>
        <v>2500000</v>
      </c>
      <c r="H501" s="26">
        <v>0</v>
      </c>
      <c r="I501" s="26">
        <v>0</v>
      </c>
      <c r="J501" s="26">
        <v>0</v>
      </c>
      <c r="K501" s="26">
        <v>0</v>
      </c>
      <c r="L501" s="26">
        <f t="shared" si="165"/>
        <v>-2500000</v>
      </c>
      <c r="M501" s="26">
        <v>0</v>
      </c>
      <c r="N501" s="26">
        <v>0</v>
      </c>
      <c r="O501" s="26">
        <v>0</v>
      </c>
      <c r="P501" s="26">
        <v>0</v>
      </c>
      <c r="Q501" s="26">
        <v>0</v>
      </c>
      <c r="R501" s="26">
        <v>0</v>
      </c>
      <c r="S501" s="26">
        <v>0</v>
      </c>
      <c r="T501" s="26">
        <v>0</v>
      </c>
      <c r="U501" s="26">
        <v>0</v>
      </c>
      <c r="V501" s="26">
        <v>0</v>
      </c>
      <c r="W501" s="26">
        <v>0</v>
      </c>
      <c r="X501" s="26">
        <v>0</v>
      </c>
      <c r="Y501" s="26">
        <v>0</v>
      </c>
      <c r="Z501" s="26">
        <f t="shared" si="160"/>
        <v>0</v>
      </c>
      <c r="AA501" s="95"/>
      <c r="AB501" s="95"/>
      <c r="AC501" s="95"/>
      <c r="AD501" s="95"/>
      <c r="AE501" s="95"/>
      <c r="AF501" s="95"/>
      <c r="AG501" s="95"/>
      <c r="AH501" s="95"/>
      <c r="AI501" s="95"/>
      <c r="AJ501" s="95"/>
      <c r="AK501" s="95"/>
      <c r="AL501" s="95"/>
      <c r="AM501" s="95"/>
      <c r="AN501" s="96"/>
      <c r="AO501" s="96"/>
      <c r="AP501" s="96"/>
      <c r="AQ501" s="96"/>
      <c r="AR501" s="96"/>
      <c r="AS501" s="96"/>
      <c r="AT501" s="96"/>
      <c r="AU501" s="96"/>
      <c r="AV501" s="96"/>
      <c r="AW501" s="96"/>
      <c r="AX501" s="96"/>
      <c r="AY501" s="96"/>
      <c r="AZ501" s="96"/>
      <c r="BA501" s="96"/>
    </row>
    <row r="502" spans="1:53" s="97" customFormat="1" ht="12" customHeight="1">
      <c r="A502" s="8">
        <v>5131019</v>
      </c>
      <c r="B502" s="8" t="s">
        <v>398</v>
      </c>
      <c r="C502" s="80">
        <f>+VLOOKUP(A502,Clasificaciones!C:I,5,FALSE)</f>
        <v>0</v>
      </c>
      <c r="D502" s="80">
        <v>0</v>
      </c>
      <c r="E502" s="80">
        <v>0</v>
      </c>
      <c r="F502" s="80">
        <v>0</v>
      </c>
      <c r="G502" s="80">
        <f t="shared" si="151"/>
        <v>0</v>
      </c>
      <c r="H502" s="26">
        <v>0</v>
      </c>
      <c r="I502" s="26">
        <v>0</v>
      </c>
      <c r="J502" s="26"/>
      <c r="K502" s="26">
        <v>0</v>
      </c>
      <c r="L502" s="26">
        <f t="shared" si="165"/>
        <v>0</v>
      </c>
      <c r="M502" s="26">
        <v>0</v>
      </c>
      <c r="N502" s="26">
        <v>0</v>
      </c>
      <c r="O502" s="26">
        <v>0</v>
      </c>
      <c r="P502" s="26">
        <v>0</v>
      </c>
      <c r="Q502" s="26">
        <v>0</v>
      </c>
      <c r="R502" s="26">
        <v>0</v>
      </c>
      <c r="S502" s="26">
        <v>0</v>
      </c>
      <c r="T502" s="26">
        <v>0</v>
      </c>
      <c r="U502" s="26">
        <v>0</v>
      </c>
      <c r="V502" s="26">
        <v>0</v>
      </c>
      <c r="W502" s="26">
        <v>0</v>
      </c>
      <c r="X502" s="26">
        <v>0</v>
      </c>
      <c r="Y502" s="26">
        <v>0</v>
      </c>
      <c r="Z502" s="26">
        <f t="shared" si="160"/>
        <v>0</v>
      </c>
      <c r="AA502" s="95"/>
      <c r="AB502" s="95"/>
      <c r="AC502" s="95"/>
      <c r="AD502" s="95"/>
      <c r="AE502" s="95"/>
      <c r="AF502" s="95"/>
      <c r="AG502" s="95"/>
      <c r="AH502" s="95"/>
      <c r="AI502" s="95"/>
      <c r="AJ502" s="95"/>
      <c r="AK502" s="95"/>
      <c r="AL502" s="95"/>
      <c r="AM502" s="95"/>
      <c r="AN502" s="96"/>
      <c r="AO502" s="96"/>
      <c r="AP502" s="96"/>
      <c r="AQ502" s="96"/>
      <c r="AR502" s="96"/>
      <c r="AS502" s="96"/>
      <c r="AT502" s="96"/>
      <c r="AU502" s="96"/>
      <c r="AV502" s="96"/>
      <c r="AW502" s="96"/>
      <c r="AX502" s="96"/>
      <c r="AY502" s="96"/>
      <c r="AZ502" s="96"/>
      <c r="BA502" s="96"/>
    </row>
    <row r="503" spans="1:53" s="97" customFormat="1" ht="12" customHeight="1">
      <c r="A503" s="8">
        <v>5131020</v>
      </c>
      <c r="B503" s="8" t="s">
        <v>1242</v>
      </c>
      <c r="C503" s="80">
        <f>+VLOOKUP(A503,Clasificaciones!C:I,5,FALSE)</f>
        <v>0</v>
      </c>
      <c r="D503" s="80">
        <v>0</v>
      </c>
      <c r="E503" s="788">
        <f>+C503</f>
        <v>0</v>
      </c>
      <c r="F503" s="80">
        <v>0</v>
      </c>
      <c r="G503" s="80">
        <f t="shared" si="151"/>
        <v>0</v>
      </c>
      <c r="H503" s="26">
        <v>0</v>
      </c>
      <c r="I503" s="26">
        <v>0</v>
      </c>
      <c r="J503" s="26">
        <f>-G503</f>
        <v>0</v>
      </c>
      <c r="K503" s="26">
        <v>0</v>
      </c>
      <c r="L503" s="26">
        <f t="shared" si="165"/>
        <v>0</v>
      </c>
      <c r="M503" s="26">
        <v>0</v>
      </c>
      <c r="N503" s="26">
        <v>0</v>
      </c>
      <c r="O503" s="26">
        <v>0</v>
      </c>
      <c r="P503" s="26">
        <v>0</v>
      </c>
      <c r="Q503" s="26">
        <v>0</v>
      </c>
      <c r="R503" s="26">
        <v>0</v>
      </c>
      <c r="S503" s="26">
        <v>0</v>
      </c>
      <c r="T503" s="26">
        <v>0</v>
      </c>
      <c r="U503" s="26">
        <v>0</v>
      </c>
      <c r="V503" s="26">
        <v>0</v>
      </c>
      <c r="W503" s="26">
        <v>0</v>
      </c>
      <c r="X503" s="26">
        <v>0</v>
      </c>
      <c r="Y503" s="26">
        <v>0</v>
      </c>
      <c r="Z503" s="26">
        <f t="shared" si="160"/>
        <v>0</v>
      </c>
      <c r="AA503" s="95"/>
      <c r="AB503" s="95"/>
      <c r="AC503" s="95"/>
      <c r="AD503" s="95"/>
      <c r="AE503" s="95"/>
      <c r="AF503" s="95"/>
      <c r="AG503" s="95"/>
      <c r="AH503" s="95"/>
      <c r="AI503" s="95"/>
      <c r="AJ503" s="95"/>
      <c r="AK503" s="95"/>
      <c r="AL503" s="95"/>
      <c r="AM503" s="95"/>
      <c r="AN503" s="96"/>
      <c r="AO503" s="96"/>
      <c r="AP503" s="96"/>
      <c r="AQ503" s="96"/>
      <c r="AR503" s="96"/>
      <c r="AS503" s="96"/>
      <c r="AT503" s="96"/>
      <c r="AU503" s="96"/>
      <c r="AV503" s="96"/>
      <c r="AW503" s="96"/>
      <c r="AX503" s="96"/>
      <c r="AY503" s="96"/>
      <c r="AZ503" s="96"/>
      <c r="BA503" s="96"/>
    </row>
    <row r="504" spans="1:53" s="97" customFormat="1" ht="12" customHeight="1">
      <c r="A504" s="8">
        <v>5131021</v>
      </c>
      <c r="B504" s="8" t="s">
        <v>1266</v>
      </c>
      <c r="C504" s="80">
        <f>+VLOOKUP(A504,Clasificaciones!C:I,5,FALSE)</f>
        <v>833340</v>
      </c>
      <c r="D504" s="80">
        <v>0</v>
      </c>
      <c r="E504" s="788">
        <f>+C504</f>
        <v>833340</v>
      </c>
      <c r="F504" s="80">
        <v>0</v>
      </c>
      <c r="G504" s="80">
        <f t="shared" ref="G504" si="166">+C504-F504+D504-E504</f>
        <v>0</v>
      </c>
      <c r="H504" s="26">
        <v>0</v>
      </c>
      <c r="I504" s="26">
        <v>0</v>
      </c>
      <c r="J504" s="26">
        <f>-G504</f>
        <v>0</v>
      </c>
      <c r="K504" s="26">
        <v>0</v>
      </c>
      <c r="L504" s="26">
        <f t="shared" si="165"/>
        <v>0</v>
      </c>
      <c r="M504" s="26">
        <v>0</v>
      </c>
      <c r="N504" s="26">
        <v>0</v>
      </c>
      <c r="O504" s="26">
        <v>0</v>
      </c>
      <c r="P504" s="26">
        <v>0</v>
      </c>
      <c r="Q504" s="26">
        <v>0</v>
      </c>
      <c r="R504" s="26">
        <v>0</v>
      </c>
      <c r="S504" s="26">
        <v>0</v>
      </c>
      <c r="T504" s="26">
        <v>0</v>
      </c>
      <c r="U504" s="26">
        <v>0</v>
      </c>
      <c r="V504" s="26">
        <v>0</v>
      </c>
      <c r="W504" s="26">
        <v>0</v>
      </c>
      <c r="X504" s="26">
        <v>0</v>
      </c>
      <c r="Y504" s="26">
        <v>0</v>
      </c>
      <c r="Z504" s="26">
        <f t="shared" si="160"/>
        <v>0</v>
      </c>
      <c r="AA504" s="95"/>
      <c r="AB504" s="95"/>
      <c r="AC504" s="95"/>
      <c r="AD504" s="95"/>
      <c r="AE504" s="95"/>
      <c r="AF504" s="95"/>
      <c r="AG504" s="95"/>
      <c r="AH504" s="95"/>
      <c r="AI504" s="95"/>
      <c r="AJ504" s="95"/>
      <c r="AK504" s="95"/>
      <c r="AL504" s="95"/>
      <c r="AM504" s="95"/>
      <c r="AN504" s="96"/>
      <c r="AO504" s="96"/>
      <c r="AP504" s="96"/>
      <c r="AQ504" s="96"/>
      <c r="AR504" s="96"/>
      <c r="AS504" s="96"/>
      <c r="AT504" s="96"/>
      <c r="AU504" s="96"/>
      <c r="AV504" s="96"/>
      <c r="AW504" s="96"/>
      <c r="AX504" s="96"/>
      <c r="AY504" s="96"/>
      <c r="AZ504" s="96"/>
      <c r="BA504" s="96"/>
    </row>
    <row r="505" spans="1:53" s="97" customFormat="1" ht="12" customHeight="1">
      <c r="A505" s="8">
        <v>5131099</v>
      </c>
      <c r="B505" s="8" t="s">
        <v>1109</v>
      </c>
      <c r="C505" s="80">
        <f>+VLOOKUP(A505,Clasificaciones!C:I,5,FALSE)</f>
        <v>4618081</v>
      </c>
      <c r="D505" s="80">
        <v>0</v>
      </c>
      <c r="E505" s="80">
        <v>0</v>
      </c>
      <c r="F505" s="80">
        <v>0</v>
      </c>
      <c r="G505" s="80">
        <f t="shared" si="151"/>
        <v>4618081</v>
      </c>
      <c r="H505" s="26">
        <v>0</v>
      </c>
      <c r="I505" s="26">
        <v>0</v>
      </c>
      <c r="J505" s="26"/>
      <c r="K505" s="26">
        <v>0</v>
      </c>
      <c r="L505" s="26">
        <f t="shared" si="165"/>
        <v>-4618081</v>
      </c>
      <c r="M505" s="26">
        <v>0</v>
      </c>
      <c r="N505" s="26">
        <v>0</v>
      </c>
      <c r="O505" s="26">
        <v>0</v>
      </c>
      <c r="P505" s="26">
        <v>0</v>
      </c>
      <c r="Q505" s="26">
        <v>0</v>
      </c>
      <c r="R505" s="26">
        <v>0</v>
      </c>
      <c r="S505" s="26">
        <v>0</v>
      </c>
      <c r="T505" s="26">
        <v>0</v>
      </c>
      <c r="U505" s="26">
        <v>0</v>
      </c>
      <c r="V505" s="26">
        <v>0</v>
      </c>
      <c r="W505" s="26">
        <v>0</v>
      </c>
      <c r="X505" s="26">
        <v>0</v>
      </c>
      <c r="Y505" s="26">
        <v>0</v>
      </c>
      <c r="Z505" s="26">
        <f t="shared" si="160"/>
        <v>0</v>
      </c>
      <c r="AA505" s="95"/>
      <c r="AB505" s="95"/>
      <c r="AC505" s="95"/>
      <c r="AD505" s="95"/>
      <c r="AE505" s="95"/>
      <c r="AF505" s="95"/>
      <c r="AG505" s="95"/>
      <c r="AH505" s="95"/>
      <c r="AI505" s="95"/>
      <c r="AJ505" s="95"/>
      <c r="AK505" s="95"/>
      <c r="AL505" s="95"/>
      <c r="AM505" s="95"/>
      <c r="AN505" s="96"/>
      <c r="AO505" s="96"/>
      <c r="AP505" s="96"/>
      <c r="AQ505" s="96"/>
      <c r="AR505" s="96"/>
      <c r="AS505" s="96"/>
      <c r="AT505" s="96"/>
      <c r="AU505" s="96"/>
      <c r="AV505" s="96"/>
      <c r="AW505" s="96"/>
      <c r="AX505" s="96"/>
      <c r="AY505" s="96"/>
      <c r="AZ505" s="96"/>
      <c r="BA505" s="96"/>
    </row>
    <row r="506" spans="1:53" s="97" customFormat="1" ht="12" customHeight="1">
      <c r="A506" s="8">
        <v>514</v>
      </c>
      <c r="B506" s="8" t="s">
        <v>834</v>
      </c>
      <c r="C506" s="80">
        <f>+VLOOKUP(A506,Clasificaciones!C:I,5,FALSE)</f>
        <v>0</v>
      </c>
      <c r="D506" s="80">
        <v>0</v>
      </c>
      <c r="E506" s="80">
        <v>0</v>
      </c>
      <c r="F506" s="80">
        <v>0</v>
      </c>
      <c r="G506" s="80">
        <f t="shared" si="151"/>
        <v>0</v>
      </c>
      <c r="H506" s="26">
        <v>0</v>
      </c>
      <c r="I506" s="26">
        <v>0</v>
      </c>
      <c r="J506" s="26">
        <v>0</v>
      </c>
      <c r="K506" s="26">
        <v>0</v>
      </c>
      <c r="L506" s="26">
        <v>0</v>
      </c>
      <c r="M506" s="26">
        <v>0</v>
      </c>
      <c r="N506" s="26">
        <v>0</v>
      </c>
      <c r="O506" s="26">
        <v>0</v>
      </c>
      <c r="P506" s="26">
        <v>0</v>
      </c>
      <c r="Q506" s="26">
        <v>0</v>
      </c>
      <c r="R506" s="26">
        <v>0</v>
      </c>
      <c r="S506" s="26">
        <v>0</v>
      </c>
      <c r="T506" s="26">
        <v>0</v>
      </c>
      <c r="U506" s="26">
        <v>0</v>
      </c>
      <c r="V506" s="26">
        <v>0</v>
      </c>
      <c r="W506" s="26">
        <v>0</v>
      </c>
      <c r="X506" s="26">
        <v>0</v>
      </c>
      <c r="Y506" s="26">
        <v>0</v>
      </c>
      <c r="Z506" s="26">
        <f t="shared" si="160"/>
        <v>0</v>
      </c>
      <c r="AA506" s="95"/>
      <c r="AB506" s="95"/>
      <c r="AC506" s="95"/>
      <c r="AD506" s="95"/>
      <c r="AE506" s="95"/>
      <c r="AF506" s="95"/>
      <c r="AG506" s="95"/>
      <c r="AH506" s="95"/>
      <c r="AI506" s="95"/>
      <c r="AJ506" s="95"/>
      <c r="AK506" s="95"/>
      <c r="AL506" s="95"/>
      <c r="AM506" s="95"/>
      <c r="AN506" s="96"/>
      <c r="AO506" s="96"/>
      <c r="AP506" s="96"/>
      <c r="AQ506" s="96"/>
      <c r="AR506" s="96"/>
      <c r="AS506" s="96"/>
      <c r="AT506" s="96"/>
      <c r="AU506" s="96"/>
      <c r="AV506" s="96"/>
      <c r="AW506" s="96"/>
      <c r="AX506" s="96"/>
      <c r="AY506" s="96"/>
      <c r="AZ506" s="96"/>
      <c r="BA506" s="96"/>
    </row>
    <row r="507" spans="1:53" s="97" customFormat="1" ht="12" customHeight="1">
      <c r="A507" s="8">
        <v>51403</v>
      </c>
      <c r="B507" s="8" t="s">
        <v>181</v>
      </c>
      <c r="C507" s="80">
        <f>+VLOOKUP(A507,Clasificaciones!C:I,5,FALSE)</f>
        <v>3722682</v>
      </c>
      <c r="D507" s="80">
        <v>0</v>
      </c>
      <c r="E507" s="80">
        <v>0</v>
      </c>
      <c r="F507" s="80">
        <v>0</v>
      </c>
      <c r="G507" s="80">
        <f t="shared" ref="G507" si="167">+C507-F507+D507-E507</f>
        <v>3722682</v>
      </c>
      <c r="H507" s="26">
        <v>0</v>
      </c>
      <c r="I507" s="26">
        <v>0</v>
      </c>
      <c r="J507" s="26">
        <v>0</v>
      </c>
      <c r="K507" s="26">
        <v>0</v>
      </c>
      <c r="L507" s="26">
        <v>0</v>
      </c>
      <c r="M507" s="26">
        <v>0</v>
      </c>
      <c r="N507" s="26">
        <v>0</v>
      </c>
      <c r="O507" s="26">
        <v>0</v>
      </c>
      <c r="P507" s="26">
        <v>0</v>
      </c>
      <c r="Q507" s="26">
        <v>0</v>
      </c>
      <c r="R507" s="26">
        <v>0</v>
      </c>
      <c r="S507" s="26">
        <v>0</v>
      </c>
      <c r="T507" s="26">
        <v>0</v>
      </c>
      <c r="U507" s="26">
        <v>0</v>
      </c>
      <c r="V507" s="26">
        <v>0</v>
      </c>
      <c r="W507" s="26">
        <v>0</v>
      </c>
      <c r="X507" s="26">
        <f>-G507</f>
        <v>-3722682</v>
      </c>
      <c r="Y507" s="26">
        <v>0</v>
      </c>
      <c r="Z507" s="26">
        <f t="shared" si="160"/>
        <v>0</v>
      </c>
      <c r="AA507" s="95"/>
      <c r="AB507" s="95"/>
      <c r="AC507" s="95"/>
      <c r="AD507" s="95"/>
      <c r="AE507" s="95"/>
      <c r="AF507" s="95"/>
      <c r="AG507" s="95"/>
      <c r="AH507" s="95"/>
      <c r="AI507" s="95"/>
      <c r="AJ507" s="95"/>
      <c r="AK507" s="95"/>
      <c r="AL507" s="95"/>
      <c r="AM507" s="95"/>
      <c r="AN507" s="96"/>
      <c r="AO507" s="96"/>
      <c r="AP507" s="96"/>
      <c r="AQ507" s="96"/>
      <c r="AR507" s="96"/>
      <c r="AS507" s="96"/>
      <c r="AT507" s="96"/>
      <c r="AU507" s="96"/>
      <c r="AV507" s="96"/>
      <c r="AW507" s="96"/>
      <c r="AX507" s="96"/>
      <c r="AY507" s="96"/>
      <c r="AZ507" s="96"/>
      <c r="BA507" s="96"/>
    </row>
    <row r="508" spans="1:53" s="97" customFormat="1" ht="12" customHeight="1">
      <c r="A508" s="8">
        <v>51404</v>
      </c>
      <c r="B508" s="8" t="s">
        <v>835</v>
      </c>
      <c r="C508" s="80">
        <f>+VLOOKUP(A508,Clasificaciones!C:I,5,FALSE)</f>
        <v>250540859</v>
      </c>
      <c r="D508" s="80">
        <v>0</v>
      </c>
      <c r="E508" s="80">
        <v>0</v>
      </c>
      <c r="F508" s="80">
        <v>0</v>
      </c>
      <c r="G508" s="80">
        <f t="shared" si="151"/>
        <v>250540859</v>
      </c>
      <c r="H508" s="26">
        <v>0</v>
      </c>
      <c r="I508" s="26">
        <v>0</v>
      </c>
      <c r="J508" s="26">
        <v>0</v>
      </c>
      <c r="K508" s="26">
        <v>0</v>
      </c>
      <c r="L508" s="26">
        <v>0</v>
      </c>
      <c r="M508" s="26">
        <v>0</v>
      </c>
      <c r="N508" s="26">
        <v>0</v>
      </c>
      <c r="O508" s="26">
        <v>0</v>
      </c>
      <c r="P508" s="26">
        <v>0</v>
      </c>
      <c r="Q508" s="26">
        <v>0</v>
      </c>
      <c r="R508" s="26">
        <v>0</v>
      </c>
      <c r="S508" s="26">
        <v>0</v>
      </c>
      <c r="T508" s="26">
        <v>0</v>
      </c>
      <c r="U508" s="26">
        <v>0</v>
      </c>
      <c r="V508" s="26">
        <v>0</v>
      </c>
      <c r="W508" s="26">
        <v>0</v>
      </c>
      <c r="X508" s="26">
        <f>-G508</f>
        <v>-250540859</v>
      </c>
      <c r="Y508" s="26">
        <v>0</v>
      </c>
      <c r="Z508" s="26">
        <f t="shared" si="160"/>
        <v>0</v>
      </c>
      <c r="AA508" s="95"/>
      <c r="AB508" s="95"/>
      <c r="AC508" s="95"/>
      <c r="AD508" s="95"/>
      <c r="AE508" s="95"/>
      <c r="AF508" s="95"/>
      <c r="AG508" s="95"/>
      <c r="AH508" s="95"/>
      <c r="AI508" s="95"/>
      <c r="AJ508" s="95"/>
      <c r="AK508" s="95"/>
      <c r="AL508" s="95"/>
      <c r="AM508" s="95"/>
      <c r="AN508" s="96"/>
      <c r="AO508" s="96"/>
      <c r="AP508" s="96"/>
      <c r="AQ508" s="96"/>
      <c r="AR508" s="96"/>
      <c r="AS508" s="96"/>
      <c r="AT508" s="96"/>
      <c r="AU508" s="96"/>
      <c r="AV508" s="96"/>
      <c r="AW508" s="96"/>
      <c r="AX508" s="96"/>
      <c r="AY508" s="96"/>
      <c r="AZ508" s="96"/>
      <c r="BA508" s="96"/>
    </row>
    <row r="509" spans="1:53" s="97" customFormat="1" ht="12" customHeight="1">
      <c r="A509" s="8">
        <v>51405</v>
      </c>
      <c r="B509" s="8" t="s">
        <v>78</v>
      </c>
      <c r="C509" s="80">
        <f>+VLOOKUP(A509,Clasificaciones!C:I,5,FALSE)</f>
        <v>5456147</v>
      </c>
      <c r="D509" s="80">
        <v>0</v>
      </c>
      <c r="E509" s="80">
        <v>0</v>
      </c>
      <c r="F509" s="80">
        <v>0</v>
      </c>
      <c r="G509" s="80">
        <f t="shared" si="151"/>
        <v>5456147</v>
      </c>
      <c r="H509" s="26">
        <v>0</v>
      </c>
      <c r="I509" s="26">
        <v>0</v>
      </c>
      <c r="J509" s="26"/>
      <c r="K509" s="26">
        <v>0</v>
      </c>
      <c r="L509" s="26">
        <f t="shared" ref="L509:L510" si="168">-G509</f>
        <v>-5456147</v>
      </c>
      <c r="M509" s="26">
        <v>0</v>
      </c>
      <c r="N509" s="26">
        <v>0</v>
      </c>
      <c r="O509" s="26">
        <v>0</v>
      </c>
      <c r="P509" s="26">
        <v>0</v>
      </c>
      <c r="Q509" s="26">
        <v>0</v>
      </c>
      <c r="R509" s="26">
        <v>0</v>
      </c>
      <c r="S509" s="26">
        <v>0</v>
      </c>
      <c r="T509" s="26">
        <v>0</v>
      </c>
      <c r="U509" s="26">
        <v>0</v>
      </c>
      <c r="V509" s="26">
        <v>0</v>
      </c>
      <c r="W509" s="26">
        <v>0</v>
      </c>
      <c r="X509" s="26">
        <v>0</v>
      </c>
      <c r="Y509" s="26">
        <v>0</v>
      </c>
      <c r="Z509" s="26">
        <f t="shared" si="160"/>
        <v>0</v>
      </c>
      <c r="AA509" s="95"/>
      <c r="AB509" s="95"/>
      <c r="AC509" s="95"/>
      <c r="AD509" s="95"/>
      <c r="AE509" s="95"/>
      <c r="AF509" s="95"/>
      <c r="AG509" s="95"/>
      <c r="AH509" s="95"/>
      <c r="AI509" s="95"/>
      <c r="AJ509" s="95"/>
      <c r="AK509" s="95"/>
      <c r="AL509" s="95"/>
      <c r="AM509" s="95"/>
      <c r="AN509" s="96"/>
      <c r="AO509" s="96"/>
      <c r="AP509" s="96"/>
      <c r="AQ509" s="96"/>
      <c r="AR509" s="96"/>
      <c r="AS509" s="96"/>
      <c r="AT509" s="96"/>
      <c r="AU509" s="96"/>
      <c r="AV509" s="96"/>
      <c r="AW509" s="96"/>
      <c r="AX509" s="96"/>
      <c r="AY509" s="96"/>
      <c r="AZ509" s="96"/>
      <c r="BA509" s="96"/>
    </row>
    <row r="510" spans="1:53" s="97" customFormat="1" ht="12" customHeight="1">
      <c r="A510" s="8">
        <v>51406</v>
      </c>
      <c r="B510" s="8" t="s">
        <v>836</v>
      </c>
      <c r="C510" s="80">
        <f>+VLOOKUP(A510,Clasificaciones!C:I,5,FALSE)</f>
        <v>25318166</v>
      </c>
      <c r="D510" s="80">
        <v>0</v>
      </c>
      <c r="E510" s="80">
        <v>0</v>
      </c>
      <c r="F510" s="80">
        <v>0</v>
      </c>
      <c r="G510" s="80">
        <f t="shared" si="151"/>
        <v>25318166</v>
      </c>
      <c r="H510" s="26">
        <v>0</v>
      </c>
      <c r="I510" s="26">
        <v>0</v>
      </c>
      <c r="J510" s="26"/>
      <c r="K510" s="26">
        <v>0</v>
      </c>
      <c r="L510" s="26">
        <f t="shared" si="168"/>
        <v>-25318166</v>
      </c>
      <c r="M510" s="26">
        <v>0</v>
      </c>
      <c r="N510" s="26">
        <v>0</v>
      </c>
      <c r="O510" s="26">
        <v>0</v>
      </c>
      <c r="P510" s="26">
        <v>0</v>
      </c>
      <c r="Q510" s="26">
        <v>0</v>
      </c>
      <c r="R510" s="26">
        <v>0</v>
      </c>
      <c r="S510" s="26">
        <v>0</v>
      </c>
      <c r="T510" s="26">
        <v>0</v>
      </c>
      <c r="U510" s="26">
        <v>0</v>
      </c>
      <c r="V510" s="26">
        <v>0</v>
      </c>
      <c r="W510" s="26">
        <v>0</v>
      </c>
      <c r="X510" s="26">
        <v>0</v>
      </c>
      <c r="Y510" s="26">
        <v>0</v>
      </c>
      <c r="Z510" s="26">
        <f t="shared" si="160"/>
        <v>0</v>
      </c>
      <c r="AA510" s="95"/>
      <c r="AB510" s="95"/>
      <c r="AC510" s="95"/>
      <c r="AD510" s="95"/>
      <c r="AE510" s="95"/>
      <c r="AF510" s="95"/>
      <c r="AG510" s="95"/>
      <c r="AH510" s="95"/>
      <c r="AI510" s="95"/>
      <c r="AJ510" s="95"/>
      <c r="AK510" s="95"/>
      <c r="AL510" s="95"/>
      <c r="AM510" s="95"/>
      <c r="AN510" s="96"/>
      <c r="AO510" s="96"/>
      <c r="AP510" s="96"/>
      <c r="AQ510" s="96"/>
      <c r="AR510" s="96"/>
      <c r="AS510" s="96"/>
      <c r="AT510" s="96"/>
      <c r="AU510" s="96"/>
      <c r="AV510" s="96"/>
      <c r="AW510" s="96"/>
      <c r="AX510" s="96"/>
      <c r="AY510" s="96"/>
      <c r="AZ510" s="96"/>
      <c r="BA510" s="96"/>
    </row>
    <row r="511" spans="1:53" s="97" customFormat="1" ht="12" customHeight="1">
      <c r="A511" s="8">
        <v>51407</v>
      </c>
      <c r="B511" s="8" t="s">
        <v>837</v>
      </c>
      <c r="C511" s="80">
        <f>+VLOOKUP(A511,Clasificaciones!C:I,5,FALSE)</f>
        <v>0</v>
      </c>
      <c r="D511" s="80">
        <v>0</v>
      </c>
      <c r="E511" s="80">
        <v>0</v>
      </c>
      <c r="F511" s="80">
        <v>0</v>
      </c>
      <c r="G511" s="80">
        <f t="shared" si="151"/>
        <v>0</v>
      </c>
      <c r="H511" s="26">
        <v>0</v>
      </c>
      <c r="I511" s="26">
        <v>0</v>
      </c>
      <c r="J511" s="26">
        <f>-G511</f>
        <v>0</v>
      </c>
      <c r="K511" s="26">
        <v>0</v>
      </c>
      <c r="L511" s="26">
        <v>0</v>
      </c>
      <c r="M511" s="26">
        <v>0</v>
      </c>
      <c r="N511" s="26">
        <v>0</v>
      </c>
      <c r="O511" s="26">
        <v>0</v>
      </c>
      <c r="P511" s="26">
        <v>0</v>
      </c>
      <c r="Q511" s="26">
        <v>0</v>
      </c>
      <c r="R511" s="26">
        <v>0</v>
      </c>
      <c r="S511" s="26">
        <v>0</v>
      </c>
      <c r="T511" s="26">
        <v>0</v>
      </c>
      <c r="U511" s="26">
        <v>0</v>
      </c>
      <c r="V511" s="26">
        <v>0</v>
      </c>
      <c r="W511" s="26">
        <v>0</v>
      </c>
      <c r="X511" s="26">
        <v>0</v>
      </c>
      <c r="Y511" s="26">
        <v>0</v>
      </c>
      <c r="Z511" s="26">
        <f t="shared" si="160"/>
        <v>0</v>
      </c>
      <c r="AA511" s="95"/>
      <c r="AB511" s="95"/>
      <c r="AC511" s="95"/>
      <c r="AD511" s="95"/>
      <c r="AE511" s="95"/>
      <c r="AF511" s="95"/>
      <c r="AG511" s="95"/>
      <c r="AH511" s="95"/>
      <c r="AI511" s="95"/>
      <c r="AJ511" s="95"/>
      <c r="AK511" s="95"/>
      <c r="AL511" s="95"/>
      <c r="AM511" s="95"/>
      <c r="AN511" s="96"/>
      <c r="AO511" s="96"/>
      <c r="AP511" s="96"/>
      <c r="AQ511" s="96"/>
      <c r="AR511" s="96"/>
      <c r="AS511" s="96"/>
      <c r="AT511" s="96"/>
      <c r="AU511" s="96"/>
      <c r="AV511" s="96"/>
      <c r="AW511" s="96"/>
      <c r="AX511" s="96"/>
      <c r="AY511" s="96"/>
      <c r="AZ511" s="96"/>
      <c r="BA511" s="96"/>
    </row>
    <row r="512" spans="1:53" s="97" customFormat="1" ht="12" customHeight="1">
      <c r="A512" s="8">
        <v>5140701</v>
      </c>
      <c r="B512" s="8" t="s">
        <v>793</v>
      </c>
      <c r="C512" s="80">
        <f>+VLOOKUP(A512,Clasificaciones!C:I,5,FALSE)</f>
        <v>8101263559</v>
      </c>
      <c r="D512" s="80">
        <v>0</v>
      </c>
      <c r="E512" s="80">
        <v>0</v>
      </c>
      <c r="F512" s="80">
        <v>0</v>
      </c>
      <c r="G512" s="80">
        <f t="shared" si="151"/>
        <v>8101263559</v>
      </c>
      <c r="H512" s="26">
        <v>0</v>
      </c>
      <c r="I512" s="26">
        <v>0</v>
      </c>
      <c r="J512" s="26">
        <v>0</v>
      </c>
      <c r="K512" s="26">
        <v>0</v>
      </c>
      <c r="L512" s="26">
        <v>0</v>
      </c>
      <c r="M512" s="26">
        <v>0</v>
      </c>
      <c r="N512" s="26">
        <v>0</v>
      </c>
      <c r="O512" s="26">
        <v>0</v>
      </c>
      <c r="P512" s="26">
        <v>0</v>
      </c>
      <c r="Q512" s="26">
        <v>0</v>
      </c>
      <c r="R512" s="26">
        <v>0</v>
      </c>
      <c r="S512" s="26">
        <v>0</v>
      </c>
      <c r="T512" s="26">
        <v>0</v>
      </c>
      <c r="U512" s="26">
        <v>0</v>
      </c>
      <c r="V512" s="26">
        <v>0</v>
      </c>
      <c r="W512" s="26">
        <v>0</v>
      </c>
      <c r="X512" s="26">
        <v>0</v>
      </c>
      <c r="Y512" s="26">
        <f>-G512</f>
        <v>-8101263559</v>
      </c>
      <c r="Z512" s="26">
        <f t="shared" si="160"/>
        <v>0</v>
      </c>
      <c r="AA512" s="95"/>
      <c r="AB512" s="95"/>
      <c r="AC512" s="95"/>
      <c r="AD512" s="95"/>
      <c r="AE512" s="95"/>
      <c r="AF512" s="95"/>
      <c r="AG512" s="95"/>
      <c r="AH512" s="95"/>
      <c r="AI512" s="95"/>
      <c r="AJ512" s="95"/>
      <c r="AK512" s="95"/>
      <c r="AL512" s="95"/>
      <c r="AM512" s="95"/>
      <c r="AN512" s="96"/>
      <c r="AO512" s="96"/>
      <c r="AP512" s="96"/>
      <c r="AQ512" s="96"/>
      <c r="AR512" s="96"/>
      <c r="AS512" s="96"/>
      <c r="AT512" s="96"/>
      <c r="AU512" s="96"/>
      <c r="AV512" s="96"/>
      <c r="AW512" s="96"/>
      <c r="AX512" s="96"/>
      <c r="AY512" s="96"/>
      <c r="AZ512" s="96"/>
      <c r="BA512" s="96"/>
    </row>
    <row r="513" spans="1:53" s="97" customFormat="1" ht="12" customHeight="1">
      <c r="A513" s="8">
        <v>5140702</v>
      </c>
      <c r="B513" s="8" t="s">
        <v>794</v>
      </c>
      <c r="C513" s="80">
        <f>+VLOOKUP(A513,Clasificaciones!C:I,5,FALSE)</f>
        <v>892847407</v>
      </c>
      <c r="D513" s="80">
        <v>0</v>
      </c>
      <c r="E513" s="80">
        <v>0</v>
      </c>
      <c r="F513" s="80">
        <v>0</v>
      </c>
      <c r="G513" s="80">
        <f t="shared" si="151"/>
        <v>892847407</v>
      </c>
      <c r="H513" s="26">
        <v>0</v>
      </c>
      <c r="I513" s="26">
        <v>0</v>
      </c>
      <c r="J513" s="26">
        <v>0</v>
      </c>
      <c r="K513" s="26">
        <v>0</v>
      </c>
      <c r="L513" s="26">
        <v>0</v>
      </c>
      <c r="M513" s="26">
        <v>0</v>
      </c>
      <c r="N513" s="26">
        <v>0</v>
      </c>
      <c r="O513" s="26">
        <v>0</v>
      </c>
      <c r="P513" s="26">
        <v>0</v>
      </c>
      <c r="Q513" s="26">
        <v>0</v>
      </c>
      <c r="R513" s="26">
        <v>0</v>
      </c>
      <c r="S513" s="26">
        <v>0</v>
      </c>
      <c r="T513" s="26">
        <v>0</v>
      </c>
      <c r="U513" s="26">
        <v>0</v>
      </c>
      <c r="V513" s="26">
        <v>0</v>
      </c>
      <c r="W513" s="26">
        <v>0</v>
      </c>
      <c r="X513" s="26">
        <v>0</v>
      </c>
      <c r="Y513" s="26">
        <f>-G513</f>
        <v>-892847407</v>
      </c>
      <c r="Z513" s="26">
        <f t="shared" si="160"/>
        <v>0</v>
      </c>
      <c r="AA513" s="95"/>
      <c r="AB513" s="95"/>
      <c r="AC513" s="95"/>
      <c r="AD513" s="95"/>
      <c r="AE513" s="95"/>
      <c r="AF513" s="95"/>
      <c r="AG513" s="95"/>
      <c r="AH513" s="95"/>
      <c r="AI513" s="95"/>
      <c r="AJ513" s="95"/>
      <c r="AK513" s="95"/>
      <c r="AL513" s="95"/>
      <c r="AM513" s="95"/>
      <c r="AN513" s="96"/>
      <c r="AO513" s="96"/>
      <c r="AP513" s="96"/>
      <c r="AQ513" s="96"/>
      <c r="AR513" s="96"/>
      <c r="AS513" s="96"/>
      <c r="AT513" s="96"/>
      <c r="AU513" s="96"/>
      <c r="AV513" s="96"/>
      <c r="AW513" s="96"/>
      <c r="AX513" s="96"/>
      <c r="AY513" s="96"/>
      <c r="AZ513" s="96"/>
      <c r="BA513" s="96"/>
    </row>
    <row r="514" spans="1:53" s="97" customFormat="1" ht="12" customHeight="1">
      <c r="A514" s="8">
        <v>515</v>
      </c>
      <c r="B514" s="8" t="s">
        <v>240</v>
      </c>
      <c r="C514" s="80">
        <f>+VLOOKUP(A514,Clasificaciones!C:I,5,FALSE)</f>
        <v>0</v>
      </c>
      <c r="D514" s="80">
        <v>0</v>
      </c>
      <c r="E514" s="80">
        <v>0</v>
      </c>
      <c r="F514" s="80">
        <v>0</v>
      </c>
      <c r="G514" s="80">
        <f t="shared" si="151"/>
        <v>0</v>
      </c>
      <c r="H514" s="26">
        <v>0</v>
      </c>
      <c r="I514" s="26">
        <v>0</v>
      </c>
      <c r="J514" s="26">
        <f t="shared" ref="J514:J517" si="169">-G514</f>
        <v>0</v>
      </c>
      <c r="K514" s="26">
        <v>0</v>
      </c>
      <c r="L514" s="26">
        <v>0</v>
      </c>
      <c r="M514" s="26">
        <v>0</v>
      </c>
      <c r="N514" s="26">
        <v>0</v>
      </c>
      <c r="O514" s="26">
        <v>0</v>
      </c>
      <c r="P514" s="26">
        <v>0</v>
      </c>
      <c r="Q514" s="26">
        <v>0</v>
      </c>
      <c r="R514" s="26">
        <v>0</v>
      </c>
      <c r="S514" s="26">
        <v>0</v>
      </c>
      <c r="T514" s="26">
        <v>0</v>
      </c>
      <c r="U514" s="26">
        <v>0</v>
      </c>
      <c r="V514" s="26">
        <v>0</v>
      </c>
      <c r="W514" s="26">
        <v>0</v>
      </c>
      <c r="X514" s="26">
        <v>0</v>
      </c>
      <c r="Y514" s="26">
        <v>0</v>
      </c>
      <c r="Z514" s="26">
        <f t="shared" si="160"/>
        <v>0</v>
      </c>
      <c r="AA514" s="95"/>
      <c r="AB514" s="95"/>
      <c r="AC514" s="95"/>
      <c r="AD514" s="95"/>
      <c r="AE514" s="95"/>
      <c r="AF514" s="95"/>
      <c r="AG514" s="95"/>
      <c r="AH514" s="95"/>
      <c r="AI514" s="95"/>
      <c r="AJ514" s="95"/>
      <c r="AK514" s="95"/>
      <c r="AL514" s="95"/>
      <c r="AM514" s="95"/>
      <c r="AN514" s="96"/>
      <c r="AO514" s="96"/>
      <c r="AP514" s="96"/>
      <c r="AQ514" s="96"/>
      <c r="AR514" s="96"/>
      <c r="AS514" s="96"/>
      <c r="AT514" s="96"/>
      <c r="AU514" s="96"/>
      <c r="AV514" s="96"/>
      <c r="AW514" s="96"/>
      <c r="AX514" s="96"/>
      <c r="AY514" s="96"/>
      <c r="AZ514" s="96"/>
      <c r="BA514" s="96"/>
    </row>
    <row r="515" spans="1:53" s="97" customFormat="1" ht="12" customHeight="1">
      <c r="A515" s="8">
        <v>51501</v>
      </c>
      <c r="B515" s="8" t="s">
        <v>77</v>
      </c>
      <c r="C515" s="80">
        <f>+VLOOKUP(A515,Clasificaciones!C:I,5,FALSE)</f>
        <v>135316207</v>
      </c>
      <c r="D515" s="80">
        <v>0</v>
      </c>
      <c r="E515" s="788">
        <f>+C515</f>
        <v>135316207</v>
      </c>
      <c r="F515" s="80">
        <v>0</v>
      </c>
      <c r="G515" s="80">
        <f t="shared" si="151"/>
        <v>0</v>
      </c>
      <c r="H515" s="26">
        <v>0</v>
      </c>
      <c r="I515" s="26">
        <v>0</v>
      </c>
      <c r="J515" s="26">
        <f t="shared" si="169"/>
        <v>0</v>
      </c>
      <c r="K515" s="26">
        <v>0</v>
      </c>
      <c r="L515" s="26">
        <v>0</v>
      </c>
      <c r="M515" s="26">
        <v>0</v>
      </c>
      <c r="N515" s="26">
        <v>0</v>
      </c>
      <c r="O515" s="26">
        <v>0</v>
      </c>
      <c r="P515" s="26">
        <v>0</v>
      </c>
      <c r="Q515" s="26">
        <v>0</v>
      </c>
      <c r="R515" s="26">
        <v>0</v>
      </c>
      <c r="S515" s="26">
        <v>0</v>
      </c>
      <c r="T515" s="26">
        <v>0</v>
      </c>
      <c r="U515" s="26">
        <v>0</v>
      </c>
      <c r="V515" s="26">
        <v>0</v>
      </c>
      <c r="W515" s="26">
        <v>0</v>
      </c>
      <c r="X515" s="26">
        <v>0</v>
      </c>
      <c r="Y515" s="26">
        <v>0</v>
      </c>
      <c r="Z515" s="26">
        <f t="shared" si="160"/>
        <v>0</v>
      </c>
      <c r="AA515" s="95"/>
      <c r="AB515" s="95"/>
      <c r="AC515" s="95"/>
      <c r="AD515" s="95"/>
      <c r="AE515" s="95"/>
      <c r="AF515" s="95"/>
      <c r="AG515" s="95"/>
      <c r="AH515" s="95"/>
      <c r="AI515" s="95"/>
      <c r="AJ515" s="95"/>
      <c r="AK515" s="95"/>
      <c r="AL515" s="95"/>
      <c r="AM515" s="95"/>
      <c r="AN515" s="96"/>
      <c r="AO515" s="96"/>
      <c r="AP515" s="96"/>
      <c r="AQ515" s="96"/>
      <c r="AR515" s="96"/>
      <c r="AS515" s="96"/>
      <c r="AT515" s="96"/>
      <c r="AU515" s="96"/>
      <c r="AV515" s="96"/>
      <c r="AW515" s="96"/>
      <c r="AX515" s="96"/>
      <c r="AY515" s="96"/>
      <c r="AZ515" s="96"/>
      <c r="BA515" s="96"/>
    </row>
    <row r="516" spans="1:53" s="97" customFormat="1" ht="12" customHeight="1">
      <c r="A516" s="8">
        <v>51502</v>
      </c>
      <c r="B516" s="8" t="s">
        <v>838</v>
      </c>
      <c r="C516" s="80">
        <f>+VLOOKUP(A516,Clasificaciones!C:I,5,FALSE)</f>
        <v>21467041</v>
      </c>
      <c r="D516" s="80">
        <v>0</v>
      </c>
      <c r="E516" s="80">
        <v>0</v>
      </c>
      <c r="F516" s="80">
        <v>0</v>
      </c>
      <c r="G516" s="80">
        <f t="shared" si="151"/>
        <v>21467041</v>
      </c>
      <c r="H516" s="26">
        <v>0</v>
      </c>
      <c r="I516" s="26">
        <v>0</v>
      </c>
      <c r="J516" s="26"/>
      <c r="K516" s="26">
        <v>0</v>
      </c>
      <c r="L516" s="26">
        <f>-G516</f>
        <v>-21467041</v>
      </c>
      <c r="M516" s="26">
        <v>0</v>
      </c>
      <c r="N516" s="26">
        <v>0</v>
      </c>
      <c r="O516" s="26">
        <v>0</v>
      </c>
      <c r="P516" s="26">
        <v>0</v>
      </c>
      <c r="Q516" s="26">
        <v>0</v>
      </c>
      <c r="R516" s="26">
        <v>0</v>
      </c>
      <c r="S516" s="26">
        <v>0</v>
      </c>
      <c r="T516" s="26">
        <v>0</v>
      </c>
      <c r="U516" s="26">
        <v>0</v>
      </c>
      <c r="V516" s="26">
        <v>0</v>
      </c>
      <c r="W516" s="26">
        <v>0</v>
      </c>
      <c r="X516" s="26">
        <v>0</v>
      </c>
      <c r="Y516" s="26">
        <v>0</v>
      </c>
      <c r="Z516" s="26">
        <f t="shared" si="160"/>
        <v>0</v>
      </c>
      <c r="AA516" s="95"/>
      <c r="AB516" s="95"/>
      <c r="AC516" s="95"/>
      <c r="AD516" s="95"/>
      <c r="AE516" s="95"/>
      <c r="AF516" s="95"/>
      <c r="AG516" s="95"/>
      <c r="AH516" s="95"/>
      <c r="AI516" s="95"/>
      <c r="AJ516" s="95"/>
      <c r="AK516" s="95"/>
      <c r="AL516" s="95"/>
      <c r="AM516" s="95"/>
      <c r="AN516" s="96"/>
      <c r="AO516" s="96"/>
      <c r="AP516" s="96"/>
      <c r="AQ516" s="96"/>
      <c r="AR516" s="96"/>
      <c r="AS516" s="96"/>
      <c r="AT516" s="96"/>
      <c r="AU516" s="96"/>
      <c r="AV516" s="96"/>
      <c r="AW516" s="96"/>
      <c r="AX516" s="96"/>
      <c r="AY516" s="96"/>
      <c r="AZ516" s="96"/>
      <c r="BA516" s="96"/>
    </row>
    <row r="517" spans="1:53" s="97" customFormat="1" ht="12" customHeight="1">
      <c r="A517" s="8">
        <v>51503</v>
      </c>
      <c r="B517" s="8" t="s">
        <v>839</v>
      </c>
      <c r="C517" s="80">
        <f>+VLOOKUP(A517,Clasificaciones!C:I,5,FALSE)</f>
        <v>0</v>
      </c>
      <c r="D517" s="80">
        <v>0</v>
      </c>
      <c r="E517" s="80">
        <v>0</v>
      </c>
      <c r="F517" s="80">
        <v>0</v>
      </c>
      <c r="G517" s="80">
        <f t="shared" si="151"/>
        <v>0</v>
      </c>
      <c r="H517" s="26">
        <v>0</v>
      </c>
      <c r="I517" s="26">
        <v>0</v>
      </c>
      <c r="J517" s="26">
        <f t="shared" si="169"/>
        <v>0</v>
      </c>
      <c r="K517" s="26">
        <v>0</v>
      </c>
      <c r="L517" s="26">
        <v>0</v>
      </c>
      <c r="M517" s="26">
        <v>0</v>
      </c>
      <c r="N517" s="26">
        <v>0</v>
      </c>
      <c r="O517" s="26">
        <v>0</v>
      </c>
      <c r="P517" s="26">
        <v>0</v>
      </c>
      <c r="Q517" s="26">
        <v>0</v>
      </c>
      <c r="R517" s="26">
        <v>0</v>
      </c>
      <c r="S517" s="26">
        <v>0</v>
      </c>
      <c r="T517" s="26">
        <v>0</v>
      </c>
      <c r="U517" s="26">
        <v>0</v>
      </c>
      <c r="V517" s="26">
        <v>0</v>
      </c>
      <c r="W517" s="26">
        <v>0</v>
      </c>
      <c r="X517" s="26">
        <v>0</v>
      </c>
      <c r="Y517" s="26">
        <v>0</v>
      </c>
      <c r="Z517" s="26">
        <f t="shared" si="160"/>
        <v>0</v>
      </c>
      <c r="AA517" s="95"/>
      <c r="AB517" s="95"/>
      <c r="AC517" s="95"/>
      <c r="AD517" s="95"/>
      <c r="AE517" s="95"/>
      <c r="AF517" s="95"/>
      <c r="AG517" s="95"/>
      <c r="AH517" s="95"/>
      <c r="AI517" s="95"/>
      <c r="AJ517" s="95"/>
      <c r="AK517" s="95"/>
      <c r="AL517" s="95"/>
      <c r="AM517" s="95"/>
      <c r="AN517" s="96"/>
      <c r="AO517" s="96"/>
      <c r="AP517" s="96"/>
      <c r="AQ517" s="96"/>
      <c r="AR517" s="96"/>
      <c r="AS517" s="96"/>
      <c r="AT517" s="96"/>
      <c r="AU517" s="96"/>
      <c r="AV517" s="96"/>
      <c r="AW517" s="96"/>
      <c r="AX517" s="96"/>
      <c r="AY517" s="96"/>
      <c r="AZ517" s="96"/>
      <c r="BA517" s="96"/>
    </row>
    <row r="518" spans="1:53" s="97" customFormat="1" ht="12" customHeight="1">
      <c r="A518" s="8">
        <v>5150301</v>
      </c>
      <c r="B518" s="8" t="s">
        <v>840</v>
      </c>
      <c r="C518" s="80">
        <f>+VLOOKUP(A518,Clasificaciones!C:I,5,FALSE)</f>
        <v>14367279</v>
      </c>
      <c r="D518" s="80">
        <v>0</v>
      </c>
      <c r="E518" s="80">
        <v>0</v>
      </c>
      <c r="F518" s="80">
        <v>0</v>
      </c>
      <c r="G518" s="80">
        <f t="shared" si="151"/>
        <v>14367279</v>
      </c>
      <c r="H518" s="26">
        <v>0</v>
      </c>
      <c r="I518" s="26">
        <v>0</v>
      </c>
      <c r="J518" s="26"/>
      <c r="K518" s="26">
        <v>0</v>
      </c>
      <c r="L518" s="26">
        <f t="shared" ref="L518:L521" si="170">-G518</f>
        <v>-14367279</v>
      </c>
      <c r="M518" s="26">
        <v>0</v>
      </c>
      <c r="N518" s="26">
        <v>0</v>
      </c>
      <c r="O518" s="26">
        <v>0</v>
      </c>
      <c r="P518" s="26">
        <v>0</v>
      </c>
      <c r="Q518" s="26">
        <v>0</v>
      </c>
      <c r="R518" s="26">
        <v>0</v>
      </c>
      <c r="S518" s="26">
        <v>0</v>
      </c>
      <c r="T518" s="26">
        <v>0</v>
      </c>
      <c r="U518" s="26">
        <v>0</v>
      </c>
      <c r="V518" s="26">
        <v>0</v>
      </c>
      <c r="W518" s="26">
        <v>0</v>
      </c>
      <c r="X518" s="26">
        <v>0</v>
      </c>
      <c r="Y518" s="26">
        <v>0</v>
      </c>
      <c r="Z518" s="26">
        <f t="shared" si="160"/>
        <v>0</v>
      </c>
      <c r="AA518" s="95"/>
      <c r="AB518" s="95"/>
      <c r="AC518" s="95"/>
      <c r="AD518" s="95"/>
      <c r="AE518" s="95"/>
      <c r="AF518" s="95"/>
      <c r="AG518" s="95"/>
      <c r="AH518" s="95"/>
      <c r="AI518" s="95"/>
      <c r="AJ518" s="95"/>
      <c r="AK518" s="95"/>
      <c r="AL518" s="95"/>
      <c r="AM518" s="95"/>
      <c r="AN518" s="96"/>
      <c r="AO518" s="96"/>
      <c r="AP518" s="96"/>
      <c r="AQ518" s="96"/>
      <c r="AR518" s="96"/>
      <c r="AS518" s="96"/>
      <c r="AT518" s="96"/>
      <c r="AU518" s="96"/>
      <c r="AV518" s="96"/>
      <c r="AW518" s="96"/>
      <c r="AX518" s="96"/>
      <c r="AY518" s="96"/>
      <c r="AZ518" s="96"/>
      <c r="BA518" s="96"/>
    </row>
    <row r="519" spans="1:53" s="97" customFormat="1" ht="12" customHeight="1">
      <c r="A519" s="8">
        <v>5150302</v>
      </c>
      <c r="B519" s="8" t="s">
        <v>1112</v>
      </c>
      <c r="C519" s="80">
        <f>+VLOOKUP(A519,Clasificaciones!C:I,5,FALSE)</f>
        <v>578358</v>
      </c>
      <c r="D519" s="80">
        <v>0</v>
      </c>
      <c r="E519" s="80">
        <v>0</v>
      </c>
      <c r="F519" s="80">
        <v>0</v>
      </c>
      <c r="G519" s="80">
        <f t="shared" si="151"/>
        <v>578358</v>
      </c>
      <c r="H519" s="26">
        <v>0</v>
      </c>
      <c r="I519" s="26">
        <v>0</v>
      </c>
      <c r="J519" s="26"/>
      <c r="K519" s="26">
        <v>0</v>
      </c>
      <c r="L519" s="26">
        <f t="shared" si="170"/>
        <v>-578358</v>
      </c>
      <c r="M519" s="26">
        <v>0</v>
      </c>
      <c r="N519" s="26">
        <v>0</v>
      </c>
      <c r="O519" s="26">
        <v>0</v>
      </c>
      <c r="P519" s="26">
        <v>0</v>
      </c>
      <c r="Q519" s="26">
        <v>0</v>
      </c>
      <c r="R519" s="26">
        <v>0</v>
      </c>
      <c r="S519" s="26">
        <v>0</v>
      </c>
      <c r="T519" s="26">
        <v>0</v>
      </c>
      <c r="U519" s="26">
        <v>0</v>
      </c>
      <c r="V519" s="26">
        <v>0</v>
      </c>
      <c r="W519" s="26">
        <v>0</v>
      </c>
      <c r="X519" s="26">
        <v>0</v>
      </c>
      <c r="Y519" s="26">
        <v>0</v>
      </c>
      <c r="Z519" s="26">
        <f t="shared" si="160"/>
        <v>0</v>
      </c>
      <c r="AA519" s="95"/>
      <c r="AB519" s="95"/>
      <c r="AC519" s="95"/>
      <c r="AD519" s="95"/>
      <c r="AE519" s="95"/>
      <c r="AF519" s="95"/>
      <c r="AG519" s="95"/>
      <c r="AH519" s="95"/>
      <c r="AI519" s="95"/>
      <c r="AJ519" s="95"/>
      <c r="AK519" s="95"/>
      <c r="AL519" s="95"/>
      <c r="AM519" s="95"/>
      <c r="AN519" s="96"/>
      <c r="AO519" s="96"/>
      <c r="AP519" s="96"/>
      <c r="AQ519" s="96"/>
      <c r="AR519" s="96"/>
      <c r="AS519" s="96"/>
      <c r="AT519" s="96"/>
      <c r="AU519" s="96"/>
      <c r="AV519" s="96"/>
      <c r="AW519" s="96"/>
      <c r="AX519" s="96"/>
      <c r="AY519" s="96"/>
      <c r="AZ519" s="96"/>
      <c r="BA519" s="96"/>
    </row>
    <row r="520" spans="1:53" s="97" customFormat="1" ht="12" customHeight="1">
      <c r="A520" s="8">
        <v>51504</v>
      </c>
      <c r="B520" s="8" t="s">
        <v>841</v>
      </c>
      <c r="C520" s="80">
        <f>+VLOOKUP(A520,Clasificaciones!C:I,5,FALSE)</f>
        <v>181590510</v>
      </c>
      <c r="D520" s="80">
        <v>0</v>
      </c>
      <c r="E520" s="80">
        <v>0</v>
      </c>
      <c r="F520" s="80">
        <v>0</v>
      </c>
      <c r="G520" s="80">
        <f t="shared" si="151"/>
        <v>181590510</v>
      </c>
      <c r="H520" s="26">
        <v>0</v>
      </c>
      <c r="I520" s="26">
        <v>0</v>
      </c>
      <c r="J520" s="26"/>
      <c r="K520" s="26">
        <v>0</v>
      </c>
      <c r="L520" s="26">
        <f t="shared" si="170"/>
        <v>-181590510</v>
      </c>
      <c r="M520" s="26">
        <v>0</v>
      </c>
      <c r="N520" s="26">
        <v>0</v>
      </c>
      <c r="O520" s="26">
        <v>0</v>
      </c>
      <c r="P520" s="26">
        <v>0</v>
      </c>
      <c r="Q520" s="26">
        <v>0</v>
      </c>
      <c r="R520" s="26">
        <v>0</v>
      </c>
      <c r="S520" s="26">
        <v>0</v>
      </c>
      <c r="T520" s="26">
        <v>0</v>
      </c>
      <c r="U520" s="26">
        <v>0</v>
      </c>
      <c r="V520" s="26">
        <v>0</v>
      </c>
      <c r="W520" s="26">
        <v>0</v>
      </c>
      <c r="X520" s="26">
        <v>0</v>
      </c>
      <c r="Y520" s="26">
        <v>0</v>
      </c>
      <c r="Z520" s="26">
        <f t="shared" si="160"/>
        <v>0</v>
      </c>
      <c r="AA520" s="95"/>
      <c r="AB520" s="95"/>
      <c r="AC520" s="95"/>
      <c r="AD520" s="95"/>
      <c r="AE520" s="95"/>
      <c r="AF520" s="95"/>
      <c r="AG520" s="95"/>
      <c r="AH520" s="95"/>
      <c r="AI520" s="95"/>
      <c r="AJ520" s="95"/>
      <c r="AK520" s="95"/>
      <c r="AL520" s="95"/>
      <c r="AM520" s="95"/>
      <c r="AN520" s="96"/>
      <c r="AO520" s="96"/>
      <c r="AP520" s="96"/>
      <c r="AQ520" s="96"/>
      <c r="AR520" s="96"/>
      <c r="AS520" s="96"/>
      <c r="AT520" s="96"/>
      <c r="AU520" s="96"/>
      <c r="AV520" s="96"/>
      <c r="AW520" s="96"/>
      <c r="AX520" s="96"/>
      <c r="AY520" s="96"/>
      <c r="AZ520" s="96"/>
      <c r="BA520" s="96"/>
    </row>
    <row r="521" spans="1:53" s="97" customFormat="1" ht="12" customHeight="1">
      <c r="A521" s="8">
        <v>51505</v>
      </c>
      <c r="B521" s="8" t="s">
        <v>1113</v>
      </c>
      <c r="C521" s="80">
        <f>+VLOOKUP(A521,Clasificaciones!C:I,5,FALSE)</f>
        <v>270717</v>
      </c>
      <c r="D521" s="80">
        <v>0</v>
      </c>
      <c r="E521" s="80">
        <v>0</v>
      </c>
      <c r="F521" s="80">
        <v>0</v>
      </c>
      <c r="G521" s="80">
        <f t="shared" si="151"/>
        <v>270717</v>
      </c>
      <c r="H521" s="26">
        <v>0</v>
      </c>
      <c r="I521" s="26">
        <v>0</v>
      </c>
      <c r="J521" s="26"/>
      <c r="K521" s="26">
        <v>0</v>
      </c>
      <c r="L521" s="26">
        <f t="shared" si="170"/>
        <v>-270717</v>
      </c>
      <c r="M521" s="26">
        <v>0</v>
      </c>
      <c r="N521" s="26">
        <v>0</v>
      </c>
      <c r="O521" s="26">
        <v>0</v>
      </c>
      <c r="P521" s="26">
        <v>0</v>
      </c>
      <c r="Q521" s="26">
        <v>0</v>
      </c>
      <c r="R521" s="26">
        <v>0</v>
      </c>
      <c r="S521" s="26">
        <v>0</v>
      </c>
      <c r="T521" s="26">
        <v>0</v>
      </c>
      <c r="U521" s="26">
        <v>0</v>
      </c>
      <c r="V521" s="26">
        <v>0</v>
      </c>
      <c r="W521" s="26">
        <v>0</v>
      </c>
      <c r="X521" s="26">
        <v>0</v>
      </c>
      <c r="Y521" s="26">
        <v>0</v>
      </c>
      <c r="Z521" s="26">
        <f t="shared" si="160"/>
        <v>0</v>
      </c>
      <c r="AA521" s="95"/>
      <c r="AB521" s="95"/>
      <c r="AC521" s="95"/>
      <c r="AD521" s="95"/>
      <c r="AE521" s="95"/>
      <c r="AF521" s="95"/>
      <c r="AG521" s="95"/>
      <c r="AH521" s="95"/>
      <c r="AI521" s="95"/>
      <c r="AJ521" s="95"/>
      <c r="AK521" s="95"/>
      <c r="AL521" s="95"/>
      <c r="AM521" s="95"/>
      <c r="AN521" s="96"/>
      <c r="AO521" s="96"/>
      <c r="AP521" s="96"/>
      <c r="AQ521" s="96"/>
      <c r="AR521" s="96"/>
      <c r="AS521" s="96"/>
      <c r="AT521" s="96"/>
      <c r="AU521" s="96"/>
      <c r="AV521" s="96"/>
      <c r="AW521" s="96"/>
      <c r="AX521" s="96"/>
      <c r="AY521" s="96"/>
      <c r="AZ521" s="96"/>
      <c r="BA521" s="96"/>
    </row>
    <row r="522" spans="1:53" s="97" customFormat="1" ht="12" customHeight="1">
      <c r="A522" s="8">
        <v>52</v>
      </c>
      <c r="B522" s="8" t="s">
        <v>239</v>
      </c>
      <c r="C522" s="80">
        <f>+VLOOKUP(A522,Clasificaciones!C:I,5,FALSE)</f>
        <v>0</v>
      </c>
      <c r="D522" s="80">
        <v>0</v>
      </c>
      <c r="E522" s="80">
        <v>0</v>
      </c>
      <c r="F522" s="80">
        <v>0</v>
      </c>
      <c r="G522" s="80">
        <f t="shared" si="151"/>
        <v>0</v>
      </c>
      <c r="H522" s="26">
        <v>0</v>
      </c>
      <c r="I522" s="26">
        <v>0</v>
      </c>
      <c r="J522" s="26">
        <v>0</v>
      </c>
      <c r="K522" s="26">
        <v>0</v>
      </c>
      <c r="L522" s="26">
        <v>0</v>
      </c>
      <c r="M522" s="26">
        <v>0</v>
      </c>
      <c r="N522" s="26">
        <v>0</v>
      </c>
      <c r="O522" s="26">
        <v>0</v>
      </c>
      <c r="P522" s="26">
        <v>0</v>
      </c>
      <c r="Q522" s="26">
        <v>0</v>
      </c>
      <c r="R522" s="26">
        <v>0</v>
      </c>
      <c r="S522" s="26">
        <v>0</v>
      </c>
      <c r="T522" s="26">
        <v>0</v>
      </c>
      <c r="U522" s="26">
        <v>0</v>
      </c>
      <c r="V522" s="26">
        <v>0</v>
      </c>
      <c r="W522" s="26">
        <v>0</v>
      </c>
      <c r="X522" s="26">
        <v>0</v>
      </c>
      <c r="Y522" s="26">
        <v>0</v>
      </c>
      <c r="Z522" s="26">
        <f t="shared" si="160"/>
        <v>0</v>
      </c>
      <c r="AA522" s="95"/>
      <c r="AB522" s="95"/>
      <c r="AC522" s="95"/>
      <c r="AD522" s="95"/>
      <c r="AE522" s="95"/>
      <c r="AF522" s="95"/>
      <c r="AG522" s="95"/>
      <c r="AH522" s="95"/>
      <c r="AI522" s="95"/>
      <c r="AJ522" s="95"/>
      <c r="AK522" s="95"/>
      <c r="AL522" s="95"/>
      <c r="AM522" s="95"/>
      <c r="AN522" s="96"/>
      <c r="AO522" s="96"/>
      <c r="AP522" s="96"/>
      <c r="AQ522" s="96"/>
      <c r="AR522" s="96"/>
      <c r="AS522" s="96"/>
      <c r="AT522" s="96"/>
      <c r="AU522" s="96"/>
      <c r="AV522" s="96"/>
      <c r="AW522" s="96"/>
      <c r="AX522" s="96"/>
      <c r="AY522" s="96"/>
      <c r="AZ522" s="96"/>
      <c r="BA522" s="96"/>
    </row>
    <row r="523" spans="1:53" s="97" customFormat="1" ht="12" customHeight="1">
      <c r="A523" s="8">
        <v>5204</v>
      </c>
      <c r="B523" s="8" t="s">
        <v>842</v>
      </c>
      <c r="C523" s="80">
        <f>+VLOOKUP(A523,Clasificaciones!C:I,5,FALSE)</f>
        <v>10145</v>
      </c>
      <c r="D523" s="80">
        <v>0</v>
      </c>
      <c r="E523" s="80">
        <v>0</v>
      </c>
      <c r="F523" s="80">
        <v>0</v>
      </c>
      <c r="G523" s="80">
        <f t="shared" si="151"/>
        <v>10145</v>
      </c>
      <c r="H523" s="26">
        <v>0</v>
      </c>
      <c r="I523" s="26">
        <v>0</v>
      </c>
      <c r="J523" s="26"/>
      <c r="K523" s="26">
        <v>0</v>
      </c>
      <c r="L523" s="26">
        <f>-G523</f>
        <v>-10145</v>
      </c>
      <c r="M523" s="26">
        <v>0</v>
      </c>
      <c r="N523" s="26">
        <v>0</v>
      </c>
      <c r="O523" s="26">
        <v>0</v>
      </c>
      <c r="P523" s="26">
        <v>0</v>
      </c>
      <c r="Q523" s="26">
        <v>0</v>
      </c>
      <c r="R523" s="26">
        <v>0</v>
      </c>
      <c r="S523" s="26">
        <v>0</v>
      </c>
      <c r="T523" s="26">
        <v>0</v>
      </c>
      <c r="U523" s="26">
        <v>0</v>
      </c>
      <c r="V523" s="26">
        <v>0</v>
      </c>
      <c r="W523" s="26">
        <v>0</v>
      </c>
      <c r="X523" s="26">
        <v>0</v>
      </c>
      <c r="Y523" s="26">
        <v>0</v>
      </c>
      <c r="Z523" s="26">
        <f t="shared" si="160"/>
        <v>0</v>
      </c>
      <c r="AA523" s="95"/>
      <c r="AB523" s="95"/>
      <c r="AC523" s="95"/>
      <c r="AD523" s="95"/>
      <c r="AE523" s="95"/>
      <c r="AF523" s="95"/>
      <c r="AG523" s="95"/>
      <c r="AH523" s="95"/>
      <c r="AI523" s="95"/>
      <c r="AJ523" s="95"/>
      <c r="AK523" s="95"/>
      <c r="AL523" s="95"/>
      <c r="AM523" s="95"/>
      <c r="AN523" s="96"/>
      <c r="AO523" s="96"/>
      <c r="AP523" s="96"/>
      <c r="AQ523" s="96"/>
      <c r="AR523" s="96"/>
      <c r="AS523" s="96"/>
      <c r="AT523" s="96"/>
      <c r="AU523" s="96"/>
      <c r="AV523" s="96"/>
      <c r="AW523" s="96"/>
      <c r="AX523" s="96"/>
      <c r="AY523" s="96"/>
      <c r="AZ523" s="96"/>
      <c r="BA523" s="96"/>
    </row>
    <row r="524" spans="1:53" s="14" customFormat="1" ht="10.199999999999999">
      <c r="A524" s="10"/>
      <c r="B524" s="10" t="s">
        <v>56</v>
      </c>
      <c r="C524" s="27">
        <f>-C297</f>
        <v>619971576</v>
      </c>
      <c r="D524" s="27">
        <v>0</v>
      </c>
      <c r="E524" s="878">
        <f>+C524</f>
        <v>619971576</v>
      </c>
      <c r="F524" s="27">
        <v>0</v>
      </c>
      <c r="G524" s="27">
        <f>+C524+D524-E524</f>
        <v>0</v>
      </c>
      <c r="H524" s="27"/>
      <c r="I524" s="27"/>
      <c r="J524" s="27"/>
      <c r="K524" s="27"/>
      <c r="L524" s="27"/>
      <c r="M524" s="27"/>
      <c r="N524" s="27"/>
      <c r="O524" s="27"/>
      <c r="P524" s="27"/>
      <c r="Q524" s="27"/>
      <c r="R524" s="27"/>
      <c r="S524" s="27"/>
      <c r="T524" s="27"/>
      <c r="U524" s="27"/>
      <c r="V524" s="27"/>
      <c r="W524" s="27"/>
      <c r="X524" s="27"/>
      <c r="Y524" s="27"/>
      <c r="Z524" s="27">
        <f t="shared" ref="Z524" si="171">SUM(G524:Y524)</f>
        <v>0</v>
      </c>
      <c r="AA524" s="12"/>
      <c r="AB524" s="12"/>
      <c r="AC524" s="12"/>
      <c r="AD524" s="12"/>
      <c r="AE524" s="12"/>
      <c r="AF524" s="12"/>
      <c r="AG524" s="12"/>
      <c r="AH524" s="12"/>
      <c r="AI524" s="12"/>
      <c r="AJ524" s="12"/>
      <c r="AK524" s="12"/>
      <c r="AL524" s="12"/>
      <c r="AM524" s="12"/>
      <c r="AN524" s="13"/>
      <c r="AO524" s="13"/>
      <c r="AP524" s="13"/>
      <c r="AQ524" s="13"/>
      <c r="AR524" s="13"/>
      <c r="AS524" s="13"/>
      <c r="AT524" s="13"/>
      <c r="AU524" s="13"/>
      <c r="AV524" s="13"/>
      <c r="AW524" s="13"/>
      <c r="AX524" s="13"/>
      <c r="AY524" s="13"/>
      <c r="AZ524" s="13"/>
      <c r="BA524" s="13"/>
    </row>
    <row r="525" spans="1:53" s="2" customFormat="1" ht="10.8" thickBot="1">
      <c r="A525" s="3"/>
      <c r="B525" s="3" t="s">
        <v>75</v>
      </c>
      <c r="C525" s="28">
        <f>+SUM(C4:C524)</f>
        <v>0</v>
      </c>
      <c r="D525" s="28">
        <f>SUM(D4:D524)</f>
        <v>4857580584</v>
      </c>
      <c r="E525" s="28">
        <f>SUM(E4:E524)</f>
        <v>4857580584</v>
      </c>
      <c r="F525" s="28">
        <f t="shared" ref="F525:Z525" si="172">SUM(F4:F524)</f>
        <v>0</v>
      </c>
      <c r="G525" s="28">
        <f>SUM(G4:G524)</f>
        <v>0</v>
      </c>
      <c r="H525" s="28">
        <f>SUM(H4:H524)</f>
        <v>1608472774</v>
      </c>
      <c r="I525" s="28">
        <f t="shared" si="172"/>
        <v>-2465026067</v>
      </c>
      <c r="J525" s="28">
        <f t="shared" si="172"/>
        <v>0</v>
      </c>
      <c r="K525" s="28">
        <f t="shared" si="172"/>
        <v>0</v>
      </c>
      <c r="L525" s="28">
        <f t="shared" si="172"/>
        <v>-2469034333</v>
      </c>
      <c r="M525" s="28">
        <f t="shared" si="172"/>
        <v>-10339406</v>
      </c>
      <c r="N525" s="28">
        <f t="shared" si="172"/>
        <v>0</v>
      </c>
      <c r="O525" s="28">
        <f t="shared" si="172"/>
        <v>0</v>
      </c>
      <c r="P525" s="28">
        <f t="shared" si="172"/>
        <v>0</v>
      </c>
      <c r="Q525" s="28">
        <f t="shared" si="172"/>
        <v>-112384403</v>
      </c>
      <c r="R525" s="28">
        <f t="shared" si="172"/>
        <v>-12262262911</v>
      </c>
      <c r="S525" s="28">
        <f t="shared" si="172"/>
        <v>2998727008</v>
      </c>
      <c r="T525" s="28">
        <f t="shared" si="172"/>
        <v>0</v>
      </c>
      <c r="U525" s="28">
        <f t="shared" si="172"/>
        <v>0</v>
      </c>
      <c r="V525" s="28">
        <f t="shared" si="172"/>
        <v>11595829017</v>
      </c>
      <c r="W525" s="28">
        <f t="shared" si="172"/>
        <v>0</v>
      </c>
      <c r="X525" s="28">
        <f t="shared" si="172"/>
        <v>-254263541</v>
      </c>
      <c r="Y525" s="28">
        <f t="shared" si="172"/>
        <v>-168772165</v>
      </c>
      <c r="Z525" s="28">
        <f t="shared" si="172"/>
        <v>-1539054027</v>
      </c>
      <c r="AA525" s="57"/>
      <c r="AB525" s="57"/>
      <c r="AC525" s="57"/>
      <c r="AD525" s="57"/>
      <c r="AE525" s="57"/>
      <c r="AF525" s="57"/>
      <c r="AG525" s="57"/>
      <c r="AH525" s="57"/>
      <c r="AI525" s="57"/>
      <c r="AJ525" s="57"/>
      <c r="AK525" s="57"/>
      <c r="AL525" s="57"/>
      <c r="AM525" s="57"/>
      <c r="AN525" s="1"/>
      <c r="AO525" s="1"/>
      <c r="AP525" s="1"/>
      <c r="AQ525" s="1"/>
      <c r="AR525" s="1"/>
      <c r="AS525" s="1"/>
      <c r="AT525" s="1"/>
      <c r="AU525" s="1"/>
      <c r="AV525" s="1"/>
      <c r="AW525" s="1"/>
      <c r="AX525" s="1"/>
      <c r="AY525" s="1"/>
      <c r="AZ525" s="1"/>
      <c r="BA525" s="1"/>
    </row>
    <row r="526" spans="1:53" s="70" customFormat="1" ht="14.4" thickTop="1">
      <c r="E526" s="81">
        <f>+E525-D525</f>
        <v>0</v>
      </c>
      <c r="F526" s="70" t="s">
        <v>1277</v>
      </c>
      <c r="H526" s="24"/>
      <c r="I526" s="15"/>
      <c r="J526" s="15"/>
      <c r="K526" s="15"/>
      <c r="L526" s="15"/>
      <c r="M526" s="15">
        <f>+SUM(H525:M525)</f>
        <v>-3335927032</v>
      </c>
      <c r="N526" s="15"/>
      <c r="O526" s="15"/>
      <c r="P526" s="15"/>
      <c r="Q526" s="15"/>
      <c r="R526" s="15"/>
      <c r="S526" s="15"/>
      <c r="T526" s="15">
        <f>+SUM(N525:T525)</f>
        <v>-9375920306</v>
      </c>
      <c r="U526" s="15"/>
      <c r="V526" s="15"/>
      <c r="W526" s="15"/>
      <c r="X526" s="15">
        <f>+SUM(U525:X525)</f>
        <v>11341565476</v>
      </c>
      <c r="Y526" s="15">
        <f>Y525</f>
        <v>-168772165</v>
      </c>
      <c r="Z526" s="29">
        <f>SUM(G526:Y526)</f>
        <v>-1539054027</v>
      </c>
      <c r="AA526" s="16">
        <f>+Z525-Z526</f>
        <v>0</v>
      </c>
      <c r="AB526" s="16"/>
      <c r="AC526" s="16"/>
      <c r="AD526" s="16"/>
      <c r="AE526" s="16"/>
      <c r="AF526" s="16"/>
      <c r="AG526" s="16"/>
      <c r="AH526" s="16"/>
      <c r="AI526" s="16"/>
      <c r="AJ526" s="16"/>
      <c r="AK526" s="16"/>
      <c r="AL526" s="16"/>
      <c r="AM526" s="16"/>
      <c r="AN526" s="71"/>
      <c r="AO526" s="71"/>
      <c r="AP526" s="71"/>
      <c r="AQ526" s="71"/>
      <c r="AR526" s="71"/>
      <c r="AS526" s="71"/>
      <c r="AT526" s="71"/>
      <c r="AU526" s="71"/>
      <c r="AV526" s="71"/>
      <c r="AW526" s="71"/>
      <c r="AX526" s="71"/>
      <c r="AY526" s="71"/>
      <c r="AZ526" s="71"/>
      <c r="BA526" s="71"/>
    </row>
    <row r="527" spans="1:53" ht="13.8">
      <c r="A527" s="72"/>
      <c r="B527" s="72"/>
      <c r="C527" s="72"/>
      <c r="D527" s="72"/>
      <c r="E527" s="73"/>
      <c r="F527" s="72"/>
      <c r="G527" s="72"/>
      <c r="H527" s="7"/>
      <c r="I527" s="7"/>
      <c r="J527" s="7"/>
      <c r="K527" s="7"/>
      <c r="L527" s="7"/>
      <c r="M527" s="7"/>
      <c r="N527" s="7"/>
      <c r="O527" s="7"/>
      <c r="P527" s="7"/>
      <c r="Q527" s="7"/>
      <c r="R527" s="7"/>
      <c r="S527" s="7"/>
      <c r="T527" s="7"/>
      <c r="U527" s="7"/>
      <c r="V527" s="7"/>
      <c r="W527" s="7"/>
      <c r="X527" s="7"/>
      <c r="Y527" s="7"/>
      <c r="Z527" s="30"/>
      <c r="AA527" s="74"/>
      <c r="AB527" s="57"/>
      <c r="AC527" s="57"/>
      <c r="AD527" s="57"/>
      <c r="AE527" s="57"/>
      <c r="AF527" s="57"/>
      <c r="AG527" s="57"/>
      <c r="AH527" s="57"/>
      <c r="AI527" s="57"/>
      <c r="AJ527" s="57"/>
      <c r="AK527" s="57"/>
      <c r="AL527" s="57"/>
      <c r="AM527" s="57"/>
    </row>
    <row r="528" spans="1:53" ht="13.8">
      <c r="A528" s="69"/>
      <c r="B528" s="69"/>
      <c r="C528" s="69"/>
      <c r="D528" s="143"/>
      <c r="E528" s="143"/>
      <c r="F528" s="143"/>
      <c r="G528" s="69"/>
      <c r="H528" s="69"/>
      <c r="I528" s="69"/>
      <c r="J528" s="69"/>
      <c r="K528" s="69"/>
      <c r="L528" s="69"/>
      <c r="M528" s="69"/>
      <c r="N528" s="69"/>
      <c r="O528" s="69"/>
      <c r="P528" s="69"/>
      <c r="Q528" s="69"/>
      <c r="R528" s="69"/>
      <c r="S528" s="69"/>
      <c r="T528" s="69"/>
      <c r="U528" s="69"/>
      <c r="V528" s="69"/>
      <c r="W528" s="69"/>
      <c r="X528" s="69"/>
      <c r="Y528" s="69"/>
      <c r="Z528" s="75"/>
      <c r="AA528" s="74"/>
    </row>
    <row r="529" spans="3:25" ht="13.8">
      <c r="C529" s="76"/>
      <c r="D529" s="77"/>
      <c r="E529" s="144"/>
      <c r="F529" s="76"/>
      <c r="G529" s="4"/>
      <c r="H529" s="5"/>
      <c r="I529" s="5"/>
      <c r="J529" s="5"/>
      <c r="K529" s="5"/>
      <c r="L529" s="5"/>
      <c r="M529" s="5"/>
      <c r="N529" s="5"/>
      <c r="O529" s="5"/>
      <c r="P529" s="5"/>
      <c r="Q529" s="5"/>
      <c r="R529" s="5"/>
      <c r="S529" s="5"/>
      <c r="T529" s="5"/>
      <c r="U529" s="5"/>
      <c r="V529" s="5"/>
      <c r="W529" s="5"/>
      <c r="X529" s="5"/>
      <c r="Y529" s="5"/>
    </row>
    <row r="530" spans="3:25" ht="13.8">
      <c r="C530" s="79"/>
      <c r="H530" s="6"/>
      <c r="I530" s="6"/>
      <c r="J530" s="6"/>
      <c r="K530" s="6"/>
      <c r="L530" s="6"/>
      <c r="M530" s="6"/>
      <c r="N530" s="6"/>
      <c r="O530" s="6"/>
      <c r="P530" s="6"/>
      <c r="Q530" s="6"/>
      <c r="R530" s="6"/>
      <c r="S530" s="6"/>
      <c r="T530" s="6"/>
      <c r="U530" s="6"/>
      <c r="V530" s="6"/>
      <c r="W530" s="6"/>
      <c r="X530" s="6"/>
      <c r="Y530" s="6"/>
    </row>
    <row r="531" spans="3:25" ht="15" customHeight="1">
      <c r="C531" s="79"/>
    </row>
  </sheetData>
  <autoFilter ref="A3:WWJ526" xr:uid="{00000000-0001-0000-0500-000000000000}"/>
  <customSheetViews>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1"/>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2"/>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3"/>
    </customSheetView>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7">
    <mergeCell ref="A2:A3"/>
    <mergeCell ref="B2:B3"/>
    <mergeCell ref="D2:E2"/>
    <mergeCell ref="Z2:Z3"/>
    <mergeCell ref="H2:M2"/>
    <mergeCell ref="N2:T2"/>
    <mergeCell ref="U2:Y2"/>
  </mergeCell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5F5A0-2066-4906-A20F-09F5F3C57CCA}">
  <sheetPr>
    <tabColor rgb="FFFFC000"/>
  </sheetPr>
  <dimension ref="A1:G476"/>
  <sheetViews>
    <sheetView showGridLines="0" zoomScale="90" zoomScaleNormal="90" workbookViewId="0">
      <pane xSplit="2" ySplit="7" topLeftCell="C8" activePane="bottomRight" state="frozen"/>
      <selection activeCell="Q525" sqref="Q525:S525"/>
      <selection pane="topRight" activeCell="Q525" sqref="Q525:S525"/>
      <selection pane="bottomLeft" activeCell="Q525" sqref="Q525:S525"/>
      <selection pane="bottomRight" activeCell="Q525" sqref="Q525:S525"/>
    </sheetView>
  </sheetViews>
  <sheetFormatPr baseColWidth="10" defaultColWidth="11.5546875" defaultRowHeight="15" customHeight="1"/>
  <cols>
    <col min="1" max="1" width="15.88671875" style="132" customWidth="1"/>
    <col min="2" max="2" width="49" style="132" customWidth="1"/>
    <col min="3" max="3" width="23.6640625" style="132" customWidth="1"/>
    <col min="4" max="4" width="22" style="132" customWidth="1"/>
    <col min="5" max="5" width="11.5546875" style="132"/>
    <col min="6" max="6" width="14.6640625" style="133" bestFit="1" customWidth="1"/>
    <col min="7" max="7" width="13.6640625" style="132" bestFit="1" customWidth="1"/>
    <col min="8" max="16384" width="11.5546875" style="132"/>
  </cols>
  <sheetData>
    <row r="1" spans="1:6" ht="15" customHeight="1">
      <c r="A1" s="140" t="s">
        <v>187</v>
      </c>
      <c r="B1" s="135"/>
      <c r="C1" s="135"/>
    </row>
    <row r="3" spans="1:6" ht="15" customHeight="1">
      <c r="B3" s="139" t="s">
        <v>618</v>
      </c>
      <c r="C3" s="138"/>
      <c r="D3" s="138"/>
    </row>
    <row r="4" spans="1:6" ht="15" customHeight="1">
      <c r="A4" s="137"/>
      <c r="B4" s="135"/>
      <c r="C4" s="135"/>
    </row>
    <row r="5" spans="1:6" ht="15" customHeight="1">
      <c r="B5" s="136" t="s">
        <v>1542</v>
      </c>
      <c r="C5" s="135"/>
    </row>
    <row r="6" spans="1:6" ht="15" customHeight="1">
      <c r="B6" s="135"/>
      <c r="C6" s="135"/>
    </row>
    <row r="7" spans="1:6" s="133" customFormat="1" ht="15" customHeight="1">
      <c r="A7" s="134" t="s">
        <v>1</v>
      </c>
      <c r="B7" s="134" t="s">
        <v>74</v>
      </c>
      <c r="C7" s="134" t="s">
        <v>619</v>
      </c>
      <c r="D7" s="134" t="s">
        <v>620</v>
      </c>
      <c r="F7" s="134" t="s">
        <v>1289</v>
      </c>
    </row>
    <row r="8" spans="1:6" s="812" customFormat="1" ht="15" customHeight="1">
      <c r="A8" s="801">
        <v>1</v>
      </c>
      <c r="B8" s="141" t="s">
        <v>3</v>
      </c>
      <c r="C8" s="141">
        <v>200783334954</v>
      </c>
      <c r="D8" s="806">
        <v>29404850.190000001</v>
      </c>
      <c r="E8" s="812">
        <f>+VLOOKUP(A8,Clasificaciones!C:C,1,FALSE)</f>
        <v>1</v>
      </c>
      <c r="F8" s="813" t="s">
        <v>6</v>
      </c>
    </row>
    <row r="9" spans="1:6" s="814" customFormat="1" ht="15" customHeight="1">
      <c r="A9" s="801">
        <v>11</v>
      </c>
      <c r="B9" s="141" t="s">
        <v>4</v>
      </c>
      <c r="C9" s="141">
        <v>189470100704</v>
      </c>
      <c r="D9" s="806">
        <v>27708611.84</v>
      </c>
      <c r="E9" s="814">
        <f>+VLOOKUP(A9,Clasificaciones!C:C,1,FALSE)</f>
        <v>11</v>
      </c>
      <c r="F9" s="815" t="s">
        <v>6</v>
      </c>
    </row>
    <row r="10" spans="1:6" s="814" customFormat="1" ht="15" customHeight="1">
      <c r="A10" s="801">
        <v>111</v>
      </c>
      <c r="B10" s="141" t="s">
        <v>5</v>
      </c>
      <c r="C10" s="141">
        <v>1350719970</v>
      </c>
      <c r="D10" s="806">
        <v>197534.34</v>
      </c>
      <c r="E10" s="814">
        <f>+VLOOKUP(A10,Clasificaciones!C:C,1,FALSE)</f>
        <v>111</v>
      </c>
      <c r="F10" s="815" t="s">
        <v>6</v>
      </c>
    </row>
    <row r="11" spans="1:6" s="814" customFormat="1" ht="15" customHeight="1">
      <c r="A11" s="801">
        <v>11103</v>
      </c>
      <c r="B11" s="141" t="s">
        <v>16</v>
      </c>
      <c r="C11" s="141">
        <v>1350719970</v>
      </c>
      <c r="D11" s="806">
        <v>197534.34</v>
      </c>
      <c r="E11" s="814">
        <f>+VLOOKUP(A11,Clasificaciones!C:C,1,FALSE)</f>
        <v>11103</v>
      </c>
      <c r="F11" s="815" t="s">
        <v>6</v>
      </c>
    </row>
    <row r="12" spans="1:6" s="814" customFormat="1" ht="15" customHeight="1">
      <c r="A12" s="801">
        <v>1110301</v>
      </c>
      <c r="B12" s="141" t="s">
        <v>621</v>
      </c>
      <c r="C12" s="141">
        <v>261977591</v>
      </c>
      <c r="D12" s="806">
        <v>38312.589999999997</v>
      </c>
      <c r="E12" s="814">
        <f>+VLOOKUP(A12,Clasificaciones!C:C,1,FALSE)</f>
        <v>1110301</v>
      </c>
      <c r="F12" s="815" t="s">
        <v>6</v>
      </c>
    </row>
    <row r="13" spans="1:6" s="814" customFormat="1" ht="15" customHeight="1">
      <c r="A13" s="801">
        <v>111030102</v>
      </c>
      <c r="B13" s="141" t="s">
        <v>622</v>
      </c>
      <c r="C13" s="141">
        <v>28344</v>
      </c>
      <c r="D13" s="806">
        <v>4.1500000000000004</v>
      </c>
      <c r="E13" s="814">
        <f>+VLOOKUP(A13,Clasificaciones!C:C,1,FALSE)</f>
        <v>111030102</v>
      </c>
      <c r="F13" s="815" t="s">
        <v>6</v>
      </c>
    </row>
    <row r="14" spans="1:6" s="814" customFormat="1" ht="15" customHeight="1">
      <c r="A14" s="801">
        <v>111030103</v>
      </c>
      <c r="B14" s="141" t="s">
        <v>623</v>
      </c>
      <c r="C14" s="141">
        <v>7027989</v>
      </c>
      <c r="D14" s="806">
        <v>1027.8</v>
      </c>
      <c r="E14" s="814">
        <f>+VLOOKUP(A14,Clasificaciones!C:C,1,FALSE)</f>
        <v>111030103</v>
      </c>
      <c r="F14" s="815" t="s">
        <v>6</v>
      </c>
    </row>
    <row r="15" spans="1:6" s="814" customFormat="1" ht="15" customHeight="1">
      <c r="A15" s="801">
        <v>111030104</v>
      </c>
      <c r="B15" s="141" t="s">
        <v>624</v>
      </c>
      <c r="C15" s="141">
        <v>7000000</v>
      </c>
      <c r="D15" s="806">
        <v>1023.71</v>
      </c>
      <c r="E15" s="814">
        <f>+VLOOKUP(A15,Clasificaciones!C:C,1,FALSE)</f>
        <v>111030104</v>
      </c>
      <c r="F15" s="815" t="s">
        <v>6</v>
      </c>
    </row>
    <row r="16" spans="1:6" s="814" customFormat="1" ht="15" customHeight="1">
      <c r="A16" s="801">
        <v>111030106</v>
      </c>
      <c r="B16" s="141" t="s">
        <v>625</v>
      </c>
      <c r="C16" s="141">
        <v>7428913</v>
      </c>
      <c r="D16" s="806">
        <v>1086.43</v>
      </c>
      <c r="E16" s="814">
        <f>+VLOOKUP(A16,Clasificaciones!C:C,1,FALSE)</f>
        <v>111030106</v>
      </c>
      <c r="F16" s="815" t="s">
        <v>6</v>
      </c>
    </row>
    <row r="17" spans="1:6" s="814" customFormat="1" ht="15" customHeight="1">
      <c r="A17" s="801">
        <v>111030107</v>
      </c>
      <c r="B17" s="141" t="s">
        <v>626</v>
      </c>
      <c r="C17" s="141">
        <v>300662</v>
      </c>
      <c r="D17" s="806">
        <v>43.97</v>
      </c>
      <c r="E17" s="814">
        <f>+VLOOKUP(A17,Clasificaciones!C:C,1,FALSE)</f>
        <v>111030107</v>
      </c>
      <c r="F17" s="815" t="s">
        <v>6</v>
      </c>
    </row>
    <row r="18" spans="1:6" s="814" customFormat="1" ht="15" customHeight="1">
      <c r="A18" s="801">
        <v>111030108</v>
      </c>
      <c r="B18" s="141" t="s">
        <v>1553</v>
      </c>
      <c r="C18" s="141">
        <v>7944691</v>
      </c>
      <c r="D18" s="806">
        <v>1161.8599999999999</v>
      </c>
      <c r="E18" s="814">
        <f>+VLOOKUP(A18,Clasificaciones!C:C,1,FALSE)</f>
        <v>111030108</v>
      </c>
      <c r="F18" s="815" t="s">
        <v>6</v>
      </c>
    </row>
    <row r="19" spans="1:6" s="814" customFormat="1" ht="15" customHeight="1">
      <c r="A19" s="801">
        <v>111030109</v>
      </c>
      <c r="B19" s="141" t="s">
        <v>628</v>
      </c>
      <c r="C19" s="141">
        <v>3982</v>
      </c>
      <c r="D19" s="806">
        <v>0.57999999999999996</v>
      </c>
      <c r="E19" s="814">
        <f>+VLOOKUP(A19,Clasificaciones!C:C,1,FALSE)</f>
        <v>111030109</v>
      </c>
      <c r="F19" s="815" t="s">
        <v>6</v>
      </c>
    </row>
    <row r="20" spans="1:6" s="814" customFormat="1" ht="15" customHeight="1">
      <c r="A20" s="801">
        <v>111030110</v>
      </c>
      <c r="B20" s="141" t="s">
        <v>861</v>
      </c>
      <c r="C20" s="141">
        <v>182450</v>
      </c>
      <c r="D20" s="806">
        <v>26.68</v>
      </c>
      <c r="E20" s="814">
        <f>+VLOOKUP(A20,Clasificaciones!C:C,1,FALSE)</f>
        <v>111030110</v>
      </c>
      <c r="F20" s="815" t="s">
        <v>6</v>
      </c>
    </row>
    <row r="21" spans="1:6" s="814" customFormat="1" ht="15" customHeight="1">
      <c r="A21" s="801">
        <v>111030111</v>
      </c>
      <c r="B21" s="141" t="s">
        <v>847</v>
      </c>
      <c r="C21" s="141">
        <v>36702</v>
      </c>
      <c r="D21" s="806">
        <v>5.37</v>
      </c>
      <c r="E21" s="814">
        <f>+VLOOKUP(A21,Clasificaciones!C:C,1,FALSE)</f>
        <v>111030111</v>
      </c>
      <c r="F21" s="815" t="s">
        <v>6</v>
      </c>
    </row>
    <row r="22" spans="1:6" s="814" customFormat="1" ht="15" customHeight="1">
      <c r="A22" s="801">
        <v>111030112</v>
      </c>
      <c r="B22" s="141" t="s">
        <v>629</v>
      </c>
      <c r="C22" s="141">
        <v>263042</v>
      </c>
      <c r="D22" s="806">
        <v>38.47</v>
      </c>
      <c r="E22" s="814">
        <f>+VLOOKUP(A22,Clasificaciones!C:C,1,FALSE)</f>
        <v>111030112</v>
      </c>
      <c r="F22" s="815" t="s">
        <v>6</v>
      </c>
    </row>
    <row r="23" spans="1:6" s="814" customFormat="1" ht="15" customHeight="1">
      <c r="A23" s="801">
        <v>111030113</v>
      </c>
      <c r="B23" s="141" t="s">
        <v>630</v>
      </c>
      <c r="C23" s="141">
        <v>10047228</v>
      </c>
      <c r="D23" s="806">
        <v>1469.34</v>
      </c>
      <c r="E23" s="814">
        <f>+VLOOKUP(A23,Clasificaciones!C:C,1,FALSE)</f>
        <v>111030113</v>
      </c>
      <c r="F23" s="815" t="s">
        <v>6</v>
      </c>
    </row>
    <row r="24" spans="1:6" s="814" customFormat="1" ht="15" customHeight="1">
      <c r="A24" s="801">
        <v>111030114</v>
      </c>
      <c r="B24" s="141" t="s">
        <v>631</v>
      </c>
      <c r="C24" s="141">
        <v>6693960</v>
      </c>
      <c r="D24" s="806">
        <v>978.95</v>
      </c>
      <c r="E24" s="814">
        <f>+VLOOKUP(A24,Clasificaciones!C:C,1,FALSE)</f>
        <v>111030114</v>
      </c>
      <c r="F24" s="815" t="s">
        <v>6</v>
      </c>
    </row>
    <row r="25" spans="1:6" s="814" customFormat="1" ht="15" customHeight="1">
      <c r="A25" s="801">
        <v>111030116</v>
      </c>
      <c r="B25" s="141" t="s">
        <v>1181</v>
      </c>
      <c r="C25" s="141">
        <v>3800000</v>
      </c>
      <c r="D25" s="806">
        <v>555.73</v>
      </c>
      <c r="E25" s="814">
        <f>+VLOOKUP(A25,Clasificaciones!C:C,1,FALSE)</f>
        <v>111030116</v>
      </c>
      <c r="F25" s="815" t="s">
        <v>6</v>
      </c>
    </row>
    <row r="26" spans="1:6" s="814" customFormat="1" ht="15" customHeight="1">
      <c r="A26" s="801">
        <v>111030117</v>
      </c>
      <c r="B26" s="141" t="s">
        <v>863</v>
      </c>
      <c r="C26" s="141">
        <v>1001731</v>
      </c>
      <c r="D26" s="806">
        <v>146.5</v>
      </c>
      <c r="E26" s="814">
        <f>+VLOOKUP(A26,Clasificaciones!C:C,1,FALSE)</f>
        <v>111030117</v>
      </c>
      <c r="F26" s="815" t="s">
        <v>6</v>
      </c>
    </row>
    <row r="27" spans="1:6" s="814" customFormat="1" ht="15" customHeight="1">
      <c r="A27" s="801">
        <v>111030118</v>
      </c>
      <c r="B27" s="141" t="s">
        <v>1182</v>
      </c>
      <c r="C27" s="141">
        <v>98487176</v>
      </c>
      <c r="D27" s="806">
        <v>14403.13</v>
      </c>
      <c r="E27" s="814">
        <f>+VLOOKUP(A27,Clasificaciones!C:C,1,FALSE)</f>
        <v>111030118</v>
      </c>
      <c r="F27" s="815" t="s">
        <v>6</v>
      </c>
    </row>
    <row r="28" spans="1:6" s="814" customFormat="1" ht="15" customHeight="1">
      <c r="A28" s="801">
        <v>111030119</v>
      </c>
      <c r="B28" s="141" t="s">
        <v>1495</v>
      </c>
      <c r="C28" s="141">
        <v>3293281</v>
      </c>
      <c r="D28" s="806">
        <v>481.62</v>
      </c>
      <c r="E28" s="814">
        <f>+VLOOKUP(A28,Clasificaciones!C:C,1,FALSE)</f>
        <v>111030119</v>
      </c>
      <c r="F28" s="815" t="s">
        <v>6</v>
      </c>
    </row>
    <row r="29" spans="1:6" s="814" customFormat="1" ht="15" customHeight="1">
      <c r="A29" s="801">
        <v>111030120</v>
      </c>
      <c r="B29" s="141" t="s">
        <v>864</v>
      </c>
      <c r="C29" s="141">
        <v>1787672</v>
      </c>
      <c r="D29" s="806">
        <v>261.44</v>
      </c>
      <c r="E29" s="814">
        <f>+VLOOKUP(A29,Clasificaciones!C:C,1,FALSE)</f>
        <v>111030120</v>
      </c>
      <c r="F29" s="815" t="s">
        <v>6</v>
      </c>
    </row>
    <row r="30" spans="1:6" s="814" customFormat="1" ht="15" customHeight="1">
      <c r="A30" s="801">
        <v>111030121</v>
      </c>
      <c r="B30" s="141" t="s">
        <v>865</v>
      </c>
      <c r="C30" s="141">
        <v>75842113</v>
      </c>
      <c r="D30" s="806">
        <v>11091.43</v>
      </c>
      <c r="E30" s="814">
        <f>+VLOOKUP(A30,Clasificaciones!C:C,1,FALSE)</f>
        <v>111030121</v>
      </c>
      <c r="F30" s="815" t="s">
        <v>6</v>
      </c>
    </row>
    <row r="31" spans="1:6" s="814" customFormat="1" ht="15" customHeight="1">
      <c r="A31" s="801">
        <v>111030122</v>
      </c>
      <c r="B31" s="141" t="s">
        <v>1183</v>
      </c>
      <c r="C31" s="141">
        <v>23344122</v>
      </c>
      <c r="D31" s="806">
        <v>3413.93</v>
      </c>
      <c r="E31" s="814">
        <f>+VLOOKUP(A31,Clasificaciones!C:C,1,FALSE)</f>
        <v>111030122</v>
      </c>
      <c r="F31" s="815" t="s">
        <v>186</v>
      </c>
    </row>
    <row r="32" spans="1:6" s="814" customFormat="1" ht="15" customHeight="1">
      <c r="A32" s="801">
        <v>111030123</v>
      </c>
      <c r="B32" s="141" t="s">
        <v>1496</v>
      </c>
      <c r="C32" s="141">
        <v>5463533</v>
      </c>
      <c r="D32" s="806">
        <v>799.01</v>
      </c>
      <c r="E32" s="814">
        <f>+VLOOKUP(A32,Clasificaciones!C:C,1,FALSE)</f>
        <v>111030123</v>
      </c>
      <c r="F32" s="815" t="s">
        <v>186</v>
      </c>
    </row>
    <row r="33" spans="1:6" s="814" customFormat="1" ht="15" customHeight="1">
      <c r="A33" s="801">
        <v>111030124</v>
      </c>
      <c r="B33" s="141" t="s">
        <v>1497</v>
      </c>
      <c r="C33" s="141">
        <v>2000000</v>
      </c>
      <c r="D33" s="806">
        <v>292.49</v>
      </c>
      <c r="E33" s="814">
        <f>+VLOOKUP(A33,Clasificaciones!C:C,1,FALSE)</f>
        <v>111030124</v>
      </c>
      <c r="F33" s="815" t="s">
        <v>186</v>
      </c>
    </row>
    <row r="34" spans="1:6" s="814" customFormat="1" ht="15" customHeight="1">
      <c r="A34" s="801">
        <v>1110302</v>
      </c>
      <c r="B34" s="141" t="s">
        <v>632</v>
      </c>
      <c r="C34" s="141">
        <v>1088742379</v>
      </c>
      <c r="D34" s="806">
        <v>159221.75</v>
      </c>
      <c r="E34" s="814">
        <f>+VLOOKUP(A34,Clasificaciones!C:C,1,FALSE)</f>
        <v>1110302</v>
      </c>
      <c r="F34" s="815" t="s">
        <v>186</v>
      </c>
    </row>
    <row r="35" spans="1:6" s="814" customFormat="1" ht="15" customHeight="1">
      <c r="A35" s="801">
        <v>111030201</v>
      </c>
      <c r="B35" s="141" t="s">
        <v>866</v>
      </c>
      <c r="C35" s="141">
        <v>1</v>
      </c>
      <c r="D35" s="806">
        <v>0</v>
      </c>
      <c r="E35" s="814">
        <f>+VLOOKUP(A35,Clasificaciones!C:C,1,FALSE)</f>
        <v>111030201</v>
      </c>
      <c r="F35" s="815" t="s">
        <v>186</v>
      </c>
    </row>
    <row r="36" spans="1:6" s="814" customFormat="1" ht="15" customHeight="1">
      <c r="A36" s="801">
        <v>111030202</v>
      </c>
      <c r="B36" s="141" t="s">
        <v>633</v>
      </c>
      <c r="C36" s="141">
        <v>581286244</v>
      </c>
      <c r="D36" s="806">
        <v>85009.47</v>
      </c>
      <c r="E36" s="814">
        <f>+VLOOKUP(A36,Clasificaciones!C:C,1,FALSE)</f>
        <v>111030202</v>
      </c>
      <c r="F36" s="815" t="s">
        <v>186</v>
      </c>
    </row>
    <row r="37" spans="1:6" s="814" customFormat="1" ht="15" customHeight="1">
      <c r="A37" s="801">
        <v>111030203</v>
      </c>
      <c r="B37" s="141" t="s">
        <v>634</v>
      </c>
      <c r="C37" s="141">
        <v>47338782</v>
      </c>
      <c r="D37" s="806">
        <v>6923</v>
      </c>
      <c r="E37" s="814">
        <f>+VLOOKUP(A37,Clasificaciones!C:C,1,FALSE)</f>
        <v>111030203</v>
      </c>
      <c r="F37" s="815" t="s">
        <v>186</v>
      </c>
    </row>
    <row r="38" spans="1:6" s="814" customFormat="1" ht="15" customHeight="1">
      <c r="A38" s="801">
        <v>111030204</v>
      </c>
      <c r="B38" s="141" t="s">
        <v>635</v>
      </c>
      <c r="C38" s="141">
        <v>52166681</v>
      </c>
      <c r="D38" s="806">
        <v>7629.05</v>
      </c>
      <c r="E38" s="814">
        <f>+VLOOKUP(A38,Clasificaciones!C:C,1,FALSE)</f>
        <v>111030204</v>
      </c>
      <c r="F38" s="815" t="s">
        <v>186</v>
      </c>
    </row>
    <row r="39" spans="1:6" s="814" customFormat="1" ht="15" customHeight="1">
      <c r="A39" s="801">
        <v>111030206</v>
      </c>
      <c r="B39" s="141" t="s">
        <v>636</v>
      </c>
      <c r="C39" s="141">
        <v>43415878</v>
      </c>
      <c r="D39" s="806">
        <v>6349.3</v>
      </c>
      <c r="E39" s="814">
        <f>+VLOOKUP(A39,Clasificaciones!C:C,1,FALSE)</f>
        <v>111030206</v>
      </c>
      <c r="F39" s="815" t="s">
        <v>186</v>
      </c>
    </row>
    <row r="40" spans="1:6" s="814" customFormat="1" ht="15" customHeight="1">
      <c r="A40" s="801">
        <v>111030207</v>
      </c>
      <c r="B40" s="141" t="s">
        <v>868</v>
      </c>
      <c r="C40" s="141">
        <v>626352</v>
      </c>
      <c r="D40" s="806">
        <v>91.6</v>
      </c>
      <c r="E40" s="814">
        <f>+VLOOKUP(A40,Clasificaciones!C:C,1,FALSE)</f>
        <v>111030207</v>
      </c>
      <c r="F40" s="815" t="s">
        <v>186</v>
      </c>
    </row>
    <row r="41" spans="1:6" s="814" customFormat="1" ht="15" customHeight="1">
      <c r="A41" s="801">
        <v>111030209</v>
      </c>
      <c r="B41" s="141" t="s">
        <v>637</v>
      </c>
      <c r="C41" s="141">
        <v>34668</v>
      </c>
      <c r="D41" s="806">
        <v>5.07</v>
      </c>
      <c r="E41" s="814">
        <f>+VLOOKUP(A41,Clasificaciones!C:C,1,FALSE)</f>
        <v>111030209</v>
      </c>
      <c r="F41" s="815" t="s">
        <v>186</v>
      </c>
    </row>
    <row r="42" spans="1:6" s="814" customFormat="1" ht="15" customHeight="1">
      <c r="A42" s="801">
        <v>111030210</v>
      </c>
      <c r="B42" s="141" t="s">
        <v>638</v>
      </c>
      <c r="C42" s="141">
        <v>52164636</v>
      </c>
      <c r="D42" s="806">
        <v>7628.75</v>
      </c>
      <c r="E42" s="814">
        <f>+VLOOKUP(A42,Clasificaciones!C:C,1,FALSE)</f>
        <v>111030210</v>
      </c>
      <c r="F42" s="815" t="s">
        <v>186</v>
      </c>
    </row>
    <row r="43" spans="1:6" s="814" customFormat="1" ht="15" customHeight="1">
      <c r="A43" s="801">
        <v>111030211</v>
      </c>
      <c r="B43" s="141" t="s">
        <v>1554</v>
      </c>
      <c r="C43" s="141">
        <v>22860878</v>
      </c>
      <c r="D43" s="806">
        <v>3343.26</v>
      </c>
      <c r="E43" s="814">
        <f>+VLOOKUP(A43,Clasificaciones!C:C,1,FALSE)</f>
        <v>111030211</v>
      </c>
      <c r="F43" s="815" t="s">
        <v>186</v>
      </c>
    </row>
    <row r="44" spans="1:6" s="814" customFormat="1" ht="15" customHeight="1">
      <c r="A44" s="801">
        <v>111030212</v>
      </c>
      <c r="B44" s="141" t="s">
        <v>640</v>
      </c>
      <c r="C44" s="141">
        <v>45566603</v>
      </c>
      <c r="D44" s="806">
        <v>6663.83</v>
      </c>
      <c r="E44" s="814">
        <f>+VLOOKUP(A44,Clasificaciones!C:C,1,FALSE)</f>
        <v>111030212</v>
      </c>
      <c r="F44" s="815" t="s">
        <v>186</v>
      </c>
    </row>
    <row r="45" spans="1:6" s="814" customFormat="1" ht="15" customHeight="1">
      <c r="A45" s="801">
        <v>111030214</v>
      </c>
      <c r="B45" s="141" t="s">
        <v>1498</v>
      </c>
      <c r="C45" s="141">
        <v>42633192</v>
      </c>
      <c r="D45" s="806">
        <v>6234.84</v>
      </c>
      <c r="E45" s="814">
        <f>+VLOOKUP(A45,Clasificaciones!C:C,1,FALSE)</f>
        <v>111030214</v>
      </c>
      <c r="F45" s="815" t="s">
        <v>186</v>
      </c>
    </row>
    <row r="46" spans="1:6" s="814" customFormat="1" ht="15" customHeight="1">
      <c r="A46" s="801">
        <v>111030216</v>
      </c>
      <c r="B46" s="141" t="s">
        <v>1223</v>
      </c>
      <c r="C46" s="141">
        <v>6841251</v>
      </c>
      <c r="D46" s="806">
        <v>1000.49</v>
      </c>
      <c r="E46" s="814">
        <f>+VLOOKUP(A46,Clasificaciones!C:C,1,FALSE)</f>
        <v>111030216</v>
      </c>
      <c r="F46" s="815" t="s">
        <v>186</v>
      </c>
    </row>
    <row r="47" spans="1:6" s="814" customFormat="1" ht="15" customHeight="1">
      <c r="A47" s="801">
        <v>111030217</v>
      </c>
      <c r="B47" s="141" t="s">
        <v>642</v>
      </c>
      <c r="C47" s="141">
        <v>93216304</v>
      </c>
      <c r="D47" s="806">
        <v>13632.3</v>
      </c>
      <c r="E47" s="814">
        <f>+VLOOKUP(A47,Clasificaciones!C:C,1,FALSE)</f>
        <v>111030217</v>
      </c>
      <c r="F47" s="815" t="s">
        <v>6</v>
      </c>
    </row>
    <row r="48" spans="1:6" s="814" customFormat="1" ht="15" customHeight="1">
      <c r="A48" s="801">
        <v>111030218</v>
      </c>
      <c r="B48" s="141" t="s">
        <v>643</v>
      </c>
      <c r="C48" s="141">
        <v>28237311</v>
      </c>
      <c r="D48" s="806">
        <v>4129.53</v>
      </c>
      <c r="E48" s="814">
        <f>+VLOOKUP(A48,Clasificaciones!C:C,1,FALSE)</f>
        <v>111030218</v>
      </c>
      <c r="F48" s="815" t="s">
        <v>6</v>
      </c>
    </row>
    <row r="49" spans="1:6" s="814" customFormat="1" ht="15" customHeight="1">
      <c r="A49" s="801">
        <v>111030219</v>
      </c>
      <c r="B49" s="141" t="s">
        <v>644</v>
      </c>
      <c r="C49" s="141">
        <v>19565557</v>
      </c>
      <c r="D49" s="806">
        <v>2861.34</v>
      </c>
      <c r="E49" s="814">
        <f>+VLOOKUP(A49,Clasificaciones!C:C,1,FALSE)</f>
        <v>111030219</v>
      </c>
      <c r="F49" s="815" t="s">
        <v>6</v>
      </c>
    </row>
    <row r="50" spans="1:6" s="814" customFormat="1" ht="15" customHeight="1">
      <c r="A50" s="801">
        <v>111030220</v>
      </c>
      <c r="B50" s="141" t="s">
        <v>1499</v>
      </c>
      <c r="C50" s="141">
        <v>25334761</v>
      </c>
      <c r="D50" s="806">
        <v>3705.05</v>
      </c>
      <c r="E50" s="814">
        <f>+VLOOKUP(A50,Clasificaciones!C:C,1,FALSE)</f>
        <v>111030220</v>
      </c>
      <c r="F50" s="815" t="s">
        <v>6</v>
      </c>
    </row>
    <row r="51" spans="1:6" s="814" customFormat="1" ht="15" customHeight="1">
      <c r="A51" s="801">
        <v>111030221</v>
      </c>
      <c r="B51" s="141" t="s">
        <v>1496</v>
      </c>
      <c r="C51" s="141">
        <v>20744958</v>
      </c>
      <c r="D51" s="806">
        <v>3033.82</v>
      </c>
      <c r="E51" s="814">
        <f>+VLOOKUP(A51,Clasificaciones!C:C,1,FALSE)</f>
        <v>111030221</v>
      </c>
      <c r="F51" s="815" t="s">
        <v>6</v>
      </c>
    </row>
    <row r="52" spans="1:6" s="814" customFormat="1" ht="15" customHeight="1">
      <c r="A52" s="801">
        <v>111030222</v>
      </c>
      <c r="B52" s="141" t="s">
        <v>1555</v>
      </c>
      <c r="C52" s="141">
        <v>6708322</v>
      </c>
      <c r="D52" s="806">
        <v>981.05</v>
      </c>
      <c r="E52" s="814">
        <f>+VLOOKUP(A52,Clasificaciones!C:C,1,FALSE)</f>
        <v>111030222</v>
      </c>
      <c r="F52" s="815" t="s">
        <v>6</v>
      </c>
    </row>
    <row r="53" spans="1:6" s="814" customFormat="1" ht="15" customHeight="1">
      <c r="A53" s="801">
        <v>112</v>
      </c>
      <c r="B53" s="141" t="s">
        <v>206</v>
      </c>
      <c r="C53" s="141">
        <v>187761109906</v>
      </c>
      <c r="D53" s="806">
        <v>27458885.02</v>
      </c>
      <c r="E53" s="814">
        <f>+VLOOKUP(A53,Clasificaciones!C:C,1,FALSE)</f>
        <v>112</v>
      </c>
      <c r="F53" s="815" t="s">
        <v>6</v>
      </c>
    </row>
    <row r="54" spans="1:6" s="814" customFormat="1" ht="15" customHeight="1">
      <c r="A54" s="801">
        <v>11201</v>
      </c>
      <c r="B54" s="141" t="s">
        <v>645</v>
      </c>
      <c r="C54" s="141">
        <v>28587976021</v>
      </c>
      <c r="D54" s="806">
        <v>4180812.23</v>
      </c>
      <c r="E54" s="814">
        <f>+VLOOKUP(A54,Clasificaciones!C:C,1,FALSE)</f>
        <v>11201</v>
      </c>
      <c r="F54" s="815" t="s">
        <v>6</v>
      </c>
    </row>
    <row r="55" spans="1:6" s="814" customFormat="1" ht="15" customHeight="1">
      <c r="A55" s="801">
        <v>112011</v>
      </c>
      <c r="B55" s="141" t="s">
        <v>646</v>
      </c>
      <c r="C55" s="141">
        <v>28587976021</v>
      </c>
      <c r="D55" s="806">
        <v>4180812.23</v>
      </c>
      <c r="E55" s="814">
        <f>+VLOOKUP(A55,Clasificaciones!C:C,1,FALSE)</f>
        <v>112011</v>
      </c>
      <c r="F55" s="815" t="s">
        <v>6</v>
      </c>
    </row>
    <row r="56" spans="1:6" s="814" customFormat="1" ht="15" customHeight="1">
      <c r="A56" s="801">
        <v>1120111</v>
      </c>
      <c r="B56" s="141" t="s">
        <v>647</v>
      </c>
      <c r="C56" s="141">
        <v>375000000</v>
      </c>
      <c r="D56" s="806">
        <v>54841.4</v>
      </c>
      <c r="E56" s="814">
        <f>+VLOOKUP(A56,Clasificaciones!C:C,1,FALSE)</f>
        <v>1120111</v>
      </c>
      <c r="F56" s="815" t="s">
        <v>6</v>
      </c>
    </row>
    <row r="57" spans="1:6" s="814" customFormat="1" ht="15" customHeight="1">
      <c r="A57" s="801">
        <v>11201111</v>
      </c>
      <c r="B57" s="141" t="s">
        <v>648</v>
      </c>
      <c r="C57" s="141">
        <v>375000000</v>
      </c>
      <c r="D57" s="806">
        <v>54841.4</v>
      </c>
      <c r="E57" s="814">
        <f>+VLOOKUP(A57,Clasificaciones!C:C,1,FALSE)</f>
        <v>11201111</v>
      </c>
      <c r="F57" s="815" t="s">
        <v>186</v>
      </c>
    </row>
    <row r="58" spans="1:6" s="814" customFormat="1" ht="15" customHeight="1">
      <c r="A58" s="801">
        <v>1120111101</v>
      </c>
      <c r="B58" s="141" t="s">
        <v>649</v>
      </c>
      <c r="C58" s="141">
        <v>375000000</v>
      </c>
      <c r="D58" s="806">
        <v>54841.4</v>
      </c>
      <c r="E58" s="814">
        <f>+VLOOKUP(A58,Clasificaciones!C:C,1,FALSE)</f>
        <v>1120111101</v>
      </c>
      <c r="F58" s="815" t="s">
        <v>6</v>
      </c>
    </row>
    <row r="59" spans="1:6" s="814" customFormat="1" ht="15" customHeight="1">
      <c r="A59" s="801">
        <v>1120112</v>
      </c>
      <c r="B59" s="141" t="s">
        <v>650</v>
      </c>
      <c r="C59" s="141">
        <v>7937625600</v>
      </c>
      <c r="D59" s="806">
        <v>1160827.97</v>
      </c>
      <c r="E59" s="814">
        <f>+VLOOKUP(A59,Clasificaciones!C:C,1,FALSE)</f>
        <v>1120112</v>
      </c>
      <c r="F59" s="815" t="s">
        <v>6</v>
      </c>
    </row>
    <row r="60" spans="1:6" s="814" customFormat="1" ht="15" customHeight="1">
      <c r="A60" s="801">
        <v>11201121</v>
      </c>
      <c r="B60" s="141" t="s">
        <v>470</v>
      </c>
      <c r="C60" s="141">
        <v>700000000</v>
      </c>
      <c r="D60" s="806">
        <v>102370.61</v>
      </c>
      <c r="E60" s="814">
        <f>+VLOOKUP(A60,Clasificaciones!C:C,1,FALSE)</f>
        <v>11201121</v>
      </c>
      <c r="F60" s="815" t="s">
        <v>186</v>
      </c>
    </row>
    <row r="61" spans="1:6" s="814" customFormat="1" ht="15" customHeight="1">
      <c r="A61" s="801">
        <v>1120112101</v>
      </c>
      <c r="B61" s="141" t="s">
        <v>651</v>
      </c>
      <c r="C61" s="141">
        <v>700000000</v>
      </c>
      <c r="D61" s="806">
        <v>102370.61</v>
      </c>
      <c r="E61" s="814">
        <f>+VLOOKUP(A61,Clasificaciones!C:C,1,FALSE)</f>
        <v>1120112101</v>
      </c>
      <c r="F61" s="815" t="s">
        <v>6</v>
      </c>
    </row>
    <row r="62" spans="1:6" s="814" customFormat="1" ht="15" customHeight="1">
      <c r="A62" s="801">
        <v>11201122</v>
      </c>
      <c r="B62" s="141" t="s">
        <v>878</v>
      </c>
      <c r="C62" s="141">
        <v>232488600</v>
      </c>
      <c r="D62" s="806">
        <v>34000</v>
      </c>
      <c r="E62" s="814">
        <f>+VLOOKUP(A62,Clasificaciones!C:C,1,FALSE)</f>
        <v>11201122</v>
      </c>
      <c r="F62" s="815" t="s">
        <v>6</v>
      </c>
    </row>
    <row r="63" spans="1:6" s="814" customFormat="1" ht="15" customHeight="1">
      <c r="A63" s="801">
        <v>1120112202</v>
      </c>
      <c r="B63" s="141" t="s">
        <v>766</v>
      </c>
      <c r="C63" s="141">
        <v>232488600</v>
      </c>
      <c r="D63" s="806">
        <v>34000</v>
      </c>
      <c r="E63" s="814">
        <f>+VLOOKUP(A63,Clasificaciones!C:C,1,FALSE)</f>
        <v>1120112202</v>
      </c>
      <c r="F63" s="815" t="s">
        <v>6</v>
      </c>
    </row>
    <row r="64" spans="1:6" s="814" customFormat="1" ht="15" customHeight="1">
      <c r="A64" s="801">
        <v>11201123</v>
      </c>
      <c r="B64" s="141" t="s">
        <v>72</v>
      </c>
      <c r="C64" s="141">
        <v>7005137000</v>
      </c>
      <c r="D64" s="806">
        <v>1024457.36</v>
      </c>
      <c r="E64" s="814">
        <f>+VLOOKUP(A64,Clasificaciones!C:C,1,FALSE)</f>
        <v>11201123</v>
      </c>
      <c r="F64" s="815" t="s">
        <v>6</v>
      </c>
    </row>
    <row r="65" spans="1:6" s="814" customFormat="1" ht="15" customHeight="1">
      <c r="A65" s="801">
        <v>1120112301</v>
      </c>
      <c r="B65" s="141" t="s">
        <v>652</v>
      </c>
      <c r="C65" s="141">
        <v>6800000000</v>
      </c>
      <c r="D65" s="806">
        <v>994457.36</v>
      </c>
      <c r="E65" s="814">
        <f>+VLOOKUP(A65,Clasificaciones!C:C,1,FALSE)</f>
        <v>1120112301</v>
      </c>
      <c r="F65" s="815" t="s">
        <v>6</v>
      </c>
    </row>
    <row r="66" spans="1:6" s="814" customFormat="1" ht="15" customHeight="1">
      <c r="A66" s="801">
        <v>1120112302</v>
      </c>
      <c r="B66" s="141" t="s">
        <v>653</v>
      </c>
      <c r="C66" s="141">
        <v>205137000</v>
      </c>
      <c r="D66" s="806">
        <v>30000</v>
      </c>
      <c r="E66" s="814">
        <f>+VLOOKUP(A66,Clasificaciones!C:C,1,FALSE)</f>
        <v>1120112302</v>
      </c>
      <c r="F66" s="816" t="s">
        <v>6</v>
      </c>
    </row>
    <row r="67" spans="1:6" s="814" customFormat="1" ht="15" customHeight="1">
      <c r="A67" s="801">
        <v>1120113</v>
      </c>
      <c r="B67" s="141" t="s">
        <v>654</v>
      </c>
      <c r="C67" s="141">
        <v>13718000000</v>
      </c>
      <c r="D67" s="806">
        <v>2006171.49</v>
      </c>
      <c r="E67" s="814">
        <f>+VLOOKUP(A67,Clasificaciones!C:C,1,FALSE)</f>
        <v>1120113</v>
      </c>
      <c r="F67" s="816" t="s">
        <v>6</v>
      </c>
    </row>
    <row r="68" spans="1:6" s="814" customFormat="1" ht="15" customHeight="1">
      <c r="A68" s="801">
        <v>11201131</v>
      </c>
      <c r="B68" s="141" t="s">
        <v>655</v>
      </c>
      <c r="C68" s="141">
        <v>13718000000</v>
      </c>
      <c r="D68" s="806">
        <v>2006171.49</v>
      </c>
      <c r="E68" s="814">
        <f>+VLOOKUP(A68,Clasificaciones!C:C,1,FALSE)</f>
        <v>11201131</v>
      </c>
      <c r="F68" s="816" t="s">
        <v>6</v>
      </c>
    </row>
    <row r="69" spans="1:6" s="814" customFormat="1" ht="15" customHeight="1">
      <c r="A69" s="801">
        <v>1120113101</v>
      </c>
      <c r="B69" s="141" t="s">
        <v>656</v>
      </c>
      <c r="C69" s="141">
        <v>13718000000</v>
      </c>
      <c r="D69" s="806">
        <v>2006171.49</v>
      </c>
      <c r="E69" s="814">
        <f>+VLOOKUP(A69,Clasificaciones!C:C,1,FALSE)</f>
        <v>1120113101</v>
      </c>
      <c r="F69" s="816" t="s">
        <v>6</v>
      </c>
    </row>
    <row r="70" spans="1:6" s="814" customFormat="1" ht="15" customHeight="1">
      <c r="A70" s="801">
        <v>1120114</v>
      </c>
      <c r="B70" s="141" t="s">
        <v>659</v>
      </c>
      <c r="C70" s="141">
        <v>1249933689</v>
      </c>
      <c r="D70" s="806">
        <v>182794.96</v>
      </c>
      <c r="E70" s="814">
        <f>+VLOOKUP(A70,Clasificaciones!C:C,1,FALSE)</f>
        <v>1120114</v>
      </c>
      <c r="F70" s="816" t="s">
        <v>186</v>
      </c>
    </row>
    <row r="71" spans="1:6" s="814" customFormat="1" ht="15" customHeight="1">
      <c r="A71" s="801">
        <v>11201141</v>
      </c>
      <c r="B71" s="141" t="s">
        <v>470</v>
      </c>
      <c r="C71" s="141">
        <v>6837900</v>
      </c>
      <c r="D71" s="806">
        <v>1000</v>
      </c>
      <c r="E71" s="814">
        <f>+VLOOKUP(A71,Clasificaciones!C:C,1,FALSE)</f>
        <v>11201141</v>
      </c>
      <c r="F71" s="816" t="s">
        <v>6</v>
      </c>
    </row>
    <row r="72" spans="1:6" s="814" customFormat="1" ht="15" customHeight="1">
      <c r="A72" s="801">
        <v>1120114102</v>
      </c>
      <c r="B72" s="141" t="s">
        <v>771</v>
      </c>
      <c r="C72" s="141">
        <v>6837900</v>
      </c>
      <c r="D72" s="806">
        <v>1000</v>
      </c>
      <c r="E72" s="814">
        <f>+VLOOKUP(A72,Clasificaciones!C:C,1,FALSE)</f>
        <v>1120114102</v>
      </c>
      <c r="F72" s="816" t="s">
        <v>186</v>
      </c>
    </row>
    <row r="73" spans="1:6" s="814" customFormat="1" ht="15" customHeight="1">
      <c r="A73" s="801">
        <v>11201142</v>
      </c>
      <c r="B73" s="141" t="s">
        <v>878</v>
      </c>
      <c r="C73" s="141">
        <v>88892700</v>
      </c>
      <c r="D73" s="806">
        <v>13000</v>
      </c>
      <c r="E73" s="814">
        <f>+VLOOKUP(A73,Clasificaciones!C:C,1,FALSE)</f>
        <v>11201142</v>
      </c>
      <c r="F73" s="816" t="s">
        <v>6</v>
      </c>
    </row>
    <row r="74" spans="1:6" s="814" customFormat="1" ht="15" customHeight="1">
      <c r="A74" s="801">
        <v>1120114202</v>
      </c>
      <c r="B74" s="141" t="s">
        <v>772</v>
      </c>
      <c r="C74" s="141">
        <v>88892700</v>
      </c>
      <c r="D74" s="806">
        <v>13000</v>
      </c>
      <c r="E74" s="814">
        <f>+VLOOKUP(A74,Clasificaciones!C:C,1,FALSE)</f>
        <v>1120114202</v>
      </c>
      <c r="F74" s="816" t="s">
        <v>186</v>
      </c>
    </row>
    <row r="75" spans="1:6" s="814" customFormat="1" ht="15" customHeight="1">
      <c r="A75" s="801">
        <v>11201143</v>
      </c>
      <c r="B75" s="141" t="s">
        <v>72</v>
      </c>
      <c r="C75" s="141">
        <v>1154203089</v>
      </c>
      <c r="D75" s="806">
        <v>168794.96</v>
      </c>
      <c r="E75" s="814">
        <f>+VLOOKUP(A75,Clasificaciones!C:C,1,FALSE)</f>
        <v>11201143</v>
      </c>
      <c r="F75" s="815" t="s">
        <v>6</v>
      </c>
    </row>
    <row r="76" spans="1:6" s="814" customFormat="1" ht="15" customHeight="1">
      <c r="A76" s="801">
        <v>1120114301</v>
      </c>
      <c r="B76" s="141" t="s">
        <v>660</v>
      </c>
      <c r="C76" s="141">
        <v>504602589</v>
      </c>
      <c r="D76" s="806">
        <v>73794.960000000006</v>
      </c>
      <c r="E76" s="814">
        <f>+VLOOKUP(A76,Clasificaciones!C:C,1,FALSE)</f>
        <v>1120114301</v>
      </c>
      <c r="F76" s="815" t="s">
        <v>186</v>
      </c>
    </row>
    <row r="77" spans="1:6" s="814" customFormat="1" ht="15" customHeight="1">
      <c r="A77" s="801">
        <v>1120114302</v>
      </c>
      <c r="B77" s="141" t="s">
        <v>774</v>
      </c>
      <c r="C77" s="141">
        <v>649600500</v>
      </c>
      <c r="D77" s="806">
        <v>95000</v>
      </c>
      <c r="E77" s="814">
        <f>+VLOOKUP(A77,Clasificaciones!C:C,1,FALSE)</f>
        <v>1120114302</v>
      </c>
      <c r="F77" s="815" t="s">
        <v>6</v>
      </c>
    </row>
    <row r="78" spans="1:6" s="814" customFormat="1" ht="15" customHeight="1">
      <c r="A78" s="801">
        <v>1120115</v>
      </c>
      <c r="B78" s="141" t="s">
        <v>886</v>
      </c>
      <c r="C78" s="141">
        <v>1277933080</v>
      </c>
      <c r="D78" s="806">
        <v>186889.7</v>
      </c>
      <c r="E78" s="814">
        <f>+VLOOKUP(A78,Clasificaciones!C:C,1,FALSE)</f>
        <v>1120115</v>
      </c>
      <c r="F78" s="815" t="s">
        <v>6</v>
      </c>
    </row>
    <row r="79" spans="1:6" s="814" customFormat="1" ht="15" customHeight="1">
      <c r="A79" s="801">
        <v>11201153</v>
      </c>
      <c r="B79" s="141" t="s">
        <v>1556</v>
      </c>
      <c r="C79" s="141">
        <v>1277933080</v>
      </c>
      <c r="D79" s="806">
        <v>186889.7</v>
      </c>
      <c r="E79" s="814">
        <f>+VLOOKUP(A79,Clasificaciones!C:C,1,FALSE)</f>
        <v>11201153</v>
      </c>
      <c r="F79" s="815" t="s">
        <v>6</v>
      </c>
    </row>
    <row r="80" spans="1:6" s="814" customFormat="1" ht="15" customHeight="1">
      <c r="A80" s="801">
        <v>1120115301</v>
      </c>
      <c r="B80" s="141" t="s">
        <v>1557</v>
      </c>
      <c r="C80" s="141">
        <v>1277933080</v>
      </c>
      <c r="D80" s="806">
        <v>186889.7</v>
      </c>
      <c r="E80" s="814">
        <f>+VLOOKUP(A80,Clasificaciones!C:C,1,FALSE)</f>
        <v>1120115301</v>
      </c>
      <c r="F80" s="815" t="s">
        <v>186</v>
      </c>
    </row>
    <row r="81" spans="1:6" s="814" customFormat="1" ht="15" customHeight="1">
      <c r="A81" s="801">
        <v>1120116</v>
      </c>
      <c r="B81" s="141" t="s">
        <v>661</v>
      </c>
      <c r="C81" s="141">
        <v>4029483652</v>
      </c>
      <c r="D81" s="806">
        <v>589286.71</v>
      </c>
      <c r="E81" s="814">
        <f>+VLOOKUP(A81,Clasificaciones!C:C,1,FALSE)</f>
        <v>1120116</v>
      </c>
      <c r="F81" s="815" t="s">
        <v>6</v>
      </c>
    </row>
    <row r="82" spans="1:6" s="814" customFormat="1" ht="15" customHeight="1">
      <c r="A82" s="801">
        <v>11201161</v>
      </c>
      <c r="B82" s="141" t="s">
        <v>662</v>
      </c>
      <c r="C82" s="141">
        <v>40833883082</v>
      </c>
      <c r="D82" s="806">
        <v>5971699.3600000003</v>
      </c>
      <c r="E82" s="814">
        <f>+VLOOKUP(A82,Clasificaciones!C:C,1,FALSE)</f>
        <v>11201161</v>
      </c>
      <c r="F82" s="815" t="s">
        <v>186</v>
      </c>
    </row>
    <row r="83" spans="1:6" s="814" customFormat="1" ht="15" customHeight="1">
      <c r="A83" s="801">
        <v>1120116101</v>
      </c>
      <c r="B83" s="141" t="s">
        <v>663</v>
      </c>
      <c r="C83" s="141">
        <v>3353261918</v>
      </c>
      <c r="D83" s="806">
        <v>490393.53</v>
      </c>
      <c r="E83" s="814">
        <f>+VLOOKUP(A83,Clasificaciones!C:C,1,FALSE)</f>
        <v>1120116101</v>
      </c>
      <c r="F83" s="815" t="s">
        <v>6</v>
      </c>
    </row>
    <row r="84" spans="1:6" s="814" customFormat="1" ht="15" customHeight="1">
      <c r="A84" s="801">
        <v>1120116104</v>
      </c>
      <c r="B84" s="141" t="s">
        <v>848</v>
      </c>
      <c r="C84" s="141">
        <v>647585576</v>
      </c>
      <c r="D84" s="806">
        <v>94705.33</v>
      </c>
      <c r="E84" s="814">
        <f>+VLOOKUP(A84,Clasificaciones!C:C,1,FALSE)</f>
        <v>1120116104</v>
      </c>
      <c r="F84" s="815" t="s">
        <v>186</v>
      </c>
    </row>
    <row r="85" spans="1:6" s="814" customFormat="1" ht="15" customHeight="1">
      <c r="A85" s="801">
        <v>1120116105</v>
      </c>
      <c r="B85" s="141" t="s">
        <v>664</v>
      </c>
      <c r="C85" s="141">
        <v>2062556431</v>
      </c>
      <c r="D85" s="806">
        <v>301635.95</v>
      </c>
      <c r="E85" s="814">
        <f>+VLOOKUP(A85,Clasificaciones!C:C,1,FALSE)</f>
        <v>1120116105</v>
      </c>
      <c r="F85" s="815" t="s">
        <v>6</v>
      </c>
    </row>
    <row r="86" spans="1:6" s="814" customFormat="1" ht="15" customHeight="1">
      <c r="A86" s="801">
        <v>1120116106</v>
      </c>
      <c r="B86" s="141" t="s">
        <v>665</v>
      </c>
      <c r="C86" s="141">
        <v>3862637809</v>
      </c>
      <c r="D86" s="806">
        <v>564886.56000000006</v>
      </c>
      <c r="E86" s="814">
        <f>+VLOOKUP(A86,Clasificaciones!C:C,1,FALSE)</f>
        <v>1120116106</v>
      </c>
      <c r="F86" s="815" t="s">
        <v>186</v>
      </c>
    </row>
    <row r="87" spans="1:6" s="814" customFormat="1" ht="15" customHeight="1">
      <c r="A87" s="801">
        <v>1120116107</v>
      </c>
      <c r="B87" s="141" t="s">
        <v>666</v>
      </c>
      <c r="C87" s="141">
        <v>17798815626</v>
      </c>
      <c r="D87" s="806">
        <v>2602965.1800000002</v>
      </c>
      <c r="E87" s="814">
        <f>+VLOOKUP(A87,Clasificaciones!C:C,1,FALSE)</f>
        <v>1120116107</v>
      </c>
      <c r="F87" s="815" t="s">
        <v>6</v>
      </c>
    </row>
    <row r="88" spans="1:6" s="814" customFormat="1" ht="15" customHeight="1">
      <c r="A88" s="801">
        <v>1120116108</v>
      </c>
      <c r="B88" s="141" t="s">
        <v>895</v>
      </c>
      <c r="C88" s="141">
        <v>8548013318</v>
      </c>
      <c r="D88" s="806">
        <v>1250093.3500000001</v>
      </c>
      <c r="E88" s="814">
        <f>+VLOOKUP(A88,Clasificaciones!C:C,1,FALSE)</f>
        <v>1120116108</v>
      </c>
      <c r="F88" s="815" t="s">
        <v>6</v>
      </c>
    </row>
    <row r="89" spans="1:6" s="814" customFormat="1" ht="15" customHeight="1">
      <c r="A89" s="801">
        <v>1120116114</v>
      </c>
      <c r="B89" s="141" t="s">
        <v>893</v>
      </c>
      <c r="C89" s="141">
        <v>754152</v>
      </c>
      <c r="D89" s="806">
        <v>110.29</v>
      </c>
      <c r="E89" s="814">
        <f>+VLOOKUP(A89,Clasificaciones!C:C,1,FALSE)</f>
        <v>1120116114</v>
      </c>
      <c r="F89" s="815" t="s">
        <v>6</v>
      </c>
    </row>
    <row r="90" spans="1:6" s="814" customFormat="1" ht="15" customHeight="1">
      <c r="A90" s="801">
        <v>1120116117</v>
      </c>
      <c r="B90" s="141" t="s">
        <v>668</v>
      </c>
      <c r="C90" s="141">
        <v>37369013</v>
      </c>
      <c r="D90" s="806">
        <v>5464.98</v>
      </c>
      <c r="E90" s="814">
        <f>+VLOOKUP(A90,Clasificaciones!C:C,1,FALSE)</f>
        <v>1120116117</v>
      </c>
      <c r="F90" s="815" t="s">
        <v>6</v>
      </c>
    </row>
    <row r="91" spans="1:6" s="814" customFormat="1" ht="15" customHeight="1">
      <c r="A91" s="801">
        <v>1120116118</v>
      </c>
      <c r="B91" s="141" t="s">
        <v>669</v>
      </c>
      <c r="C91" s="141">
        <v>4396912475</v>
      </c>
      <c r="D91" s="806">
        <v>643020.88</v>
      </c>
      <c r="E91" s="814">
        <f>+VLOOKUP(A91,Clasificaciones!C:C,1,FALSE)</f>
        <v>1120116118</v>
      </c>
      <c r="F91" s="815" t="s">
        <v>6</v>
      </c>
    </row>
    <row r="92" spans="1:6" s="814" customFormat="1" ht="15" customHeight="1">
      <c r="A92" s="801">
        <v>1120116129</v>
      </c>
      <c r="B92" s="141" t="s">
        <v>670</v>
      </c>
      <c r="C92" s="141">
        <v>108262500</v>
      </c>
      <c r="D92" s="806">
        <v>15832.71</v>
      </c>
      <c r="E92" s="814">
        <f>+VLOOKUP(A92,Clasificaciones!C:C,1,FALSE)</f>
        <v>1120116129</v>
      </c>
      <c r="F92" s="815" t="s">
        <v>186</v>
      </c>
    </row>
    <row r="93" spans="1:6" s="814" customFormat="1" ht="15" customHeight="1">
      <c r="A93" s="801">
        <v>1120116132</v>
      </c>
      <c r="B93" s="141" t="s">
        <v>1224</v>
      </c>
      <c r="C93" s="141">
        <v>17714264</v>
      </c>
      <c r="D93" s="806">
        <v>2590.6</v>
      </c>
      <c r="E93" s="814">
        <f>+VLOOKUP(A93,Clasificaciones!C:C,1,FALSE)</f>
        <v>1120116132</v>
      </c>
      <c r="F93" s="815" t="s">
        <v>6</v>
      </c>
    </row>
    <row r="94" spans="1:6" s="814" customFormat="1" ht="15" customHeight="1">
      <c r="A94" s="801">
        <v>11201162</v>
      </c>
      <c r="B94" s="141" t="s">
        <v>671</v>
      </c>
      <c r="C94" s="141">
        <v>-36804399430</v>
      </c>
      <c r="D94" s="806">
        <v>-5382412.6500000004</v>
      </c>
      <c r="E94" s="814">
        <f>+VLOOKUP(A94,Clasificaciones!C:C,1,FALSE)</f>
        <v>11201162</v>
      </c>
      <c r="F94" s="815" t="s">
        <v>186</v>
      </c>
    </row>
    <row r="95" spans="1:6" s="814" customFormat="1" ht="15" customHeight="1">
      <c r="A95" s="801">
        <v>1120116201</v>
      </c>
      <c r="B95" s="141" t="s">
        <v>672</v>
      </c>
      <c r="C95" s="141">
        <v>-3319152055</v>
      </c>
      <c r="D95" s="806">
        <v>-485405.18</v>
      </c>
      <c r="E95" s="814">
        <f>+VLOOKUP(A95,Clasificaciones!C:C,1,FALSE)</f>
        <v>1120116201</v>
      </c>
      <c r="F95" s="815" t="s">
        <v>6</v>
      </c>
    </row>
    <row r="96" spans="1:6" s="814" customFormat="1" ht="15" customHeight="1">
      <c r="A96" s="801">
        <v>1120116204</v>
      </c>
      <c r="B96" s="141" t="s">
        <v>849</v>
      </c>
      <c r="C96" s="141">
        <v>-631229593</v>
      </c>
      <c r="D96" s="806">
        <v>-92313.37</v>
      </c>
      <c r="E96" s="814">
        <f>+VLOOKUP(A96,Clasificaciones!C:C,1,FALSE)</f>
        <v>1120116204</v>
      </c>
      <c r="F96" s="815" t="s">
        <v>6</v>
      </c>
    </row>
    <row r="97" spans="1:6" s="814" customFormat="1" ht="15" customHeight="1">
      <c r="A97" s="801">
        <v>1120116205</v>
      </c>
      <c r="B97" s="141" t="s">
        <v>673</v>
      </c>
      <c r="C97" s="141">
        <v>-1260333564</v>
      </c>
      <c r="D97" s="806">
        <v>-184315.88</v>
      </c>
      <c r="E97" s="814">
        <f>+VLOOKUP(A97,Clasificaciones!C:C,1,FALSE)</f>
        <v>1120116205</v>
      </c>
      <c r="F97" s="815" t="s">
        <v>186</v>
      </c>
    </row>
    <row r="98" spans="1:6" s="814" customFormat="1" ht="15" customHeight="1">
      <c r="A98" s="801">
        <v>1120116206</v>
      </c>
      <c r="B98" s="141" t="s">
        <v>674</v>
      </c>
      <c r="C98" s="141">
        <v>-3447049871</v>
      </c>
      <c r="D98" s="806">
        <v>-504109.43</v>
      </c>
      <c r="E98" s="814">
        <f>+VLOOKUP(A98,Clasificaciones!C:C,1,FALSE)</f>
        <v>1120116206</v>
      </c>
      <c r="F98" s="815" t="s">
        <v>6</v>
      </c>
    </row>
    <row r="99" spans="1:6" s="814" customFormat="1" ht="15" customHeight="1">
      <c r="A99" s="801">
        <v>1120116207</v>
      </c>
      <c r="B99" s="141" t="s">
        <v>675</v>
      </c>
      <c r="C99" s="141">
        <v>-17561301706</v>
      </c>
      <c r="D99" s="806">
        <v>-2568230.2599999998</v>
      </c>
      <c r="E99" s="814">
        <f>+VLOOKUP(A99,Clasificaciones!C:C,1,FALSE)</f>
        <v>1120116207</v>
      </c>
      <c r="F99" s="815" t="s">
        <v>186</v>
      </c>
    </row>
    <row r="100" spans="1:6" s="814" customFormat="1" ht="15" customHeight="1">
      <c r="A100" s="801">
        <v>1120116208</v>
      </c>
      <c r="B100" s="141" t="s">
        <v>911</v>
      </c>
      <c r="C100" s="141">
        <v>-8427277201</v>
      </c>
      <c r="D100" s="806">
        <v>-1232436.45</v>
      </c>
      <c r="E100" s="814">
        <f>+VLOOKUP(A100,Clasificaciones!C:C,1,FALSE)</f>
        <v>1120116208</v>
      </c>
      <c r="F100" s="815" t="s">
        <v>6</v>
      </c>
    </row>
    <row r="101" spans="1:6" s="814" customFormat="1" ht="15" customHeight="1">
      <c r="A101" s="801">
        <v>1120116214</v>
      </c>
      <c r="B101" s="141" t="s">
        <v>916</v>
      </c>
      <c r="C101" s="141">
        <v>-753947</v>
      </c>
      <c r="D101" s="806">
        <v>-110.26</v>
      </c>
      <c r="E101" s="814">
        <f>+VLOOKUP(A101,Clasificaciones!C:C,1,FALSE)</f>
        <v>1120116214</v>
      </c>
      <c r="F101" s="815" t="s">
        <v>186</v>
      </c>
    </row>
    <row r="102" spans="1:6" s="814" customFormat="1" ht="15" customHeight="1">
      <c r="A102" s="801">
        <v>1120116217</v>
      </c>
      <c r="B102" s="141" t="s">
        <v>677</v>
      </c>
      <c r="C102" s="141">
        <v>-22326692</v>
      </c>
      <c r="D102" s="806">
        <v>-3265.14</v>
      </c>
      <c r="E102" s="814">
        <f>+VLOOKUP(A102,Clasificaciones!C:C,1,FALSE)</f>
        <v>1120116217</v>
      </c>
      <c r="F102" s="815" t="s">
        <v>6</v>
      </c>
    </row>
    <row r="103" spans="1:6" s="814" customFormat="1" ht="15" customHeight="1">
      <c r="A103" s="801">
        <v>1120116218</v>
      </c>
      <c r="B103" s="141" t="s">
        <v>678</v>
      </c>
      <c r="C103" s="141">
        <v>-2011264759</v>
      </c>
      <c r="D103" s="806">
        <v>-294134.86</v>
      </c>
      <c r="E103" s="814">
        <f>+VLOOKUP(A103,Clasificaciones!C:C,1,FALSE)</f>
        <v>1120116218</v>
      </c>
      <c r="F103" s="815" t="s">
        <v>6</v>
      </c>
    </row>
    <row r="104" spans="1:6" s="814" customFormat="1" ht="15" customHeight="1">
      <c r="A104" s="801">
        <v>1120116229</v>
      </c>
      <c r="B104" s="141" t="s">
        <v>679</v>
      </c>
      <c r="C104" s="141">
        <v>-106354358</v>
      </c>
      <c r="D104" s="806">
        <v>-15553.66</v>
      </c>
      <c r="E104" s="814">
        <f>+VLOOKUP(A104,Clasificaciones!C:C,1,FALSE)</f>
        <v>1120116229</v>
      </c>
      <c r="F104" s="815" t="s">
        <v>6</v>
      </c>
    </row>
    <row r="105" spans="1:6" s="814" customFormat="1" ht="15" customHeight="1">
      <c r="A105" s="801">
        <v>1120116232</v>
      </c>
      <c r="B105" s="141" t="s">
        <v>931</v>
      </c>
      <c r="C105" s="141">
        <v>-17355684</v>
      </c>
      <c r="D105" s="806">
        <v>-2538.16</v>
      </c>
      <c r="E105" s="814">
        <f>+VLOOKUP(A105,Clasificaciones!C:C,1,FALSE)</f>
        <v>1120116232</v>
      </c>
      <c r="F105" s="815" t="s">
        <v>6</v>
      </c>
    </row>
    <row r="106" spans="1:6" s="814" customFormat="1" ht="15" customHeight="1">
      <c r="A106" s="801">
        <v>11203</v>
      </c>
      <c r="B106" s="141" t="s">
        <v>150</v>
      </c>
      <c r="C106" s="141">
        <v>159173133885</v>
      </c>
      <c r="D106" s="806">
        <v>23278072.789999999</v>
      </c>
      <c r="E106" s="814">
        <f>+VLOOKUP(A106,Clasificaciones!C:C,1,FALSE)</f>
        <v>11203</v>
      </c>
      <c r="F106" s="815" t="s">
        <v>186</v>
      </c>
    </row>
    <row r="107" spans="1:6" s="814" customFormat="1" ht="15" customHeight="1">
      <c r="A107" s="801">
        <v>112031</v>
      </c>
      <c r="B107" s="141" t="s">
        <v>680</v>
      </c>
      <c r="C107" s="141">
        <v>158192587654</v>
      </c>
      <c r="D107" s="806">
        <v>23134674.050000001</v>
      </c>
      <c r="E107" s="814">
        <f>+VLOOKUP(A107,Clasificaciones!C:C,1,FALSE)</f>
        <v>112031</v>
      </c>
      <c r="F107" s="815" t="s">
        <v>6</v>
      </c>
    </row>
    <row r="108" spans="1:6" s="814" customFormat="1" ht="15" customHeight="1">
      <c r="A108" s="801">
        <v>11203101</v>
      </c>
      <c r="B108" s="141" t="s">
        <v>681</v>
      </c>
      <c r="C108" s="141">
        <v>158192587654</v>
      </c>
      <c r="D108" s="806">
        <v>23134674.050000001</v>
      </c>
      <c r="E108" s="814">
        <f>+VLOOKUP(A108,Clasificaciones!C:C,1,FALSE)</f>
        <v>11203101</v>
      </c>
      <c r="F108" s="815" t="s">
        <v>6</v>
      </c>
    </row>
    <row r="109" spans="1:6" s="814" customFormat="1" ht="15" customHeight="1">
      <c r="A109" s="801">
        <v>1120310101</v>
      </c>
      <c r="B109" s="141" t="s">
        <v>682</v>
      </c>
      <c r="C109" s="141">
        <v>43291000000</v>
      </c>
      <c r="D109" s="806">
        <v>6331037.3099999996</v>
      </c>
      <c r="E109" s="814">
        <f>+VLOOKUP(A109,Clasificaciones!C:C,1,FALSE)</f>
        <v>1120310101</v>
      </c>
      <c r="F109" s="815" t="s">
        <v>186</v>
      </c>
    </row>
    <row r="110" spans="1:6" s="814" customFormat="1" ht="15" customHeight="1">
      <c r="A110" s="801">
        <v>1120310102</v>
      </c>
      <c r="B110" s="141" t="s">
        <v>683</v>
      </c>
      <c r="C110" s="141">
        <v>105051587654</v>
      </c>
      <c r="D110" s="806">
        <v>15363136</v>
      </c>
      <c r="E110" s="814">
        <f>+VLOOKUP(A110,Clasificaciones!C:C,1,FALSE)</f>
        <v>1120310102</v>
      </c>
      <c r="F110" s="815" t="s">
        <v>6</v>
      </c>
    </row>
    <row r="111" spans="1:6" s="814" customFormat="1" ht="15" customHeight="1">
      <c r="A111" s="801">
        <v>1120310103</v>
      </c>
      <c r="B111" s="141" t="s">
        <v>1184</v>
      </c>
      <c r="C111" s="141">
        <v>9850000000</v>
      </c>
      <c r="D111" s="806">
        <v>1440500.74</v>
      </c>
      <c r="E111" s="814">
        <f>+VLOOKUP(A111,Clasificaciones!C:C,1,FALSE)</f>
        <v>1120310103</v>
      </c>
      <c r="F111" s="815" t="s">
        <v>6</v>
      </c>
    </row>
    <row r="112" spans="1:6" s="814" customFormat="1" ht="15" customHeight="1">
      <c r="A112" s="801">
        <v>112032</v>
      </c>
      <c r="B112" s="141" t="s">
        <v>941</v>
      </c>
      <c r="C112" s="141">
        <v>980546231</v>
      </c>
      <c r="D112" s="806">
        <v>143398.74</v>
      </c>
      <c r="E112" s="814">
        <f>+VLOOKUP(A112,Clasificaciones!C:C,1,FALSE)</f>
        <v>112032</v>
      </c>
      <c r="F112" s="815" t="s">
        <v>6</v>
      </c>
    </row>
    <row r="113" spans="1:6" s="814" customFormat="1" ht="15" customHeight="1">
      <c r="A113" s="801">
        <v>11203201</v>
      </c>
      <c r="B113" s="141" t="s">
        <v>941</v>
      </c>
      <c r="C113" s="141">
        <v>978391986</v>
      </c>
      <c r="D113" s="806">
        <v>143083.69</v>
      </c>
      <c r="E113" s="814">
        <f>+VLOOKUP(A113,Clasificaciones!C:C,1,FALSE)</f>
        <v>11203201</v>
      </c>
      <c r="F113" s="815" t="s">
        <v>6</v>
      </c>
    </row>
    <row r="114" spans="1:6" s="814" customFormat="1" ht="15" customHeight="1">
      <c r="A114" s="801">
        <v>1120320104</v>
      </c>
      <c r="B114" s="141" t="s">
        <v>766</v>
      </c>
      <c r="C114" s="141">
        <v>633370061</v>
      </c>
      <c r="D114" s="806">
        <v>92626.4</v>
      </c>
      <c r="E114" s="814">
        <f>+VLOOKUP(A114,Clasificaciones!C:C,1,FALSE)</f>
        <v>1120320104</v>
      </c>
      <c r="F114" s="815" t="s">
        <v>6</v>
      </c>
    </row>
    <row r="115" spans="1:6" s="814" customFormat="1" ht="15" customHeight="1">
      <c r="A115" s="801">
        <v>1120320108</v>
      </c>
      <c r="B115" s="141" t="s">
        <v>769</v>
      </c>
      <c r="C115" s="141">
        <v>320021925</v>
      </c>
      <c r="D115" s="806">
        <v>46801.2</v>
      </c>
      <c r="E115" s="814">
        <f>+VLOOKUP(A115,Clasificaciones!C:C,1,FALSE)</f>
        <v>1120320108</v>
      </c>
      <c r="F115" s="815" t="s">
        <v>186</v>
      </c>
    </row>
    <row r="116" spans="1:6" s="814" customFormat="1" ht="15" customHeight="1">
      <c r="A116" s="801">
        <v>1120320117</v>
      </c>
      <c r="B116" s="141" t="s">
        <v>773</v>
      </c>
      <c r="C116" s="141">
        <v>25000000</v>
      </c>
      <c r="D116" s="806">
        <v>3656.09</v>
      </c>
      <c r="E116" s="814">
        <f>+VLOOKUP(A116,Clasificaciones!C:C,1,FALSE)</f>
        <v>1120320117</v>
      </c>
      <c r="F116" s="815" t="s">
        <v>6</v>
      </c>
    </row>
    <row r="117" spans="1:6" s="814" customFormat="1" ht="15" customHeight="1">
      <c r="A117" s="801">
        <v>11203202</v>
      </c>
      <c r="B117" s="141" t="s">
        <v>1225</v>
      </c>
      <c r="C117" s="141">
        <v>7254184</v>
      </c>
      <c r="D117" s="806">
        <v>1060.8800000000001</v>
      </c>
      <c r="E117" s="814">
        <f>+VLOOKUP(A117,Clasificaciones!C:C,1,FALSE)</f>
        <v>11203202</v>
      </c>
      <c r="F117" s="815" t="s">
        <v>6</v>
      </c>
    </row>
    <row r="118" spans="1:6" s="814" customFormat="1" ht="15" customHeight="1">
      <c r="A118" s="801">
        <v>1120320201</v>
      </c>
      <c r="B118" s="141" t="s">
        <v>1558</v>
      </c>
      <c r="C118" s="141">
        <v>2375000</v>
      </c>
      <c r="D118" s="806">
        <v>347.33</v>
      </c>
      <c r="E118" s="814">
        <f>+VLOOKUP(A118,Clasificaciones!C:C,1,FALSE)</f>
        <v>1120320201</v>
      </c>
      <c r="F118" s="815" t="s">
        <v>186</v>
      </c>
    </row>
    <row r="119" spans="1:6" s="814" customFormat="1" ht="15" customHeight="1">
      <c r="A119" s="801">
        <v>1120320202</v>
      </c>
      <c r="B119" s="141" t="s">
        <v>1226</v>
      </c>
      <c r="C119" s="141">
        <v>4879184</v>
      </c>
      <c r="D119" s="806">
        <v>713.55</v>
      </c>
      <c r="E119" s="814">
        <f>+VLOOKUP(A119,Clasificaciones!C:C,1,FALSE)</f>
        <v>1120320202</v>
      </c>
      <c r="F119" s="815" t="s">
        <v>6</v>
      </c>
    </row>
    <row r="120" spans="1:6" s="814" customFormat="1" ht="15" customHeight="1">
      <c r="A120" s="801">
        <v>11203203</v>
      </c>
      <c r="B120" s="141" t="s">
        <v>1227</v>
      </c>
      <c r="C120" s="141">
        <v>-5099939</v>
      </c>
      <c r="D120" s="806">
        <v>-745.83</v>
      </c>
      <c r="E120" s="814">
        <f>+VLOOKUP(A120,Clasificaciones!C:C,1,FALSE)</f>
        <v>11203203</v>
      </c>
      <c r="F120" s="815" t="s">
        <v>6</v>
      </c>
    </row>
    <row r="121" spans="1:6" s="814" customFormat="1" ht="15" customHeight="1">
      <c r="A121" s="801">
        <v>1120320301</v>
      </c>
      <c r="B121" s="141" t="s">
        <v>1559</v>
      </c>
      <c r="C121" s="141">
        <v>-2355479</v>
      </c>
      <c r="D121" s="806">
        <v>-344.47</v>
      </c>
      <c r="E121" s="814">
        <f>+VLOOKUP(A121,Clasificaciones!C:C,1,FALSE)</f>
        <v>1120320301</v>
      </c>
      <c r="F121" s="815" t="s">
        <v>6</v>
      </c>
    </row>
    <row r="122" spans="1:6" s="814" customFormat="1" ht="15" customHeight="1">
      <c r="A122" s="801">
        <v>1120320302</v>
      </c>
      <c r="B122" s="141" t="s">
        <v>1228</v>
      </c>
      <c r="C122" s="141">
        <v>-2744460</v>
      </c>
      <c r="D122" s="806">
        <v>-401.36</v>
      </c>
      <c r="E122" s="814">
        <f>+VLOOKUP(A122,Clasificaciones!C:C,1,FALSE)</f>
        <v>1120320302</v>
      </c>
      <c r="F122" s="815" t="s">
        <v>6</v>
      </c>
    </row>
    <row r="123" spans="1:6" s="814" customFormat="1" ht="15" customHeight="1">
      <c r="A123" s="801">
        <v>113</v>
      </c>
      <c r="B123" s="141" t="s">
        <v>684</v>
      </c>
      <c r="C123" s="141">
        <v>254311658</v>
      </c>
      <c r="D123" s="806">
        <v>37191.49</v>
      </c>
      <c r="E123" s="814">
        <f>+VLOOKUP(A123,Clasificaciones!C:C,1,FALSE)</f>
        <v>113</v>
      </c>
      <c r="F123" s="815" t="s">
        <v>6</v>
      </c>
    </row>
    <row r="124" spans="1:6" s="814" customFormat="1" ht="15" customHeight="1">
      <c r="A124" s="801">
        <v>11301</v>
      </c>
      <c r="B124" s="141" t="s">
        <v>335</v>
      </c>
      <c r="C124" s="141">
        <v>13978307</v>
      </c>
      <c r="D124" s="806">
        <v>2044.23</v>
      </c>
      <c r="E124" s="814">
        <f>+VLOOKUP(A124,Clasificaciones!C:C,1,FALSE)</f>
        <v>11301</v>
      </c>
      <c r="F124" s="815" t="s">
        <v>6</v>
      </c>
    </row>
    <row r="125" spans="1:6" s="814" customFormat="1" ht="15" customHeight="1">
      <c r="A125" s="801">
        <v>1130101</v>
      </c>
      <c r="B125" s="141" t="s">
        <v>685</v>
      </c>
      <c r="C125" s="141">
        <v>11403462</v>
      </c>
      <c r="D125" s="806">
        <v>1667.68</v>
      </c>
      <c r="E125" s="814">
        <f>+VLOOKUP(A125,Clasificaciones!C:C,1,FALSE)</f>
        <v>1130101</v>
      </c>
      <c r="F125" s="815" t="s">
        <v>6</v>
      </c>
    </row>
    <row r="126" spans="1:6" s="814" customFormat="1" ht="15" customHeight="1">
      <c r="A126" s="801">
        <v>113010101</v>
      </c>
      <c r="B126" s="141" t="s">
        <v>686</v>
      </c>
      <c r="C126" s="141">
        <v>7317954</v>
      </c>
      <c r="D126" s="806">
        <v>1070.2</v>
      </c>
      <c r="E126" s="814">
        <f>+VLOOKUP(A126,Clasificaciones!C:C,1,FALSE)</f>
        <v>113010101</v>
      </c>
      <c r="F126" s="815" t="s">
        <v>6</v>
      </c>
    </row>
    <row r="127" spans="1:6" s="814" customFormat="1" ht="15" customHeight="1">
      <c r="A127" s="801">
        <v>113010102</v>
      </c>
      <c r="B127" s="141" t="s">
        <v>687</v>
      </c>
      <c r="C127" s="141">
        <v>4085508</v>
      </c>
      <c r="D127" s="806">
        <v>597.48</v>
      </c>
      <c r="E127" s="814">
        <f>+VLOOKUP(A127,Clasificaciones!C:C,1,FALSE)</f>
        <v>113010102</v>
      </c>
      <c r="F127" s="815"/>
    </row>
    <row r="128" spans="1:6" s="814" customFormat="1" ht="15" customHeight="1">
      <c r="A128" s="801">
        <v>1130102</v>
      </c>
      <c r="B128" s="141" t="s">
        <v>516</v>
      </c>
      <c r="C128" s="141">
        <v>2574845</v>
      </c>
      <c r="D128" s="806">
        <v>376.55</v>
      </c>
      <c r="E128" s="814">
        <f>+VLOOKUP(A128,Clasificaciones!C:C,1,FALSE)</f>
        <v>1130102</v>
      </c>
      <c r="F128" s="815"/>
    </row>
    <row r="129" spans="1:6" s="814" customFormat="1" ht="15" customHeight="1">
      <c r="A129" s="801">
        <v>113010201</v>
      </c>
      <c r="B129" s="141" t="s">
        <v>1185</v>
      </c>
      <c r="C129" s="141">
        <v>307876</v>
      </c>
      <c r="D129" s="806">
        <v>45.02</v>
      </c>
      <c r="E129" s="814">
        <f>+VLOOKUP(A129,Clasificaciones!C:C,1,FALSE)</f>
        <v>113010201</v>
      </c>
      <c r="F129" s="815"/>
    </row>
    <row r="130" spans="1:6" s="814" customFormat="1" ht="15" customHeight="1">
      <c r="A130" s="801">
        <v>113010202</v>
      </c>
      <c r="B130" s="141" t="s">
        <v>1186</v>
      </c>
      <c r="C130" s="141">
        <v>2266969</v>
      </c>
      <c r="D130" s="806">
        <v>331.53</v>
      </c>
      <c r="E130" s="814">
        <f>+VLOOKUP(A130,Clasificaciones!C:C,1,FALSE)</f>
        <v>113010202</v>
      </c>
      <c r="F130" s="815"/>
    </row>
    <row r="131" spans="1:6" s="814" customFormat="1" ht="15" customHeight="1">
      <c r="A131" s="801">
        <v>11302</v>
      </c>
      <c r="B131" s="141" t="s">
        <v>688</v>
      </c>
      <c r="C131" s="141">
        <v>5564174</v>
      </c>
      <c r="D131" s="806">
        <v>813.72</v>
      </c>
      <c r="E131" s="814">
        <f>+VLOOKUP(A131,Clasificaciones!C:C,1,FALSE)</f>
        <v>11302</v>
      </c>
      <c r="F131" s="815" t="s">
        <v>6</v>
      </c>
    </row>
    <row r="132" spans="1:6" s="814" customFormat="1" ht="15" customHeight="1">
      <c r="A132" s="801">
        <v>1130202</v>
      </c>
      <c r="B132" s="141" t="s">
        <v>689</v>
      </c>
      <c r="C132" s="141">
        <v>3300000</v>
      </c>
      <c r="D132" s="806">
        <v>482.6</v>
      </c>
      <c r="E132" s="814">
        <f>+VLOOKUP(A132,Clasificaciones!C:C,1,FALSE)</f>
        <v>1130202</v>
      </c>
      <c r="F132" s="815" t="s">
        <v>6</v>
      </c>
    </row>
    <row r="133" spans="1:6" s="814" customFormat="1" ht="15" customHeight="1">
      <c r="A133" s="801">
        <v>113020201</v>
      </c>
      <c r="B133" s="141" t="s">
        <v>952</v>
      </c>
      <c r="C133" s="141">
        <v>3300000</v>
      </c>
      <c r="D133" s="806">
        <v>482.6</v>
      </c>
      <c r="E133" s="814">
        <f>+VLOOKUP(A133,Clasificaciones!C:C,1,FALSE)</f>
        <v>113020201</v>
      </c>
      <c r="F133" s="815" t="s">
        <v>6</v>
      </c>
    </row>
    <row r="134" spans="1:6" s="814" customFormat="1" ht="15" customHeight="1">
      <c r="A134" s="801">
        <v>1130203</v>
      </c>
      <c r="B134" s="141" t="s">
        <v>162</v>
      </c>
      <c r="C134" s="141">
        <v>2264174</v>
      </c>
      <c r="D134" s="806">
        <v>331.12</v>
      </c>
      <c r="E134" s="814">
        <f>+VLOOKUP(A134,Clasificaciones!C:C,1,FALSE)</f>
        <v>1130203</v>
      </c>
      <c r="F134" s="815" t="s">
        <v>6</v>
      </c>
    </row>
    <row r="135" spans="1:6" s="814" customFormat="1" ht="15" customHeight="1">
      <c r="A135" s="801">
        <v>113020301</v>
      </c>
      <c r="B135" s="141" t="s">
        <v>691</v>
      </c>
      <c r="C135" s="141">
        <v>2264174</v>
      </c>
      <c r="D135" s="806">
        <v>331.12</v>
      </c>
      <c r="E135" s="814">
        <f>+VLOOKUP(A135,Clasificaciones!C:C,1,FALSE)</f>
        <v>113020301</v>
      </c>
      <c r="F135" s="815" t="s">
        <v>6</v>
      </c>
    </row>
    <row r="136" spans="1:6" s="814" customFormat="1" ht="15" customHeight="1">
      <c r="A136" s="801">
        <v>11303</v>
      </c>
      <c r="B136" s="141" t="s">
        <v>693</v>
      </c>
      <c r="C136" s="141">
        <v>13236930</v>
      </c>
      <c r="D136" s="806">
        <v>1935.82</v>
      </c>
      <c r="E136" s="814">
        <f>+VLOOKUP(A136,Clasificaciones!C:C,1,FALSE)</f>
        <v>11303</v>
      </c>
      <c r="F136" s="815" t="s">
        <v>6</v>
      </c>
    </row>
    <row r="137" spans="1:6" s="814" customFormat="1" ht="15" customHeight="1">
      <c r="A137" s="801">
        <v>1130301</v>
      </c>
      <c r="B137" s="141" t="s">
        <v>694</v>
      </c>
      <c r="C137" s="141">
        <v>13236930</v>
      </c>
      <c r="D137" s="806">
        <v>1935.82</v>
      </c>
      <c r="E137" s="814">
        <f>+VLOOKUP(A137,Clasificaciones!C:C,1,FALSE)</f>
        <v>1130301</v>
      </c>
      <c r="F137" s="815" t="s">
        <v>6</v>
      </c>
    </row>
    <row r="138" spans="1:6" s="814" customFormat="1" ht="15" customHeight="1">
      <c r="A138" s="801">
        <v>113030101</v>
      </c>
      <c r="B138" s="141" t="s">
        <v>694</v>
      </c>
      <c r="C138" s="141">
        <v>1954392</v>
      </c>
      <c r="D138" s="806">
        <v>285.82</v>
      </c>
      <c r="E138" s="814">
        <f>+VLOOKUP(A138,Clasificaciones!C:C,1,FALSE)</f>
        <v>113030101</v>
      </c>
      <c r="F138" s="815" t="s">
        <v>6</v>
      </c>
    </row>
    <row r="139" spans="1:6" s="814" customFormat="1" ht="15" customHeight="1">
      <c r="A139" s="801">
        <v>113030102</v>
      </c>
      <c r="B139" s="141" t="s">
        <v>694</v>
      </c>
      <c r="C139" s="141">
        <v>11282538</v>
      </c>
      <c r="D139" s="806">
        <v>1650</v>
      </c>
      <c r="E139" s="814">
        <f>+VLOOKUP(A139,Clasificaciones!C:C,1,FALSE)</f>
        <v>113030102</v>
      </c>
      <c r="F139" s="815" t="s">
        <v>6</v>
      </c>
    </row>
    <row r="140" spans="1:6" s="814" customFormat="1" ht="15" customHeight="1">
      <c r="A140" s="801">
        <v>11308</v>
      </c>
      <c r="B140" s="141" t="s">
        <v>1229</v>
      </c>
      <c r="C140" s="141">
        <v>221532247</v>
      </c>
      <c r="D140" s="806">
        <v>32397.72</v>
      </c>
      <c r="E140" s="814">
        <f>+VLOOKUP(A140,Clasificaciones!C:C,1,FALSE)</f>
        <v>11308</v>
      </c>
      <c r="F140" s="815" t="s">
        <v>6</v>
      </c>
    </row>
    <row r="141" spans="1:6" s="814" customFormat="1" ht="15" customHeight="1">
      <c r="A141" s="801">
        <v>1130801</v>
      </c>
      <c r="B141" s="141" t="s">
        <v>697</v>
      </c>
      <c r="C141" s="141">
        <v>121527025</v>
      </c>
      <c r="D141" s="806">
        <v>17772.57</v>
      </c>
      <c r="E141" s="814">
        <f>+VLOOKUP(A141,Clasificaciones!C:C,1,FALSE)</f>
        <v>1130801</v>
      </c>
      <c r="F141" s="815" t="s">
        <v>6</v>
      </c>
    </row>
    <row r="142" spans="1:6" s="814" customFormat="1" ht="15" customHeight="1">
      <c r="A142" s="801">
        <v>1130804</v>
      </c>
      <c r="B142" s="141" t="s">
        <v>261</v>
      </c>
      <c r="C142" s="141">
        <v>43548</v>
      </c>
      <c r="D142" s="806">
        <v>6.37</v>
      </c>
      <c r="E142" s="814">
        <f>+VLOOKUP(A142,Clasificaciones!C:C,1,FALSE)</f>
        <v>1130804</v>
      </c>
      <c r="F142" s="815" t="s">
        <v>6</v>
      </c>
    </row>
    <row r="143" spans="1:6" s="814" customFormat="1" ht="15" customHeight="1">
      <c r="A143" s="801">
        <v>1130807</v>
      </c>
      <c r="B143" s="141" t="s">
        <v>1560</v>
      </c>
      <c r="C143" s="141">
        <v>99961674</v>
      </c>
      <c r="D143" s="806">
        <v>14618.77</v>
      </c>
      <c r="E143" s="814">
        <f>+VLOOKUP(A143,Clasificaciones!C:C,1,FALSE)</f>
        <v>1130807</v>
      </c>
      <c r="F143" s="815" t="s">
        <v>6</v>
      </c>
    </row>
    <row r="144" spans="1:6" s="814" customFormat="1" ht="15" customHeight="1">
      <c r="A144" s="801">
        <v>115</v>
      </c>
      <c r="B144" s="141" t="s">
        <v>292</v>
      </c>
      <c r="C144" s="141">
        <v>103959170</v>
      </c>
      <c r="D144" s="806">
        <v>15000.99</v>
      </c>
      <c r="E144" s="814">
        <f>+VLOOKUP(A144,Clasificaciones!C:C,1,FALSE)</f>
        <v>115</v>
      </c>
      <c r="F144" s="815" t="s">
        <v>6</v>
      </c>
    </row>
    <row r="145" spans="1:6" s="814" customFormat="1" ht="15" customHeight="1">
      <c r="A145" s="801">
        <v>11501</v>
      </c>
      <c r="B145" s="141" t="s">
        <v>1230</v>
      </c>
      <c r="C145" s="141">
        <v>101182559</v>
      </c>
      <c r="D145" s="806">
        <v>14597.52</v>
      </c>
      <c r="E145" s="814">
        <f>+VLOOKUP(A145,Clasificaciones!C:C,1,FALSE)</f>
        <v>11501</v>
      </c>
      <c r="F145" s="815" t="s">
        <v>6</v>
      </c>
    </row>
    <row r="146" spans="1:6" s="814" customFormat="1" ht="15" customHeight="1">
      <c r="A146" s="801">
        <v>1150102</v>
      </c>
      <c r="B146" s="141" t="s">
        <v>170</v>
      </c>
      <c r="C146" s="141">
        <v>41324400</v>
      </c>
      <c r="D146" s="806">
        <v>6000</v>
      </c>
      <c r="E146" s="814">
        <f>+VLOOKUP(A146,Clasificaciones!C:C,1,FALSE)</f>
        <v>1150102</v>
      </c>
      <c r="F146" s="815" t="s">
        <v>6</v>
      </c>
    </row>
    <row r="147" spans="1:6" s="814" customFormat="1" ht="15" customHeight="1">
      <c r="A147" s="801">
        <v>1150103</v>
      </c>
      <c r="B147" s="141" t="s">
        <v>971</v>
      </c>
      <c r="C147" s="141">
        <v>4355833</v>
      </c>
      <c r="D147" s="806">
        <v>637.52</v>
      </c>
      <c r="E147" s="814">
        <f>+VLOOKUP(A147,Clasificaciones!C:C,1,FALSE)</f>
        <v>1150103</v>
      </c>
      <c r="F147" s="815" t="s">
        <v>6</v>
      </c>
    </row>
    <row r="148" spans="1:6" s="814" customFormat="1" ht="15" customHeight="1">
      <c r="A148" s="801">
        <v>1150104</v>
      </c>
      <c r="B148" s="141" t="s">
        <v>703</v>
      </c>
      <c r="C148" s="141">
        <v>52333572</v>
      </c>
      <c r="D148" s="806">
        <v>7500</v>
      </c>
      <c r="E148" s="814">
        <f>+VLOOKUP(A148,Clasificaciones!C:C,1,FALSE)</f>
        <v>1150104</v>
      </c>
      <c r="F148" s="815" t="s">
        <v>6</v>
      </c>
    </row>
    <row r="149" spans="1:6" s="814" customFormat="1" ht="15" customHeight="1">
      <c r="A149" s="801">
        <v>1150105</v>
      </c>
      <c r="B149" s="141" t="s">
        <v>1231</v>
      </c>
      <c r="C149" s="141">
        <v>1801930</v>
      </c>
      <c r="D149" s="806">
        <v>260</v>
      </c>
      <c r="E149" s="814">
        <f>+VLOOKUP(A149,Clasificaciones!C:C,1,FALSE)</f>
        <v>1150105</v>
      </c>
      <c r="F149" s="815" t="s">
        <v>6</v>
      </c>
    </row>
    <row r="150" spans="1:6" s="814" customFormat="1" ht="15" customHeight="1">
      <c r="A150" s="801">
        <v>1150106</v>
      </c>
      <c r="B150" s="141" t="s">
        <v>1232</v>
      </c>
      <c r="C150" s="141">
        <v>1366824</v>
      </c>
      <c r="D150" s="806">
        <v>200</v>
      </c>
      <c r="E150" s="814">
        <f>+VLOOKUP(A150,Clasificaciones!C:C,1,FALSE)</f>
        <v>1150106</v>
      </c>
      <c r="F150" s="815" t="s">
        <v>6</v>
      </c>
    </row>
    <row r="151" spans="1:6" s="814" customFormat="1" ht="15" customHeight="1">
      <c r="A151" s="801">
        <v>11502</v>
      </c>
      <c r="B151" s="141" t="s">
        <v>704</v>
      </c>
      <c r="C151" s="141">
        <v>2776611</v>
      </c>
      <c r="D151" s="806">
        <v>403.47</v>
      </c>
      <c r="E151" s="814">
        <f>+VLOOKUP(A151,Clasificaciones!C:C,1,FALSE)</f>
        <v>11502</v>
      </c>
      <c r="F151" s="815" t="s">
        <v>6</v>
      </c>
    </row>
    <row r="152" spans="1:6" s="814" customFormat="1" ht="15" customHeight="1">
      <c r="A152" s="801">
        <v>1150205</v>
      </c>
      <c r="B152" s="141" t="s">
        <v>517</v>
      </c>
      <c r="C152" s="141">
        <v>2776611</v>
      </c>
      <c r="D152" s="806">
        <v>403.47</v>
      </c>
      <c r="E152" s="814">
        <f>+VLOOKUP(A152,Clasificaciones!C:C,1,FALSE)</f>
        <v>1150205</v>
      </c>
      <c r="F152" s="815" t="s">
        <v>6</v>
      </c>
    </row>
    <row r="153" spans="1:6" s="814" customFormat="1" ht="15" customHeight="1">
      <c r="A153" s="801">
        <v>12</v>
      </c>
      <c r="B153" s="141" t="s">
        <v>7</v>
      </c>
      <c r="C153" s="141">
        <v>11313234250</v>
      </c>
      <c r="D153" s="806">
        <v>1696238.35</v>
      </c>
      <c r="E153" s="814">
        <f>+VLOOKUP(A153,Clasificaciones!C:C,1,FALSE)</f>
        <v>12</v>
      </c>
      <c r="F153" s="815" t="s">
        <v>6</v>
      </c>
    </row>
    <row r="154" spans="1:6" s="814" customFormat="1" ht="15" customHeight="1">
      <c r="A154" s="801">
        <v>121</v>
      </c>
      <c r="B154" s="141" t="s">
        <v>152</v>
      </c>
      <c r="C154" s="141">
        <v>9353158107</v>
      </c>
      <c r="D154" s="806">
        <v>1402926.26</v>
      </c>
      <c r="E154" s="814">
        <f>+VLOOKUP(A154,Clasificaciones!C:C,1,FALSE)</f>
        <v>121</v>
      </c>
      <c r="F154" s="815"/>
    </row>
    <row r="155" spans="1:6" s="814" customFormat="1" ht="15" hidden="1" customHeight="1">
      <c r="A155" s="801">
        <v>12101</v>
      </c>
      <c r="B155" s="141" t="s">
        <v>705</v>
      </c>
      <c r="C155" s="141">
        <v>8453158107</v>
      </c>
      <c r="D155" s="806">
        <v>1271306.8999999999</v>
      </c>
      <c r="E155" s="814">
        <f>+VLOOKUP(A155,Clasificaciones!C:C,1,FALSE)</f>
        <v>12101</v>
      </c>
      <c r="F155" s="815" t="s">
        <v>6</v>
      </c>
    </row>
    <row r="156" spans="1:6" s="814" customFormat="1" ht="15" hidden="1" customHeight="1">
      <c r="A156" s="801">
        <v>121011</v>
      </c>
      <c r="B156" s="141" t="s">
        <v>706</v>
      </c>
      <c r="C156" s="141">
        <v>8453158107</v>
      </c>
      <c r="D156" s="806">
        <v>1271306.8999999999</v>
      </c>
      <c r="E156" s="814">
        <f>+VLOOKUP(A156,Clasificaciones!C:C,1,FALSE)</f>
        <v>121011</v>
      </c>
      <c r="F156" s="815" t="s">
        <v>6</v>
      </c>
    </row>
    <row r="157" spans="1:6" s="814" customFormat="1" ht="15" hidden="1" customHeight="1">
      <c r="A157" s="801">
        <v>12101103</v>
      </c>
      <c r="B157" s="141" t="s">
        <v>1233</v>
      </c>
      <c r="C157" s="141">
        <v>4999000000</v>
      </c>
      <c r="D157" s="806">
        <v>763725.42</v>
      </c>
      <c r="E157" s="814">
        <f>+VLOOKUP(A157,Clasificaciones!C:C,1,FALSE)</f>
        <v>12101103</v>
      </c>
      <c r="F157" s="815" t="s">
        <v>6</v>
      </c>
    </row>
    <row r="158" spans="1:6" s="814" customFormat="1" ht="15" hidden="1" customHeight="1">
      <c r="A158" s="801">
        <v>1210110301</v>
      </c>
      <c r="B158" s="141" t="s">
        <v>401</v>
      </c>
      <c r="C158" s="141">
        <v>4999000000</v>
      </c>
      <c r="D158" s="806">
        <v>763725.42</v>
      </c>
      <c r="E158" s="814">
        <f>+VLOOKUP(A158,Clasificaciones!C:C,1,FALSE)</f>
        <v>1210110301</v>
      </c>
      <c r="F158" s="815" t="s">
        <v>6</v>
      </c>
    </row>
    <row r="159" spans="1:6" s="814" customFormat="1" ht="15" hidden="1" customHeight="1">
      <c r="A159" s="801">
        <v>12101108</v>
      </c>
      <c r="B159" s="141" t="s">
        <v>505</v>
      </c>
      <c r="C159" s="141">
        <v>3454158107</v>
      </c>
      <c r="D159" s="806">
        <v>507581.48</v>
      </c>
      <c r="E159" s="814">
        <f>+VLOOKUP(A159,Clasificaciones!C:C,1,FALSE)</f>
        <v>12101108</v>
      </c>
      <c r="F159" s="815"/>
    </row>
    <row r="160" spans="1:6" s="814" customFormat="1" ht="15" hidden="1" customHeight="1">
      <c r="A160" s="801">
        <v>1210110801</v>
      </c>
      <c r="B160" s="141" t="s">
        <v>382</v>
      </c>
      <c r="C160" s="141">
        <v>3454158107</v>
      </c>
      <c r="D160" s="806">
        <v>507581.48</v>
      </c>
      <c r="E160" s="814">
        <f>+VLOOKUP(A160,Clasificaciones!C:C,1,FALSE)</f>
        <v>1210110801</v>
      </c>
      <c r="F160" s="815" t="s">
        <v>6</v>
      </c>
    </row>
    <row r="161" spans="1:6" s="814" customFormat="1" ht="15" customHeight="1">
      <c r="A161" s="801">
        <v>12103</v>
      </c>
      <c r="B161" s="141" t="s">
        <v>707</v>
      </c>
      <c r="C161" s="141">
        <v>900000000</v>
      </c>
      <c r="D161" s="806">
        <v>131619.35999999999</v>
      </c>
      <c r="E161" s="814">
        <f>+VLOOKUP(A161,Clasificaciones!C:C,1,FALSE)</f>
        <v>12103</v>
      </c>
      <c r="F161" s="815" t="s">
        <v>6</v>
      </c>
    </row>
    <row r="162" spans="1:6" s="814" customFormat="1" ht="15" customHeight="1">
      <c r="A162" s="801">
        <v>1210301</v>
      </c>
      <c r="B162" s="141" t="s">
        <v>708</v>
      </c>
      <c r="C162" s="141">
        <v>900000000</v>
      </c>
      <c r="D162" s="806">
        <v>131619.35999999999</v>
      </c>
      <c r="E162" s="814">
        <f>+VLOOKUP(A162,Clasificaciones!C:C,1,FALSE)</f>
        <v>1210301</v>
      </c>
      <c r="F162" s="815" t="s">
        <v>6</v>
      </c>
    </row>
    <row r="163" spans="1:6" s="814" customFormat="1" ht="15" customHeight="1">
      <c r="A163" s="801">
        <v>127</v>
      </c>
      <c r="B163" s="141" t="s">
        <v>709</v>
      </c>
      <c r="C163" s="141">
        <v>1058186951</v>
      </c>
      <c r="D163" s="806">
        <v>156216.35</v>
      </c>
      <c r="E163" s="814">
        <f>+VLOOKUP(A163,Clasificaciones!C:C,1,FALSE)</f>
        <v>127</v>
      </c>
      <c r="F163" s="815" t="s">
        <v>6</v>
      </c>
    </row>
    <row r="164" spans="1:6" s="814" customFormat="1" ht="15" customHeight="1">
      <c r="A164" s="801">
        <v>12701</v>
      </c>
      <c r="B164" s="141" t="s">
        <v>710</v>
      </c>
      <c r="C164" s="141">
        <v>1058186951</v>
      </c>
      <c r="D164" s="806">
        <v>156216.35</v>
      </c>
      <c r="E164" s="814">
        <f>+VLOOKUP(A164,Clasificaciones!C:C,1,FALSE)</f>
        <v>12701</v>
      </c>
      <c r="F164" s="815" t="s">
        <v>6</v>
      </c>
    </row>
    <row r="165" spans="1:6" s="814" customFormat="1" ht="15" customHeight="1">
      <c r="A165" s="801">
        <v>1270102</v>
      </c>
      <c r="B165" s="141" t="s">
        <v>153</v>
      </c>
      <c r="C165" s="141">
        <v>122540485</v>
      </c>
      <c r="D165" s="806">
        <v>18105.099999999999</v>
      </c>
      <c r="E165" s="814">
        <f>+VLOOKUP(A165,Clasificaciones!C:C,1,FALSE)</f>
        <v>1270102</v>
      </c>
      <c r="F165" s="815"/>
    </row>
    <row r="166" spans="1:6" s="814" customFormat="1" ht="15" customHeight="1">
      <c r="A166" s="801">
        <v>1270103</v>
      </c>
      <c r="B166" s="141" t="s">
        <v>1154</v>
      </c>
      <c r="C166" s="141">
        <v>250626991</v>
      </c>
      <c r="D166" s="806">
        <v>37054.620000000003</v>
      </c>
      <c r="E166" s="814">
        <f>+VLOOKUP(A166,Clasificaciones!C:C,1,FALSE)</f>
        <v>1270103</v>
      </c>
      <c r="F166" s="815"/>
    </row>
    <row r="167" spans="1:6" s="814" customFormat="1" ht="15" customHeight="1">
      <c r="A167" s="801">
        <v>1270104</v>
      </c>
      <c r="B167" s="141" t="s">
        <v>712</v>
      </c>
      <c r="C167" s="141">
        <v>468274422</v>
      </c>
      <c r="D167" s="806">
        <v>68604.149999999994</v>
      </c>
      <c r="E167" s="814">
        <f>+VLOOKUP(A167,Clasificaciones!C:C,1,FALSE)</f>
        <v>1270104</v>
      </c>
      <c r="F167" s="815" t="s">
        <v>6</v>
      </c>
    </row>
    <row r="168" spans="1:6" s="814" customFormat="1" ht="15" customHeight="1">
      <c r="A168" s="801">
        <v>1270107</v>
      </c>
      <c r="B168" s="141" t="s">
        <v>997</v>
      </c>
      <c r="C168" s="141">
        <v>316522493</v>
      </c>
      <c r="D168" s="806">
        <v>47288.01</v>
      </c>
      <c r="E168" s="814">
        <f>+VLOOKUP(A168,Clasificaciones!C:C,1,FALSE)</f>
        <v>1270107</v>
      </c>
      <c r="F168" s="815" t="s">
        <v>6</v>
      </c>
    </row>
    <row r="169" spans="1:6" s="814" customFormat="1" ht="15" customHeight="1">
      <c r="A169" s="801">
        <v>1270120</v>
      </c>
      <c r="B169" s="141" t="s">
        <v>713</v>
      </c>
      <c r="C169" s="141">
        <v>-99777440</v>
      </c>
      <c r="D169" s="806">
        <v>-14835.53</v>
      </c>
      <c r="E169" s="814">
        <f>+VLOOKUP(A169,Clasificaciones!C:C,1,FALSE)</f>
        <v>1270120</v>
      </c>
      <c r="F169" s="815" t="s">
        <v>6</v>
      </c>
    </row>
    <row r="170" spans="1:6" s="814" customFormat="1" ht="15" customHeight="1">
      <c r="A170" s="801">
        <v>127012002</v>
      </c>
      <c r="B170" s="141" t="s">
        <v>990</v>
      </c>
      <c r="C170" s="141">
        <v>-5514324</v>
      </c>
      <c r="D170" s="806">
        <v>-814.74</v>
      </c>
      <c r="E170" s="814">
        <f>+VLOOKUP(A170,Clasificaciones!C:C,1,FALSE)</f>
        <v>127012002</v>
      </c>
      <c r="F170" s="815" t="s">
        <v>6</v>
      </c>
    </row>
    <row r="171" spans="1:6" s="814" customFormat="1" ht="15" customHeight="1">
      <c r="A171" s="801">
        <v>127012003</v>
      </c>
      <c r="B171" s="141" t="s">
        <v>714</v>
      </c>
      <c r="C171" s="141">
        <v>-37890753</v>
      </c>
      <c r="D171" s="806">
        <v>-5604.2</v>
      </c>
      <c r="E171" s="814">
        <f>+VLOOKUP(A171,Clasificaciones!C:C,1,FALSE)</f>
        <v>127012003</v>
      </c>
      <c r="F171" s="815" t="s">
        <v>6</v>
      </c>
    </row>
    <row r="172" spans="1:6" s="814" customFormat="1" ht="15" customHeight="1">
      <c r="A172" s="801">
        <v>127012004</v>
      </c>
      <c r="B172" s="141" t="s">
        <v>715</v>
      </c>
      <c r="C172" s="141">
        <v>-42128849</v>
      </c>
      <c r="D172" s="806">
        <v>-6288.53</v>
      </c>
      <c r="E172" s="814">
        <f>+VLOOKUP(A172,Clasificaciones!C:C,1,FALSE)</f>
        <v>127012004</v>
      </c>
      <c r="F172" s="815" t="s">
        <v>6</v>
      </c>
    </row>
    <row r="173" spans="1:6" s="814" customFormat="1" ht="15" customHeight="1">
      <c r="A173" s="801">
        <v>127012006</v>
      </c>
      <c r="B173" s="141" t="s">
        <v>1501</v>
      </c>
      <c r="C173" s="141">
        <v>-14243514</v>
      </c>
      <c r="D173" s="806">
        <v>-2128.06</v>
      </c>
      <c r="E173" s="814">
        <f>+VLOOKUP(A173,Clasificaciones!C:C,1,FALSE)</f>
        <v>127012006</v>
      </c>
      <c r="F173" s="815" t="s">
        <v>186</v>
      </c>
    </row>
    <row r="174" spans="1:6" s="814" customFormat="1" ht="15" customHeight="1">
      <c r="A174" s="801">
        <v>128</v>
      </c>
      <c r="B174" s="141" t="s">
        <v>716</v>
      </c>
      <c r="C174" s="141">
        <v>889514274</v>
      </c>
      <c r="D174" s="806">
        <v>135175.74</v>
      </c>
      <c r="E174" s="814">
        <f>+VLOOKUP(A174,Clasificaciones!C:C,1,FALSE)</f>
        <v>128</v>
      </c>
      <c r="F174" s="815" t="s">
        <v>6</v>
      </c>
    </row>
    <row r="175" spans="1:6" s="814" customFormat="1" ht="15" customHeight="1">
      <c r="A175" s="801">
        <v>12801</v>
      </c>
      <c r="B175" s="141" t="s">
        <v>94</v>
      </c>
      <c r="C175" s="141">
        <v>424253188</v>
      </c>
      <c r="D175" s="806">
        <v>62078.85</v>
      </c>
      <c r="E175" s="814">
        <f>+VLOOKUP(A175,Clasificaciones!C:C,1,FALSE)</f>
        <v>12801</v>
      </c>
      <c r="F175" s="815" t="s">
        <v>186</v>
      </c>
    </row>
    <row r="176" spans="1:6" s="814" customFormat="1" ht="15" customHeight="1">
      <c r="A176" s="801">
        <v>1280102</v>
      </c>
      <c r="B176" s="141" t="s">
        <v>717</v>
      </c>
      <c r="C176" s="141">
        <v>424253188</v>
      </c>
      <c r="D176" s="806">
        <v>62078.85</v>
      </c>
      <c r="E176" s="814">
        <f>+VLOOKUP(A176,Clasificaciones!C:C,1,FALSE)</f>
        <v>1280102</v>
      </c>
      <c r="F176" s="815" t="s">
        <v>6</v>
      </c>
    </row>
    <row r="177" spans="1:6" s="814" customFormat="1" ht="15" customHeight="1">
      <c r="A177" s="801">
        <v>12802</v>
      </c>
      <c r="B177" s="141" t="s">
        <v>718</v>
      </c>
      <c r="C177" s="141">
        <v>697338814</v>
      </c>
      <c r="D177" s="806">
        <v>112044.48</v>
      </c>
      <c r="E177" s="814">
        <f>+VLOOKUP(A177,Clasificaciones!C:C,1,FALSE)</f>
        <v>12802</v>
      </c>
      <c r="F177" s="815" t="s">
        <v>6</v>
      </c>
    </row>
    <row r="178" spans="1:6" s="814" customFormat="1" ht="15" customHeight="1">
      <c r="A178" s="801">
        <v>12803</v>
      </c>
      <c r="B178" s="141" t="s">
        <v>95</v>
      </c>
      <c r="C178" s="141">
        <v>8000000</v>
      </c>
      <c r="D178" s="806">
        <v>1288.27</v>
      </c>
      <c r="E178" s="814">
        <f>+VLOOKUP(A178,Clasificaciones!C:C,1,FALSE)</f>
        <v>12803</v>
      </c>
      <c r="F178" s="815" t="s">
        <v>6</v>
      </c>
    </row>
    <row r="179" spans="1:6" s="814" customFormat="1" ht="15" customHeight="1">
      <c r="A179" s="801">
        <v>12804</v>
      </c>
      <c r="B179" s="141" t="s">
        <v>263</v>
      </c>
      <c r="C179" s="141">
        <v>57764419</v>
      </c>
      <c r="D179" s="806">
        <v>9621.58</v>
      </c>
      <c r="E179" s="814">
        <f>+VLOOKUP(A179,Clasificaciones!C:C,1,FALSE)</f>
        <v>12804</v>
      </c>
      <c r="F179" s="815" t="s">
        <v>6</v>
      </c>
    </row>
    <row r="180" spans="1:6" s="814" customFormat="1" ht="15" customHeight="1">
      <c r="A180" s="801">
        <v>1280401</v>
      </c>
      <c r="B180" s="141" t="s">
        <v>155</v>
      </c>
      <c r="C180" s="141">
        <v>57764419</v>
      </c>
      <c r="D180" s="806">
        <v>9621.58</v>
      </c>
      <c r="E180" s="814">
        <f>+VLOOKUP(A180,Clasificaciones!C:C,1,FALSE)</f>
        <v>1280401</v>
      </c>
      <c r="F180" s="815" t="s">
        <v>6</v>
      </c>
    </row>
    <row r="181" spans="1:6" s="814" customFormat="1" ht="15" customHeight="1">
      <c r="A181" s="801">
        <v>12808</v>
      </c>
      <c r="B181" s="141" t="s">
        <v>1250</v>
      </c>
      <c r="C181" s="141">
        <v>150232250</v>
      </c>
      <c r="D181" s="806">
        <v>21818.16</v>
      </c>
      <c r="E181" s="814">
        <f>+VLOOKUP(A181,Clasificaciones!C:C,1,FALSE)</f>
        <v>12808</v>
      </c>
      <c r="F181" s="815" t="s">
        <v>6</v>
      </c>
    </row>
    <row r="182" spans="1:6" s="814" customFormat="1" ht="15" customHeight="1">
      <c r="A182" s="801">
        <v>12820</v>
      </c>
      <c r="B182" s="141" t="s">
        <v>720</v>
      </c>
      <c r="C182" s="141">
        <v>-448074397</v>
      </c>
      <c r="D182" s="806">
        <v>-71675.600000000006</v>
      </c>
      <c r="E182" s="814">
        <f>+VLOOKUP(A182,Clasificaciones!C:C,1,FALSE)</f>
        <v>12820</v>
      </c>
      <c r="F182" s="815" t="s">
        <v>186</v>
      </c>
    </row>
    <row r="183" spans="1:6" s="814" customFormat="1" ht="15" customHeight="1">
      <c r="A183" s="801">
        <v>1282001</v>
      </c>
      <c r="B183" s="141" t="s">
        <v>94</v>
      </c>
      <c r="C183" s="141">
        <v>-73550328</v>
      </c>
      <c r="D183" s="806">
        <v>-10808.62</v>
      </c>
      <c r="E183" s="814">
        <f>+VLOOKUP(A183,Clasificaciones!C:C,1,FALSE)</f>
        <v>1282001</v>
      </c>
      <c r="F183" s="815" t="s">
        <v>186</v>
      </c>
    </row>
    <row r="184" spans="1:6" s="814" customFormat="1" ht="15" customHeight="1">
      <c r="A184" s="801">
        <v>1282002</v>
      </c>
      <c r="B184" s="141" t="s">
        <v>95</v>
      </c>
      <c r="C184" s="141">
        <v>-4000010</v>
      </c>
      <c r="D184" s="806">
        <v>-644.13</v>
      </c>
      <c r="E184" s="814">
        <f>+VLOOKUP(A184,Clasificaciones!C:C,1,FALSE)</f>
        <v>1282002</v>
      </c>
      <c r="F184" s="815" t="s">
        <v>6</v>
      </c>
    </row>
    <row r="185" spans="1:6" s="814" customFormat="1" ht="15" customHeight="1">
      <c r="A185" s="801">
        <v>1282003</v>
      </c>
      <c r="B185" s="141" t="s">
        <v>155</v>
      </c>
      <c r="C185" s="141">
        <v>-46910660</v>
      </c>
      <c r="D185" s="806">
        <v>-7833.58</v>
      </c>
      <c r="E185" s="814">
        <f>+VLOOKUP(A185,Clasificaciones!C:C,1,FALSE)</f>
        <v>1282003</v>
      </c>
      <c r="F185" s="815" t="s">
        <v>6</v>
      </c>
    </row>
    <row r="186" spans="1:6" s="814" customFormat="1" ht="15" customHeight="1">
      <c r="A186" s="801">
        <v>1282004</v>
      </c>
      <c r="B186" s="141" t="s">
        <v>721</v>
      </c>
      <c r="C186" s="141">
        <v>-323613399</v>
      </c>
      <c r="D186" s="806">
        <v>-52389.27</v>
      </c>
      <c r="E186" s="814">
        <f>+VLOOKUP(A186,Clasificaciones!C:C,1,FALSE)</f>
        <v>1282004</v>
      </c>
      <c r="F186" s="815"/>
    </row>
    <row r="187" spans="1:6" s="814" customFormat="1" ht="15" customHeight="1">
      <c r="A187" s="801">
        <v>129</v>
      </c>
      <c r="B187" s="141" t="s">
        <v>1187</v>
      </c>
      <c r="C187" s="141">
        <v>12374918</v>
      </c>
      <c r="D187" s="806">
        <v>1920</v>
      </c>
      <c r="E187" s="814">
        <f>+VLOOKUP(A187,Clasificaciones!C:C,1,FALSE)</f>
        <v>129</v>
      </c>
      <c r="F187" s="815" t="s">
        <v>186</v>
      </c>
    </row>
    <row r="188" spans="1:6" s="814" customFormat="1" ht="15" customHeight="1">
      <c r="A188" s="801">
        <v>12901</v>
      </c>
      <c r="B188" s="141" t="s">
        <v>1188</v>
      </c>
      <c r="C188" s="141">
        <v>12374918</v>
      </c>
      <c r="D188" s="806">
        <v>1920</v>
      </c>
      <c r="E188" s="814">
        <f>+VLOOKUP(A188,Clasificaciones!C:C,1,FALSE)</f>
        <v>12901</v>
      </c>
      <c r="F188" s="815" t="s">
        <v>6</v>
      </c>
    </row>
    <row r="189" spans="1:6" s="814" customFormat="1" ht="15" customHeight="1">
      <c r="A189" s="801">
        <v>2</v>
      </c>
      <c r="B189" s="141" t="s">
        <v>8</v>
      </c>
      <c r="C189" s="141">
        <v>169819978354</v>
      </c>
      <c r="D189" s="806">
        <v>24791063.5</v>
      </c>
      <c r="E189" s="814">
        <f>+VLOOKUP(A189,Clasificaciones!C:C,1,FALSE)</f>
        <v>2</v>
      </c>
      <c r="F189" s="815" t="s">
        <v>6</v>
      </c>
    </row>
    <row r="190" spans="1:6" s="814" customFormat="1" ht="15" customHeight="1">
      <c r="A190" s="801">
        <v>21</v>
      </c>
      <c r="B190" s="141" t="s">
        <v>9</v>
      </c>
      <c r="C190" s="141">
        <v>169819978354</v>
      </c>
      <c r="D190" s="806">
        <v>24791063.5</v>
      </c>
      <c r="E190" s="814">
        <f>+VLOOKUP(A190,Clasificaciones!C:C,1,FALSE)</f>
        <v>21</v>
      </c>
      <c r="F190" s="815" t="s">
        <v>6</v>
      </c>
    </row>
    <row r="191" spans="1:6" s="814" customFormat="1" ht="15" customHeight="1">
      <c r="A191" s="801">
        <v>211</v>
      </c>
      <c r="B191" s="141" t="s">
        <v>722</v>
      </c>
      <c r="C191" s="141">
        <v>811925238</v>
      </c>
      <c r="D191" s="806">
        <v>118529.52</v>
      </c>
      <c r="E191" s="814">
        <f>+VLOOKUP(A191,Clasificaciones!C:C,1,FALSE)</f>
        <v>211</v>
      </c>
      <c r="F191" s="815" t="s">
        <v>186</v>
      </c>
    </row>
    <row r="192" spans="1:6" s="814" customFormat="1" ht="15" customHeight="1">
      <c r="A192" s="801">
        <v>21101</v>
      </c>
      <c r="B192" s="141" t="s">
        <v>723</v>
      </c>
      <c r="C192" s="141">
        <v>596517673</v>
      </c>
      <c r="D192" s="806">
        <v>87083.37</v>
      </c>
      <c r="E192" s="814">
        <f>+VLOOKUP(A192,Clasificaciones!C:C,1,FALSE)</f>
        <v>21101</v>
      </c>
      <c r="F192" s="815" t="s">
        <v>6</v>
      </c>
    </row>
    <row r="193" spans="1:6" s="814" customFormat="1" ht="15" customHeight="1">
      <c r="A193" s="801">
        <v>2110101</v>
      </c>
      <c r="B193" s="141" t="s">
        <v>516</v>
      </c>
      <c r="C193" s="141">
        <v>593622498</v>
      </c>
      <c r="D193" s="806">
        <v>86659.58</v>
      </c>
      <c r="E193" s="814">
        <f>+VLOOKUP(A193,Clasificaciones!C:C,1,FALSE)</f>
        <v>2110101</v>
      </c>
      <c r="F193" s="815" t="s">
        <v>6</v>
      </c>
    </row>
    <row r="194" spans="1:6" s="814" customFormat="1" ht="15" customHeight="1">
      <c r="A194" s="801">
        <v>211010101</v>
      </c>
      <c r="B194" s="141" t="s">
        <v>402</v>
      </c>
      <c r="C194" s="141">
        <v>3771166</v>
      </c>
      <c r="D194" s="806">
        <v>550.53</v>
      </c>
      <c r="E194" s="814">
        <f>+VLOOKUP(A194,Clasificaciones!C:C,1,FALSE)</f>
        <v>211010101</v>
      </c>
      <c r="F194" s="815" t="s">
        <v>6</v>
      </c>
    </row>
    <row r="195" spans="1:6" s="814" customFormat="1" ht="15" customHeight="1">
      <c r="A195" s="801">
        <v>211010102</v>
      </c>
      <c r="B195" s="141" t="s">
        <v>724</v>
      </c>
      <c r="C195" s="141">
        <v>584417016</v>
      </c>
      <c r="D195" s="806">
        <v>85315.73</v>
      </c>
      <c r="E195" s="814">
        <f>+VLOOKUP(A195,Clasificaciones!C:C,1,FALSE)</f>
        <v>211010102</v>
      </c>
      <c r="F195" s="815" t="s">
        <v>186</v>
      </c>
    </row>
    <row r="196" spans="1:6" s="814" customFormat="1" ht="15" customHeight="1">
      <c r="A196" s="801">
        <v>211010103</v>
      </c>
      <c r="B196" s="141" t="s">
        <v>1189</v>
      </c>
      <c r="C196" s="141">
        <v>951232</v>
      </c>
      <c r="D196" s="806">
        <v>138.86000000000001</v>
      </c>
      <c r="E196" s="814">
        <f>+VLOOKUP(A196,Clasificaciones!C:C,1,FALSE)</f>
        <v>211010103</v>
      </c>
      <c r="F196" s="815" t="s">
        <v>6</v>
      </c>
    </row>
    <row r="197" spans="1:6" s="814" customFormat="1" ht="15" customHeight="1">
      <c r="A197" s="801">
        <v>211010104</v>
      </c>
      <c r="B197" s="141" t="s">
        <v>1190</v>
      </c>
      <c r="C197" s="141">
        <v>4483084</v>
      </c>
      <c r="D197" s="806">
        <v>654.46</v>
      </c>
      <c r="E197" s="814">
        <f>+VLOOKUP(A197,Clasificaciones!C:C,1,FALSE)</f>
        <v>211010104</v>
      </c>
      <c r="F197" s="815" t="s">
        <v>6</v>
      </c>
    </row>
    <row r="198" spans="1:6" s="814" customFormat="1" ht="15" customHeight="1">
      <c r="A198" s="801">
        <v>2110103</v>
      </c>
      <c r="B198" s="141" t="s">
        <v>725</v>
      </c>
      <c r="C198" s="141">
        <v>2895175</v>
      </c>
      <c r="D198" s="806">
        <v>423.79</v>
      </c>
      <c r="E198" s="814">
        <f>+VLOOKUP(A198,Clasificaciones!C:C,1,FALSE)</f>
        <v>2110103</v>
      </c>
      <c r="F198" s="815" t="s">
        <v>186</v>
      </c>
    </row>
    <row r="199" spans="1:6" s="814" customFormat="1" ht="15" customHeight="1">
      <c r="A199" s="801">
        <v>211010301</v>
      </c>
      <c r="B199" s="141" t="s">
        <v>726</v>
      </c>
      <c r="C199" s="141">
        <v>2895175</v>
      </c>
      <c r="D199" s="806">
        <v>423.79</v>
      </c>
      <c r="E199" s="814">
        <f>+VLOOKUP(A199,Clasificaciones!C:C,1,FALSE)</f>
        <v>211010301</v>
      </c>
      <c r="F199" s="815" t="s">
        <v>6</v>
      </c>
    </row>
    <row r="200" spans="1:6" s="814" customFormat="1" ht="15" customHeight="1">
      <c r="A200" s="801">
        <v>21103</v>
      </c>
      <c r="B200" s="141" t="s">
        <v>1003</v>
      </c>
      <c r="C200" s="141">
        <v>12940719</v>
      </c>
      <c r="D200" s="806">
        <v>1889.15</v>
      </c>
      <c r="E200" s="814">
        <f>+VLOOKUP(A200,Clasificaciones!C:C,1,FALSE)</f>
        <v>21103</v>
      </c>
      <c r="F200" s="815" t="s">
        <v>6</v>
      </c>
    </row>
    <row r="201" spans="1:6" s="814" customFormat="1" ht="15" customHeight="1">
      <c r="A201" s="801">
        <v>211030101</v>
      </c>
      <c r="B201" s="141" t="s">
        <v>1003</v>
      </c>
      <c r="C201" s="141">
        <v>1561171</v>
      </c>
      <c r="D201" s="806">
        <v>227.91</v>
      </c>
      <c r="E201" s="814">
        <f>+VLOOKUP(A201,Clasificaciones!C:C,1,FALSE)</f>
        <v>211030101</v>
      </c>
      <c r="F201" s="815" t="s">
        <v>6</v>
      </c>
    </row>
    <row r="202" spans="1:6" s="814" customFormat="1" ht="15" customHeight="1">
      <c r="A202" s="801">
        <v>211030103</v>
      </c>
      <c r="B202" s="141" t="s">
        <v>1234</v>
      </c>
      <c r="C202" s="141">
        <v>11379548</v>
      </c>
      <c r="D202" s="806">
        <v>1661.24</v>
      </c>
      <c r="E202" s="814">
        <f>+VLOOKUP(A202,Clasificaciones!C:C,1,FALSE)</f>
        <v>211030103</v>
      </c>
      <c r="F202" s="815" t="s">
        <v>6</v>
      </c>
    </row>
    <row r="203" spans="1:6" s="814" customFormat="1" ht="15" customHeight="1">
      <c r="A203" s="801">
        <v>21107</v>
      </c>
      <c r="B203" s="141" t="s">
        <v>727</v>
      </c>
      <c r="C203" s="141">
        <v>202466846</v>
      </c>
      <c r="D203" s="806">
        <v>29557</v>
      </c>
      <c r="E203" s="814">
        <f>+VLOOKUP(A203,Clasificaciones!C:C,1,FALSE)</f>
        <v>21107</v>
      </c>
      <c r="F203" s="815" t="s">
        <v>6</v>
      </c>
    </row>
    <row r="204" spans="1:6" s="814" customFormat="1" ht="15" customHeight="1">
      <c r="A204" s="801">
        <v>2110701</v>
      </c>
      <c r="B204" s="141" t="s">
        <v>728</v>
      </c>
      <c r="C204" s="141">
        <v>56527969</v>
      </c>
      <c r="D204" s="806">
        <v>8252.2099999999991</v>
      </c>
      <c r="E204" s="814">
        <f>+VLOOKUP(A204,Clasificaciones!C:C,1,FALSE)</f>
        <v>2110701</v>
      </c>
      <c r="F204" s="815" t="s">
        <v>6</v>
      </c>
    </row>
    <row r="205" spans="1:6" s="814" customFormat="1" ht="15" customHeight="1">
      <c r="A205" s="801">
        <v>2110702</v>
      </c>
      <c r="B205" s="141" t="s">
        <v>729</v>
      </c>
      <c r="C205" s="141">
        <v>46613152</v>
      </c>
      <c r="D205" s="806">
        <v>6804.79</v>
      </c>
      <c r="E205" s="814">
        <f>+VLOOKUP(A205,Clasificaciones!C:C,1,FALSE)</f>
        <v>2110702</v>
      </c>
      <c r="F205" s="815" t="s">
        <v>6</v>
      </c>
    </row>
    <row r="206" spans="1:6" s="814" customFormat="1" ht="15" customHeight="1">
      <c r="A206" s="801">
        <v>2110703</v>
      </c>
      <c r="B206" s="141" t="s">
        <v>1007</v>
      </c>
      <c r="C206" s="141">
        <v>99325725</v>
      </c>
      <c r="D206" s="806">
        <v>14500</v>
      </c>
      <c r="E206" s="814">
        <f>+VLOOKUP(A206,Clasificaciones!C:C,1,FALSE)</f>
        <v>2110703</v>
      </c>
      <c r="F206" s="815" t="s">
        <v>6</v>
      </c>
    </row>
    <row r="207" spans="1:6" s="814" customFormat="1" ht="15" customHeight="1">
      <c r="A207" s="801">
        <v>213</v>
      </c>
      <c r="B207" s="141" t="s">
        <v>730</v>
      </c>
      <c r="C207" s="141">
        <v>167976805129</v>
      </c>
      <c r="D207" s="806">
        <v>24521982.34</v>
      </c>
      <c r="E207" s="814">
        <f>+VLOOKUP(A207,Clasificaciones!C:C,1,FALSE)</f>
        <v>213</v>
      </c>
      <c r="F207" s="815" t="s">
        <v>6</v>
      </c>
    </row>
    <row r="208" spans="1:6" s="814" customFormat="1" ht="15" customHeight="1">
      <c r="A208" s="801">
        <v>21301</v>
      </c>
      <c r="B208" s="141" t="s">
        <v>607</v>
      </c>
      <c r="C208" s="141">
        <v>13436558606</v>
      </c>
      <c r="D208" s="806">
        <v>1961527.08</v>
      </c>
      <c r="E208" s="814">
        <f>+VLOOKUP(A208,Clasificaciones!C:C,1,FALSE)</f>
        <v>21301</v>
      </c>
      <c r="F208" s="815" t="s">
        <v>6</v>
      </c>
    </row>
    <row r="209" spans="1:6" s="814" customFormat="1" ht="15" customHeight="1">
      <c r="A209" s="801">
        <v>2130101</v>
      </c>
      <c r="B209" s="141" t="s">
        <v>731</v>
      </c>
      <c r="C209" s="141">
        <v>11871555014</v>
      </c>
      <c r="D209" s="806">
        <v>1733061.07</v>
      </c>
      <c r="E209" s="814">
        <f>+VLOOKUP(A209,Clasificaciones!C:C,1,FALSE)</f>
        <v>2130101</v>
      </c>
      <c r="F209" s="815" t="s">
        <v>6</v>
      </c>
    </row>
    <row r="210" spans="1:6" s="814" customFormat="1" ht="15" customHeight="1">
      <c r="A210" s="801">
        <v>213010101</v>
      </c>
      <c r="B210" s="141" t="s">
        <v>1561</v>
      </c>
      <c r="C210" s="141">
        <v>11871555014</v>
      </c>
      <c r="D210" s="806">
        <v>1733061.07</v>
      </c>
      <c r="E210" s="814">
        <f>+VLOOKUP(A210,Clasificaciones!C:C,1,FALSE)</f>
        <v>213010101</v>
      </c>
      <c r="F210" s="815" t="s">
        <v>6</v>
      </c>
    </row>
    <row r="211" spans="1:6" s="814" customFormat="1" ht="15" customHeight="1">
      <c r="A211" s="801">
        <v>2130102</v>
      </c>
      <c r="B211" s="141" t="s">
        <v>733</v>
      </c>
      <c r="C211" s="141">
        <v>1565003592</v>
      </c>
      <c r="D211" s="806">
        <v>228466.01</v>
      </c>
      <c r="E211" s="814">
        <f>+VLOOKUP(A211,Clasificaciones!C:C,1,FALSE)</f>
        <v>2130102</v>
      </c>
      <c r="F211" s="815" t="s">
        <v>6</v>
      </c>
    </row>
    <row r="212" spans="1:6" s="814" customFormat="1" ht="15" customHeight="1">
      <c r="A212" s="801">
        <v>213010201</v>
      </c>
      <c r="B212" s="141" t="s">
        <v>734</v>
      </c>
      <c r="C212" s="141">
        <v>1565003592</v>
      </c>
      <c r="D212" s="806">
        <v>228466.01</v>
      </c>
      <c r="E212" s="814">
        <f>+VLOOKUP(A212,Clasificaciones!C:C,1,FALSE)</f>
        <v>213010201</v>
      </c>
      <c r="F212" s="815" t="s">
        <v>6</v>
      </c>
    </row>
    <row r="213" spans="1:6" s="814" customFormat="1" ht="15" customHeight="1">
      <c r="A213" s="801">
        <v>21303</v>
      </c>
      <c r="B213" s="141" t="s">
        <v>735</v>
      </c>
      <c r="C213" s="141">
        <v>154540246523</v>
      </c>
      <c r="D213" s="806">
        <v>22560455.260000002</v>
      </c>
      <c r="E213" s="814">
        <f>+VLOOKUP(A213,Clasificaciones!C:C,1,FALSE)</f>
        <v>21303</v>
      </c>
      <c r="F213" s="815" t="s">
        <v>186</v>
      </c>
    </row>
    <row r="214" spans="1:6" s="814" customFormat="1" ht="15" customHeight="1">
      <c r="A214" s="801">
        <v>2130301</v>
      </c>
      <c r="B214" s="141" t="s">
        <v>736</v>
      </c>
      <c r="C214" s="141">
        <v>1937085909</v>
      </c>
      <c r="D214" s="806">
        <v>282784.2</v>
      </c>
      <c r="E214" s="814">
        <f>+VLOOKUP(A214,Clasificaciones!C:C,1,FALSE)</f>
        <v>2130301</v>
      </c>
      <c r="F214" s="815" t="s">
        <v>6</v>
      </c>
    </row>
    <row r="215" spans="1:6" s="814" customFormat="1" ht="15" customHeight="1">
      <c r="A215" s="801">
        <v>213030101</v>
      </c>
      <c r="B215" s="141" t="s">
        <v>737</v>
      </c>
      <c r="C215" s="141">
        <v>529473399</v>
      </c>
      <c r="D215" s="806">
        <v>77294.820000000007</v>
      </c>
      <c r="E215" s="814">
        <f>+VLOOKUP(A215,Clasificaciones!C:C,1,FALSE)</f>
        <v>213030101</v>
      </c>
      <c r="F215" s="815" t="s">
        <v>6</v>
      </c>
    </row>
    <row r="216" spans="1:6" s="814" customFormat="1" ht="15" customHeight="1">
      <c r="A216" s="801">
        <v>213030102</v>
      </c>
      <c r="B216" s="141" t="s">
        <v>1017</v>
      </c>
      <c r="C216" s="141">
        <v>1081490346</v>
      </c>
      <c r="D216" s="806">
        <v>157880.65</v>
      </c>
      <c r="E216" s="814">
        <f>+VLOOKUP(A216,Clasificaciones!C:C,1,FALSE)</f>
        <v>213030102</v>
      </c>
      <c r="F216" s="815" t="s">
        <v>6</v>
      </c>
    </row>
    <row r="217" spans="1:6" s="814" customFormat="1" ht="15" customHeight="1">
      <c r="A217" s="801">
        <v>213030103</v>
      </c>
      <c r="B217" s="141" t="s">
        <v>1191</v>
      </c>
      <c r="C217" s="141">
        <v>326122164</v>
      </c>
      <c r="D217" s="806">
        <v>47608.73</v>
      </c>
      <c r="E217" s="814">
        <f>+VLOOKUP(A217,Clasificaciones!C:C,1,FALSE)</f>
        <v>213030103</v>
      </c>
      <c r="F217" s="815" t="s">
        <v>6</v>
      </c>
    </row>
    <row r="218" spans="1:6" s="814" customFormat="1" ht="15" customHeight="1">
      <c r="A218" s="801">
        <v>2130302</v>
      </c>
      <c r="B218" s="141" t="s">
        <v>1018</v>
      </c>
      <c r="C218" s="141">
        <v>-1354769317</v>
      </c>
      <c r="D218" s="806">
        <v>-197775.1</v>
      </c>
      <c r="E218" s="814">
        <f>+VLOOKUP(A218,Clasificaciones!C:C,1,FALSE)</f>
        <v>2130302</v>
      </c>
      <c r="F218" s="815" t="s">
        <v>186</v>
      </c>
    </row>
    <row r="219" spans="1:6" s="814" customFormat="1" ht="15" customHeight="1">
      <c r="A219" s="801">
        <v>213030201</v>
      </c>
      <c r="B219" s="141" t="s">
        <v>1019</v>
      </c>
      <c r="C219" s="141">
        <v>-391964087</v>
      </c>
      <c r="D219" s="811">
        <v>-57220.62</v>
      </c>
      <c r="E219" s="814">
        <f>+VLOOKUP(A219,Clasificaciones!C:C,1,FALSE)</f>
        <v>213030201</v>
      </c>
      <c r="F219" s="815" t="s">
        <v>6</v>
      </c>
    </row>
    <row r="220" spans="1:6" s="814" customFormat="1" ht="15" customHeight="1">
      <c r="A220" s="801">
        <v>213030202</v>
      </c>
      <c r="B220" s="141" t="s">
        <v>1192</v>
      </c>
      <c r="C220" s="141">
        <v>-940868615</v>
      </c>
      <c r="D220" s="806">
        <v>-137352.07999999999</v>
      </c>
      <c r="E220" s="814">
        <f>+VLOOKUP(A220,Clasificaciones!C:C,1,FALSE)</f>
        <v>213030202</v>
      </c>
      <c r="F220" s="815" t="s">
        <v>6</v>
      </c>
    </row>
    <row r="221" spans="1:6" s="814" customFormat="1" ht="15" customHeight="1">
      <c r="A221" s="801">
        <v>213030203</v>
      </c>
      <c r="B221" s="141" t="s">
        <v>1193</v>
      </c>
      <c r="C221" s="141">
        <v>-21936615</v>
      </c>
      <c r="D221" s="806">
        <v>-3202.4</v>
      </c>
      <c r="E221" s="814">
        <f>+VLOOKUP(A221,Clasificaciones!C:C,1,FALSE)</f>
        <v>213030203</v>
      </c>
      <c r="F221" s="816" t="s">
        <v>6</v>
      </c>
    </row>
    <row r="222" spans="1:6" s="814" customFormat="1" ht="15" customHeight="1">
      <c r="A222" s="801">
        <v>2130303</v>
      </c>
      <c r="B222" s="141" t="s">
        <v>738</v>
      </c>
      <c r="C222" s="141">
        <v>153957929931</v>
      </c>
      <c r="D222" s="811">
        <v>22475446.16</v>
      </c>
      <c r="E222" s="814">
        <f>+VLOOKUP(A222,Clasificaciones!C:C,1,FALSE)</f>
        <v>2130303</v>
      </c>
      <c r="F222" s="816" t="s">
        <v>6</v>
      </c>
    </row>
    <row r="223" spans="1:6" s="814" customFormat="1" ht="15" customHeight="1">
      <c r="A223" s="801">
        <v>213030301</v>
      </c>
      <c r="B223" s="141" t="s">
        <v>739</v>
      </c>
      <c r="C223" s="141">
        <v>39490316453</v>
      </c>
      <c r="D223" s="806">
        <v>5764967.6200000001</v>
      </c>
      <c r="E223" s="814">
        <f>+VLOOKUP(A223,Clasificaciones!C:C,1,FALSE)</f>
        <v>213030301</v>
      </c>
      <c r="F223" s="816" t="s">
        <v>6</v>
      </c>
    </row>
    <row r="224" spans="1:6" s="814" customFormat="1" ht="15" customHeight="1">
      <c r="A224" s="801">
        <v>213030302</v>
      </c>
      <c r="B224" s="141" t="s">
        <v>740</v>
      </c>
      <c r="C224" s="141">
        <v>105749085440</v>
      </c>
      <c r="D224" s="806">
        <v>15437710.01</v>
      </c>
      <c r="E224" s="814">
        <f>+VLOOKUP(A224,Clasificaciones!C:C,1,FALSE)</f>
        <v>213030302</v>
      </c>
      <c r="F224" s="816" t="s">
        <v>6</v>
      </c>
    </row>
    <row r="225" spans="1:7" s="814" customFormat="1" ht="15" customHeight="1">
      <c r="A225" s="801">
        <v>213030303</v>
      </c>
      <c r="B225" s="141" t="s">
        <v>1194</v>
      </c>
      <c r="C225" s="141">
        <v>8718528038</v>
      </c>
      <c r="D225" s="806">
        <v>1272768.53</v>
      </c>
      <c r="E225" s="814">
        <f>+VLOOKUP(A225,Clasificaciones!C:C,1,FALSE)</f>
        <v>213030303</v>
      </c>
      <c r="F225" s="815"/>
      <c r="G225" s="963"/>
    </row>
    <row r="226" spans="1:7" s="814" customFormat="1" ht="15" customHeight="1">
      <c r="A226" s="801">
        <v>214</v>
      </c>
      <c r="B226" s="141" t="s">
        <v>10</v>
      </c>
      <c r="C226" s="141">
        <v>1031247987</v>
      </c>
      <c r="D226" s="806">
        <v>150551.64000000001</v>
      </c>
      <c r="E226" s="814">
        <f>+VLOOKUP(A226,Clasificaciones!C:C,1,FALSE)</f>
        <v>214</v>
      </c>
      <c r="F226" s="815"/>
    </row>
    <row r="227" spans="1:7" s="814" customFormat="1" ht="15" customHeight="1">
      <c r="A227" s="801">
        <v>21401</v>
      </c>
      <c r="B227" s="141" t="s">
        <v>741</v>
      </c>
      <c r="C227" s="141">
        <v>516235018</v>
      </c>
      <c r="D227" s="806">
        <v>75362.23</v>
      </c>
      <c r="E227" s="814">
        <f>+VLOOKUP(A227,Clasificaciones!C:C,1,FALSE)</f>
        <v>21401</v>
      </c>
      <c r="F227" s="817"/>
      <c r="G227" s="963"/>
    </row>
    <row r="228" spans="1:7" s="814" customFormat="1" ht="15" customHeight="1">
      <c r="A228" s="801">
        <v>2140104</v>
      </c>
      <c r="B228" s="141" t="s">
        <v>520</v>
      </c>
      <c r="C228" s="141">
        <v>227338096</v>
      </c>
      <c r="D228" s="806">
        <v>33187.800000000003</v>
      </c>
      <c r="E228" s="814">
        <f>+VLOOKUP(A228,Clasificaciones!C:C,1,FALSE)</f>
        <v>2140104</v>
      </c>
      <c r="F228" s="815"/>
    </row>
    <row r="229" spans="1:7" s="814" customFormat="1" ht="15" customHeight="1">
      <c r="A229" s="801">
        <v>2140105</v>
      </c>
      <c r="B229" s="141" t="s">
        <v>742</v>
      </c>
      <c r="C229" s="141">
        <v>135733657</v>
      </c>
      <c r="D229" s="806">
        <v>19814.990000000002</v>
      </c>
      <c r="E229" s="814">
        <f>+VLOOKUP(A229,Clasificaciones!C:C,1,FALSE)</f>
        <v>2140105</v>
      </c>
      <c r="F229" s="815"/>
    </row>
    <row r="230" spans="1:7" s="814" customFormat="1" ht="15" customHeight="1">
      <c r="A230" s="801">
        <v>2140107</v>
      </c>
      <c r="B230" s="141" t="s">
        <v>156</v>
      </c>
      <c r="C230" s="141">
        <v>72413264</v>
      </c>
      <c r="D230" s="806">
        <v>10571.2</v>
      </c>
      <c r="E230" s="814">
        <f>+VLOOKUP(A230,Clasificaciones!C:C,1,FALSE)</f>
        <v>2140107</v>
      </c>
      <c r="F230" s="815"/>
    </row>
    <row r="231" spans="1:7" s="814" customFormat="1" ht="15" customHeight="1">
      <c r="A231" s="801">
        <v>2140108</v>
      </c>
      <c r="B231" s="141" t="s">
        <v>1251</v>
      </c>
      <c r="C231" s="141">
        <v>80750000</v>
      </c>
      <c r="D231" s="806">
        <v>11788.24</v>
      </c>
      <c r="E231" s="814">
        <f>+VLOOKUP(A231,Clasificaciones!C:C,1,FALSE)</f>
        <v>2140108</v>
      </c>
      <c r="F231" s="815"/>
    </row>
    <row r="232" spans="1:7" s="814" customFormat="1" ht="15" customHeight="1">
      <c r="A232" s="801">
        <v>2140110</v>
      </c>
      <c r="B232" s="141" t="s">
        <v>1026</v>
      </c>
      <c r="C232" s="141">
        <v>1</v>
      </c>
      <c r="D232" s="806">
        <v>0</v>
      </c>
      <c r="E232" s="814">
        <f>+VLOOKUP(A232,Clasificaciones!C:C,1,FALSE)</f>
        <v>2140110</v>
      </c>
      <c r="F232" s="815"/>
    </row>
    <row r="233" spans="1:7" s="814" customFormat="1" ht="15" customHeight="1">
      <c r="A233" s="801">
        <v>21402</v>
      </c>
      <c r="B233" s="141" t="s">
        <v>743</v>
      </c>
      <c r="C233" s="141">
        <v>140377731</v>
      </c>
      <c r="D233" s="806">
        <v>20492.95</v>
      </c>
      <c r="E233" s="814">
        <f>+VLOOKUP(A233,Clasificaciones!C:C,1,FALSE)</f>
        <v>21402</v>
      </c>
      <c r="F233" s="815"/>
    </row>
    <row r="234" spans="1:7" s="814" customFormat="1" ht="15" customHeight="1">
      <c r="A234" s="801">
        <v>2140201</v>
      </c>
      <c r="B234" s="141" t="s">
        <v>84</v>
      </c>
      <c r="C234" s="141">
        <v>135316207</v>
      </c>
      <c r="D234" s="806">
        <v>19754.05</v>
      </c>
      <c r="E234" s="814">
        <f>+VLOOKUP(A234,Clasificaciones!C:C,1,FALSE)</f>
        <v>2140201</v>
      </c>
      <c r="F234" s="815"/>
    </row>
    <row r="235" spans="1:7" s="814" customFormat="1" ht="15" customHeight="1">
      <c r="A235" s="801">
        <v>2140202</v>
      </c>
      <c r="B235" s="141" t="s">
        <v>744</v>
      </c>
      <c r="C235" s="141">
        <v>5061518</v>
      </c>
      <c r="D235" s="806">
        <v>738.9</v>
      </c>
      <c r="E235" s="814">
        <f>+VLOOKUP(A235,Clasificaciones!C:C,1,FALSE)</f>
        <v>2140202</v>
      </c>
      <c r="F235" s="815"/>
    </row>
    <row r="236" spans="1:7" s="814" customFormat="1" ht="15" customHeight="1">
      <c r="A236" s="801">
        <v>214020203</v>
      </c>
      <c r="B236" s="141" t="s">
        <v>745</v>
      </c>
      <c r="C236" s="141">
        <v>5061518</v>
      </c>
      <c r="D236" s="806">
        <v>738.9</v>
      </c>
      <c r="E236" s="814">
        <f>+VLOOKUP(A236,Clasificaciones!C:C,1,FALSE)</f>
        <v>214020203</v>
      </c>
      <c r="F236" s="815"/>
    </row>
    <row r="237" spans="1:7" s="814" customFormat="1" ht="15" customHeight="1">
      <c r="A237" s="801">
        <v>2140203</v>
      </c>
      <c r="B237" s="141" t="s">
        <v>746</v>
      </c>
      <c r="C237" s="141">
        <v>6</v>
      </c>
      <c r="D237" s="806">
        <v>0</v>
      </c>
      <c r="E237" s="814">
        <f>+VLOOKUP(A237,Clasificaciones!C:C,1,FALSE)</f>
        <v>2140203</v>
      </c>
      <c r="F237" s="815"/>
    </row>
    <row r="238" spans="1:7" s="814" customFormat="1" ht="15" customHeight="1">
      <c r="A238" s="801">
        <v>21404</v>
      </c>
      <c r="B238" s="141" t="s">
        <v>748</v>
      </c>
      <c r="C238" s="141">
        <v>374635238</v>
      </c>
      <c r="D238" s="806">
        <v>54696.46</v>
      </c>
      <c r="E238" s="814">
        <f>+VLOOKUP(A238,Clasificaciones!C:C,1,FALSE)</f>
        <v>21404</v>
      </c>
      <c r="F238" s="815"/>
    </row>
    <row r="239" spans="1:7" s="814" customFormat="1" ht="15" customHeight="1">
      <c r="A239" s="801">
        <v>2140403</v>
      </c>
      <c r="B239" s="141" t="s">
        <v>159</v>
      </c>
      <c r="C239" s="141">
        <v>24539897</v>
      </c>
      <c r="D239" s="806">
        <v>3582.44</v>
      </c>
      <c r="E239" s="814">
        <f>+VLOOKUP(A239,Clasificaciones!C:C,1,FALSE)</f>
        <v>2140403</v>
      </c>
      <c r="F239" s="815"/>
    </row>
    <row r="240" spans="1:7" s="814" customFormat="1" ht="15" customHeight="1">
      <c r="A240" s="801">
        <v>2140404</v>
      </c>
      <c r="B240" s="141" t="s">
        <v>160</v>
      </c>
      <c r="C240" s="141">
        <v>82041644</v>
      </c>
      <c r="D240" s="806">
        <v>11976.79</v>
      </c>
      <c r="E240" s="814">
        <f>+VLOOKUP(A240,Clasificaciones!C:C,1,FALSE)</f>
        <v>2140404</v>
      </c>
      <c r="F240" s="815"/>
    </row>
    <row r="241" spans="1:6" s="814" customFormat="1" ht="15" customHeight="1">
      <c r="A241" s="801">
        <v>2140407</v>
      </c>
      <c r="B241" s="141" t="s">
        <v>293</v>
      </c>
      <c r="C241" s="141">
        <v>100635995</v>
      </c>
      <c r="D241" s="806">
        <v>14696.87</v>
      </c>
      <c r="E241" s="814">
        <f>+VLOOKUP(A241,Clasificaciones!C:C,1,FALSE)</f>
        <v>2140407</v>
      </c>
      <c r="F241" s="815"/>
    </row>
    <row r="242" spans="1:6" s="814" customFormat="1" ht="15" customHeight="1">
      <c r="A242" s="801">
        <v>2140408</v>
      </c>
      <c r="B242" s="141" t="s">
        <v>294</v>
      </c>
      <c r="C242" s="141">
        <v>4056686</v>
      </c>
      <c r="D242" s="806">
        <v>592.21</v>
      </c>
      <c r="E242" s="814">
        <f>+VLOOKUP(A242,Clasificaciones!C:C,1,FALSE)</f>
        <v>2140408</v>
      </c>
      <c r="F242" s="815"/>
    </row>
    <row r="243" spans="1:6" s="814" customFormat="1" ht="15" customHeight="1">
      <c r="A243" s="801">
        <v>2140410</v>
      </c>
      <c r="B243" s="141" t="s">
        <v>296</v>
      </c>
      <c r="C243" s="141">
        <v>2500000</v>
      </c>
      <c r="D243" s="806">
        <v>364.96</v>
      </c>
      <c r="E243" s="814">
        <f>+VLOOKUP(A243,Clasificaciones!C:C,1,FALSE)</f>
        <v>2140410</v>
      </c>
      <c r="F243" s="815"/>
    </row>
    <row r="244" spans="1:6" s="814" customFormat="1" ht="15" customHeight="1">
      <c r="A244" s="801">
        <v>2140411</v>
      </c>
      <c r="B244" s="141" t="s">
        <v>297</v>
      </c>
      <c r="C244" s="141">
        <v>6363636</v>
      </c>
      <c r="D244" s="806">
        <v>928.99</v>
      </c>
      <c r="E244" s="814">
        <f>+VLOOKUP(A244,Clasificaciones!C:C,1,FALSE)</f>
        <v>2140411</v>
      </c>
      <c r="F244" s="815"/>
    </row>
    <row r="245" spans="1:6" s="814" customFormat="1" ht="15" customHeight="1">
      <c r="A245" s="801">
        <v>2140412</v>
      </c>
      <c r="B245" s="141" t="s">
        <v>1195</v>
      </c>
      <c r="C245" s="141">
        <v>41666665</v>
      </c>
      <c r="D245" s="806">
        <v>6082.68</v>
      </c>
      <c r="E245" s="814">
        <f>+VLOOKUP(A245,Clasificaciones!C:C,1,FALSE)</f>
        <v>2140412</v>
      </c>
      <c r="F245" s="815"/>
    </row>
    <row r="246" spans="1:6" s="814" customFormat="1" ht="15" customHeight="1">
      <c r="A246" s="801">
        <v>2140413</v>
      </c>
      <c r="B246" s="141" t="s">
        <v>474</v>
      </c>
      <c r="C246" s="141">
        <v>1024520</v>
      </c>
      <c r="D246" s="806">
        <v>149.56</v>
      </c>
      <c r="E246" s="814">
        <f>+VLOOKUP(A246,Clasificaciones!C:C,1,FALSE)</f>
        <v>2140413</v>
      </c>
      <c r="F246" s="815"/>
    </row>
    <row r="247" spans="1:6" s="814" customFormat="1" ht="15" customHeight="1">
      <c r="A247" s="801">
        <v>2140414</v>
      </c>
      <c r="B247" s="141" t="s">
        <v>519</v>
      </c>
      <c r="C247" s="141">
        <v>170635</v>
      </c>
      <c r="D247" s="806">
        <v>24.91</v>
      </c>
      <c r="E247" s="814">
        <f>+VLOOKUP(A247,Clasificaciones!C:C,1,FALSE)</f>
        <v>2140414</v>
      </c>
      <c r="F247" s="815"/>
    </row>
    <row r="248" spans="1:6" s="814" customFormat="1" ht="15" customHeight="1">
      <c r="A248" s="801">
        <v>2140415</v>
      </c>
      <c r="B248" s="141" t="s">
        <v>1235</v>
      </c>
      <c r="C248" s="141">
        <v>50000000</v>
      </c>
      <c r="D248" s="806">
        <v>7299.22</v>
      </c>
      <c r="E248" s="814">
        <f>+VLOOKUP(A248,Clasificaciones!C:C,1,FALSE)</f>
        <v>2140415</v>
      </c>
      <c r="F248" s="815"/>
    </row>
    <row r="249" spans="1:6" s="814" customFormat="1" ht="15" customHeight="1">
      <c r="A249" s="801">
        <v>2140419</v>
      </c>
      <c r="B249" s="141" t="s">
        <v>1254</v>
      </c>
      <c r="C249" s="141">
        <v>61635560</v>
      </c>
      <c r="D249" s="806">
        <v>8997.83</v>
      </c>
      <c r="E249" s="814">
        <f>+VLOOKUP(A249,Clasificaciones!C:C,1,FALSE)</f>
        <v>2140419</v>
      </c>
      <c r="F249" s="815"/>
    </row>
    <row r="250" spans="1:6" s="814" customFormat="1" ht="15" customHeight="1">
      <c r="A250" s="801">
        <v>6</v>
      </c>
      <c r="B250" s="141" t="s">
        <v>244</v>
      </c>
      <c r="C250" s="141">
        <v>497283364136</v>
      </c>
      <c r="D250" s="806">
        <v>74048862.420000002</v>
      </c>
      <c r="E250" s="814">
        <f>+VLOOKUP(A250,Clasificaciones!C:C,1,FALSE)</f>
        <v>6</v>
      </c>
      <c r="F250" s="815"/>
    </row>
    <row r="251" spans="1:6" s="814" customFormat="1" ht="15" customHeight="1">
      <c r="A251" s="801">
        <v>651</v>
      </c>
      <c r="B251" s="141" t="s">
        <v>182</v>
      </c>
      <c r="C251" s="141">
        <v>497283364136</v>
      </c>
      <c r="D251" s="806">
        <v>74048862.420000002</v>
      </c>
      <c r="E251" s="814">
        <f>+VLOOKUP(A251,Clasificaciones!C:C,1,FALSE)</f>
        <v>651</v>
      </c>
      <c r="F251" s="815"/>
    </row>
    <row r="252" spans="1:6" s="814" customFormat="1" ht="15" customHeight="1">
      <c r="A252" s="801">
        <v>7</v>
      </c>
      <c r="B252" s="141" t="s">
        <v>245</v>
      </c>
      <c r="C252" s="141">
        <v>497283364136</v>
      </c>
      <c r="D252" s="806">
        <v>74048862.390000001</v>
      </c>
      <c r="E252" s="814">
        <f>+VLOOKUP(A252,Clasificaciones!C:C,1,FALSE)</f>
        <v>7</v>
      </c>
      <c r="F252" s="815"/>
    </row>
    <row r="253" spans="1:6" s="814" customFormat="1" ht="15" customHeight="1">
      <c r="A253" s="801">
        <v>751</v>
      </c>
      <c r="B253" s="141" t="s">
        <v>184</v>
      </c>
      <c r="C253" s="141">
        <v>497283364136</v>
      </c>
      <c r="D253" s="806">
        <v>74048862.390000001</v>
      </c>
      <c r="E253" s="814">
        <f>+VLOOKUP(A253,Clasificaciones!C:C,1,FALSE)</f>
        <v>751</v>
      </c>
      <c r="F253" s="815"/>
    </row>
    <row r="254" spans="1:6" s="812" customFormat="1" ht="15" customHeight="1">
      <c r="A254" s="801"/>
      <c r="B254" s="141"/>
      <c r="C254" s="141"/>
      <c r="D254" s="806"/>
      <c r="F254" s="813"/>
    </row>
    <row r="255" spans="1:6" s="812" customFormat="1" ht="15" customHeight="1">
      <c r="A255" s="801">
        <v>3</v>
      </c>
      <c r="B255" s="141" t="s">
        <v>22</v>
      </c>
      <c r="C255" s="141">
        <v>30963356600</v>
      </c>
      <c r="D255" s="806">
        <v>4613787</v>
      </c>
      <c r="E255" s="812">
        <f>+VLOOKUP(A255,Clasificaciones!C:C,1,FALSE)</f>
        <v>3</v>
      </c>
      <c r="F255" s="813"/>
    </row>
    <row r="256" spans="1:6" s="812" customFormat="1" ht="15" customHeight="1">
      <c r="A256" s="801">
        <v>310</v>
      </c>
      <c r="B256" s="141" t="s">
        <v>163</v>
      </c>
      <c r="C256" s="141">
        <v>30082000000</v>
      </c>
      <c r="D256" s="806">
        <v>4461189.4000000004</v>
      </c>
      <c r="E256" s="812">
        <f>+VLOOKUP(A256,Clasificaciones!C:C,1,FALSE)</f>
        <v>310</v>
      </c>
      <c r="F256" s="813"/>
    </row>
    <row r="257" spans="1:6" s="812" customFormat="1" ht="15" customHeight="1">
      <c r="A257" s="801">
        <v>310101</v>
      </c>
      <c r="B257" s="141" t="s">
        <v>453</v>
      </c>
      <c r="C257" s="141">
        <v>25000000000</v>
      </c>
      <c r="D257" s="806">
        <v>3821155.33</v>
      </c>
      <c r="E257" s="812">
        <f>+VLOOKUP(A257,Clasificaciones!C:C,1,FALSE)</f>
        <v>310101</v>
      </c>
      <c r="F257" s="813"/>
    </row>
    <row r="258" spans="1:6" s="812" customFormat="1" ht="15" customHeight="1">
      <c r="A258" s="801">
        <v>31010101</v>
      </c>
      <c r="B258" s="141" t="s">
        <v>475</v>
      </c>
      <c r="C258" s="141">
        <v>30000000000</v>
      </c>
      <c r="D258" s="806">
        <v>4694966</v>
      </c>
      <c r="E258" s="812">
        <f>+VLOOKUP(A258,Clasificaciones!C:C,1,FALSE)</f>
        <v>31010101</v>
      </c>
      <c r="F258" s="813"/>
    </row>
    <row r="259" spans="1:6" s="812" customFormat="1" ht="15" customHeight="1">
      <c r="A259" s="801">
        <v>31010102</v>
      </c>
      <c r="B259" s="141" t="s">
        <v>478</v>
      </c>
      <c r="C259" s="141">
        <v>-5000000000</v>
      </c>
      <c r="D259" s="806">
        <v>-873811</v>
      </c>
      <c r="E259" s="812">
        <f>+VLOOKUP(A259,Clasificaciones!C:C,1,FALSE)</f>
        <v>31010102</v>
      </c>
      <c r="F259" s="813"/>
    </row>
    <row r="260" spans="1:6" s="812" customFormat="1" ht="15" customHeight="1">
      <c r="A260" s="801">
        <v>310102</v>
      </c>
      <c r="B260" s="141" t="s">
        <v>243</v>
      </c>
      <c r="C260" s="141">
        <v>5082000000</v>
      </c>
      <c r="D260" s="806">
        <v>640034.06999999995</v>
      </c>
      <c r="E260" s="812">
        <f>+VLOOKUP(A260,Clasificaciones!C:C,1,FALSE)</f>
        <v>310102</v>
      </c>
      <c r="F260" s="813"/>
    </row>
    <row r="261" spans="1:6" s="812" customFormat="1" ht="15" customHeight="1">
      <c r="A261" s="801">
        <v>31010201</v>
      </c>
      <c r="B261" s="141" t="s">
        <v>404</v>
      </c>
      <c r="C261" s="141">
        <v>4932000000</v>
      </c>
      <c r="D261" s="806">
        <v>618388.25</v>
      </c>
      <c r="E261" s="812">
        <f>+VLOOKUP(A261,Clasificaciones!C:C,1,FALSE)</f>
        <v>31010201</v>
      </c>
      <c r="F261" s="813"/>
    </row>
    <row r="262" spans="1:6" s="812" customFormat="1" ht="15" customHeight="1">
      <c r="A262" s="801">
        <v>31010202</v>
      </c>
      <c r="B262" s="141" t="s">
        <v>479</v>
      </c>
      <c r="C262" s="141">
        <v>150000000</v>
      </c>
      <c r="D262" s="806">
        <v>21645.82</v>
      </c>
      <c r="E262" s="812">
        <f>+VLOOKUP(A262,Clasificaciones!C:C,1,FALSE)</f>
        <v>31010202</v>
      </c>
      <c r="F262" s="813"/>
    </row>
    <row r="263" spans="1:6" s="812" customFormat="1" ht="15" customHeight="1">
      <c r="A263" s="801">
        <v>315</v>
      </c>
      <c r="B263" s="141" t="s">
        <v>12</v>
      </c>
      <c r="C263" s="141">
        <v>261385024</v>
      </c>
      <c r="D263" s="806">
        <v>32615.27</v>
      </c>
      <c r="E263" s="812">
        <f>+VLOOKUP(A263,Clasificaciones!C:C,1,FALSE)</f>
        <v>315</v>
      </c>
      <c r="F263" s="813"/>
    </row>
    <row r="264" spans="1:6" s="812" customFormat="1" ht="15" customHeight="1">
      <c r="A264" s="801">
        <v>31501</v>
      </c>
      <c r="B264" s="141" t="s">
        <v>165</v>
      </c>
      <c r="C264" s="141">
        <v>260477749</v>
      </c>
      <c r="D264" s="806">
        <v>32495.1</v>
      </c>
      <c r="E264" s="812">
        <f>+VLOOKUP(A264,Clasificaciones!C:C,1,FALSE)</f>
        <v>31501</v>
      </c>
      <c r="F264" s="813"/>
    </row>
    <row r="265" spans="1:6" s="812" customFormat="1" ht="15" customHeight="1">
      <c r="A265" s="801">
        <v>31503</v>
      </c>
      <c r="B265" s="141" t="s">
        <v>405</v>
      </c>
      <c r="C265" s="141">
        <v>907275</v>
      </c>
      <c r="D265" s="806">
        <v>120.17</v>
      </c>
      <c r="E265" s="812">
        <f>+VLOOKUP(A265,Clasificaciones!C:C,1,FALSE)</f>
        <v>31503</v>
      </c>
      <c r="F265" s="813"/>
    </row>
    <row r="266" spans="1:6" s="812" customFormat="1" ht="15" customHeight="1">
      <c r="A266" s="801">
        <v>316</v>
      </c>
      <c r="B266" s="141" t="s">
        <v>129</v>
      </c>
      <c r="C266" s="141">
        <v>619971576</v>
      </c>
      <c r="D266" s="806">
        <v>119982.04</v>
      </c>
      <c r="E266" s="812">
        <f>+VLOOKUP(A266,Clasificaciones!C:C,1,FALSE)</f>
        <v>316</v>
      </c>
      <c r="F266" s="813"/>
    </row>
    <row r="267" spans="1:6" s="812" customFormat="1" ht="15" customHeight="1">
      <c r="A267" s="801">
        <v>31602</v>
      </c>
      <c r="B267" s="141" t="s">
        <v>168</v>
      </c>
      <c r="C267" s="141">
        <v>619971576</v>
      </c>
      <c r="D267" s="806">
        <v>119982.04</v>
      </c>
      <c r="E267" s="812">
        <f>+VLOOKUP(A267,Clasificaciones!C:C,1,FALSE)</f>
        <v>31602</v>
      </c>
      <c r="F267" s="813"/>
    </row>
    <row r="268" spans="1:6" s="812" customFormat="1" ht="15" customHeight="1">
      <c r="A268" s="801">
        <v>4</v>
      </c>
      <c r="B268" s="141" t="s">
        <v>169</v>
      </c>
      <c r="C268" s="141">
        <v>18786321498</v>
      </c>
      <c r="D268" s="806">
        <v>3172256.7</v>
      </c>
      <c r="E268" s="812">
        <f>+VLOOKUP(A268,Clasificaciones!C:C,1,FALSE)</f>
        <v>4</v>
      </c>
      <c r="F268" s="813"/>
    </row>
    <row r="269" spans="1:6" s="812" customFormat="1" ht="15" customHeight="1">
      <c r="A269" s="801">
        <v>401</v>
      </c>
      <c r="B269" s="141" t="s">
        <v>750</v>
      </c>
      <c r="C269" s="141">
        <v>775319357</v>
      </c>
      <c r="D269" s="806">
        <v>111867.33</v>
      </c>
      <c r="E269" s="812">
        <f>+VLOOKUP(A269,Clasificaciones!C:C,1,FALSE)</f>
        <v>401</v>
      </c>
      <c r="F269" s="813"/>
    </row>
    <row r="270" spans="1:6" s="812" customFormat="1" ht="15" customHeight="1">
      <c r="A270" s="801">
        <v>40101</v>
      </c>
      <c r="B270" s="141" t="s">
        <v>108</v>
      </c>
      <c r="C270" s="141">
        <v>320420877</v>
      </c>
      <c r="D270" s="806">
        <v>46445.48</v>
      </c>
      <c r="E270" s="812">
        <f>+VLOOKUP(A270,Clasificaciones!C:C,1,FALSE)</f>
        <v>40101</v>
      </c>
      <c r="F270" s="813"/>
    </row>
    <row r="271" spans="1:6" s="812" customFormat="1" ht="15" customHeight="1">
      <c r="A271" s="801">
        <v>4010102</v>
      </c>
      <c r="B271" s="141" t="s">
        <v>753</v>
      </c>
      <c r="C271" s="141">
        <v>320420877</v>
      </c>
      <c r="D271" s="806">
        <v>46445.48</v>
      </c>
      <c r="E271" s="812">
        <f>+VLOOKUP(A271,Clasificaciones!C:C,1,FALSE)</f>
        <v>4010102</v>
      </c>
      <c r="F271" s="813"/>
    </row>
    <row r="272" spans="1:6" s="812" customFormat="1" ht="15" customHeight="1">
      <c r="A272" s="801">
        <v>401010201</v>
      </c>
      <c r="B272" s="141" t="s">
        <v>754</v>
      </c>
      <c r="C272" s="141">
        <v>73596477</v>
      </c>
      <c r="D272" s="806">
        <v>10605.88</v>
      </c>
      <c r="E272" s="812">
        <f>+VLOOKUP(A272,Clasificaciones!C:C,1,FALSE)</f>
        <v>401010201</v>
      </c>
      <c r="F272" s="813"/>
    </row>
    <row r="273" spans="1:6" s="812" customFormat="1" ht="15" customHeight="1">
      <c r="A273" s="801">
        <v>401010202</v>
      </c>
      <c r="B273" s="141" t="s">
        <v>755</v>
      </c>
      <c r="C273" s="141">
        <v>246824400</v>
      </c>
      <c r="D273" s="806">
        <v>35839.599999999999</v>
      </c>
      <c r="E273" s="812">
        <f>+VLOOKUP(A273,Clasificaciones!C:C,1,FALSE)</f>
        <v>401010202</v>
      </c>
      <c r="F273" s="813"/>
    </row>
    <row r="274" spans="1:6" s="812" customFormat="1" ht="15" customHeight="1">
      <c r="A274" s="801">
        <v>40103</v>
      </c>
      <c r="B274" s="141" t="s">
        <v>757</v>
      </c>
      <c r="C274" s="141">
        <v>454898480</v>
      </c>
      <c r="D274" s="806">
        <v>65421.85</v>
      </c>
      <c r="E274" s="812">
        <f>+VLOOKUP(A274,Clasificaciones!C:C,1,FALSE)</f>
        <v>40103</v>
      </c>
      <c r="F274" s="813"/>
    </row>
    <row r="275" spans="1:6" s="812" customFormat="1" ht="15" customHeight="1">
      <c r="A275" s="801">
        <v>4010301</v>
      </c>
      <c r="B275" s="141" t="s">
        <v>1256</v>
      </c>
      <c r="C275" s="141">
        <v>400000000</v>
      </c>
      <c r="D275" s="806">
        <v>57421.85</v>
      </c>
      <c r="E275" s="812">
        <f>+VLOOKUP(A275,Clasificaciones!C:C,1,FALSE)</f>
        <v>4010301</v>
      </c>
      <c r="F275" s="813"/>
    </row>
    <row r="276" spans="1:6" s="812" customFormat="1" ht="15" customHeight="1">
      <c r="A276" s="801">
        <v>4010302</v>
      </c>
      <c r="B276" s="141" t="s">
        <v>1257</v>
      </c>
      <c r="C276" s="141">
        <v>54898480</v>
      </c>
      <c r="D276" s="806">
        <v>8000</v>
      </c>
      <c r="E276" s="812">
        <f>+VLOOKUP(A276,Clasificaciones!C:C,1,FALSE)</f>
        <v>4010302</v>
      </c>
      <c r="F276" s="813"/>
    </row>
    <row r="277" spans="1:6" s="812" customFormat="1" ht="15" customHeight="1">
      <c r="A277" s="801">
        <v>402</v>
      </c>
      <c r="B277" s="141" t="s">
        <v>759</v>
      </c>
      <c r="C277" s="141">
        <v>188392468</v>
      </c>
      <c r="D277" s="806">
        <v>27334.79</v>
      </c>
      <c r="E277" s="812">
        <f>+VLOOKUP(A277,Clasificaciones!C:C,1,FALSE)</f>
        <v>402</v>
      </c>
      <c r="F277" s="813"/>
    </row>
    <row r="278" spans="1:6" s="812" customFormat="1" ht="15" customHeight="1">
      <c r="A278" s="801">
        <v>40202</v>
      </c>
      <c r="B278" s="141" t="s">
        <v>1048</v>
      </c>
      <c r="C278" s="141">
        <v>2297398</v>
      </c>
      <c r="D278" s="806">
        <v>334.79</v>
      </c>
      <c r="E278" s="812">
        <f>+VLOOKUP(A278,Clasificaciones!C:C,1,FALSE)</f>
        <v>40202</v>
      </c>
      <c r="F278" s="813"/>
    </row>
    <row r="279" spans="1:6" s="812" customFormat="1" ht="15" customHeight="1">
      <c r="A279" s="801">
        <v>4020201</v>
      </c>
      <c r="B279" s="141" t="s">
        <v>1562</v>
      </c>
      <c r="C279" s="141">
        <v>2021105</v>
      </c>
      <c r="D279" s="806">
        <v>294.45999999999998</v>
      </c>
      <c r="E279" s="812" t="e">
        <f>+VLOOKUP(A279,Clasificaciones!C:C,1,FALSE)</f>
        <v>#N/A</v>
      </c>
      <c r="F279" s="813"/>
    </row>
    <row r="280" spans="1:6" s="812" customFormat="1" ht="15" customHeight="1">
      <c r="A280" s="801">
        <v>4020202</v>
      </c>
      <c r="B280" s="141" t="s">
        <v>1563</v>
      </c>
      <c r="C280" s="141">
        <v>276293</v>
      </c>
      <c r="D280" s="806">
        <v>40.33</v>
      </c>
      <c r="E280" s="812" t="e">
        <f>+VLOOKUP(A280,Clasificaciones!C:C,1,FALSE)</f>
        <v>#N/A</v>
      </c>
      <c r="F280" s="813"/>
    </row>
    <row r="281" spans="1:6" s="812" customFormat="1" ht="15" customHeight="1">
      <c r="A281" s="801">
        <v>40203</v>
      </c>
      <c r="B281" s="141" t="s">
        <v>760</v>
      </c>
      <c r="C281" s="141">
        <v>186095070</v>
      </c>
      <c r="D281" s="806">
        <v>27000</v>
      </c>
      <c r="E281" s="812">
        <f>+VLOOKUP(A281,Clasificaciones!C:C,1,FALSE)</f>
        <v>40203</v>
      </c>
      <c r="F281" s="813"/>
    </row>
    <row r="282" spans="1:6" s="812" customFormat="1" ht="15" customHeight="1">
      <c r="A282" s="801">
        <v>4020302</v>
      </c>
      <c r="B282" s="141" t="s">
        <v>761</v>
      </c>
      <c r="C282" s="141">
        <v>186095070</v>
      </c>
      <c r="D282" s="806">
        <v>27000</v>
      </c>
      <c r="E282" s="812">
        <f>+VLOOKUP(A282,Clasificaciones!C:C,1,FALSE)</f>
        <v>4020302</v>
      </c>
      <c r="F282" s="813"/>
    </row>
    <row r="283" spans="1:6" s="812" customFormat="1" ht="15" customHeight="1">
      <c r="A283" s="801">
        <v>403</v>
      </c>
      <c r="B283" s="141" t="s">
        <v>762</v>
      </c>
      <c r="C283" s="141">
        <v>7394132157</v>
      </c>
      <c r="D283" s="806">
        <v>1062063.42</v>
      </c>
      <c r="E283" s="812">
        <f>+VLOOKUP(A283,Clasificaciones!C:C,1,FALSE)</f>
        <v>403</v>
      </c>
      <c r="F283" s="813"/>
    </row>
    <row r="284" spans="1:6" s="812" customFormat="1" ht="15" customHeight="1">
      <c r="A284" s="801">
        <v>40301</v>
      </c>
      <c r="B284" s="141" t="s">
        <v>763</v>
      </c>
      <c r="C284" s="141">
        <v>4210534515</v>
      </c>
      <c r="D284" s="806">
        <v>604654.47</v>
      </c>
      <c r="E284" s="812">
        <f>+VLOOKUP(A284,Clasificaciones!C:C,1,FALSE)</f>
        <v>40301</v>
      </c>
      <c r="F284" s="813"/>
    </row>
    <row r="285" spans="1:6" s="812" customFormat="1" ht="15" customHeight="1">
      <c r="A285" s="801">
        <v>4030101</v>
      </c>
      <c r="B285" s="141" t="s">
        <v>763</v>
      </c>
      <c r="C285" s="141">
        <v>4210534515</v>
      </c>
      <c r="D285" s="806">
        <v>604654.47</v>
      </c>
      <c r="E285" s="812">
        <f>+VLOOKUP(A285,Clasificaciones!C:C,1,FALSE)</f>
        <v>4030101</v>
      </c>
      <c r="F285" s="813"/>
    </row>
    <row r="286" spans="1:6" s="812" customFormat="1" ht="15" customHeight="1">
      <c r="A286" s="801">
        <v>403010101</v>
      </c>
      <c r="B286" s="141" t="s">
        <v>764</v>
      </c>
      <c r="C286" s="141">
        <v>456866904</v>
      </c>
      <c r="D286" s="806">
        <v>66110.740000000005</v>
      </c>
      <c r="E286" s="812">
        <f>+VLOOKUP(A286,Clasificaciones!C:C,1,FALSE)</f>
        <v>403010101</v>
      </c>
      <c r="F286" s="813"/>
    </row>
    <row r="287" spans="1:6" s="812" customFormat="1" ht="15" customHeight="1">
      <c r="A287" s="801">
        <v>403010102</v>
      </c>
      <c r="B287" s="141" t="s">
        <v>779</v>
      </c>
      <c r="C287" s="141">
        <v>55360</v>
      </c>
      <c r="D287" s="806">
        <v>8.06</v>
      </c>
      <c r="E287" s="812">
        <f>+VLOOKUP(A287,Clasificaciones!C:C,1,FALSE)</f>
        <v>403010102</v>
      </c>
      <c r="F287" s="813"/>
    </row>
    <row r="288" spans="1:6" s="812" customFormat="1" ht="15" customHeight="1">
      <c r="A288" s="801">
        <v>403010104</v>
      </c>
      <c r="B288" s="141" t="s">
        <v>766</v>
      </c>
      <c r="C288" s="141">
        <v>48252151</v>
      </c>
      <c r="D288" s="806">
        <v>6959.45</v>
      </c>
      <c r="E288" s="812">
        <f>+VLOOKUP(A288,Clasificaciones!C:C,1,FALSE)</f>
        <v>403010104</v>
      </c>
      <c r="F288" s="813"/>
    </row>
    <row r="289" spans="1:6" s="812" customFormat="1" ht="15" customHeight="1">
      <c r="A289" s="801">
        <v>403010105</v>
      </c>
      <c r="B289" s="141" t="s">
        <v>767</v>
      </c>
      <c r="C289" s="141">
        <v>545522548</v>
      </c>
      <c r="D289" s="806">
        <v>79356.62</v>
      </c>
      <c r="E289" s="812">
        <f>+VLOOKUP(A289,Clasificaciones!C:C,1,FALSE)</f>
        <v>403010105</v>
      </c>
      <c r="F289" s="813"/>
    </row>
    <row r="290" spans="1:6" s="812" customFormat="1" ht="15" customHeight="1">
      <c r="A290" s="801">
        <v>403010106</v>
      </c>
      <c r="B290" s="141" t="s">
        <v>653</v>
      </c>
      <c r="C290" s="141">
        <v>255174767</v>
      </c>
      <c r="D290" s="806">
        <v>37060.43</v>
      </c>
      <c r="E290" s="812">
        <f>+VLOOKUP(A290,Clasificaciones!C:C,1,FALSE)</f>
        <v>403010106</v>
      </c>
      <c r="F290" s="813"/>
    </row>
    <row r="291" spans="1:6" s="812" customFormat="1" ht="15" customHeight="1">
      <c r="A291" s="801">
        <v>403010107</v>
      </c>
      <c r="B291" s="141" t="s">
        <v>768</v>
      </c>
      <c r="C291" s="141">
        <v>1316780963</v>
      </c>
      <c r="D291" s="806">
        <v>185135.84</v>
      </c>
      <c r="E291" s="812">
        <f>+VLOOKUP(A291,Clasificaciones!C:C,1,FALSE)</f>
        <v>403010107</v>
      </c>
      <c r="F291" s="813"/>
    </row>
    <row r="292" spans="1:6" s="812" customFormat="1" ht="15" customHeight="1">
      <c r="A292" s="801">
        <v>403010108</v>
      </c>
      <c r="B292" s="141" t="s">
        <v>769</v>
      </c>
      <c r="C292" s="141">
        <v>379461518</v>
      </c>
      <c r="D292" s="806">
        <v>55097.53</v>
      </c>
      <c r="E292" s="812">
        <f>+VLOOKUP(A292,Clasificaciones!C:C,1,FALSE)</f>
        <v>403010108</v>
      </c>
      <c r="F292" s="813"/>
    </row>
    <row r="293" spans="1:6" s="812" customFormat="1" ht="15" customHeight="1">
      <c r="A293" s="801">
        <v>403010114</v>
      </c>
      <c r="B293" s="141" t="s">
        <v>771</v>
      </c>
      <c r="C293" s="141">
        <v>401625</v>
      </c>
      <c r="D293" s="806">
        <v>58.4</v>
      </c>
      <c r="E293" s="812">
        <f>+VLOOKUP(A293,Clasificaciones!C:C,1,FALSE)</f>
        <v>403010114</v>
      </c>
      <c r="F293" s="813"/>
    </row>
    <row r="294" spans="1:6" s="812" customFormat="1" ht="15" customHeight="1">
      <c r="A294" s="801">
        <v>403010116</v>
      </c>
      <c r="B294" s="141" t="s">
        <v>772</v>
      </c>
      <c r="C294" s="141">
        <v>13715351</v>
      </c>
      <c r="D294" s="806">
        <v>2007.45</v>
      </c>
      <c r="E294" s="812">
        <f>+VLOOKUP(A294,Clasificaciones!C:C,1,FALSE)</f>
        <v>403010116</v>
      </c>
      <c r="F294" s="813"/>
    </row>
    <row r="295" spans="1:6" s="812" customFormat="1" ht="15" customHeight="1">
      <c r="A295" s="801">
        <v>403010117</v>
      </c>
      <c r="B295" s="141" t="s">
        <v>773</v>
      </c>
      <c r="C295" s="141">
        <v>158375407</v>
      </c>
      <c r="D295" s="806">
        <v>22879</v>
      </c>
      <c r="E295" s="812">
        <f>+VLOOKUP(A295,Clasificaciones!C:C,1,FALSE)</f>
        <v>403010117</v>
      </c>
      <c r="F295" s="813"/>
    </row>
    <row r="296" spans="1:6" s="812" customFormat="1" ht="15" customHeight="1">
      <c r="A296" s="801">
        <v>403010118</v>
      </c>
      <c r="B296" s="141" t="s">
        <v>774</v>
      </c>
      <c r="C296" s="141">
        <v>1021690698</v>
      </c>
      <c r="D296" s="806">
        <v>147921.18</v>
      </c>
      <c r="E296" s="812">
        <f>+VLOOKUP(A296,Clasificaciones!C:C,1,FALSE)</f>
        <v>403010118</v>
      </c>
      <c r="F296" s="813"/>
    </row>
    <row r="297" spans="1:6" s="812" customFormat="1" ht="15" customHeight="1">
      <c r="A297" s="801">
        <v>403010129</v>
      </c>
      <c r="B297" s="141" t="s">
        <v>775</v>
      </c>
      <c r="C297" s="141">
        <v>14237223</v>
      </c>
      <c r="D297" s="806">
        <v>2059.77</v>
      </c>
      <c r="E297" s="812">
        <f>+VLOOKUP(A297,Clasificaciones!C:C,1,FALSE)</f>
        <v>403010129</v>
      </c>
      <c r="F297" s="813"/>
    </row>
    <row r="298" spans="1:6" s="812" customFormat="1" ht="15" customHeight="1">
      <c r="A298" s="801">
        <v>40302</v>
      </c>
      <c r="B298" s="141" t="s">
        <v>777</v>
      </c>
      <c r="C298" s="141">
        <v>3183597642</v>
      </c>
      <c r="D298" s="806">
        <v>457408.95</v>
      </c>
      <c r="E298" s="812">
        <f>+VLOOKUP(A298,Clasificaciones!C:C,1,FALSE)</f>
        <v>40302</v>
      </c>
      <c r="F298" s="813"/>
    </row>
    <row r="299" spans="1:6" s="812" customFormat="1" ht="15" customHeight="1">
      <c r="A299" s="801">
        <v>4030201</v>
      </c>
      <c r="B299" s="141" t="s">
        <v>778</v>
      </c>
      <c r="C299" s="141">
        <v>3172837346</v>
      </c>
      <c r="D299" s="806">
        <v>455846.97</v>
      </c>
      <c r="E299" s="812">
        <f>+VLOOKUP(A299,Clasificaciones!C:C,1,FALSE)</f>
        <v>4030201</v>
      </c>
      <c r="F299" s="813"/>
    </row>
    <row r="300" spans="1:6" s="812" customFormat="1" ht="15" customHeight="1">
      <c r="A300" s="801">
        <v>403020101</v>
      </c>
      <c r="B300" s="141" t="s">
        <v>764</v>
      </c>
      <c r="C300" s="141">
        <v>165695</v>
      </c>
      <c r="D300" s="806">
        <v>23.92</v>
      </c>
      <c r="E300" s="812">
        <f>+VLOOKUP(A300,Clasificaciones!C:C,1,FALSE)</f>
        <v>403020101</v>
      </c>
      <c r="F300" s="813"/>
    </row>
    <row r="301" spans="1:6" s="812" customFormat="1" ht="15" customHeight="1">
      <c r="A301" s="801">
        <v>403020102</v>
      </c>
      <c r="B301" s="141" t="s">
        <v>779</v>
      </c>
      <c r="C301" s="141">
        <v>4825757</v>
      </c>
      <c r="D301" s="806">
        <v>696.75</v>
      </c>
      <c r="E301" s="812">
        <f>+VLOOKUP(A301,Clasificaciones!C:C,1,FALSE)</f>
        <v>403020102</v>
      </c>
      <c r="F301" s="813"/>
    </row>
    <row r="302" spans="1:6" s="812" customFormat="1" ht="15" customHeight="1">
      <c r="A302" s="801">
        <v>403020104</v>
      </c>
      <c r="B302" s="141" t="s">
        <v>780</v>
      </c>
      <c r="C302" s="141">
        <v>199281848</v>
      </c>
      <c r="D302" s="806">
        <v>28784.02</v>
      </c>
      <c r="E302" s="812">
        <f>+VLOOKUP(A302,Clasificaciones!C:C,1,FALSE)</f>
        <v>403020104</v>
      </c>
      <c r="F302" s="813"/>
    </row>
    <row r="303" spans="1:6" s="812" customFormat="1" ht="15" customHeight="1">
      <c r="A303" s="801">
        <v>403020105</v>
      </c>
      <c r="B303" s="141" t="s">
        <v>767</v>
      </c>
      <c r="C303" s="141">
        <v>566076880</v>
      </c>
      <c r="D303" s="806">
        <v>81449.41</v>
      </c>
      <c r="E303" s="812">
        <f>+VLOOKUP(A303,Clasificaciones!C:C,1,FALSE)</f>
        <v>403020105</v>
      </c>
      <c r="F303" s="813"/>
    </row>
    <row r="304" spans="1:6" s="812" customFormat="1" ht="15" customHeight="1">
      <c r="A304" s="801">
        <v>403020106</v>
      </c>
      <c r="B304" s="141" t="s">
        <v>653</v>
      </c>
      <c r="C304" s="141">
        <v>2017355176</v>
      </c>
      <c r="D304" s="806">
        <v>289463.48</v>
      </c>
      <c r="E304" s="812">
        <f>+VLOOKUP(A304,Clasificaciones!C:C,1,FALSE)</f>
        <v>403020106</v>
      </c>
      <c r="F304" s="813"/>
    </row>
    <row r="305" spans="1:6" s="812" customFormat="1" ht="15" customHeight="1">
      <c r="A305" s="801">
        <v>403020107</v>
      </c>
      <c r="B305" s="141" t="s">
        <v>768</v>
      </c>
      <c r="C305" s="141">
        <v>290129110</v>
      </c>
      <c r="D305" s="806">
        <v>41739.519999999997</v>
      </c>
      <c r="E305" s="812">
        <f>+VLOOKUP(A305,Clasificaciones!C:C,1,FALSE)</f>
        <v>403020107</v>
      </c>
      <c r="F305" s="813"/>
    </row>
    <row r="306" spans="1:6" s="812" customFormat="1" ht="15" customHeight="1">
      <c r="A306" s="801">
        <v>403020108</v>
      </c>
      <c r="B306" s="141" t="s">
        <v>769</v>
      </c>
      <c r="C306" s="141">
        <v>27892314</v>
      </c>
      <c r="D306" s="806">
        <v>4042.08</v>
      </c>
      <c r="E306" s="812">
        <f>+VLOOKUP(A306,Clasificaciones!C:C,1,FALSE)</f>
        <v>403020108</v>
      </c>
      <c r="F306" s="813"/>
    </row>
    <row r="307" spans="1:6" s="812" customFormat="1" ht="15" customHeight="1">
      <c r="A307" s="801">
        <v>403020117</v>
      </c>
      <c r="B307" s="141" t="s">
        <v>773</v>
      </c>
      <c r="C307" s="141">
        <v>46852026</v>
      </c>
      <c r="D307" s="806">
        <v>6750.62</v>
      </c>
      <c r="E307" s="812">
        <f>+VLOOKUP(A307,Clasificaciones!C:C,1,FALSE)</f>
        <v>403020117</v>
      </c>
      <c r="F307" s="813"/>
    </row>
    <row r="308" spans="1:6" s="812" customFormat="1" ht="15" customHeight="1">
      <c r="A308" s="801">
        <v>403020119</v>
      </c>
      <c r="B308" s="141" t="s">
        <v>1051</v>
      </c>
      <c r="C308" s="141">
        <v>6399</v>
      </c>
      <c r="D308" s="806">
        <v>1.05</v>
      </c>
      <c r="E308" s="812">
        <f>+VLOOKUP(A308,Clasificaciones!C:C,1,FALSE)</f>
        <v>403020119</v>
      </c>
      <c r="F308" s="813"/>
    </row>
    <row r="309" spans="1:6" s="812" customFormat="1" ht="15" customHeight="1">
      <c r="A309" s="801">
        <v>403020129</v>
      </c>
      <c r="B309" s="141" t="s">
        <v>775</v>
      </c>
      <c r="C309" s="141">
        <v>20252141</v>
      </c>
      <c r="D309" s="806">
        <v>2896.12</v>
      </c>
      <c r="E309" s="812">
        <f>+VLOOKUP(A309,Clasificaciones!C:C,1,FALSE)</f>
        <v>403020129</v>
      </c>
      <c r="F309" s="813"/>
    </row>
    <row r="310" spans="1:6" s="812" customFormat="1" ht="15" customHeight="1">
      <c r="A310" s="801">
        <v>4030202</v>
      </c>
      <c r="B310" s="141" t="s">
        <v>1063</v>
      </c>
      <c r="C310" s="141">
        <v>10760296</v>
      </c>
      <c r="D310" s="806">
        <v>1561.98</v>
      </c>
      <c r="E310" s="812">
        <f>+VLOOKUP(A310,Clasificaciones!C:C,1,FALSE)</f>
        <v>4030202</v>
      </c>
      <c r="F310" s="813"/>
    </row>
    <row r="311" spans="1:6" s="812" customFormat="1" ht="15" customHeight="1">
      <c r="A311" s="801">
        <v>403020201</v>
      </c>
      <c r="B311" s="141" t="s">
        <v>769</v>
      </c>
      <c r="C311" s="141">
        <v>7717592</v>
      </c>
      <c r="D311" s="806">
        <v>1119.9100000000001</v>
      </c>
      <c r="E311" s="812">
        <f>+VLOOKUP(A311,Clasificaciones!C:C,1,FALSE)</f>
        <v>403020201</v>
      </c>
      <c r="F311" s="813"/>
    </row>
    <row r="312" spans="1:6" s="812" customFormat="1" ht="15" customHeight="1">
      <c r="A312" s="801">
        <v>403020202</v>
      </c>
      <c r="B312" s="141" t="s">
        <v>779</v>
      </c>
      <c r="C312" s="141">
        <v>1381438</v>
      </c>
      <c r="D312" s="806">
        <v>199.63</v>
      </c>
      <c r="E312" s="812">
        <f>+VLOOKUP(A312,Clasificaciones!C:C,1,FALSE)</f>
        <v>403020202</v>
      </c>
      <c r="F312" s="813"/>
    </row>
    <row r="313" spans="1:6" s="812" customFormat="1" ht="15" customHeight="1">
      <c r="A313" s="801">
        <v>403020203</v>
      </c>
      <c r="B313" s="141" t="s">
        <v>767</v>
      </c>
      <c r="C313" s="141">
        <v>381987</v>
      </c>
      <c r="D313" s="806">
        <v>55.92</v>
      </c>
      <c r="E313" s="812">
        <f>+VLOOKUP(A313,Clasificaciones!C:C,1,FALSE)</f>
        <v>403020203</v>
      </c>
      <c r="F313" s="813"/>
    </row>
    <row r="314" spans="1:6" s="812" customFormat="1" ht="15" customHeight="1">
      <c r="A314" s="801">
        <v>403020204</v>
      </c>
      <c r="B314" s="141" t="s">
        <v>1389</v>
      </c>
      <c r="C314" s="141">
        <v>1279279</v>
      </c>
      <c r="D314" s="806">
        <v>186.52</v>
      </c>
      <c r="E314" s="812">
        <f>+VLOOKUP(A314,Clasificaciones!C:C,1,FALSE)</f>
        <v>403020204</v>
      </c>
      <c r="F314" s="813"/>
    </row>
    <row r="315" spans="1:6" s="812" customFormat="1" ht="15" customHeight="1">
      <c r="A315" s="801">
        <v>404</v>
      </c>
      <c r="B315" s="141" t="s">
        <v>1064</v>
      </c>
      <c r="C315" s="141">
        <v>124993907</v>
      </c>
      <c r="D315" s="806">
        <v>18126.34</v>
      </c>
      <c r="E315" s="812">
        <f>+VLOOKUP(A315,Clasificaciones!C:C,1,FALSE)</f>
        <v>404</v>
      </c>
      <c r="F315" s="813"/>
    </row>
    <row r="316" spans="1:6" s="812" customFormat="1" ht="15" customHeight="1">
      <c r="A316" s="801">
        <v>40401</v>
      </c>
      <c r="B316" s="141" t="s">
        <v>1065</v>
      </c>
      <c r="C316" s="141">
        <v>124993907</v>
      </c>
      <c r="D316" s="806">
        <v>18126.34</v>
      </c>
      <c r="E316" s="812">
        <f>+VLOOKUP(A316,Clasificaciones!C:C,1,FALSE)</f>
        <v>40401</v>
      </c>
      <c r="F316" s="813"/>
    </row>
    <row r="317" spans="1:6" s="812" customFormat="1" ht="15" customHeight="1">
      <c r="A317" s="801">
        <v>4040101</v>
      </c>
      <c r="B317" s="141" t="s">
        <v>1259</v>
      </c>
      <c r="C317" s="141">
        <v>10364092</v>
      </c>
      <c r="D317" s="806">
        <v>1500</v>
      </c>
      <c r="E317" s="812">
        <f>+VLOOKUP(A317,Clasificaciones!C:C,1,FALSE)</f>
        <v>4040101</v>
      </c>
      <c r="F317" s="813"/>
    </row>
    <row r="318" spans="1:6" s="812" customFormat="1" ht="15" customHeight="1">
      <c r="A318" s="801">
        <v>4040102</v>
      </c>
      <c r="B318" s="141" t="s">
        <v>1260</v>
      </c>
      <c r="C318" s="141">
        <v>13830023</v>
      </c>
      <c r="D318" s="806">
        <v>2000</v>
      </c>
      <c r="E318" s="812">
        <f>+VLOOKUP(A318,Clasificaciones!C:C,1,FALSE)</f>
        <v>4040102</v>
      </c>
      <c r="F318" s="813"/>
    </row>
    <row r="319" spans="1:6" s="812" customFormat="1" ht="15" customHeight="1">
      <c r="A319" s="801">
        <v>4040103</v>
      </c>
      <c r="B319" s="141" t="s">
        <v>1261</v>
      </c>
      <c r="C319" s="141">
        <v>68981610</v>
      </c>
      <c r="D319" s="806">
        <v>10000</v>
      </c>
      <c r="E319" s="812">
        <f>+VLOOKUP(A319,Clasificaciones!C:C,1,FALSE)</f>
        <v>4040103</v>
      </c>
      <c r="F319" s="813"/>
    </row>
    <row r="320" spans="1:6" s="812" customFormat="1" ht="15" customHeight="1">
      <c r="A320" s="801">
        <v>4040104</v>
      </c>
      <c r="B320" s="141" t="s">
        <v>1564</v>
      </c>
      <c r="C320" s="141">
        <v>31818182</v>
      </c>
      <c r="D320" s="806">
        <v>4626.34</v>
      </c>
      <c r="E320" s="812">
        <f>+VLOOKUP(A320,Clasificaciones!C:C,1,FALSE)</f>
        <v>4040104</v>
      </c>
      <c r="F320" s="813"/>
    </row>
    <row r="321" spans="1:6" s="812" customFormat="1" ht="15" customHeight="1">
      <c r="A321" s="801">
        <v>406</v>
      </c>
      <c r="B321" s="141" t="s">
        <v>785</v>
      </c>
      <c r="C321" s="141">
        <v>51099899</v>
      </c>
      <c r="D321" s="806">
        <v>7393.35</v>
      </c>
      <c r="E321" s="812">
        <f>+VLOOKUP(A321,Clasificaciones!C:C,1,FALSE)</f>
        <v>406</v>
      </c>
      <c r="F321" s="813"/>
    </row>
    <row r="322" spans="1:6" s="812" customFormat="1" ht="15" customHeight="1">
      <c r="A322" s="801">
        <v>40601</v>
      </c>
      <c r="B322" s="141" t="s">
        <v>1066</v>
      </c>
      <c r="C322" s="141">
        <v>6000000</v>
      </c>
      <c r="D322" s="806">
        <v>866.98</v>
      </c>
      <c r="E322" s="812">
        <f>+VLOOKUP(A322,Clasificaciones!C:C,1,FALSE)</f>
        <v>40601</v>
      </c>
      <c r="F322" s="813"/>
    </row>
    <row r="323" spans="1:6" s="812" customFormat="1" ht="15" customHeight="1">
      <c r="A323" s="801">
        <v>4060101</v>
      </c>
      <c r="B323" s="141" t="s">
        <v>1067</v>
      </c>
      <c r="C323" s="141">
        <v>6000000</v>
      </c>
      <c r="D323" s="806">
        <v>866.98</v>
      </c>
      <c r="E323" s="812">
        <f>+VLOOKUP(A323,Clasificaciones!C:C,1,FALSE)</f>
        <v>4060101</v>
      </c>
      <c r="F323" s="813"/>
    </row>
    <row r="324" spans="1:6" s="812" customFormat="1" ht="15" customHeight="1">
      <c r="A324" s="801">
        <v>40602</v>
      </c>
      <c r="B324" s="141" t="s">
        <v>1069</v>
      </c>
      <c r="C324" s="141">
        <v>272728</v>
      </c>
      <c r="D324" s="806">
        <v>39.46</v>
      </c>
      <c r="E324" s="812">
        <f>+VLOOKUP(A324,Clasificaciones!C:C,1,FALSE)</f>
        <v>40602</v>
      </c>
      <c r="F324" s="813"/>
    </row>
    <row r="325" spans="1:6" s="812" customFormat="1" ht="15" customHeight="1">
      <c r="A325" s="801">
        <v>4060201</v>
      </c>
      <c r="B325" s="141" t="s">
        <v>1070</v>
      </c>
      <c r="C325" s="141">
        <v>272728</v>
      </c>
      <c r="D325" s="806">
        <v>39.46</v>
      </c>
      <c r="E325" s="812">
        <f>+VLOOKUP(A325,Clasificaciones!C:C,1,FALSE)</f>
        <v>4060201</v>
      </c>
      <c r="F325" s="813"/>
    </row>
    <row r="326" spans="1:6" s="812" customFormat="1" ht="15" customHeight="1">
      <c r="A326" s="801">
        <v>40604</v>
      </c>
      <c r="B326" s="141" t="s">
        <v>786</v>
      </c>
      <c r="C326" s="141">
        <v>30850075</v>
      </c>
      <c r="D326" s="806">
        <v>4458.3</v>
      </c>
      <c r="E326" s="812">
        <f>+VLOOKUP(A326,Clasificaciones!C:C,1,FALSE)</f>
        <v>40604</v>
      </c>
      <c r="F326" s="813"/>
    </row>
    <row r="327" spans="1:6" s="812" customFormat="1" ht="15" customHeight="1">
      <c r="A327" s="801">
        <v>4060401</v>
      </c>
      <c r="B327" s="141" t="s">
        <v>787</v>
      </c>
      <c r="C327" s="141">
        <v>14430803</v>
      </c>
      <c r="D327" s="806">
        <v>2076.5300000000002</v>
      </c>
      <c r="E327" s="812">
        <f>+VLOOKUP(A327,Clasificaciones!C:C,1,FALSE)</f>
        <v>4060401</v>
      </c>
      <c r="F327" s="813"/>
    </row>
    <row r="328" spans="1:6" s="812" customFormat="1" ht="15" customHeight="1">
      <c r="A328" s="801">
        <v>4060402</v>
      </c>
      <c r="B328" s="141" t="s">
        <v>788</v>
      </c>
      <c r="C328" s="141">
        <v>16419272</v>
      </c>
      <c r="D328" s="806">
        <v>2381.77</v>
      </c>
      <c r="E328" s="812">
        <f>+VLOOKUP(A328,Clasificaciones!C:C,1,FALSE)</f>
        <v>4060402</v>
      </c>
      <c r="F328" s="813"/>
    </row>
    <row r="329" spans="1:6" s="812" customFormat="1" ht="15" customHeight="1">
      <c r="A329" s="801">
        <v>40605</v>
      </c>
      <c r="B329" s="141" t="s">
        <v>229</v>
      </c>
      <c r="C329" s="141">
        <v>5570749</v>
      </c>
      <c r="D329" s="806">
        <v>803.61</v>
      </c>
      <c r="E329" s="812">
        <f>+VLOOKUP(A329,Clasificaciones!C:C,1,FALSE)</f>
        <v>40605</v>
      </c>
      <c r="F329" s="813"/>
    </row>
    <row r="330" spans="1:6" s="812" customFormat="1" ht="15" customHeight="1">
      <c r="A330" s="801">
        <v>4060501</v>
      </c>
      <c r="B330" s="141" t="s">
        <v>789</v>
      </c>
      <c r="C330" s="141">
        <v>2680381</v>
      </c>
      <c r="D330" s="806">
        <v>384.55</v>
      </c>
      <c r="E330" s="812">
        <f>+VLOOKUP(A330,Clasificaciones!C:C,1,FALSE)</f>
        <v>4060501</v>
      </c>
      <c r="F330" s="813"/>
    </row>
    <row r="331" spans="1:6" s="812" customFormat="1" ht="15" customHeight="1">
      <c r="A331" s="801">
        <v>4060502</v>
      </c>
      <c r="B331" s="141" t="s">
        <v>790</v>
      </c>
      <c r="C331" s="141">
        <v>2890368</v>
      </c>
      <c r="D331" s="806">
        <v>419.06</v>
      </c>
      <c r="E331" s="812">
        <f>+VLOOKUP(A331,Clasificaciones!C:C,1,FALSE)</f>
        <v>4060502</v>
      </c>
      <c r="F331" s="813"/>
    </row>
    <row r="332" spans="1:6" s="812" customFormat="1" ht="15" customHeight="1">
      <c r="A332" s="801">
        <v>40606</v>
      </c>
      <c r="B332" s="141" t="s">
        <v>190</v>
      </c>
      <c r="C332" s="141">
        <v>8406347</v>
      </c>
      <c r="D332" s="806">
        <v>1225</v>
      </c>
      <c r="E332" s="812">
        <f>+VLOOKUP(A332,Clasificaciones!C:C,1,FALSE)</f>
        <v>40606</v>
      </c>
      <c r="F332" s="813"/>
    </row>
    <row r="333" spans="1:6" s="812" customFormat="1" ht="15" customHeight="1">
      <c r="A333" s="801">
        <v>4060601</v>
      </c>
      <c r="B333" s="141" t="s">
        <v>791</v>
      </c>
      <c r="C333" s="141">
        <v>1465821</v>
      </c>
      <c r="D333" s="806">
        <v>213.08</v>
      </c>
      <c r="E333" s="812">
        <f>+VLOOKUP(A333,Clasificaciones!C:C,1,FALSE)</f>
        <v>4060601</v>
      </c>
      <c r="F333" s="813"/>
    </row>
    <row r="334" spans="1:6" s="812" customFormat="1" ht="15" customHeight="1">
      <c r="A334" s="801">
        <v>4060602</v>
      </c>
      <c r="B334" s="141" t="s">
        <v>1074</v>
      </c>
      <c r="C334" s="141">
        <v>6940526</v>
      </c>
      <c r="D334" s="806">
        <v>1011.92</v>
      </c>
      <c r="E334" s="812">
        <f>+VLOOKUP(A334,Clasificaciones!C:C,1,FALSE)</f>
        <v>4060602</v>
      </c>
      <c r="F334" s="813"/>
    </row>
    <row r="335" spans="1:6" s="812" customFormat="1" ht="15" customHeight="1">
      <c r="A335" s="801">
        <v>407</v>
      </c>
      <c r="B335" s="141" t="s">
        <v>230</v>
      </c>
      <c r="C335" s="141">
        <v>8825951615</v>
      </c>
      <c r="D335" s="806">
        <v>1739672.6</v>
      </c>
      <c r="E335" s="812">
        <f>+VLOOKUP(A335,Clasificaciones!C:C,1,FALSE)</f>
        <v>407</v>
      </c>
      <c r="F335" s="813"/>
    </row>
    <row r="336" spans="1:6" s="812" customFormat="1" ht="15" customHeight="1">
      <c r="A336" s="801">
        <v>40701</v>
      </c>
      <c r="B336" s="141" t="s">
        <v>1262</v>
      </c>
      <c r="C336" s="141">
        <v>612814</v>
      </c>
      <c r="D336" s="806">
        <v>89.04</v>
      </c>
      <c r="E336" s="812">
        <f>+VLOOKUP(A336,Clasificaciones!C:C,1,FALSE)</f>
        <v>40701</v>
      </c>
      <c r="F336" s="813"/>
    </row>
    <row r="337" spans="1:6" s="812" customFormat="1" ht="15" customHeight="1">
      <c r="A337" s="801">
        <v>40702</v>
      </c>
      <c r="B337" s="141" t="s">
        <v>792</v>
      </c>
      <c r="C337" s="141">
        <v>8825338801</v>
      </c>
      <c r="D337" s="806">
        <v>1739583.56</v>
      </c>
      <c r="E337" s="812">
        <f>+VLOOKUP(A337,Clasificaciones!C:C,1,FALSE)</f>
        <v>40702</v>
      </c>
      <c r="F337" s="813"/>
    </row>
    <row r="338" spans="1:6" s="812" customFormat="1" ht="15" customHeight="1">
      <c r="A338" s="801">
        <v>4070201</v>
      </c>
      <c r="B338" s="141" t="s">
        <v>793</v>
      </c>
      <c r="C338" s="141">
        <v>5940872797</v>
      </c>
      <c r="D338" s="806">
        <v>1593188.23</v>
      </c>
      <c r="E338" s="812">
        <f>+VLOOKUP(A338,Clasificaciones!C:C,1,FALSE)</f>
        <v>4070201</v>
      </c>
      <c r="F338" s="813"/>
    </row>
    <row r="339" spans="1:6" s="812" customFormat="1" ht="15" customHeight="1">
      <c r="A339" s="801">
        <v>4070202</v>
      </c>
      <c r="B339" s="141" t="s">
        <v>794</v>
      </c>
      <c r="C339" s="141">
        <v>2884466004</v>
      </c>
      <c r="D339" s="806">
        <v>146395.32999999999</v>
      </c>
      <c r="E339" s="812">
        <f>+VLOOKUP(A339,Clasificaciones!C:C,1,FALSE)</f>
        <v>4070202</v>
      </c>
      <c r="F339" s="813"/>
    </row>
    <row r="340" spans="1:6" s="812" customFormat="1" ht="15" customHeight="1">
      <c r="A340" s="801">
        <v>408</v>
      </c>
      <c r="B340" s="141" t="s">
        <v>795</v>
      </c>
      <c r="C340" s="141">
        <v>1426432095</v>
      </c>
      <c r="D340" s="806">
        <v>205798.87</v>
      </c>
      <c r="E340" s="812">
        <f>+VLOOKUP(A340,Clasificaciones!C:C,1,FALSE)</f>
        <v>408</v>
      </c>
      <c r="F340" s="813"/>
    </row>
    <row r="341" spans="1:6" s="812" customFormat="1" ht="15" customHeight="1">
      <c r="A341" s="801">
        <v>40801</v>
      </c>
      <c r="B341" s="141" t="s">
        <v>1075</v>
      </c>
      <c r="C341" s="141">
        <v>5666190</v>
      </c>
      <c r="D341" s="806">
        <v>820.77</v>
      </c>
      <c r="E341" s="812">
        <f>+VLOOKUP(A341,Clasificaciones!C:C,1,FALSE)</f>
        <v>40801</v>
      </c>
      <c r="F341" s="813"/>
    </row>
    <row r="342" spans="1:6" s="812" customFormat="1" ht="15" customHeight="1">
      <c r="A342" s="801">
        <v>40802</v>
      </c>
      <c r="B342" s="141" t="s">
        <v>796</v>
      </c>
      <c r="C342" s="141">
        <v>2322</v>
      </c>
      <c r="D342" s="806">
        <v>0.63</v>
      </c>
      <c r="E342" s="812">
        <f>+VLOOKUP(A342,Clasificaciones!C:C,1,FALSE)</f>
        <v>40802</v>
      </c>
      <c r="F342" s="813"/>
    </row>
    <row r="343" spans="1:6" s="812" customFormat="1" ht="15" customHeight="1">
      <c r="A343" s="801">
        <v>40803</v>
      </c>
      <c r="B343" s="141" t="s">
        <v>614</v>
      </c>
      <c r="C343" s="141">
        <v>6473750</v>
      </c>
      <c r="D343" s="806">
        <v>938.55</v>
      </c>
      <c r="E343" s="812">
        <f>+VLOOKUP(A343,Clasificaciones!C:C,1,FALSE)</f>
        <v>40803</v>
      </c>
      <c r="F343" s="813"/>
    </row>
    <row r="344" spans="1:6" s="812" customFormat="1" ht="15" customHeight="1">
      <c r="A344" s="801">
        <v>40808</v>
      </c>
      <c r="B344" s="141" t="s">
        <v>506</v>
      </c>
      <c r="C344" s="141">
        <v>1406751239</v>
      </c>
      <c r="D344" s="806">
        <v>202949.55</v>
      </c>
      <c r="E344" s="812">
        <f>+VLOOKUP(A344,Clasificaciones!C:C,1,FALSE)</f>
        <v>40808</v>
      </c>
      <c r="F344" s="813"/>
    </row>
    <row r="345" spans="1:6" s="812" customFormat="1" ht="15" customHeight="1">
      <c r="A345" s="801">
        <v>40811</v>
      </c>
      <c r="B345" s="141" t="s">
        <v>1197</v>
      </c>
      <c r="C345" s="141">
        <v>7538594</v>
      </c>
      <c r="D345" s="806">
        <v>1089.3699999999999</v>
      </c>
      <c r="E345" s="812">
        <f>+VLOOKUP(A345,Clasificaciones!C:C,1,FALSE)</f>
        <v>40811</v>
      </c>
      <c r="F345" s="813"/>
    </row>
    <row r="346" spans="1:6" s="812" customFormat="1" ht="15" customHeight="1">
      <c r="A346" s="801">
        <v>5</v>
      </c>
      <c r="B346" s="141" t="s">
        <v>189</v>
      </c>
      <c r="C346" s="141">
        <v>18166349922</v>
      </c>
      <c r="D346" s="806">
        <v>3052274.66</v>
      </c>
      <c r="E346" s="812">
        <f>+VLOOKUP(A346,Clasificaciones!C:C,1,FALSE)</f>
        <v>5</v>
      </c>
      <c r="F346" s="813"/>
    </row>
    <row r="347" spans="1:6" s="812" customFormat="1" ht="15" customHeight="1">
      <c r="A347" s="801">
        <v>51</v>
      </c>
      <c r="B347" s="141" t="s">
        <v>797</v>
      </c>
      <c r="C347" s="141">
        <v>18166339777</v>
      </c>
      <c r="D347" s="806">
        <v>3052263.1</v>
      </c>
      <c r="E347" s="812">
        <f>+VLOOKUP(A347,Clasificaciones!C:C,1,FALSE)</f>
        <v>51</v>
      </c>
      <c r="F347" s="813"/>
    </row>
    <row r="348" spans="1:6" s="812" customFormat="1" ht="15" customHeight="1">
      <c r="A348" s="801">
        <v>511</v>
      </c>
      <c r="B348" s="141" t="s">
        <v>798</v>
      </c>
      <c r="C348" s="141">
        <v>4086351076</v>
      </c>
      <c r="D348" s="806">
        <v>591335.11</v>
      </c>
      <c r="E348" s="812">
        <f>+VLOOKUP(A348,Clasificaciones!C:C,1,FALSE)</f>
        <v>511</v>
      </c>
      <c r="F348" s="813"/>
    </row>
    <row r="349" spans="1:6" s="812" customFormat="1" ht="15" customHeight="1">
      <c r="A349" s="801">
        <v>51101</v>
      </c>
      <c r="B349" s="141" t="s">
        <v>39</v>
      </c>
      <c r="C349" s="141">
        <v>750000</v>
      </c>
      <c r="D349" s="806">
        <v>107.6</v>
      </c>
      <c r="E349" s="812">
        <f>+VLOOKUP(A349,Clasificaciones!C:C,1,FALSE)</f>
        <v>51101</v>
      </c>
      <c r="F349" s="813"/>
    </row>
    <row r="350" spans="1:6" s="812" customFormat="1" ht="15" customHeight="1">
      <c r="A350" s="801">
        <v>5110102</v>
      </c>
      <c r="B350" s="141" t="s">
        <v>799</v>
      </c>
      <c r="C350" s="141">
        <v>750000</v>
      </c>
      <c r="D350" s="806">
        <v>107.6</v>
      </c>
      <c r="E350" s="812">
        <f>+VLOOKUP(A350,Clasificaciones!C:C,1,FALSE)</f>
        <v>5110102</v>
      </c>
      <c r="F350" s="813"/>
    </row>
    <row r="351" spans="1:6" s="812" customFormat="1" ht="15" customHeight="1">
      <c r="A351" s="801">
        <v>511010201</v>
      </c>
      <c r="B351" s="141" t="s">
        <v>800</v>
      </c>
      <c r="C351" s="141">
        <v>750000</v>
      </c>
      <c r="D351" s="806">
        <v>107.6</v>
      </c>
      <c r="E351" s="812">
        <f>+VLOOKUP(A351,Clasificaciones!C:C,1,FALSE)</f>
        <v>511010201</v>
      </c>
      <c r="F351" s="813"/>
    </row>
    <row r="352" spans="1:6" s="812" customFormat="1" ht="15" customHeight="1">
      <c r="A352" s="801">
        <v>51102</v>
      </c>
      <c r="B352" s="141" t="s">
        <v>801</v>
      </c>
      <c r="C352" s="141">
        <v>84242063</v>
      </c>
      <c r="D352" s="806">
        <v>12234.77</v>
      </c>
      <c r="E352" s="812">
        <f>+VLOOKUP(A352,Clasificaciones!C:C,1,FALSE)</f>
        <v>51102</v>
      </c>
      <c r="F352" s="813"/>
    </row>
    <row r="353" spans="1:6" s="812" customFormat="1" ht="15" customHeight="1">
      <c r="A353" s="801">
        <v>5110201</v>
      </c>
      <c r="B353" s="141" t="s">
        <v>802</v>
      </c>
      <c r="C353" s="141">
        <v>69580240</v>
      </c>
      <c r="D353" s="806">
        <v>10109.93</v>
      </c>
      <c r="E353" s="812">
        <f>+VLOOKUP(A353,Clasificaciones!C:C,1,FALSE)</f>
        <v>5110201</v>
      </c>
      <c r="F353" s="813"/>
    </row>
    <row r="354" spans="1:6" s="812" customFormat="1" ht="15" customHeight="1">
      <c r="A354" s="801">
        <v>511020101</v>
      </c>
      <c r="B354" s="141" t="s">
        <v>856</v>
      </c>
      <c r="C354" s="141">
        <v>18170512</v>
      </c>
      <c r="D354" s="806">
        <v>2641.91</v>
      </c>
      <c r="E354" s="812">
        <f>+VLOOKUP(A354,Clasificaciones!C:C,1,FALSE)</f>
        <v>511020101</v>
      </c>
      <c r="F354" s="813"/>
    </row>
    <row r="355" spans="1:6" s="812" customFormat="1" ht="15" customHeight="1">
      <c r="A355" s="801">
        <v>511020102</v>
      </c>
      <c r="B355" s="141" t="s">
        <v>803</v>
      </c>
      <c r="C355" s="141">
        <v>51409728</v>
      </c>
      <c r="D355" s="806">
        <v>7468.02</v>
      </c>
      <c r="E355" s="812">
        <f>+VLOOKUP(A355,Clasificaciones!C:C,1,FALSE)</f>
        <v>511020102</v>
      </c>
      <c r="F355" s="813"/>
    </row>
    <row r="356" spans="1:6" s="812" customFormat="1" ht="15" customHeight="1">
      <c r="A356" s="801">
        <v>5110202</v>
      </c>
      <c r="B356" s="141" t="s">
        <v>229</v>
      </c>
      <c r="C356" s="141">
        <v>14661823</v>
      </c>
      <c r="D356" s="806">
        <v>2124.84</v>
      </c>
      <c r="E356" s="812">
        <f>+VLOOKUP(A356,Clasificaciones!C:C,1,FALSE)</f>
        <v>5110202</v>
      </c>
      <c r="F356" s="813"/>
    </row>
    <row r="357" spans="1:6" s="812" customFormat="1" ht="15" customHeight="1">
      <c r="A357" s="801">
        <v>511020201</v>
      </c>
      <c r="B357" s="141" t="s">
        <v>789</v>
      </c>
      <c r="C357" s="141">
        <v>8783330</v>
      </c>
      <c r="D357" s="806">
        <v>1272.27</v>
      </c>
      <c r="E357" s="812">
        <f>+VLOOKUP(A357,Clasificaciones!C:C,1,FALSE)</f>
        <v>511020201</v>
      </c>
      <c r="F357" s="813"/>
    </row>
    <row r="358" spans="1:6" s="812" customFormat="1" ht="15" customHeight="1">
      <c r="A358" s="801">
        <v>511020202</v>
      </c>
      <c r="B358" s="141" t="s">
        <v>790</v>
      </c>
      <c r="C358" s="141">
        <v>5878493</v>
      </c>
      <c r="D358" s="806">
        <v>852.57</v>
      </c>
      <c r="E358" s="812">
        <f>+VLOOKUP(A358,Clasificaciones!C:C,1,FALSE)</f>
        <v>511020202</v>
      </c>
      <c r="F358" s="813"/>
    </row>
    <row r="359" spans="1:6" s="812" customFormat="1" ht="15" customHeight="1">
      <c r="A359" s="801">
        <v>51103</v>
      </c>
      <c r="B359" s="141" t="s">
        <v>217</v>
      </c>
      <c r="C359" s="141">
        <v>3997717303</v>
      </c>
      <c r="D359" s="806">
        <v>578469.85</v>
      </c>
      <c r="E359" s="812">
        <f>+VLOOKUP(A359,Clasificaciones!C:C,1,FALSE)</f>
        <v>51103</v>
      </c>
      <c r="F359" s="813"/>
    </row>
    <row r="360" spans="1:6" s="812" customFormat="1" ht="15" customHeight="1">
      <c r="A360" s="801">
        <v>5110301</v>
      </c>
      <c r="B360" s="141" t="s">
        <v>777</v>
      </c>
      <c r="C360" s="141">
        <v>3997717303</v>
      </c>
      <c r="D360" s="806">
        <v>578469.85</v>
      </c>
      <c r="E360" s="812">
        <f>+VLOOKUP(A360,Clasificaciones!C:C,1,FALSE)</f>
        <v>5110301</v>
      </c>
      <c r="F360" s="813"/>
    </row>
    <row r="361" spans="1:6" s="812" customFormat="1" ht="15" customHeight="1">
      <c r="A361" s="801">
        <v>511030101</v>
      </c>
      <c r="B361" s="141" t="s">
        <v>1063</v>
      </c>
      <c r="C361" s="141">
        <v>2493215458</v>
      </c>
      <c r="D361" s="806">
        <v>361444.26</v>
      </c>
      <c r="E361" s="812">
        <f>+VLOOKUP(A361,Clasificaciones!C:C,1,FALSE)</f>
        <v>511030101</v>
      </c>
      <c r="F361" s="813"/>
    </row>
    <row r="362" spans="1:6" s="812" customFormat="1" ht="15" customHeight="1">
      <c r="A362" s="801">
        <v>51103010101</v>
      </c>
      <c r="B362" s="141" t="s">
        <v>767</v>
      </c>
      <c r="C362" s="141">
        <v>104367348</v>
      </c>
      <c r="D362" s="806">
        <v>15206.16</v>
      </c>
      <c r="E362" s="812">
        <f>+VLOOKUP(A362,Clasificaciones!C:C,1,FALSE)</f>
        <v>51103010101</v>
      </c>
      <c r="F362" s="813"/>
    </row>
    <row r="363" spans="1:6" s="812" customFormat="1" ht="15" customHeight="1">
      <c r="A363" s="801">
        <v>51103010102</v>
      </c>
      <c r="B363" s="141" t="s">
        <v>653</v>
      </c>
      <c r="C363" s="141">
        <v>782051372</v>
      </c>
      <c r="D363" s="806">
        <v>113446.7</v>
      </c>
      <c r="E363" s="812">
        <f>+VLOOKUP(A363,Clasificaciones!C:C,1,FALSE)</f>
        <v>51103010102</v>
      </c>
      <c r="F363" s="813"/>
    </row>
    <row r="364" spans="1:6" s="812" customFormat="1" ht="15" customHeight="1">
      <c r="A364" s="801">
        <v>51103010103</v>
      </c>
      <c r="B364" s="141" t="s">
        <v>660</v>
      </c>
      <c r="C364" s="141">
        <v>214001678</v>
      </c>
      <c r="D364" s="806">
        <v>30965.54</v>
      </c>
      <c r="E364" s="812">
        <f>+VLOOKUP(A364,Clasificaciones!C:C,1,FALSE)</f>
        <v>51103010103</v>
      </c>
      <c r="F364" s="813"/>
    </row>
    <row r="365" spans="1:6" s="812" customFormat="1" ht="15" customHeight="1">
      <c r="A365" s="801">
        <v>51103010104</v>
      </c>
      <c r="B365" s="141" t="s">
        <v>764</v>
      </c>
      <c r="C365" s="141">
        <v>287087011</v>
      </c>
      <c r="D365" s="806">
        <v>41585.15</v>
      </c>
      <c r="E365" s="812">
        <f>+VLOOKUP(A365,Clasificaciones!C:C,1,FALSE)</f>
        <v>51103010104</v>
      </c>
      <c r="F365" s="813"/>
    </row>
    <row r="366" spans="1:6" s="812" customFormat="1" ht="15" customHeight="1">
      <c r="A366" s="801">
        <v>51103010105</v>
      </c>
      <c r="B366" s="141" t="s">
        <v>1238</v>
      </c>
      <c r="C366" s="141">
        <v>738893458</v>
      </c>
      <c r="D366" s="806">
        <v>107023.06</v>
      </c>
      <c r="E366" s="812">
        <f>+VLOOKUP(A366,Clasificaciones!C:C,1,FALSE)</f>
        <v>51103010105</v>
      </c>
      <c r="F366" s="813"/>
    </row>
    <row r="367" spans="1:6" s="812" customFormat="1" ht="15" customHeight="1">
      <c r="A367" s="801">
        <v>51103010106</v>
      </c>
      <c r="B367" s="141" t="s">
        <v>1264</v>
      </c>
      <c r="C367" s="141">
        <v>28298329</v>
      </c>
      <c r="D367" s="806">
        <v>4097.7</v>
      </c>
      <c r="E367" s="812">
        <f>+VLOOKUP(A367,Clasificaciones!C:C,1,FALSE)</f>
        <v>51103010106</v>
      </c>
      <c r="F367" s="813"/>
    </row>
    <row r="368" spans="1:6" s="812" customFormat="1" ht="15" customHeight="1">
      <c r="A368" s="801">
        <v>51103010107</v>
      </c>
      <c r="B368" s="141" t="s">
        <v>1502</v>
      </c>
      <c r="C368" s="141">
        <v>338516262</v>
      </c>
      <c r="D368" s="806">
        <v>49119.95</v>
      </c>
      <c r="E368" s="812">
        <f>+VLOOKUP(A368,Clasificaciones!C:C,1,FALSE)</f>
        <v>51103010107</v>
      </c>
      <c r="F368" s="813"/>
    </row>
    <row r="369" spans="1:6" s="812" customFormat="1" ht="15" customHeight="1">
      <c r="A369" s="801">
        <v>511030120</v>
      </c>
      <c r="B369" s="141" t="s">
        <v>804</v>
      </c>
      <c r="C369" s="141">
        <v>1504501845</v>
      </c>
      <c r="D369" s="806">
        <v>217025.59</v>
      </c>
      <c r="E369" s="812">
        <f>+VLOOKUP(A369,Clasificaciones!C:C,1,FALSE)</f>
        <v>511030120</v>
      </c>
      <c r="F369" s="813"/>
    </row>
    <row r="370" spans="1:6" s="812" customFormat="1" ht="15" customHeight="1">
      <c r="A370" s="801">
        <v>51103012001</v>
      </c>
      <c r="B370" s="141" t="s">
        <v>764</v>
      </c>
      <c r="C370" s="141">
        <v>1790228</v>
      </c>
      <c r="D370" s="806">
        <v>261.48</v>
      </c>
      <c r="E370" s="812">
        <f>+VLOOKUP(A370,Clasificaciones!C:C,1,FALSE)</f>
        <v>51103012001</v>
      </c>
      <c r="F370" s="813"/>
    </row>
    <row r="371" spans="1:6" s="812" customFormat="1" ht="15" customHeight="1">
      <c r="A371" s="801">
        <v>51103012002</v>
      </c>
      <c r="B371" s="141" t="s">
        <v>779</v>
      </c>
      <c r="C371" s="141">
        <v>412022</v>
      </c>
      <c r="D371" s="806">
        <v>60.01</v>
      </c>
      <c r="E371" s="812">
        <f>+VLOOKUP(A371,Clasificaciones!C:C,1,FALSE)</f>
        <v>51103012002</v>
      </c>
      <c r="F371" s="813"/>
    </row>
    <row r="372" spans="1:6" s="812" customFormat="1" ht="15" customHeight="1">
      <c r="A372" s="801">
        <v>51103012004</v>
      </c>
      <c r="B372" s="141" t="s">
        <v>766</v>
      </c>
      <c r="C372" s="141">
        <v>225461360</v>
      </c>
      <c r="D372" s="806">
        <v>32087.09</v>
      </c>
      <c r="E372" s="812">
        <f>+VLOOKUP(A372,Clasificaciones!C:C,1,FALSE)</f>
        <v>51103012004</v>
      </c>
      <c r="F372" s="813"/>
    </row>
    <row r="373" spans="1:6" s="812" customFormat="1" ht="15" customHeight="1">
      <c r="A373" s="801">
        <v>51103012005</v>
      </c>
      <c r="B373" s="141" t="s">
        <v>767</v>
      </c>
      <c r="C373" s="141">
        <v>199802768</v>
      </c>
      <c r="D373" s="806">
        <v>28908.720000000001</v>
      </c>
      <c r="E373" s="812">
        <f>+VLOOKUP(A373,Clasificaciones!C:C,1,FALSE)</f>
        <v>51103012005</v>
      </c>
      <c r="F373" s="813"/>
    </row>
    <row r="374" spans="1:6" s="812" customFormat="1" ht="15" customHeight="1">
      <c r="A374" s="801">
        <v>51103012006</v>
      </c>
      <c r="B374" s="141" t="s">
        <v>653</v>
      </c>
      <c r="C374" s="141">
        <v>691520558</v>
      </c>
      <c r="D374" s="806">
        <v>100237.26</v>
      </c>
      <c r="E374" s="812">
        <f>+VLOOKUP(A374,Clasificaciones!C:C,1,FALSE)</f>
        <v>51103012006</v>
      </c>
      <c r="F374" s="813"/>
    </row>
    <row r="375" spans="1:6" s="812" customFormat="1" ht="15" customHeight="1">
      <c r="A375" s="801">
        <v>51103012007</v>
      </c>
      <c r="B375" s="141" t="s">
        <v>768</v>
      </c>
      <c r="C375" s="141">
        <v>207495957</v>
      </c>
      <c r="D375" s="806">
        <v>29872.080000000002</v>
      </c>
      <c r="E375" s="812">
        <f>+VLOOKUP(A375,Clasificaciones!C:C,1,FALSE)</f>
        <v>51103012007</v>
      </c>
      <c r="F375" s="813"/>
    </row>
    <row r="376" spans="1:6" s="812" customFormat="1" ht="15" customHeight="1">
      <c r="A376" s="801">
        <v>51103012008</v>
      </c>
      <c r="B376" s="141" t="s">
        <v>769</v>
      </c>
      <c r="C376" s="141">
        <v>8090895</v>
      </c>
      <c r="D376" s="806">
        <v>1163.71</v>
      </c>
      <c r="E376" s="812">
        <f>+VLOOKUP(A376,Clasificaciones!C:C,1,FALSE)</f>
        <v>51103012008</v>
      </c>
      <c r="F376" s="813"/>
    </row>
    <row r="377" spans="1:6" s="812" customFormat="1" ht="15" customHeight="1">
      <c r="A377" s="801">
        <v>51103012017</v>
      </c>
      <c r="B377" s="141" t="s">
        <v>773</v>
      </c>
      <c r="C377" s="141">
        <v>136176813</v>
      </c>
      <c r="D377" s="806">
        <v>19578.87</v>
      </c>
      <c r="E377" s="812">
        <f>+VLOOKUP(A377,Clasificaciones!C:C,1,FALSE)</f>
        <v>51103012017</v>
      </c>
      <c r="F377" s="813"/>
    </row>
    <row r="378" spans="1:6" s="812" customFormat="1" ht="15" customHeight="1">
      <c r="A378" s="801">
        <v>51103012019</v>
      </c>
      <c r="B378" s="141" t="s">
        <v>1051</v>
      </c>
      <c r="C378" s="141">
        <v>1096</v>
      </c>
      <c r="D378" s="806">
        <v>0.15</v>
      </c>
      <c r="E378" s="812">
        <f>+VLOOKUP(A378,Clasificaciones!C:C,1,FALSE)</f>
        <v>51103012019</v>
      </c>
      <c r="F378" s="813"/>
    </row>
    <row r="379" spans="1:6" s="812" customFormat="1" ht="15" customHeight="1">
      <c r="A379" s="801">
        <v>51103012029</v>
      </c>
      <c r="B379" s="141" t="s">
        <v>648</v>
      </c>
      <c r="C379" s="141">
        <v>33750148</v>
      </c>
      <c r="D379" s="806">
        <v>4856.22</v>
      </c>
      <c r="E379" s="812">
        <f>+VLOOKUP(A379,Clasificaciones!C:C,1,FALSE)</f>
        <v>51103012029</v>
      </c>
      <c r="F379" s="813"/>
    </row>
    <row r="380" spans="1:6" s="812" customFormat="1" ht="15" customHeight="1">
      <c r="A380" s="801">
        <v>51104</v>
      </c>
      <c r="B380" s="141" t="s">
        <v>805</v>
      </c>
      <c r="C380" s="141">
        <v>3641710</v>
      </c>
      <c r="D380" s="806">
        <v>522.89</v>
      </c>
      <c r="E380" s="812">
        <f>+VLOOKUP(A380,Clasificaciones!C:C,1,FALSE)</f>
        <v>51104</v>
      </c>
      <c r="F380" s="813"/>
    </row>
    <row r="381" spans="1:6" s="812" customFormat="1" ht="15" customHeight="1">
      <c r="A381" s="801">
        <v>5110401</v>
      </c>
      <c r="B381" s="141" t="s">
        <v>805</v>
      </c>
      <c r="C381" s="141">
        <v>3641710</v>
      </c>
      <c r="D381" s="806">
        <v>522.89</v>
      </c>
      <c r="E381" s="812">
        <f>+VLOOKUP(A381,Clasificaciones!C:C,1,FALSE)</f>
        <v>5110401</v>
      </c>
      <c r="F381" s="813"/>
    </row>
    <row r="382" spans="1:6" s="812" customFormat="1" ht="15" customHeight="1">
      <c r="A382" s="801">
        <v>512</v>
      </c>
      <c r="B382" s="141" t="s">
        <v>233</v>
      </c>
      <c r="C382" s="141">
        <v>500237048</v>
      </c>
      <c r="D382" s="806">
        <v>71922.59</v>
      </c>
      <c r="E382" s="812">
        <f>+VLOOKUP(A382,Clasificaciones!C:C,1,FALSE)</f>
        <v>512</v>
      </c>
      <c r="F382" s="813"/>
    </row>
    <row r="383" spans="1:6" s="812" customFormat="1" ht="15" customHeight="1">
      <c r="A383" s="801">
        <v>51201</v>
      </c>
      <c r="B383" s="141" t="s">
        <v>1265</v>
      </c>
      <c r="C383" s="141">
        <v>163174020</v>
      </c>
      <c r="D383" s="806">
        <v>23256.41</v>
      </c>
      <c r="E383" s="812">
        <f>+VLOOKUP(A383,Clasificaciones!C:C,1,FALSE)</f>
        <v>51201</v>
      </c>
      <c r="F383" s="813"/>
    </row>
    <row r="384" spans="1:6" s="812" customFormat="1" ht="15" customHeight="1">
      <c r="A384" s="801">
        <v>51203</v>
      </c>
      <c r="B384" s="141" t="s">
        <v>177</v>
      </c>
      <c r="C384" s="141">
        <v>45608034</v>
      </c>
      <c r="D384" s="806">
        <v>6608.17</v>
      </c>
      <c r="E384" s="812">
        <f>+VLOOKUP(A384,Clasificaciones!C:C,1,FALSE)</f>
        <v>51203</v>
      </c>
      <c r="F384" s="813"/>
    </row>
    <row r="385" spans="1:6" s="812" customFormat="1" ht="15" customHeight="1">
      <c r="A385" s="801">
        <v>51204</v>
      </c>
      <c r="B385" s="141" t="s">
        <v>807</v>
      </c>
      <c r="C385" s="141">
        <v>49788329</v>
      </c>
      <c r="D385" s="806">
        <v>7220.45</v>
      </c>
      <c r="E385" s="812">
        <f>+VLOOKUP(A385,Clasificaciones!C:C,1,FALSE)</f>
        <v>51204</v>
      </c>
      <c r="F385" s="813"/>
    </row>
    <row r="386" spans="1:6" s="812" customFormat="1" ht="15" customHeight="1">
      <c r="A386" s="801">
        <v>51206</v>
      </c>
      <c r="B386" s="141" t="s">
        <v>1200</v>
      </c>
      <c r="C386" s="141">
        <v>200000000</v>
      </c>
      <c r="D386" s="806">
        <v>28831.09</v>
      </c>
      <c r="E386" s="812">
        <f>+VLOOKUP(A386,Clasificaciones!C:C,1,FALSE)</f>
        <v>51206</v>
      </c>
      <c r="F386" s="813"/>
    </row>
    <row r="387" spans="1:6" s="812" customFormat="1" ht="15" customHeight="1">
      <c r="A387" s="801">
        <v>51207</v>
      </c>
      <c r="B387" s="141" t="s">
        <v>298</v>
      </c>
      <c r="C387" s="141">
        <v>41666665</v>
      </c>
      <c r="D387" s="806">
        <v>6006.47</v>
      </c>
      <c r="E387" s="812">
        <f>+VLOOKUP(A387,Clasificaciones!C:C,1,FALSE)</f>
        <v>51207</v>
      </c>
      <c r="F387" s="813"/>
    </row>
    <row r="388" spans="1:6" s="812" customFormat="1" ht="15" customHeight="1">
      <c r="A388" s="801">
        <v>513</v>
      </c>
      <c r="B388" s="141" t="s">
        <v>14</v>
      </c>
      <c r="C388" s="141">
        <v>3947012721</v>
      </c>
      <c r="D388" s="806">
        <v>571374.43000000005</v>
      </c>
      <c r="E388" s="812">
        <f>+VLOOKUP(A388,Clasificaciones!C:C,1,FALSE)</f>
        <v>513</v>
      </c>
      <c r="F388" s="813"/>
    </row>
    <row r="389" spans="1:6" s="812" customFormat="1" ht="15" customHeight="1">
      <c r="A389" s="801">
        <v>51301</v>
      </c>
      <c r="B389" s="141" t="s">
        <v>235</v>
      </c>
      <c r="C389" s="141">
        <v>1636411991</v>
      </c>
      <c r="D389" s="806">
        <v>236738.09</v>
      </c>
      <c r="E389" s="812">
        <f>+VLOOKUP(A389,Clasificaciones!C:C,1,FALSE)</f>
        <v>51301</v>
      </c>
      <c r="F389" s="813"/>
    </row>
    <row r="390" spans="1:6" s="812" customFormat="1" ht="15" customHeight="1">
      <c r="A390" s="801">
        <v>5130101</v>
      </c>
      <c r="B390" s="141" t="s">
        <v>172</v>
      </c>
      <c r="C390" s="141">
        <v>1477878666</v>
      </c>
      <c r="D390" s="806">
        <v>213849.68</v>
      </c>
      <c r="E390" s="812">
        <f>+VLOOKUP(A390,Clasificaciones!C:C,1,FALSE)</f>
        <v>5130101</v>
      </c>
      <c r="F390" s="813"/>
    </row>
    <row r="391" spans="1:6" s="812" customFormat="1" ht="15" customHeight="1">
      <c r="A391" s="801">
        <v>5130104</v>
      </c>
      <c r="B391" s="141" t="s">
        <v>174</v>
      </c>
      <c r="C391" s="141">
        <v>136991991</v>
      </c>
      <c r="D391" s="806">
        <v>19810.66</v>
      </c>
      <c r="E391" s="812">
        <f>+VLOOKUP(A391,Clasificaciones!C:C,1,FALSE)</f>
        <v>5130104</v>
      </c>
      <c r="F391" s="813"/>
    </row>
    <row r="392" spans="1:6" s="812" customFormat="1" ht="15" customHeight="1">
      <c r="A392" s="802">
        <v>5130105</v>
      </c>
      <c r="B392" s="812" t="s">
        <v>175</v>
      </c>
      <c r="C392" s="808">
        <v>21541334</v>
      </c>
      <c r="D392" s="806">
        <v>3077.75</v>
      </c>
      <c r="E392" s="812">
        <f>+VLOOKUP(A392,Clasificaciones!C:C,1,FALSE)</f>
        <v>5130105</v>
      </c>
      <c r="F392" s="813"/>
    </row>
    <row r="393" spans="1:6" s="812" customFormat="1" ht="15" customHeight="1">
      <c r="A393" s="802">
        <v>51302</v>
      </c>
      <c r="B393" s="812" t="s">
        <v>808</v>
      </c>
      <c r="C393" s="808">
        <v>934606847</v>
      </c>
      <c r="D393" s="806">
        <v>134915.07999999999</v>
      </c>
      <c r="E393" s="812">
        <f>+VLOOKUP(A393,Clasificaciones!C:C,1,FALSE)</f>
        <v>51302</v>
      </c>
      <c r="F393" s="813"/>
    </row>
    <row r="394" spans="1:6" s="812" customFormat="1" ht="15" customHeight="1">
      <c r="A394" s="802">
        <v>5130201</v>
      </c>
      <c r="B394" s="812" t="s">
        <v>809</v>
      </c>
      <c r="C394" s="808">
        <v>272275272</v>
      </c>
      <c r="D394" s="806">
        <v>39384.67</v>
      </c>
      <c r="E394" s="812">
        <f>+VLOOKUP(A394,Clasificaciones!C:C,1,FALSE)</f>
        <v>5130201</v>
      </c>
      <c r="F394" s="813"/>
    </row>
    <row r="395" spans="1:6" s="812" customFormat="1" ht="15" customHeight="1">
      <c r="A395" s="801">
        <v>5130202</v>
      </c>
      <c r="B395" s="141" t="s">
        <v>1087</v>
      </c>
      <c r="C395" s="141">
        <v>4500000</v>
      </c>
      <c r="D395" s="806">
        <v>657.31</v>
      </c>
      <c r="E395" s="812">
        <f>+VLOOKUP(A395,Clasificaciones!C:C,1,FALSE)</f>
        <v>5130202</v>
      </c>
      <c r="F395" s="813"/>
    </row>
    <row r="396" spans="1:6" s="812" customFormat="1" ht="15" customHeight="1">
      <c r="A396" s="801">
        <v>5130203</v>
      </c>
      <c r="B396" s="141" t="s">
        <v>810</v>
      </c>
      <c r="C396" s="141">
        <v>412916665</v>
      </c>
      <c r="D396" s="806">
        <v>59524.17</v>
      </c>
      <c r="E396" s="812">
        <f>+VLOOKUP(A396,Clasificaciones!C:C,1,FALSE)</f>
        <v>5130203</v>
      </c>
      <c r="F396" s="813"/>
    </row>
    <row r="397" spans="1:6" s="812" customFormat="1" ht="15" customHeight="1">
      <c r="A397" s="801">
        <v>5130204</v>
      </c>
      <c r="B397" s="141" t="s">
        <v>176</v>
      </c>
      <c r="C397" s="141">
        <v>45583335</v>
      </c>
      <c r="D397" s="806">
        <v>6500.07</v>
      </c>
      <c r="E397" s="812">
        <f>+VLOOKUP(A397,Clasificaciones!C:C,1,FALSE)</f>
        <v>5130204</v>
      </c>
      <c r="F397" s="813"/>
    </row>
    <row r="398" spans="1:6" s="812" customFormat="1" ht="15" customHeight="1">
      <c r="A398" s="801">
        <v>5130205</v>
      </c>
      <c r="B398" s="141" t="s">
        <v>1088</v>
      </c>
      <c r="C398" s="141">
        <v>4120908</v>
      </c>
      <c r="D398" s="806">
        <v>597.04999999999995</v>
      </c>
      <c r="E398" s="812">
        <f>+VLOOKUP(A398,Clasificaciones!C:C,1,FALSE)</f>
        <v>5130205</v>
      </c>
      <c r="F398" s="813"/>
    </row>
    <row r="399" spans="1:6" s="812" customFormat="1" ht="15" customHeight="1">
      <c r="A399" s="801">
        <v>5130206</v>
      </c>
      <c r="B399" s="141" t="s">
        <v>811</v>
      </c>
      <c r="C399" s="141">
        <v>93253333</v>
      </c>
      <c r="D399" s="806">
        <v>13511.83</v>
      </c>
      <c r="E399" s="812">
        <f>+VLOOKUP(A399,Clasificaciones!C:C,1,FALSE)</f>
        <v>5130206</v>
      </c>
      <c r="F399" s="813"/>
    </row>
    <row r="400" spans="1:6" s="812" customFormat="1" ht="15" customHeight="1">
      <c r="A400" s="801">
        <v>5130207</v>
      </c>
      <c r="B400" s="141" t="s">
        <v>407</v>
      </c>
      <c r="C400" s="141">
        <v>101957334</v>
      </c>
      <c r="D400" s="806">
        <v>14739.98</v>
      </c>
      <c r="E400" s="812">
        <f>+VLOOKUP(A400,Clasificaciones!C:C,1,FALSE)</f>
        <v>5130207</v>
      </c>
      <c r="F400" s="813"/>
    </row>
    <row r="401" spans="1:6" s="812" customFormat="1" ht="15" customHeight="1">
      <c r="A401" s="801">
        <v>51303</v>
      </c>
      <c r="B401" s="141" t="s">
        <v>173</v>
      </c>
      <c r="C401" s="141">
        <v>467789838</v>
      </c>
      <c r="D401" s="806">
        <v>67491.73</v>
      </c>
      <c r="E401" s="812">
        <f>+VLOOKUP(A401,Clasificaciones!C:C,1,FALSE)</f>
        <v>51303</v>
      </c>
      <c r="F401" s="813"/>
    </row>
    <row r="402" spans="1:6" s="812" customFormat="1" ht="15" customHeight="1">
      <c r="A402" s="801">
        <v>5130301</v>
      </c>
      <c r="B402" s="141" t="s">
        <v>269</v>
      </c>
      <c r="C402" s="141">
        <v>332926850</v>
      </c>
      <c r="D402" s="806">
        <v>48008.87</v>
      </c>
      <c r="E402" s="812">
        <f>+VLOOKUP(A402,Clasificaciones!C:C,1,FALSE)</f>
        <v>5130301</v>
      </c>
      <c r="F402" s="813"/>
    </row>
    <row r="403" spans="1:6" s="812" customFormat="1" ht="15" customHeight="1">
      <c r="A403" s="801">
        <v>5130303</v>
      </c>
      <c r="B403" s="141" t="s">
        <v>812</v>
      </c>
      <c r="C403" s="141">
        <v>20822440</v>
      </c>
      <c r="D403" s="806">
        <v>3000</v>
      </c>
      <c r="E403" s="812">
        <f>+VLOOKUP(A403,Clasificaciones!C:C,1,FALSE)</f>
        <v>5130303</v>
      </c>
      <c r="F403" s="813"/>
    </row>
    <row r="404" spans="1:6" s="812" customFormat="1" ht="15" customHeight="1">
      <c r="A404" s="801">
        <v>5130304</v>
      </c>
      <c r="B404" s="141" t="s">
        <v>173</v>
      </c>
      <c r="C404" s="141">
        <v>114040548</v>
      </c>
      <c r="D404" s="806">
        <v>16482.86</v>
      </c>
      <c r="E404" s="812">
        <f>+VLOOKUP(A404,Clasificaciones!C:C,1,FALSE)</f>
        <v>5130304</v>
      </c>
      <c r="F404" s="813"/>
    </row>
    <row r="405" spans="1:6" s="812" customFormat="1" ht="15" customHeight="1">
      <c r="A405" s="801">
        <v>51304</v>
      </c>
      <c r="B405" s="141" t="s">
        <v>191</v>
      </c>
      <c r="C405" s="141">
        <v>362124631</v>
      </c>
      <c r="D405" s="806">
        <v>52313.05</v>
      </c>
      <c r="E405" s="812">
        <f>+VLOOKUP(A405,Clasificaciones!C:C,1,FALSE)</f>
        <v>51304</v>
      </c>
      <c r="F405" s="813"/>
    </row>
    <row r="406" spans="1:6" s="812" customFormat="1" ht="15" customHeight="1">
      <c r="A406" s="801">
        <v>5130401</v>
      </c>
      <c r="B406" s="141" t="s">
        <v>1032</v>
      </c>
      <c r="C406" s="141">
        <v>75000000</v>
      </c>
      <c r="D406" s="806">
        <v>10811.65</v>
      </c>
      <c r="E406" s="812">
        <f>+VLOOKUP(A406,Clasificaciones!C:C,1,FALSE)</f>
        <v>5130401</v>
      </c>
      <c r="F406" s="813"/>
    </row>
    <row r="407" spans="1:6" s="812" customFormat="1" ht="15" customHeight="1">
      <c r="A407" s="802">
        <v>5130404</v>
      </c>
      <c r="B407" s="812" t="s">
        <v>813</v>
      </c>
      <c r="C407" s="808">
        <v>2864657</v>
      </c>
      <c r="D407" s="806">
        <v>413.22</v>
      </c>
      <c r="E407" s="812">
        <f>+VLOOKUP(A407,Clasificaciones!C:C,1,FALSE)</f>
        <v>5130404</v>
      </c>
      <c r="F407" s="813"/>
    </row>
    <row r="408" spans="1:6" s="812" customFormat="1" ht="15" customHeight="1">
      <c r="A408" s="802">
        <v>5130405</v>
      </c>
      <c r="B408" s="812" t="s">
        <v>814</v>
      </c>
      <c r="C408" s="808">
        <v>252244377</v>
      </c>
      <c r="D408" s="806">
        <v>36481.67</v>
      </c>
      <c r="E408" s="812">
        <f>+VLOOKUP(A408,Clasificaciones!C:C,1,FALSE)</f>
        <v>5130405</v>
      </c>
      <c r="F408" s="813"/>
    </row>
    <row r="409" spans="1:6" s="812" customFormat="1" ht="15" customHeight="1">
      <c r="A409" s="802">
        <v>5130406</v>
      </c>
      <c r="B409" s="812" t="s">
        <v>1503</v>
      </c>
      <c r="C409" s="808">
        <v>12554424</v>
      </c>
      <c r="D409" s="806">
        <v>1800</v>
      </c>
      <c r="E409" s="812">
        <f>+VLOOKUP(A409,Clasificaciones!C:C,1,FALSE)</f>
        <v>5130406</v>
      </c>
      <c r="F409" s="813"/>
    </row>
    <row r="410" spans="1:6" s="812" customFormat="1" ht="15" customHeight="1">
      <c r="A410" s="802">
        <v>5130407</v>
      </c>
      <c r="B410" s="812" t="s">
        <v>1240</v>
      </c>
      <c r="C410" s="808">
        <v>19461173</v>
      </c>
      <c r="D410" s="806">
        <v>2806.51</v>
      </c>
      <c r="E410" s="812">
        <f>+VLOOKUP(A410,Clasificaciones!C:C,1,FALSE)</f>
        <v>5130407</v>
      </c>
      <c r="F410" s="813"/>
    </row>
    <row r="411" spans="1:6" s="812" customFormat="1" ht="15" customHeight="1">
      <c r="A411" s="802">
        <v>51305</v>
      </c>
      <c r="B411" s="812" t="s">
        <v>816</v>
      </c>
      <c r="C411" s="808">
        <v>197232324</v>
      </c>
      <c r="D411" s="806">
        <v>30078.78</v>
      </c>
      <c r="E411" s="812">
        <f>+VLOOKUP(A411,Clasificaciones!C:C,1,FALSE)</f>
        <v>51305</v>
      </c>
      <c r="F411" s="813"/>
    </row>
    <row r="412" spans="1:6" s="812" customFormat="1" ht="15" customHeight="1">
      <c r="A412" s="802">
        <v>5130501</v>
      </c>
      <c r="B412" s="812" t="s">
        <v>817</v>
      </c>
      <c r="C412" s="808">
        <v>74992338</v>
      </c>
      <c r="D412" s="806">
        <v>11050.4</v>
      </c>
      <c r="E412" s="812">
        <f>+VLOOKUP(A412,Clasificaciones!C:C,1,FALSE)</f>
        <v>5130501</v>
      </c>
      <c r="F412" s="813"/>
    </row>
    <row r="413" spans="1:6" s="812" customFormat="1" ht="15" customHeight="1">
      <c r="A413" s="802">
        <v>513050101</v>
      </c>
      <c r="B413" s="812" t="s">
        <v>818</v>
      </c>
      <c r="C413" s="808">
        <v>37302276</v>
      </c>
      <c r="D413" s="806">
        <v>5516.1</v>
      </c>
      <c r="E413" s="812">
        <f>+VLOOKUP(A413,Clasificaciones!C:C,1,FALSE)</f>
        <v>513050101</v>
      </c>
      <c r="F413" s="813"/>
    </row>
    <row r="414" spans="1:6" s="812" customFormat="1" ht="15" customHeight="1">
      <c r="A414" s="802">
        <v>513050103</v>
      </c>
      <c r="B414" s="812" t="s">
        <v>819</v>
      </c>
      <c r="C414" s="808">
        <v>32175738</v>
      </c>
      <c r="D414" s="806">
        <v>4719.5600000000004</v>
      </c>
      <c r="E414" s="812">
        <f>+VLOOKUP(A414,Clasificaciones!C:C,1,FALSE)</f>
        <v>513050103</v>
      </c>
      <c r="F414" s="813"/>
    </row>
    <row r="415" spans="1:6" s="812" customFormat="1" ht="15" customHeight="1">
      <c r="A415" s="802">
        <v>513050109</v>
      </c>
      <c r="B415" s="812" t="s">
        <v>1504</v>
      </c>
      <c r="C415" s="808">
        <v>5514324</v>
      </c>
      <c r="D415" s="806">
        <v>814.74</v>
      </c>
      <c r="E415" s="812">
        <f>+VLOOKUP(A415,Clasificaciones!C:C,1,FALSE)</f>
        <v>513050109</v>
      </c>
      <c r="F415" s="813"/>
    </row>
    <row r="416" spans="1:6" s="812" customFormat="1" ht="15" customHeight="1">
      <c r="A416" s="802">
        <v>513050110</v>
      </c>
      <c r="B416" s="812" t="s">
        <v>1505</v>
      </c>
      <c r="C416" s="808">
        <v>14243514</v>
      </c>
      <c r="D416" s="806">
        <v>2128.36</v>
      </c>
      <c r="E416" s="812">
        <f>+VLOOKUP(A416,Clasificaciones!C:C,1,FALSE)</f>
        <v>513050110</v>
      </c>
      <c r="F416" s="813"/>
    </row>
    <row r="417" spans="1:6" s="812" customFormat="1" ht="15" customHeight="1">
      <c r="A417" s="802">
        <v>5130502</v>
      </c>
      <c r="B417" s="812" t="s">
        <v>820</v>
      </c>
      <c r="C417" s="808">
        <v>107996472</v>
      </c>
      <c r="D417" s="806">
        <v>16900.02</v>
      </c>
      <c r="E417" s="812">
        <f>+VLOOKUP(A417,Clasificaciones!C:C,1,FALSE)</f>
        <v>5130502</v>
      </c>
      <c r="F417" s="813"/>
    </row>
    <row r="418" spans="1:6" s="812" customFormat="1" ht="15" customHeight="1">
      <c r="A418" s="802">
        <v>513050201</v>
      </c>
      <c r="B418" s="812" t="s">
        <v>821</v>
      </c>
      <c r="C418" s="808">
        <v>3617928</v>
      </c>
      <c r="D418" s="806">
        <v>600</v>
      </c>
      <c r="E418" s="812">
        <f>+VLOOKUP(A418,Clasificaciones!C:C,1,FALSE)</f>
        <v>513050201</v>
      </c>
      <c r="F418" s="813"/>
    </row>
    <row r="419" spans="1:6" s="812" customFormat="1" ht="15" customHeight="1">
      <c r="A419" s="802">
        <v>513050202</v>
      </c>
      <c r="B419" s="812" t="s">
        <v>822</v>
      </c>
      <c r="C419" s="808">
        <v>69061152</v>
      </c>
      <c r="D419" s="806">
        <v>11107.92</v>
      </c>
      <c r="E419" s="812">
        <f>+VLOOKUP(A419,Clasificaciones!C:C,1,FALSE)</f>
        <v>513050202</v>
      </c>
      <c r="F419" s="813"/>
    </row>
    <row r="420" spans="1:6" s="812" customFormat="1" ht="15" customHeight="1">
      <c r="A420" s="802">
        <v>513050203</v>
      </c>
      <c r="B420" s="812" t="s">
        <v>823</v>
      </c>
      <c r="C420" s="808">
        <v>34517394</v>
      </c>
      <c r="D420" s="806">
        <v>5063.28</v>
      </c>
      <c r="E420" s="812">
        <f>+VLOOKUP(A420,Clasificaciones!C:C,1,FALSE)</f>
        <v>513050203</v>
      </c>
      <c r="F420" s="813"/>
    </row>
    <row r="421" spans="1:6" s="812" customFormat="1" ht="15" customHeight="1">
      <c r="A421" s="802">
        <v>513050204</v>
      </c>
      <c r="B421" s="812" t="s">
        <v>824</v>
      </c>
      <c r="C421" s="808">
        <v>799998</v>
      </c>
      <c r="D421" s="806">
        <v>128.82</v>
      </c>
      <c r="E421" s="812">
        <f>+VLOOKUP(A421,Clasificaciones!C:C,1,FALSE)</f>
        <v>513050204</v>
      </c>
      <c r="F421" s="813"/>
    </row>
    <row r="422" spans="1:6" s="812" customFormat="1" ht="15" customHeight="1">
      <c r="A422" s="802">
        <v>51306</v>
      </c>
      <c r="B422" s="812" t="s">
        <v>178</v>
      </c>
      <c r="C422" s="808">
        <v>79715368</v>
      </c>
      <c r="D422" s="806">
        <v>11472.34</v>
      </c>
      <c r="E422" s="812">
        <f>+VLOOKUP(A422,Clasificaciones!C:C,1,FALSE)</f>
        <v>51306</v>
      </c>
      <c r="F422" s="813"/>
    </row>
    <row r="423" spans="1:6" s="812" customFormat="1" ht="15" customHeight="1">
      <c r="A423" s="802">
        <v>5130601</v>
      </c>
      <c r="B423" s="812" t="s">
        <v>1096</v>
      </c>
      <c r="C423" s="808">
        <v>500000</v>
      </c>
      <c r="D423" s="806">
        <v>72.67</v>
      </c>
      <c r="E423" s="812">
        <f>+VLOOKUP(A423,Clasificaciones!C:C,1,FALSE)</f>
        <v>5130601</v>
      </c>
      <c r="F423" s="813"/>
    </row>
    <row r="424" spans="1:6" s="812" customFormat="1" ht="15" customHeight="1">
      <c r="A424" s="802">
        <v>5130603</v>
      </c>
      <c r="B424" s="812" t="s">
        <v>825</v>
      </c>
      <c r="C424" s="808">
        <v>79215368</v>
      </c>
      <c r="D424" s="806">
        <v>11399.67</v>
      </c>
      <c r="E424" s="812">
        <f>+VLOOKUP(A424,Clasificaciones!C:C,1,FALSE)</f>
        <v>5130603</v>
      </c>
      <c r="F424" s="813"/>
    </row>
    <row r="425" spans="1:6" s="812" customFormat="1" ht="15" customHeight="1">
      <c r="A425" s="802">
        <v>51307</v>
      </c>
      <c r="B425" s="812" t="s">
        <v>1098</v>
      </c>
      <c r="C425" s="808">
        <v>118200200</v>
      </c>
      <c r="D425" s="806">
        <v>17094.330000000002</v>
      </c>
      <c r="E425" s="812">
        <f>+VLOOKUP(A425,Clasificaciones!C:C,1,FALSE)</f>
        <v>51307</v>
      </c>
      <c r="F425" s="813"/>
    </row>
    <row r="426" spans="1:6" s="812" customFormat="1" ht="15" customHeight="1">
      <c r="A426" s="802">
        <v>5130701</v>
      </c>
      <c r="B426" s="812" t="s">
        <v>815</v>
      </c>
      <c r="C426" s="808">
        <v>102003747</v>
      </c>
      <c r="D426" s="806">
        <v>14749.58</v>
      </c>
      <c r="E426" s="812">
        <f>+VLOOKUP(A426,Clasificaciones!C:C,1,FALSE)</f>
        <v>5130701</v>
      </c>
      <c r="F426" s="813"/>
    </row>
    <row r="427" spans="1:6" s="812" customFormat="1" ht="15" customHeight="1">
      <c r="A427" s="802">
        <v>5130702</v>
      </c>
      <c r="B427" s="812" t="s">
        <v>1091</v>
      </c>
      <c r="C427" s="808">
        <v>3994732</v>
      </c>
      <c r="D427" s="806">
        <v>580.58000000000004</v>
      </c>
      <c r="E427" s="812">
        <f>+VLOOKUP(A427,Clasificaciones!C:C,1,FALSE)</f>
        <v>5130702</v>
      </c>
      <c r="F427" s="813"/>
    </row>
    <row r="428" spans="1:6" s="812" customFormat="1" ht="15" customHeight="1">
      <c r="A428" s="802">
        <v>5130703</v>
      </c>
      <c r="B428" s="812" t="s">
        <v>1241</v>
      </c>
      <c r="C428" s="808">
        <v>12201721</v>
      </c>
      <c r="D428" s="806">
        <v>1764.17</v>
      </c>
      <c r="E428" s="812">
        <f>+VLOOKUP(A428,Clasificaciones!C:C,1,FALSE)</f>
        <v>5130703</v>
      </c>
      <c r="F428" s="813"/>
    </row>
    <row r="429" spans="1:6" s="812" customFormat="1" ht="15" customHeight="1">
      <c r="A429" s="802">
        <v>51308</v>
      </c>
      <c r="B429" s="812" t="s">
        <v>48</v>
      </c>
      <c r="C429" s="808">
        <v>3668369</v>
      </c>
      <c r="D429" s="806">
        <v>533.04999999999995</v>
      </c>
      <c r="E429" s="812">
        <f>+VLOOKUP(A429,Clasificaciones!C:C,1,FALSE)</f>
        <v>51308</v>
      </c>
      <c r="F429" s="813"/>
    </row>
    <row r="430" spans="1:6" s="812" customFormat="1" ht="15" customHeight="1">
      <c r="A430" s="802">
        <v>5130801</v>
      </c>
      <c r="B430" s="812" t="s">
        <v>826</v>
      </c>
      <c r="C430" s="808">
        <v>3668369</v>
      </c>
      <c r="D430" s="806">
        <v>533.04999999999995</v>
      </c>
      <c r="E430" s="812">
        <f>+VLOOKUP(A430,Clasificaciones!C:C,1,FALSE)</f>
        <v>5130801</v>
      </c>
      <c r="F430" s="813"/>
    </row>
    <row r="431" spans="1:6" s="812" customFormat="1" ht="15" customHeight="1">
      <c r="A431" s="802">
        <v>51309</v>
      </c>
      <c r="B431" s="812" t="s">
        <v>51</v>
      </c>
      <c r="C431" s="808">
        <v>22808838</v>
      </c>
      <c r="D431" s="806">
        <v>3261.02</v>
      </c>
      <c r="E431" s="812">
        <f>+VLOOKUP(A431,Clasificaciones!C:C,1,FALSE)</f>
        <v>51309</v>
      </c>
      <c r="F431" s="813"/>
    </row>
    <row r="432" spans="1:6" s="812" customFormat="1" ht="15" customHeight="1">
      <c r="A432" s="802">
        <v>5130902</v>
      </c>
      <c r="B432" s="812" t="s">
        <v>827</v>
      </c>
      <c r="C432" s="808">
        <v>22808838</v>
      </c>
      <c r="D432" s="806">
        <v>3261.02</v>
      </c>
      <c r="E432" s="812">
        <f>+VLOOKUP(A432,Clasificaciones!C:C,1,FALSE)</f>
        <v>5130902</v>
      </c>
      <c r="F432" s="813"/>
    </row>
    <row r="433" spans="1:6" s="812" customFormat="1" ht="15" customHeight="1">
      <c r="A433" s="802">
        <v>51310</v>
      </c>
      <c r="B433" s="812" t="s">
        <v>247</v>
      </c>
      <c r="C433" s="808">
        <v>124454315</v>
      </c>
      <c r="D433" s="806">
        <v>17476.96</v>
      </c>
      <c r="E433" s="812">
        <f>+VLOOKUP(A433,Clasificaciones!C:C,1,FALSE)</f>
        <v>51310</v>
      </c>
      <c r="F433" s="813"/>
    </row>
    <row r="434" spans="1:6" s="812" customFormat="1" ht="15" customHeight="1">
      <c r="A434" s="802">
        <v>5131001</v>
      </c>
      <c r="B434" s="812" t="s">
        <v>1101</v>
      </c>
      <c r="C434" s="808">
        <v>7848438</v>
      </c>
      <c r="D434" s="806">
        <v>1134.1099999999999</v>
      </c>
      <c r="E434" s="812">
        <f>+VLOOKUP(A434,Clasificaciones!C:C,1,FALSE)</f>
        <v>5131001</v>
      </c>
      <c r="F434" s="813"/>
    </row>
    <row r="435" spans="1:6" s="812" customFormat="1" ht="15" customHeight="1">
      <c r="A435" s="802">
        <v>5131002</v>
      </c>
      <c r="B435" s="812" t="s">
        <v>829</v>
      </c>
      <c r="C435" s="808">
        <v>25905866</v>
      </c>
      <c r="D435" s="806">
        <v>3745.24</v>
      </c>
      <c r="E435" s="812">
        <f>+VLOOKUP(A435,Clasificaciones!C:C,1,FALSE)</f>
        <v>5131002</v>
      </c>
      <c r="F435" s="813"/>
    </row>
    <row r="436" spans="1:6" s="812" customFormat="1" ht="15" customHeight="1">
      <c r="A436" s="802">
        <v>5131005</v>
      </c>
      <c r="B436" s="812" t="s">
        <v>1104</v>
      </c>
      <c r="C436" s="808">
        <v>299092</v>
      </c>
      <c r="D436" s="806">
        <v>43.53</v>
      </c>
      <c r="E436" s="812">
        <f>+VLOOKUP(A436,Clasificaciones!C:C,1,FALSE)</f>
        <v>5131005</v>
      </c>
      <c r="F436" s="813"/>
    </row>
    <row r="437" spans="1:6" s="812" customFormat="1" ht="15" customHeight="1">
      <c r="A437" s="802">
        <v>5131006</v>
      </c>
      <c r="B437" s="812" t="s">
        <v>830</v>
      </c>
      <c r="C437" s="808">
        <v>10330123</v>
      </c>
      <c r="D437" s="806">
        <v>1490.64</v>
      </c>
      <c r="E437" s="812">
        <f>+VLOOKUP(A437,Clasificaciones!C:C,1,FALSE)</f>
        <v>5131006</v>
      </c>
      <c r="F437" s="813"/>
    </row>
    <row r="438" spans="1:6" s="812" customFormat="1" ht="15" customHeight="1">
      <c r="A438" s="802">
        <v>5131007</v>
      </c>
      <c r="B438" s="812" t="s">
        <v>1506</v>
      </c>
      <c r="C438" s="808">
        <v>4478763</v>
      </c>
      <c r="D438" s="806">
        <v>652.65</v>
      </c>
      <c r="E438" s="812">
        <f>+VLOOKUP(A438,Clasificaciones!C:C,1,FALSE)</f>
        <v>5131007</v>
      </c>
      <c r="F438" s="813"/>
    </row>
    <row r="439" spans="1:6" s="812" customFormat="1" ht="15" customHeight="1">
      <c r="A439" s="802">
        <v>5131008</v>
      </c>
      <c r="B439" s="812" t="s">
        <v>1105</v>
      </c>
      <c r="C439" s="808">
        <v>2769000</v>
      </c>
      <c r="D439" s="806">
        <v>401.49</v>
      </c>
      <c r="E439" s="812">
        <f>+VLOOKUP(A439,Clasificaciones!C:C,1,FALSE)</f>
        <v>5131008</v>
      </c>
      <c r="F439" s="813"/>
    </row>
    <row r="440" spans="1:6" s="812" customFormat="1" ht="15" customHeight="1">
      <c r="A440" s="802">
        <v>5131010</v>
      </c>
      <c r="B440" s="812" t="s">
        <v>179</v>
      </c>
      <c r="C440" s="808">
        <v>34589688</v>
      </c>
      <c r="D440" s="806">
        <v>4971.03</v>
      </c>
      <c r="E440" s="812">
        <f>+VLOOKUP(A440,Clasificaciones!C:C,1,FALSE)</f>
        <v>5131010</v>
      </c>
      <c r="F440" s="813"/>
    </row>
    <row r="441" spans="1:6" s="812" customFormat="1" ht="15" customHeight="1">
      <c r="A441" s="802">
        <v>5131012</v>
      </c>
      <c r="B441" s="812" t="s">
        <v>831</v>
      </c>
      <c r="C441" s="808">
        <v>3061819</v>
      </c>
      <c r="D441" s="806">
        <v>444.05</v>
      </c>
      <c r="E441" s="812">
        <f>+VLOOKUP(A441,Clasificaciones!C:C,1,FALSE)</f>
        <v>5131012</v>
      </c>
      <c r="F441" s="813"/>
    </row>
    <row r="442" spans="1:6" s="812" customFormat="1" ht="15" customHeight="1">
      <c r="A442" s="802">
        <v>5131014</v>
      </c>
      <c r="B442" s="812" t="s">
        <v>832</v>
      </c>
      <c r="C442" s="808">
        <v>8900741</v>
      </c>
      <c r="D442" s="806">
        <v>1284.03</v>
      </c>
      <c r="E442" s="812">
        <f>+VLOOKUP(A442,Clasificaciones!C:C,1,FALSE)</f>
        <v>5131014</v>
      </c>
      <c r="F442" s="813"/>
    </row>
    <row r="443" spans="1:6" s="812" customFormat="1" ht="15" customHeight="1">
      <c r="A443" s="802">
        <v>5131015</v>
      </c>
      <c r="B443" s="812" t="s">
        <v>236</v>
      </c>
      <c r="C443" s="808">
        <v>17719364</v>
      </c>
      <c r="D443" s="806">
        <v>2564.34</v>
      </c>
      <c r="E443" s="812">
        <f>+VLOOKUP(A443,Clasificaciones!C:C,1,FALSE)</f>
        <v>5131015</v>
      </c>
      <c r="F443" s="813"/>
    </row>
    <row r="444" spans="1:6" s="812" customFormat="1" ht="15" customHeight="1">
      <c r="A444" s="802">
        <v>5131016</v>
      </c>
      <c r="B444" s="812" t="s">
        <v>238</v>
      </c>
      <c r="C444" s="808">
        <v>600000</v>
      </c>
      <c r="D444" s="806">
        <v>87.28</v>
      </c>
      <c r="E444" s="812">
        <f>+VLOOKUP(A444,Clasificaciones!C:C,1,FALSE)</f>
        <v>5131016</v>
      </c>
      <c r="F444" s="813"/>
    </row>
    <row r="445" spans="1:6" s="812" customFormat="1" ht="15" customHeight="1">
      <c r="A445" s="802">
        <v>5131018</v>
      </c>
      <c r="B445" s="812" t="s">
        <v>833</v>
      </c>
      <c r="C445" s="808">
        <v>2500000</v>
      </c>
      <c r="D445" s="806">
        <v>114.38</v>
      </c>
      <c r="E445" s="812">
        <f>+VLOOKUP(A445,Clasificaciones!C:C,1,FALSE)</f>
        <v>5131018</v>
      </c>
      <c r="F445" s="813"/>
    </row>
    <row r="446" spans="1:6" s="812" customFormat="1" ht="15" customHeight="1">
      <c r="A446" s="802">
        <v>5131021</v>
      </c>
      <c r="B446" s="812" t="s">
        <v>1266</v>
      </c>
      <c r="C446" s="808">
        <v>833340</v>
      </c>
      <c r="D446" s="806">
        <v>-121.72</v>
      </c>
      <c r="E446" s="812">
        <f>+VLOOKUP(A446,Clasificaciones!C:C,1,FALSE)</f>
        <v>5131021</v>
      </c>
      <c r="F446" s="813"/>
    </row>
    <row r="447" spans="1:6" s="812" customFormat="1" ht="15" customHeight="1">
      <c r="A447" s="802">
        <v>5131099</v>
      </c>
      <c r="B447" s="812" t="s">
        <v>1109</v>
      </c>
      <c r="C447" s="808">
        <v>4618081</v>
      </c>
      <c r="D447" s="806">
        <v>665.91</v>
      </c>
      <c r="E447" s="812">
        <f>+VLOOKUP(A447,Clasificaciones!C:C,1,FALSE)</f>
        <v>5131099</v>
      </c>
      <c r="F447" s="813"/>
    </row>
    <row r="448" spans="1:6" s="812" customFormat="1" ht="15" customHeight="1">
      <c r="A448" s="802">
        <v>514</v>
      </c>
      <c r="B448" s="812" t="s">
        <v>834</v>
      </c>
      <c r="C448" s="808">
        <v>9279148820</v>
      </c>
      <c r="D448" s="806">
        <v>1766870.89</v>
      </c>
      <c r="E448" s="812">
        <f>+VLOOKUP(A448,Clasificaciones!C:C,1,FALSE)</f>
        <v>514</v>
      </c>
      <c r="F448" s="813"/>
    </row>
    <row r="449" spans="1:6" s="812" customFormat="1" ht="15" customHeight="1">
      <c r="A449" s="802">
        <v>51403</v>
      </c>
      <c r="B449" s="812" t="s">
        <v>181</v>
      </c>
      <c r="C449" s="808">
        <v>3722682</v>
      </c>
      <c r="D449" s="806">
        <v>537.32000000000005</v>
      </c>
      <c r="E449" s="812">
        <f>+VLOOKUP(A449,Clasificaciones!C:C,1,FALSE)</f>
        <v>51403</v>
      </c>
      <c r="F449" s="813"/>
    </row>
    <row r="450" spans="1:6" s="812" customFormat="1" ht="15" customHeight="1">
      <c r="A450" s="802">
        <v>51404</v>
      </c>
      <c r="B450" s="812" t="s">
        <v>835</v>
      </c>
      <c r="C450" s="808">
        <v>250540859</v>
      </c>
      <c r="D450" s="806">
        <v>36060.129999999997</v>
      </c>
      <c r="E450" s="812">
        <f>+VLOOKUP(A450,Clasificaciones!C:C,1,FALSE)</f>
        <v>51404</v>
      </c>
      <c r="F450" s="813"/>
    </row>
    <row r="451" spans="1:6" s="812" customFormat="1" ht="15" customHeight="1">
      <c r="A451" s="802">
        <v>51405</v>
      </c>
      <c r="B451" s="812" t="s">
        <v>78</v>
      </c>
      <c r="C451" s="808">
        <v>5456147</v>
      </c>
      <c r="D451" s="806">
        <v>790.63</v>
      </c>
      <c r="E451" s="812">
        <f>+VLOOKUP(A451,Clasificaciones!C:C,1,FALSE)</f>
        <v>51405</v>
      </c>
      <c r="F451" s="813"/>
    </row>
    <row r="452" spans="1:6" s="812" customFormat="1" ht="15" customHeight="1">
      <c r="A452" s="802">
        <v>51406</v>
      </c>
      <c r="B452" s="812" t="s">
        <v>836</v>
      </c>
      <c r="C452" s="808">
        <v>25318166</v>
      </c>
      <c r="D452" s="806">
        <v>3593.3</v>
      </c>
      <c r="E452" s="812">
        <f>+VLOOKUP(A452,Clasificaciones!C:C,1,FALSE)</f>
        <v>51406</v>
      </c>
      <c r="F452" s="813"/>
    </row>
    <row r="453" spans="1:6" s="812" customFormat="1" ht="15" customHeight="1">
      <c r="A453" s="802">
        <v>51407</v>
      </c>
      <c r="B453" s="812" t="s">
        <v>837</v>
      </c>
      <c r="C453" s="808">
        <v>8994110966</v>
      </c>
      <c r="D453" s="806">
        <v>1725889.51</v>
      </c>
      <c r="E453" s="812">
        <f>+VLOOKUP(A453,Clasificaciones!C:C,1,FALSE)</f>
        <v>51407</v>
      </c>
      <c r="F453" s="813"/>
    </row>
    <row r="454" spans="1:6" s="812" customFormat="1" ht="15" customHeight="1">
      <c r="A454" s="802">
        <v>5140701</v>
      </c>
      <c r="B454" s="812" t="s">
        <v>793</v>
      </c>
      <c r="C454" s="808">
        <v>8101263559</v>
      </c>
      <c r="D454" s="806">
        <v>1097925.23</v>
      </c>
      <c r="E454" s="812">
        <f>+VLOOKUP(A454,Clasificaciones!C:C,1,FALSE)</f>
        <v>5140701</v>
      </c>
      <c r="F454" s="813"/>
    </row>
    <row r="455" spans="1:6" s="812" customFormat="1" ht="15" customHeight="1">
      <c r="A455" s="802">
        <v>5140702</v>
      </c>
      <c r="B455" s="812" t="s">
        <v>794</v>
      </c>
      <c r="C455" s="808">
        <v>892847407</v>
      </c>
      <c r="D455" s="806">
        <v>627964.28</v>
      </c>
      <c r="E455" s="812">
        <f>+VLOOKUP(A455,Clasificaciones!C:C,1,FALSE)</f>
        <v>5140702</v>
      </c>
      <c r="F455" s="813"/>
    </row>
    <row r="456" spans="1:6" s="812" customFormat="1" ht="15" customHeight="1">
      <c r="A456" s="802">
        <v>515</v>
      </c>
      <c r="B456" s="812" t="s">
        <v>240</v>
      </c>
      <c r="C456" s="808">
        <v>353590112</v>
      </c>
      <c r="D456" s="806">
        <v>50760.08</v>
      </c>
      <c r="E456" s="812">
        <f>+VLOOKUP(A456,Clasificaciones!C:C,1,FALSE)</f>
        <v>515</v>
      </c>
      <c r="F456" s="813"/>
    </row>
    <row r="457" spans="1:6" s="812" customFormat="1" ht="15" customHeight="1">
      <c r="A457" s="802">
        <v>51501</v>
      </c>
      <c r="B457" s="812" t="s">
        <v>77</v>
      </c>
      <c r="C457" s="808">
        <v>135316207</v>
      </c>
      <c r="D457" s="806">
        <v>19316.900000000001</v>
      </c>
      <c r="E457" s="812">
        <f>+VLOOKUP(A457,Clasificaciones!C:C,1,FALSE)</f>
        <v>51501</v>
      </c>
      <c r="F457" s="813"/>
    </row>
    <row r="458" spans="1:6" s="812" customFormat="1" ht="15" customHeight="1">
      <c r="A458" s="802">
        <v>51502</v>
      </c>
      <c r="B458" s="812" t="s">
        <v>838</v>
      </c>
      <c r="C458" s="808">
        <v>21467041</v>
      </c>
      <c r="D458" s="806">
        <v>3036.67</v>
      </c>
      <c r="E458" s="812">
        <f>+VLOOKUP(A458,Clasificaciones!C:C,1,FALSE)</f>
        <v>51502</v>
      </c>
      <c r="F458" s="813"/>
    </row>
    <row r="459" spans="1:6" s="812" customFormat="1" ht="15" customHeight="1">
      <c r="A459" s="802">
        <v>51503</v>
      </c>
      <c r="B459" s="812" t="s">
        <v>839</v>
      </c>
      <c r="C459" s="808">
        <v>14945637</v>
      </c>
      <c r="D459" s="806">
        <v>2166.36</v>
      </c>
      <c r="E459" s="812">
        <f>+VLOOKUP(A459,Clasificaciones!C:C,1,FALSE)</f>
        <v>51503</v>
      </c>
      <c r="F459" s="813"/>
    </row>
    <row r="460" spans="1:6" s="812" customFormat="1" ht="15" customHeight="1">
      <c r="A460" s="802">
        <v>5150301</v>
      </c>
      <c r="B460" s="812" t="s">
        <v>840</v>
      </c>
      <c r="C460" s="808">
        <v>14367279</v>
      </c>
      <c r="D460" s="806">
        <v>2081.87</v>
      </c>
      <c r="E460" s="812">
        <f>+VLOOKUP(A460,Clasificaciones!C:C,1,FALSE)</f>
        <v>5150301</v>
      </c>
      <c r="F460" s="813"/>
    </row>
    <row r="461" spans="1:6" s="812" customFormat="1" ht="15" customHeight="1">
      <c r="A461" s="802">
        <v>5150302</v>
      </c>
      <c r="B461" s="812" t="s">
        <v>1112</v>
      </c>
      <c r="C461" s="808">
        <v>578358</v>
      </c>
      <c r="D461" s="806">
        <v>84.49</v>
      </c>
      <c r="E461" s="812">
        <f>+VLOOKUP(A461,Clasificaciones!C:C,1,FALSE)</f>
        <v>5150302</v>
      </c>
      <c r="F461" s="813"/>
    </row>
    <row r="462" spans="1:6" s="812" customFormat="1" ht="15" customHeight="1">
      <c r="A462" s="802">
        <v>51504</v>
      </c>
      <c r="B462" s="812" t="s">
        <v>841</v>
      </c>
      <c r="C462" s="808">
        <v>181590510</v>
      </c>
      <c r="D462" s="806">
        <v>26200.78</v>
      </c>
      <c r="E462" s="812">
        <f>+VLOOKUP(A462,Clasificaciones!C:C,1,FALSE)</f>
        <v>51504</v>
      </c>
      <c r="F462" s="813"/>
    </row>
    <row r="463" spans="1:6" s="812" customFormat="1" ht="15" customHeight="1">
      <c r="A463" s="802">
        <v>51505</v>
      </c>
      <c r="B463" s="812" t="s">
        <v>1113</v>
      </c>
      <c r="C463" s="808">
        <v>270717</v>
      </c>
      <c r="D463" s="806">
        <v>39.369999999999997</v>
      </c>
      <c r="E463" s="812">
        <f>+VLOOKUP(A463,Clasificaciones!C:C,1,FALSE)</f>
        <v>51505</v>
      </c>
      <c r="F463" s="813"/>
    </row>
    <row r="464" spans="1:6" s="812" customFormat="1" ht="15" customHeight="1">
      <c r="A464" s="802">
        <v>52</v>
      </c>
      <c r="B464" s="812" t="s">
        <v>239</v>
      </c>
      <c r="C464" s="808">
        <v>10145</v>
      </c>
      <c r="D464" s="806">
        <v>11.56</v>
      </c>
      <c r="E464" s="812">
        <f>+VLOOKUP(A464,Clasificaciones!C:C,1,FALSE)</f>
        <v>52</v>
      </c>
      <c r="F464" s="813"/>
    </row>
    <row r="465" spans="1:6" s="812" customFormat="1" ht="15" customHeight="1">
      <c r="A465" s="802">
        <v>5204</v>
      </c>
      <c r="B465" s="812" t="s">
        <v>842</v>
      </c>
      <c r="C465" s="808">
        <v>10145</v>
      </c>
      <c r="D465" s="806">
        <v>11.56</v>
      </c>
      <c r="E465" s="812">
        <f>+VLOOKUP(A465,Clasificaciones!C:C,1,FALSE)</f>
        <v>5204</v>
      </c>
      <c r="F465" s="813"/>
    </row>
    <row r="466" spans="1:6" s="812" customFormat="1" ht="15" customHeight="1">
      <c r="A466" s="802"/>
      <c r="C466" s="808"/>
      <c r="D466" s="806"/>
      <c r="F466" s="813"/>
    </row>
    <row r="467" spans="1:6" s="812" customFormat="1" ht="15" customHeight="1">
      <c r="A467" s="802"/>
      <c r="B467" s="804" t="s">
        <v>1565</v>
      </c>
      <c r="C467" s="807">
        <v>619971576</v>
      </c>
      <c r="D467" s="879">
        <v>119982.04</v>
      </c>
      <c r="F467" s="813"/>
    </row>
    <row r="468" spans="1:6" ht="15" customHeight="1">
      <c r="A468" s="146"/>
      <c r="C468" s="52"/>
      <c r="D468" s="131"/>
    </row>
    <row r="469" spans="1:6" ht="15" customHeight="1">
      <c r="A469" s="146"/>
      <c r="C469" s="52"/>
      <c r="D469" s="131"/>
    </row>
    <row r="470" spans="1:6" ht="15" customHeight="1">
      <c r="A470" s="146"/>
      <c r="C470" s="52"/>
      <c r="D470" s="131"/>
    </row>
    <row r="471" spans="1:6" ht="15" customHeight="1">
      <c r="A471" s="146"/>
      <c r="C471" s="52"/>
      <c r="D471" s="131"/>
    </row>
    <row r="472" spans="1:6" ht="15" customHeight="1">
      <c r="A472" s="146"/>
      <c r="C472" s="52"/>
      <c r="D472" s="131"/>
    </row>
    <row r="473" spans="1:6" ht="15" customHeight="1">
      <c r="A473" s="146"/>
      <c r="C473" s="52"/>
      <c r="D473" s="131"/>
    </row>
    <row r="474" spans="1:6" ht="15" customHeight="1">
      <c r="A474" s="146"/>
      <c r="C474" s="52"/>
      <c r="D474" s="131"/>
    </row>
    <row r="475" spans="1:6" s="769" customFormat="1" ht="15" customHeight="1">
      <c r="A475" s="773"/>
      <c r="F475" s="770"/>
    </row>
    <row r="476" spans="1:6" s="145" customFormat="1" ht="15" customHeight="1">
      <c r="C476" s="771"/>
      <c r="D476" s="772"/>
      <c r="F476" s="620"/>
    </row>
  </sheetData>
  <printOptions gridLinesSet="0"/>
  <pageMargins left="0.75" right="0.75" top="1" bottom="1" header="0.5" footer="0.5"/>
  <pageSetup paperSize="9"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106B-DD39-42BA-8E52-E8F5A1B272BF}">
  <sheetPr filterMode="1">
    <tabColor rgb="FFFFC000"/>
  </sheetPr>
  <dimension ref="A1:R914"/>
  <sheetViews>
    <sheetView showGridLines="0" zoomScale="85" zoomScaleNormal="85" workbookViewId="0">
      <pane ySplit="4" topLeftCell="A650" activePane="bottomLeft" state="frozen"/>
      <selection activeCell="Q525" sqref="Q525:S525"/>
      <selection pane="bottomLeft" activeCell="Q525" sqref="Q525:S525"/>
    </sheetView>
  </sheetViews>
  <sheetFormatPr baseColWidth="10" defaultColWidth="41.6640625" defaultRowHeight="11.4"/>
  <cols>
    <col min="1" max="1" width="12.109375" style="32" customWidth="1"/>
    <col min="2" max="2" width="51.88671875" style="32" bestFit="1" customWidth="1"/>
    <col min="3" max="3" width="14.5546875" style="34" customWidth="1"/>
    <col min="4" max="4" width="41.6640625" style="34"/>
    <col min="5" max="5" width="8.5546875" style="35" customWidth="1"/>
    <col min="6" max="6" width="7.109375" style="35" customWidth="1"/>
    <col min="7" max="7" width="18.33203125" style="45" customWidth="1"/>
    <col min="8" max="8" width="4.109375" style="32" customWidth="1"/>
    <col min="9" max="9" width="17" style="36" customWidth="1"/>
    <col min="10" max="10" width="5.33203125" style="32" customWidth="1"/>
    <col min="11" max="11" width="18.33203125" style="45" customWidth="1"/>
    <col min="12" max="12" width="4.109375" style="32" customWidth="1"/>
    <col min="13" max="13" width="17" style="36" customWidth="1"/>
    <col min="14" max="14" width="5.33203125" style="32" customWidth="1"/>
    <col min="15" max="15" width="18.33203125" style="45" customWidth="1"/>
    <col min="16" max="16" width="4.109375" style="32" customWidth="1"/>
    <col min="17" max="17" width="17" style="36" customWidth="1"/>
    <col min="18" max="16384" width="41.6640625" style="32"/>
  </cols>
  <sheetData>
    <row r="1" spans="1:18">
      <c r="B1" s="33" t="s">
        <v>273</v>
      </c>
    </row>
    <row r="2" spans="1:18">
      <c r="B2" s="37" t="s">
        <v>274</v>
      </c>
    </row>
    <row r="3" spans="1:18" ht="12">
      <c r="G3" s="1067" t="s">
        <v>1566</v>
      </c>
      <c r="H3" s="1067"/>
      <c r="I3" s="1067"/>
      <c r="J3" s="36"/>
      <c r="K3" s="1067" t="s">
        <v>1268</v>
      </c>
      <c r="L3" s="1067"/>
      <c r="M3" s="1067"/>
      <c r="N3" s="36"/>
      <c r="O3" s="1067" t="s">
        <v>1540</v>
      </c>
      <c r="P3" s="1067"/>
      <c r="Q3" s="1067"/>
    </row>
    <row r="4" spans="1:18" s="35" customFormat="1" ht="11.4" customHeight="1">
      <c r="A4" s="38" t="s">
        <v>30</v>
      </c>
      <c r="B4" s="38" t="s">
        <v>31</v>
      </c>
      <c r="C4" s="38" t="s">
        <v>188</v>
      </c>
      <c r="D4" s="38" t="s">
        <v>1</v>
      </c>
      <c r="E4" s="38" t="s">
        <v>2</v>
      </c>
      <c r="F4" s="38" t="s">
        <v>272</v>
      </c>
      <c r="G4" s="46" t="s">
        <v>844</v>
      </c>
      <c r="H4" s="38"/>
      <c r="I4" s="39" t="s">
        <v>845</v>
      </c>
      <c r="J4" s="38"/>
      <c r="K4" s="46" t="s">
        <v>844</v>
      </c>
      <c r="L4" s="38"/>
      <c r="M4" s="39" t="s">
        <v>845</v>
      </c>
      <c r="N4" s="38"/>
      <c r="O4" s="46" t="s">
        <v>844</v>
      </c>
      <c r="P4" s="38"/>
      <c r="Q4" s="39" t="s">
        <v>845</v>
      </c>
    </row>
    <row r="5" spans="1:18" s="150" customFormat="1" hidden="1">
      <c r="A5" s="147" t="s">
        <v>3</v>
      </c>
      <c r="B5" s="147"/>
      <c r="C5" s="148">
        <v>1</v>
      </c>
      <c r="D5" s="148" t="s">
        <v>3</v>
      </c>
      <c r="E5" s="149" t="s">
        <v>6</v>
      </c>
      <c r="F5" s="149" t="s">
        <v>270</v>
      </c>
      <c r="G5" s="47">
        <f>IF(F5="I",IFERROR(VLOOKUP(C5,'BG 062022'!A:C,3,FALSE),0),0)</f>
        <v>0</v>
      </c>
      <c r="H5" s="147"/>
      <c r="I5" s="63">
        <f>IF(F5="I",IFERROR(VLOOKUP(C5,'BG 062022'!A:D,4,FALSE),0),0)</f>
        <v>0</v>
      </c>
      <c r="J5" s="40"/>
      <c r="K5" s="47">
        <f>IF(F5="I",SUMIF('BG 2021'!B:B,Clasificaciones!C5,'BG 2021'!D:D),0)</f>
        <v>0</v>
      </c>
      <c r="L5" s="40"/>
      <c r="M5" s="63">
        <f>IF(F5="I",SUMIF('BG 2021'!B:B,Clasificaciones!C5,'BG 2021'!E:E),0)</f>
        <v>0</v>
      </c>
      <c r="N5" s="40"/>
      <c r="O5" s="47">
        <f>IF(F5="I",SUMIF('BG 062021'!A:A,Clasificaciones!C5,'BG 062021'!C:C),0)</f>
        <v>0</v>
      </c>
      <c r="P5" s="40"/>
      <c r="Q5" s="63">
        <f>IF(F5="I",SUMIF('BG 062021'!A:A,Clasificaciones!C5,'BG 062021'!D:D),0)</f>
        <v>0</v>
      </c>
    </row>
    <row r="6" spans="1:18" s="150" customFormat="1" hidden="1">
      <c r="A6" s="147" t="s">
        <v>3</v>
      </c>
      <c r="B6" s="147"/>
      <c r="C6" s="148">
        <v>11</v>
      </c>
      <c r="D6" s="148" t="s">
        <v>4</v>
      </c>
      <c r="E6" s="149" t="s">
        <v>6</v>
      </c>
      <c r="F6" s="149" t="s">
        <v>270</v>
      </c>
      <c r="G6" s="47">
        <f>IF(F6="I",IFERROR(VLOOKUP(C6,'BG 062022'!A:C,3,FALSE),0),0)</f>
        <v>0</v>
      </c>
      <c r="H6" s="147"/>
      <c r="I6" s="63">
        <f>IF(F6="I",IFERROR(VLOOKUP(C6,'BG 062022'!A:D,4,FALSE),0),0)</f>
        <v>0</v>
      </c>
      <c r="J6" s="40"/>
      <c r="K6" s="47">
        <f>IF(F6="I",SUMIF('BG 2021'!B:B,Clasificaciones!C6,'BG 2021'!D:D),0)</f>
        <v>0</v>
      </c>
      <c r="L6" s="40"/>
      <c r="M6" s="63">
        <f>IF(F6="I",SUMIF('BG 2021'!B:B,Clasificaciones!C6,'BG 2021'!E:E),0)</f>
        <v>0</v>
      </c>
      <c r="N6" s="40"/>
      <c r="O6" s="47">
        <f>IF(F6="I",SUMIF('BG 062021'!A:A,Clasificaciones!C6,'BG 062021'!C:C),0)</f>
        <v>0</v>
      </c>
      <c r="P6" s="40"/>
      <c r="Q6" s="63">
        <f>IF(F6="I",SUMIF('BG 062021'!A:A,Clasificaciones!C6,'BG 062021'!D:D),0)</f>
        <v>0</v>
      </c>
    </row>
    <row r="7" spans="1:18" s="150" customFormat="1" hidden="1">
      <c r="A7" s="147" t="s">
        <v>3</v>
      </c>
      <c r="B7" s="147"/>
      <c r="C7" s="148">
        <v>111</v>
      </c>
      <c r="D7" s="148" t="s">
        <v>5</v>
      </c>
      <c r="E7" s="149" t="s">
        <v>6</v>
      </c>
      <c r="F7" s="149" t="s">
        <v>270</v>
      </c>
      <c r="G7" s="47">
        <f>IF(F7="I",IFERROR(VLOOKUP(C7,'BG 062022'!A:C,3,FALSE),0),0)</f>
        <v>0</v>
      </c>
      <c r="H7" s="147"/>
      <c r="I7" s="63">
        <f>IF(F7="I",IFERROR(VLOOKUP(C7,'BG 062022'!A:D,4,FALSE),0),0)</f>
        <v>0</v>
      </c>
      <c r="J7" s="40"/>
      <c r="K7" s="47">
        <f>IF(F7="I",SUMIF('BG 2021'!B:B,Clasificaciones!C7,'BG 2021'!D:D),0)</f>
        <v>0</v>
      </c>
      <c r="L7" s="40"/>
      <c r="M7" s="63">
        <f>IF(F7="I",SUMIF('BG 2021'!B:B,Clasificaciones!C7,'BG 2021'!E:E),0)</f>
        <v>0</v>
      </c>
      <c r="N7" s="40"/>
      <c r="O7" s="47">
        <f>IF(F7="I",SUMIF('BG 062021'!A:A,Clasificaciones!C7,'BG 062021'!C:C),0)</f>
        <v>0</v>
      </c>
      <c r="P7" s="40"/>
      <c r="Q7" s="63">
        <f>IF(F7="I",SUMIF('BG 062021'!A:A,Clasificaciones!C7,'BG 062021'!D:D),0)</f>
        <v>0</v>
      </c>
    </row>
    <row r="8" spans="1:18" s="150" customFormat="1" hidden="1">
      <c r="A8" s="147" t="s">
        <v>3</v>
      </c>
      <c r="B8" s="147" t="s">
        <v>15</v>
      </c>
      <c r="C8" s="148">
        <v>11101</v>
      </c>
      <c r="D8" s="148" t="s">
        <v>857</v>
      </c>
      <c r="E8" s="149" t="s">
        <v>6</v>
      </c>
      <c r="F8" s="149" t="s">
        <v>270</v>
      </c>
      <c r="G8" s="47">
        <f>IF(F8="I",IFERROR(VLOOKUP(C8,'BG 062022'!A:C,3,FALSE),0),0)</f>
        <v>0</v>
      </c>
      <c r="H8" s="147"/>
      <c r="I8" s="63">
        <f>IF(F8="I",IFERROR(VLOOKUP(C8,'BG 062022'!A:D,4,FALSE),0),0)</f>
        <v>0</v>
      </c>
      <c r="J8" s="40"/>
      <c r="K8" s="47">
        <f>IF(F8="I",SUMIF('BG 2021'!B:B,Clasificaciones!C8,'BG 2021'!D:D),0)</f>
        <v>0</v>
      </c>
      <c r="L8" s="40"/>
      <c r="M8" s="63">
        <f>IF(F8="I",SUMIF('BG 2021'!B:B,Clasificaciones!C8,'BG 2021'!E:E),0)</f>
        <v>0</v>
      </c>
      <c r="N8" s="40"/>
      <c r="O8" s="47">
        <f>IF(F8="I",SUMIF('BG 062021'!A:A,Clasificaciones!C8,'BG 062021'!C:C),0)</f>
        <v>0</v>
      </c>
      <c r="P8" s="40"/>
      <c r="Q8" s="63">
        <f>IF(F8="I",SUMIF('BG 062021'!A:A,Clasificaciones!C8,'BG 062021'!D:D),0)</f>
        <v>0</v>
      </c>
    </row>
    <row r="9" spans="1:18" s="150" customFormat="1" hidden="1">
      <c r="A9" s="147" t="s">
        <v>3</v>
      </c>
      <c r="B9" s="147" t="s">
        <v>15</v>
      </c>
      <c r="C9" s="148">
        <v>1110101</v>
      </c>
      <c r="D9" s="148" t="s">
        <v>857</v>
      </c>
      <c r="E9" s="149" t="s">
        <v>6</v>
      </c>
      <c r="F9" s="149" t="s">
        <v>271</v>
      </c>
      <c r="G9" s="47">
        <f>IF(F9="I",IFERROR(VLOOKUP(C9,'BG 062022'!A:C,3,FALSE),0),0)</f>
        <v>0</v>
      </c>
      <c r="H9" s="147"/>
      <c r="I9" s="63">
        <f>IF(F9="I",IFERROR(VLOOKUP(C9,'BG 062022'!A:D,4,FALSE),0),0)</f>
        <v>0</v>
      </c>
      <c r="J9" s="40"/>
      <c r="K9" s="47">
        <f>IF(F9="I",SUMIF('BG 2021'!B:B,Clasificaciones!C9,'BG 2021'!D:D),0)</f>
        <v>0</v>
      </c>
      <c r="L9" s="40"/>
      <c r="M9" s="63">
        <f>IF(F9="I",SUMIF('BG 2021'!B:B,Clasificaciones!C9,'BG 2021'!E:E),0)</f>
        <v>0</v>
      </c>
      <c r="N9" s="40"/>
      <c r="O9" s="47">
        <f>IF(F9="I",SUMIF('BG 062021'!A:A,Clasificaciones!C9,'BG 062021'!C:C),0)</f>
        <v>0</v>
      </c>
      <c r="P9" s="40"/>
      <c r="Q9" s="63">
        <f>IF(F9="I",SUMIF('BG 062021'!A:A,Clasificaciones!C9,'BG 062021'!D:D),0)</f>
        <v>0</v>
      </c>
    </row>
    <row r="10" spans="1:18" s="150" customFormat="1" hidden="1">
      <c r="A10" s="147" t="s">
        <v>3</v>
      </c>
      <c r="B10" s="147" t="s">
        <v>843</v>
      </c>
      <c r="C10" s="148">
        <v>1110102</v>
      </c>
      <c r="D10" s="148" t="s">
        <v>843</v>
      </c>
      <c r="E10" s="149" t="s">
        <v>6</v>
      </c>
      <c r="F10" s="149" t="s">
        <v>271</v>
      </c>
      <c r="G10" s="47">
        <f>IF(F10="I",IFERROR(VLOOKUP(C10,'BG 062022'!A:C,3,FALSE),0),0)</f>
        <v>0</v>
      </c>
      <c r="H10" s="147"/>
      <c r="I10" s="63">
        <f>IF(F10="I",IFERROR(VLOOKUP(C10,'BG 062022'!A:D,4,FALSE),0),0)</f>
        <v>0</v>
      </c>
      <c r="J10" s="40"/>
      <c r="K10" s="47">
        <f>IF(F10="I",SUMIF('BG 2021'!B:B,Clasificaciones!C10,'BG 2021'!D:D),0)</f>
        <v>0</v>
      </c>
      <c r="L10" s="40"/>
      <c r="M10" s="63">
        <f>IF(F10="I",SUMIF('BG 2021'!B:B,Clasificaciones!C10,'BG 2021'!E:E),0)</f>
        <v>0</v>
      </c>
      <c r="N10" s="40"/>
      <c r="O10" s="47">
        <f>IF(F10="I",SUMIF('BG 062021'!A:A,Clasificaciones!C10,'BG 062021'!C:C),0)</f>
        <v>0</v>
      </c>
      <c r="P10" s="40"/>
      <c r="Q10" s="63">
        <f>IF(F10="I",SUMIF('BG 062021'!A:A,Clasificaciones!C10,'BG 062021'!D:D),0)</f>
        <v>0</v>
      </c>
    </row>
    <row r="11" spans="1:18" s="150" customFormat="1" hidden="1">
      <c r="A11" s="147" t="s">
        <v>3</v>
      </c>
      <c r="B11" s="147"/>
      <c r="C11" s="148">
        <v>11102</v>
      </c>
      <c r="D11" s="148" t="s">
        <v>79</v>
      </c>
      <c r="E11" s="149" t="s">
        <v>6</v>
      </c>
      <c r="F11" s="149" t="s">
        <v>270</v>
      </c>
      <c r="G11" s="47">
        <f>IF(F11="I",IFERROR(VLOOKUP(C11,'BG 062022'!A:C,3,FALSE),0),0)</f>
        <v>0</v>
      </c>
      <c r="H11" s="147"/>
      <c r="I11" s="63">
        <f>IF(F11="I",IFERROR(VLOOKUP(C11,'BG 062022'!A:D,4,FALSE),0),0)</f>
        <v>0</v>
      </c>
      <c r="J11" s="40"/>
      <c r="K11" s="47">
        <f>IF(F11="I",SUMIF('BG 2021'!B:B,Clasificaciones!C11,'BG 2021'!D:D),0)</f>
        <v>0</v>
      </c>
      <c r="L11" s="40"/>
      <c r="M11" s="63">
        <f>IF(F11="I",SUMIF('BG 2021'!B:B,Clasificaciones!C11,'BG 2021'!E:E),0)</f>
        <v>0</v>
      </c>
      <c r="N11" s="40"/>
      <c r="O11" s="47">
        <f>IF(F11="I",SUMIF('BG 062021'!A:A,Clasificaciones!C11,'BG 062021'!C:C),0)</f>
        <v>0</v>
      </c>
      <c r="P11" s="40"/>
      <c r="Q11" s="63">
        <f>IF(F11="I",SUMIF('BG 062021'!A:A,Clasificaciones!C11,'BG 062021'!D:D),0)</f>
        <v>0</v>
      </c>
    </row>
    <row r="12" spans="1:18" s="150" customFormat="1" hidden="1">
      <c r="A12" s="147" t="s">
        <v>3</v>
      </c>
      <c r="B12" s="147" t="s">
        <v>79</v>
      </c>
      <c r="C12" s="148">
        <v>1110201</v>
      </c>
      <c r="D12" s="148" t="s">
        <v>858</v>
      </c>
      <c r="E12" s="149" t="s">
        <v>6</v>
      </c>
      <c r="F12" s="149" t="s">
        <v>270</v>
      </c>
      <c r="G12" s="47">
        <f>IF(F12="I",IFERROR(VLOOKUP(C12,'BG 062022'!A:C,3,FALSE),0),0)</f>
        <v>0</v>
      </c>
      <c r="H12" s="147"/>
      <c r="I12" s="63">
        <f>IF(F12="I",IFERROR(VLOOKUP(C12,'BG 062022'!A:D,4,FALSE),0),0)</f>
        <v>0</v>
      </c>
      <c r="J12" s="40"/>
      <c r="K12" s="47">
        <f>IF(F12="I",SUMIF('BG 2021'!B:B,Clasificaciones!C12,'BG 2021'!D:D),0)</f>
        <v>0</v>
      </c>
      <c r="L12" s="40"/>
      <c r="M12" s="63">
        <f>IF(F12="I",SUMIF('BG 2021'!B:B,Clasificaciones!C12,'BG 2021'!E:E),0)</f>
        <v>0</v>
      </c>
      <c r="N12" s="40"/>
      <c r="O12" s="47">
        <f>IF(F12="I",SUMIF('BG 062021'!A:A,Clasificaciones!C12,'BG 062021'!C:C),0)</f>
        <v>0</v>
      </c>
      <c r="P12" s="40"/>
      <c r="Q12" s="63">
        <f>IF(F12="I",SUMIF('BG 062021'!A:A,Clasificaciones!C12,'BG 062021'!D:D),0)</f>
        <v>0</v>
      </c>
    </row>
    <row r="13" spans="1:18" s="150" customFormat="1" hidden="1">
      <c r="A13" s="147" t="s">
        <v>3</v>
      </c>
      <c r="B13" s="147" t="s">
        <v>79</v>
      </c>
      <c r="C13" s="148">
        <v>1110202</v>
      </c>
      <c r="D13" s="148" t="s">
        <v>859</v>
      </c>
      <c r="E13" s="149" t="s">
        <v>186</v>
      </c>
      <c r="F13" s="149" t="s">
        <v>270</v>
      </c>
      <c r="G13" s="47">
        <f>IF(F13="I",IFERROR(VLOOKUP(C13,'BG 062022'!A:C,3,FALSE),0),0)</f>
        <v>0</v>
      </c>
      <c r="H13" s="147"/>
      <c r="I13" s="63">
        <f>IF(F13="I",IFERROR(VLOOKUP(C13,'BG 062022'!A:D,4,FALSE),0),0)</f>
        <v>0</v>
      </c>
      <c r="J13" s="40"/>
      <c r="K13" s="47">
        <f>IF(F13="I",SUMIF('BG 2021'!B:B,Clasificaciones!C13,'BG 2021'!D:D),0)</f>
        <v>0</v>
      </c>
      <c r="L13" s="40"/>
      <c r="M13" s="63">
        <f>IF(F13="I",SUMIF('BG 2021'!B:B,Clasificaciones!C13,'BG 2021'!E:E),0)</f>
        <v>0</v>
      </c>
      <c r="N13" s="40"/>
      <c r="O13" s="47">
        <f>IF(F13="I",SUMIF('BG 062021'!A:A,Clasificaciones!C13,'BG 062021'!C:C),0)</f>
        <v>0</v>
      </c>
      <c r="P13" s="40"/>
      <c r="Q13" s="63">
        <f>IF(F13="I",SUMIF('BG 062021'!A:A,Clasificaciones!C13,'BG 062021'!D:D),0)</f>
        <v>0</v>
      </c>
    </row>
    <row r="14" spans="1:18" s="150" customFormat="1" hidden="1">
      <c r="A14" s="147" t="s">
        <v>3</v>
      </c>
      <c r="B14" s="147"/>
      <c r="C14" s="148">
        <v>11103</v>
      </c>
      <c r="D14" s="148" t="s">
        <v>16</v>
      </c>
      <c r="E14" s="149" t="s">
        <v>186</v>
      </c>
      <c r="F14" s="149" t="s">
        <v>270</v>
      </c>
      <c r="G14" s="47">
        <f>IF(F14="I",IFERROR(VLOOKUP(C14,'BG 062022'!A:C,3,FALSE),0),0)</f>
        <v>0</v>
      </c>
      <c r="H14" s="147"/>
      <c r="I14" s="63">
        <f>IF(F14="I",IFERROR(VLOOKUP(C14,'BG 062022'!A:D,4,FALSE),0),0)</f>
        <v>0</v>
      </c>
      <c r="J14" s="40"/>
      <c r="K14" s="47">
        <f>IF(F14="I",SUMIF('BG 2021'!B:B,Clasificaciones!C14,'BG 2021'!D:D),0)</f>
        <v>0</v>
      </c>
      <c r="L14" s="40"/>
      <c r="M14" s="63">
        <f>IF(F14="I",SUMIF('BG 2021'!B:B,Clasificaciones!C14,'BG 2021'!E:E),0)</f>
        <v>0</v>
      </c>
      <c r="N14" s="40"/>
      <c r="O14" s="47">
        <f>IF(F14="I",SUMIF('BG 062021'!A:A,Clasificaciones!C14,'BG 062021'!C:C),0)</f>
        <v>0</v>
      </c>
      <c r="P14" s="40"/>
      <c r="Q14" s="63">
        <f>IF(F14="I",SUMIF('BG 062021'!A:A,Clasificaciones!C14,'BG 062021'!D:D),0)</f>
        <v>0</v>
      </c>
    </row>
    <row r="15" spans="1:18" s="150" customFormat="1" hidden="1">
      <c r="A15" s="147" t="s">
        <v>3</v>
      </c>
      <c r="B15" s="147"/>
      <c r="C15" s="148">
        <v>1110301</v>
      </c>
      <c r="D15" s="148" t="s">
        <v>621</v>
      </c>
      <c r="E15" s="149" t="s">
        <v>6</v>
      </c>
      <c r="F15" s="149" t="s">
        <v>270</v>
      </c>
      <c r="G15" s="47">
        <f>IF(F15="I",IFERROR(VLOOKUP(C15,'BG 062022'!A:C,3,FALSE),0),0)</f>
        <v>0</v>
      </c>
      <c r="H15" s="147"/>
      <c r="I15" s="63">
        <f>IF(F15="I",IFERROR(VLOOKUP(C15,'BG 062022'!A:D,4,FALSE),0),0)</f>
        <v>0</v>
      </c>
      <c r="J15" s="40"/>
      <c r="K15" s="47">
        <f>IF(F15="I",SUMIF('BG 2021'!B:B,Clasificaciones!C15,'BG 2021'!D:D),0)</f>
        <v>0</v>
      </c>
      <c r="L15" s="40"/>
      <c r="M15" s="63">
        <f>IF(F15="I",SUMIF('BG 2021'!B:B,Clasificaciones!C15,'BG 2021'!E:E),0)</f>
        <v>0</v>
      </c>
      <c r="N15" s="40"/>
      <c r="O15" s="47">
        <f>IF(F15="I",SUMIF('BG 062021'!A:A,Clasificaciones!C15,'BG 062021'!C:C),0)</f>
        <v>0</v>
      </c>
      <c r="P15" s="40"/>
      <c r="Q15" s="63">
        <f>IF(F15="I",SUMIF('BG 062021'!A:A,Clasificaciones!C15,'BG 062021'!D:D),0)</f>
        <v>0</v>
      </c>
    </row>
    <row r="16" spans="1:18" s="888" customFormat="1" hidden="1">
      <c r="A16" s="885" t="s">
        <v>3</v>
      </c>
      <c r="B16" s="885" t="s">
        <v>16</v>
      </c>
      <c r="C16" s="889">
        <v>111030101</v>
      </c>
      <c r="D16" s="889" t="s">
        <v>846</v>
      </c>
      <c r="E16" s="886" t="s">
        <v>6</v>
      </c>
      <c r="F16" s="886" t="s">
        <v>271</v>
      </c>
      <c r="G16" s="47">
        <f>IF(F16="I",IFERROR(VLOOKUP(C16,'BG 062022'!A:C,3,FALSE),0),0)</f>
        <v>0</v>
      </c>
      <c r="H16" s="885"/>
      <c r="I16" s="63">
        <f>IF(F16="I",IFERROR(VLOOKUP(C16,'BG 062022'!A:D,4,FALSE),0),0)</f>
        <v>0</v>
      </c>
      <c r="J16" s="887"/>
      <c r="K16" s="47">
        <f>IF(F16="I",SUMIF('BG 2021'!B:B,Clasificaciones!C16,'BG 2021'!D:D),0)</f>
        <v>1872447497</v>
      </c>
      <c r="L16" s="887"/>
      <c r="M16" s="63">
        <f>IF(F16="I",SUMIF('BG 2021'!B:B,Clasificaciones!C16,'BG 2021'!E:E),0)</f>
        <v>272522.09000000358</v>
      </c>
      <c r="N16" s="887"/>
      <c r="O16" s="47">
        <f>IF(F16="I",SUMIF('BG 062021'!A:A,Clasificaciones!C16,'BG 062021'!C:C),0)</f>
        <v>0</v>
      </c>
      <c r="P16" s="887"/>
      <c r="Q16" s="63">
        <f>IF(F16="I",SUMIF('BG 062021'!A:A,Clasificaciones!C16,'BG 062021'!D:D),0)</f>
        <v>0</v>
      </c>
      <c r="R16" s="888">
        <f>+VLOOKUP(C16,'CA EFE'!A:A,1,FALSE)</f>
        <v>111030101</v>
      </c>
    </row>
    <row r="17" spans="1:18" s="888" customFormat="1" hidden="1">
      <c r="A17" s="885" t="s">
        <v>3</v>
      </c>
      <c r="B17" s="885" t="s">
        <v>16</v>
      </c>
      <c r="C17" s="889">
        <v>111030102</v>
      </c>
      <c r="D17" s="889" t="s">
        <v>622</v>
      </c>
      <c r="E17" s="886" t="s">
        <v>6</v>
      </c>
      <c r="F17" s="886" t="s">
        <v>271</v>
      </c>
      <c r="G17" s="47">
        <f>IF(F17="I",IFERROR(VLOOKUP(C17,'BG 062022'!A:C,3,FALSE),0),0)</f>
        <v>28344</v>
      </c>
      <c r="H17" s="885"/>
      <c r="I17" s="63">
        <f>IF(F17="I",IFERROR(VLOOKUP(C17,'BG 062022'!A:D,4,FALSE),0),0)</f>
        <v>4.1500000000000004</v>
      </c>
      <c r="J17" s="887"/>
      <c r="K17" s="47">
        <f>IF(F17="I",SUMIF('BG 2021'!B:B,Clasificaciones!C17,'BG 2021'!D:D),0)</f>
        <v>121221490</v>
      </c>
      <c r="L17" s="887"/>
      <c r="M17" s="63">
        <f>IF(F17="I",SUMIF('BG 2021'!B:B,Clasificaciones!C17,'BG 2021'!E:E),0)</f>
        <v>17642.969999998808</v>
      </c>
      <c r="N17" s="887"/>
      <c r="O17" s="47">
        <f>IF(F17="I",SUMIF('BG 062021'!A:A,Clasificaciones!C17,'BG 062021'!C:C),0)</f>
        <v>401765</v>
      </c>
      <c r="P17" s="887"/>
      <c r="Q17" s="63">
        <f>IF(F17="I",SUMIF('BG 062021'!A:A,Clasificaciones!C17,'BG 062021'!D:D),0)</f>
        <v>59.66</v>
      </c>
      <c r="R17" s="888">
        <f>+VLOOKUP(C17,'CA EFE'!A:A,1,FALSE)</f>
        <v>111030102</v>
      </c>
    </row>
    <row r="18" spans="1:18" s="888" customFormat="1" hidden="1">
      <c r="A18" s="885" t="s">
        <v>3</v>
      </c>
      <c r="B18" s="885" t="s">
        <v>16</v>
      </c>
      <c r="C18" s="889">
        <v>111030103</v>
      </c>
      <c r="D18" s="889" t="s">
        <v>623</v>
      </c>
      <c r="E18" s="886" t="s">
        <v>6</v>
      </c>
      <c r="F18" s="886" t="s">
        <v>271</v>
      </c>
      <c r="G18" s="47">
        <f>IF(F18="I",IFERROR(VLOOKUP(C18,'BG 062022'!A:C,3,FALSE),0),0)</f>
        <v>7027989</v>
      </c>
      <c r="H18" s="885"/>
      <c r="I18" s="63">
        <f>IF(F18="I",IFERROR(VLOOKUP(C18,'BG 062022'!A:D,4,FALSE),0),0)</f>
        <v>1027.8</v>
      </c>
      <c r="J18" s="887"/>
      <c r="K18" s="47">
        <f>IF(F18="I",SUMIF('BG 2021'!B:B,Clasificaciones!C18,'BG 2021'!D:D),0)</f>
        <v>6027989</v>
      </c>
      <c r="L18" s="887"/>
      <c r="M18" s="63">
        <f>IF(F18="I",SUMIF('BG 2021'!B:B,Clasificaciones!C18,'BG 2021'!E:E),0)</f>
        <v>877.32999999998719</v>
      </c>
      <c r="N18" s="887"/>
      <c r="O18" s="47">
        <f>IF(F18="I",SUMIF('BG 062021'!A:A,Clasificaciones!C18,'BG 062021'!C:C),0)</f>
        <v>6027989</v>
      </c>
      <c r="P18" s="887"/>
      <c r="Q18" s="63">
        <f>IF(F18="I",SUMIF('BG 062021'!A:A,Clasificaciones!C18,'BG 062021'!D:D),0)</f>
        <v>895.16</v>
      </c>
      <c r="R18" s="888">
        <f>+VLOOKUP(C18,'CA EFE'!A:A,1,FALSE)</f>
        <v>111030103</v>
      </c>
    </row>
    <row r="19" spans="1:18" s="888" customFormat="1" hidden="1">
      <c r="A19" s="885" t="s">
        <v>3</v>
      </c>
      <c r="B19" s="885" t="s">
        <v>16</v>
      </c>
      <c r="C19" s="889">
        <v>111030104</v>
      </c>
      <c r="D19" s="889" t="s">
        <v>624</v>
      </c>
      <c r="E19" s="886" t="s">
        <v>6</v>
      </c>
      <c r="F19" s="886" t="s">
        <v>271</v>
      </c>
      <c r="G19" s="47">
        <f>IF(F19="I",IFERROR(VLOOKUP(C19,'BG 062022'!A:C,3,FALSE),0),0)</f>
        <v>7000000</v>
      </c>
      <c r="H19" s="885"/>
      <c r="I19" s="63">
        <f>IF(F19="I",IFERROR(VLOOKUP(C19,'BG 062022'!A:D,4,FALSE),0),0)</f>
        <v>1023.71</v>
      </c>
      <c r="J19" s="887"/>
      <c r="K19" s="47">
        <f>IF(F19="I",SUMIF('BG 2021'!B:B,Clasificaciones!C19,'BG 2021'!D:D),0)</f>
        <v>6000000</v>
      </c>
      <c r="L19" s="887"/>
      <c r="M19" s="63">
        <f>IF(F19="I",SUMIF('BG 2021'!B:B,Clasificaciones!C19,'BG 2021'!E:E),0)</f>
        <v>873.26</v>
      </c>
      <c r="N19" s="887"/>
      <c r="O19" s="47">
        <f>IF(F19="I",SUMIF('BG 062021'!A:A,Clasificaciones!C19,'BG 062021'!C:C),0)</f>
        <v>6000000</v>
      </c>
      <c r="P19" s="887"/>
      <c r="Q19" s="63">
        <f>IF(F19="I",SUMIF('BG 062021'!A:A,Clasificaciones!C19,'BG 062021'!D:D),0)</f>
        <v>891</v>
      </c>
      <c r="R19" s="888">
        <f>+VLOOKUP(C19,'CA EFE'!A:A,1,FALSE)</f>
        <v>111030104</v>
      </c>
    </row>
    <row r="20" spans="1:18" s="888" customFormat="1" hidden="1">
      <c r="A20" s="885" t="s">
        <v>3</v>
      </c>
      <c r="B20" s="885" t="s">
        <v>16</v>
      </c>
      <c r="C20" s="889">
        <v>111030105</v>
      </c>
      <c r="D20" s="889" t="s">
        <v>860</v>
      </c>
      <c r="E20" s="886" t="s">
        <v>6</v>
      </c>
      <c r="F20" s="886" t="s">
        <v>271</v>
      </c>
      <c r="G20" s="47">
        <f>IF(F20="I",IFERROR(VLOOKUP(C20,'BG 062022'!A:C,3,FALSE),0),0)</f>
        <v>0</v>
      </c>
      <c r="H20" s="885"/>
      <c r="I20" s="63">
        <f>IF(F20="I",IFERROR(VLOOKUP(C20,'BG 062022'!A:D,4,FALSE),0),0)</f>
        <v>0</v>
      </c>
      <c r="J20" s="887"/>
      <c r="K20" s="47">
        <f>IF(F20="I",SUMIF('BG 2021'!B:B,Clasificaciones!C20,'BG 2021'!D:D),0)</f>
        <v>0</v>
      </c>
      <c r="L20" s="887"/>
      <c r="M20" s="63">
        <f>IF(F20="I",SUMIF('BG 2021'!B:B,Clasificaciones!C20,'BG 2021'!E:E),0)</f>
        <v>0</v>
      </c>
      <c r="N20" s="887"/>
      <c r="O20" s="47">
        <f>IF(F20="I",SUMIF('BG 062021'!A:A,Clasificaciones!C20,'BG 062021'!C:C),0)</f>
        <v>0</v>
      </c>
      <c r="P20" s="887"/>
      <c r="Q20" s="63">
        <f>IF(F20="I",SUMIF('BG 062021'!A:A,Clasificaciones!C20,'BG 062021'!D:D),0)</f>
        <v>0</v>
      </c>
    </row>
    <row r="21" spans="1:18" s="888" customFormat="1" hidden="1">
      <c r="A21" s="885" t="s">
        <v>3</v>
      </c>
      <c r="B21" s="885" t="s">
        <v>16</v>
      </c>
      <c r="C21" s="889">
        <v>111030106</v>
      </c>
      <c r="D21" s="889" t="s">
        <v>625</v>
      </c>
      <c r="E21" s="886" t="s">
        <v>6</v>
      </c>
      <c r="F21" s="886" t="s">
        <v>271</v>
      </c>
      <c r="G21" s="47">
        <f>IF(F21="I",IFERROR(VLOOKUP(C21,'BG 062022'!A:C,3,FALSE),0),0)</f>
        <v>7428913</v>
      </c>
      <c r="H21" s="885"/>
      <c r="I21" s="63">
        <f>IF(F21="I",IFERROR(VLOOKUP(C21,'BG 062022'!A:D,4,FALSE),0),0)</f>
        <v>1086.43</v>
      </c>
      <c r="J21" s="887"/>
      <c r="K21" s="47">
        <f>IF(F21="I",SUMIF('BG 2021'!B:B,Clasificaciones!C21,'BG 2021'!D:D),0)</f>
        <v>5560000</v>
      </c>
      <c r="L21" s="887"/>
      <c r="M21" s="63">
        <f>IF(F21="I",SUMIF('BG 2021'!B:B,Clasificaciones!C21,'BG 2021'!E:E),0)</f>
        <v>809.21999999997206</v>
      </c>
      <c r="N21" s="887"/>
      <c r="O21" s="47">
        <f>IF(F21="I",SUMIF('BG 062021'!A:A,Clasificaciones!C21,'BG 062021'!C:C),0)</f>
        <v>4780000</v>
      </c>
      <c r="P21" s="887"/>
      <c r="Q21" s="63">
        <f>IF(F21="I",SUMIF('BG 062021'!A:A,Clasificaciones!C21,'BG 062021'!D:D),0)</f>
        <v>709.83</v>
      </c>
      <c r="R21" s="888">
        <f>+VLOOKUP(C21,'CA EFE'!A:A,1,FALSE)</f>
        <v>111030106</v>
      </c>
    </row>
    <row r="22" spans="1:18" s="888" customFormat="1" hidden="1">
      <c r="A22" s="885" t="s">
        <v>3</v>
      </c>
      <c r="B22" s="885" t="s">
        <v>16</v>
      </c>
      <c r="C22" s="889">
        <v>111030107</v>
      </c>
      <c r="D22" s="889" t="s">
        <v>626</v>
      </c>
      <c r="E22" s="886" t="s">
        <v>6</v>
      </c>
      <c r="F22" s="886" t="s">
        <v>271</v>
      </c>
      <c r="G22" s="47">
        <f>IF(F22="I",IFERROR(VLOOKUP(C22,'BG 062022'!A:C,3,FALSE),0),0)</f>
        <v>300662</v>
      </c>
      <c r="H22" s="885"/>
      <c r="I22" s="63">
        <f>IF(F22="I",IFERROR(VLOOKUP(C22,'BG 062022'!A:D,4,FALSE),0),0)</f>
        <v>43.97</v>
      </c>
      <c r="J22" s="887"/>
      <c r="K22" s="47">
        <f>IF(F22="I",SUMIF('BG 2021'!B:B,Clasificaciones!C22,'BG 2021'!D:D),0)</f>
        <v>300374</v>
      </c>
      <c r="L22" s="887"/>
      <c r="M22" s="63">
        <f>IF(F22="I",SUMIF('BG 2021'!B:B,Clasificaciones!C22,'BG 2021'!E:E),0)</f>
        <v>43.72</v>
      </c>
      <c r="N22" s="887"/>
      <c r="O22" s="47">
        <f>IF(F22="I",SUMIF('BG 062021'!A:A,Clasificaciones!C22,'BG 062021'!C:C),0)</f>
        <v>300298</v>
      </c>
      <c r="P22" s="887"/>
      <c r="Q22" s="63">
        <f>IF(F22="I",SUMIF('BG 062021'!A:A,Clasificaciones!C22,'BG 062021'!D:D),0)</f>
        <v>44.59</v>
      </c>
      <c r="R22" s="888">
        <f>+VLOOKUP(C22,'CA EFE'!A:A,1,FALSE)</f>
        <v>111030107</v>
      </c>
    </row>
    <row r="23" spans="1:18" s="888" customFormat="1" hidden="1">
      <c r="A23" s="885" t="s">
        <v>3</v>
      </c>
      <c r="B23" s="885" t="s">
        <v>16</v>
      </c>
      <c r="C23" s="889">
        <v>111030108</v>
      </c>
      <c r="D23" s="889" t="s">
        <v>627</v>
      </c>
      <c r="E23" s="886" t="s">
        <v>6</v>
      </c>
      <c r="F23" s="886" t="s">
        <v>271</v>
      </c>
      <c r="G23" s="47">
        <f>IF(F23="I",IFERROR(VLOOKUP(C23,'BG 062022'!A:C,3,FALSE),0),0)</f>
        <v>7944691</v>
      </c>
      <c r="H23" s="885"/>
      <c r="I23" s="63">
        <f>IF(F23="I",IFERROR(VLOOKUP(C23,'BG 062022'!A:D,4,FALSE),0),0)</f>
        <v>1161.8599999999999</v>
      </c>
      <c r="J23" s="887"/>
      <c r="K23" s="47">
        <f>IF(F23="I",SUMIF('BG 2021'!B:B,Clasificaciones!C23,'BG 2021'!D:D),0)</f>
        <v>3468465</v>
      </c>
      <c r="L23" s="887"/>
      <c r="M23" s="63">
        <f>IF(F23="I",SUMIF('BG 2021'!B:B,Clasificaciones!C23,'BG 2021'!E:E),0)</f>
        <v>504.80999999999767</v>
      </c>
      <c r="N23" s="887"/>
      <c r="O23" s="47">
        <f>IF(F23="I",SUMIF('BG 062021'!A:A,Clasificaciones!C23,'BG 062021'!C:C),0)</f>
        <v>1032032</v>
      </c>
      <c r="P23" s="887"/>
      <c r="Q23" s="63">
        <f>IF(F23="I",SUMIF('BG 062021'!A:A,Clasificaciones!C23,'BG 062021'!D:D),0)</f>
        <v>153.26</v>
      </c>
      <c r="R23" s="888">
        <f>+VLOOKUP(C23,'CA EFE'!A:A,1,FALSE)</f>
        <v>111030108</v>
      </c>
    </row>
    <row r="24" spans="1:18" s="888" customFormat="1" hidden="1">
      <c r="A24" s="885" t="s">
        <v>3</v>
      </c>
      <c r="B24" s="885" t="s">
        <v>16</v>
      </c>
      <c r="C24" s="889">
        <v>111030109</v>
      </c>
      <c r="D24" s="889" t="s">
        <v>628</v>
      </c>
      <c r="E24" s="886" t="s">
        <v>6</v>
      </c>
      <c r="F24" s="886" t="s">
        <v>271</v>
      </c>
      <c r="G24" s="47">
        <f>IF(F24="I",IFERROR(VLOOKUP(C24,'BG 062022'!A:C,3,FALSE),0),0)</f>
        <v>3982</v>
      </c>
      <c r="H24" s="885"/>
      <c r="I24" s="63">
        <f>IF(F24="I",IFERROR(VLOOKUP(C24,'BG 062022'!A:D,4,FALSE),0),0)</f>
        <v>0.57999999999999996</v>
      </c>
      <c r="J24" s="887"/>
      <c r="K24" s="47">
        <f>IF(F24="I",SUMIF('BG 2021'!B:B,Clasificaciones!C24,'BG 2021'!D:D),0)</f>
        <v>3982</v>
      </c>
      <c r="L24" s="887"/>
      <c r="M24" s="63">
        <f>IF(F24="I",SUMIF('BG 2021'!B:B,Clasificaciones!C24,'BG 2021'!E:E),0)</f>
        <v>0.58000000007450581</v>
      </c>
      <c r="N24" s="887"/>
      <c r="O24" s="47">
        <f>IF(F24="I",SUMIF('BG 062021'!A:A,Clasificaciones!C24,'BG 062021'!C:C),0)</f>
        <v>78413436</v>
      </c>
      <c r="P24" s="887"/>
      <c r="Q24" s="63">
        <f>IF(F24="I",SUMIF('BG 062021'!A:A,Clasificaciones!C24,'BG 062021'!D:D),0)</f>
        <v>11644.44</v>
      </c>
      <c r="R24" s="888">
        <f>+VLOOKUP(C24,'CA EFE'!A:A,1,FALSE)</f>
        <v>111030109</v>
      </c>
    </row>
    <row r="25" spans="1:18" s="888" customFormat="1" hidden="1">
      <c r="A25" s="885" t="s">
        <v>3</v>
      </c>
      <c r="B25" s="885" t="s">
        <v>16</v>
      </c>
      <c r="C25" s="889">
        <v>111030110</v>
      </c>
      <c r="D25" s="889" t="s">
        <v>861</v>
      </c>
      <c r="E25" s="886" t="s">
        <v>6</v>
      </c>
      <c r="F25" s="886" t="s">
        <v>271</v>
      </c>
      <c r="G25" s="47">
        <f>IF(F25="I",IFERROR(VLOOKUP(C25,'BG 062022'!A:C,3,FALSE),0),0)</f>
        <v>182450</v>
      </c>
      <c r="H25" s="885"/>
      <c r="I25" s="63">
        <f>IF(F25="I",IFERROR(VLOOKUP(C25,'BG 062022'!A:D,4,FALSE),0),0)</f>
        <v>26.68</v>
      </c>
      <c r="J25" s="887"/>
      <c r="K25" s="47">
        <f>IF(F25="I",SUMIF('BG 2021'!B:B,Clasificaciones!C25,'BG 2021'!D:D),0)</f>
        <v>0</v>
      </c>
      <c r="L25" s="887"/>
      <c r="M25" s="63">
        <f>IF(F25="I",SUMIF('BG 2021'!B:B,Clasificaciones!C25,'BG 2021'!E:E),0)</f>
        <v>0</v>
      </c>
      <c r="N25" s="887"/>
      <c r="O25" s="47">
        <f>IF(F25="I",SUMIF('BG 062021'!A:A,Clasificaciones!C25,'BG 062021'!C:C),0)</f>
        <v>0</v>
      </c>
      <c r="P25" s="887"/>
      <c r="Q25" s="63">
        <f>IF(F25="I",SUMIF('BG 062021'!A:A,Clasificaciones!C25,'BG 062021'!D:D),0)</f>
        <v>0</v>
      </c>
    </row>
    <row r="26" spans="1:18" s="888" customFormat="1" hidden="1">
      <c r="A26" s="885" t="s">
        <v>3</v>
      </c>
      <c r="B26" s="885" t="s">
        <v>16</v>
      </c>
      <c r="C26" s="889">
        <v>111030111</v>
      </c>
      <c r="D26" s="889" t="s">
        <v>847</v>
      </c>
      <c r="E26" s="886" t="s">
        <v>6</v>
      </c>
      <c r="F26" s="886" t="s">
        <v>271</v>
      </c>
      <c r="G26" s="47">
        <f>IF(F26="I",IFERROR(VLOOKUP(C26,'BG 062022'!A:C,3,FALSE),0),0)</f>
        <v>36702</v>
      </c>
      <c r="H26" s="885"/>
      <c r="I26" s="63">
        <f>IF(F26="I",IFERROR(VLOOKUP(C26,'BG 062022'!A:D,4,FALSE),0),0)</f>
        <v>5.37</v>
      </c>
      <c r="J26" s="887"/>
      <c r="K26" s="47">
        <f>IF(F26="I",SUMIF('BG 2021'!B:B,Clasificaciones!C26,'BG 2021'!D:D),0)</f>
        <v>36676</v>
      </c>
      <c r="L26" s="887"/>
      <c r="M26" s="63">
        <f>IF(F26="I",SUMIF('BG 2021'!B:B,Clasificaciones!C26,'BG 2021'!E:E),0)</f>
        <v>5.340000000083819</v>
      </c>
      <c r="N26" s="887"/>
      <c r="O26" s="47">
        <f>IF(F26="I",SUMIF('BG 062021'!A:A,Clasificaciones!C26,'BG 062021'!C:C),0)</f>
        <v>635</v>
      </c>
      <c r="P26" s="887"/>
      <c r="Q26" s="63">
        <f>IF(F26="I",SUMIF('BG 062021'!A:A,Clasificaciones!C26,'BG 062021'!D:D),0)</f>
        <v>0.09</v>
      </c>
      <c r="R26" s="888">
        <f>+VLOOKUP(C26,'CA EFE'!A:A,1,FALSE)</f>
        <v>111030111</v>
      </c>
    </row>
    <row r="27" spans="1:18" s="888" customFormat="1" hidden="1">
      <c r="A27" s="885" t="s">
        <v>3</v>
      </c>
      <c r="B27" s="885" t="s">
        <v>16</v>
      </c>
      <c r="C27" s="889">
        <v>111030112</v>
      </c>
      <c r="D27" s="889" t="s">
        <v>629</v>
      </c>
      <c r="E27" s="886" t="s">
        <v>6</v>
      </c>
      <c r="F27" s="886" t="s">
        <v>271</v>
      </c>
      <c r="G27" s="47">
        <f>IF(F27="I",IFERROR(VLOOKUP(C27,'BG 062022'!A:C,3,FALSE),0),0)</f>
        <v>263042</v>
      </c>
      <c r="H27" s="885"/>
      <c r="I27" s="63">
        <f>IF(F27="I",IFERROR(VLOOKUP(C27,'BG 062022'!A:D,4,FALSE),0),0)</f>
        <v>38.47</v>
      </c>
      <c r="J27" s="887"/>
      <c r="K27" s="47">
        <f>IF(F27="I",SUMIF('BG 2021'!B:B,Clasificaciones!C27,'BG 2021'!D:D),0)</f>
        <v>263032</v>
      </c>
      <c r="L27" s="887"/>
      <c r="M27" s="63">
        <f>IF(F27="I",SUMIF('BG 2021'!B:B,Clasificaciones!C27,'BG 2021'!E:E),0)</f>
        <v>38.28</v>
      </c>
      <c r="N27" s="887"/>
      <c r="O27" s="47">
        <f>IF(F27="I",SUMIF('BG 062021'!A:A,Clasificaciones!C27,'BG 062021'!C:C),0)</f>
        <v>263020</v>
      </c>
      <c r="P27" s="887"/>
      <c r="Q27" s="63">
        <f>IF(F27="I",SUMIF('BG 062021'!A:A,Clasificaciones!C27,'BG 062021'!D:D),0)</f>
        <v>39.06</v>
      </c>
      <c r="R27" s="888">
        <f>+VLOOKUP(C27,'CA EFE'!A:A,1,FALSE)</f>
        <v>111030112</v>
      </c>
    </row>
    <row r="28" spans="1:18" s="888" customFormat="1" hidden="1">
      <c r="A28" s="885" t="s">
        <v>3</v>
      </c>
      <c r="B28" s="885" t="s">
        <v>16</v>
      </c>
      <c r="C28" s="889">
        <v>111030113</v>
      </c>
      <c r="D28" s="889" t="s">
        <v>630</v>
      </c>
      <c r="E28" s="886" t="s">
        <v>6</v>
      </c>
      <c r="F28" s="886" t="s">
        <v>271</v>
      </c>
      <c r="G28" s="47">
        <f>IF(F28="I",IFERROR(VLOOKUP(C28,'BG 062022'!A:C,3,FALSE),0),0)</f>
        <v>10047228</v>
      </c>
      <c r="H28" s="885"/>
      <c r="I28" s="63">
        <f>IF(F28="I",IFERROR(VLOOKUP(C28,'BG 062022'!A:D,4,FALSE),0),0)</f>
        <v>1469.34</v>
      </c>
      <c r="J28" s="887"/>
      <c r="K28" s="47">
        <f>IF(F28="I",SUMIF('BG 2021'!B:B,Clasificaciones!C28,'BG 2021'!D:D),0)</f>
        <v>18159282</v>
      </c>
      <c r="L28" s="887"/>
      <c r="M28" s="63">
        <f>IF(F28="I",SUMIF('BG 2021'!B:B,Clasificaciones!C28,'BG 2021'!E:E),0)</f>
        <v>2642.9599999999919</v>
      </c>
      <c r="N28" s="887"/>
      <c r="O28" s="47">
        <f>IF(F28="I",SUMIF('BG 062021'!A:A,Clasificaciones!C28,'BG 062021'!C:C),0)</f>
        <v>377019917</v>
      </c>
      <c r="P28" s="887"/>
      <c r="Q28" s="63">
        <f>IF(F28="I",SUMIF('BG 062021'!A:A,Clasificaciones!C28,'BG 062021'!D:D),0)</f>
        <v>55987.68</v>
      </c>
      <c r="R28" s="888">
        <f>+VLOOKUP(C28,'CA EFE'!A:A,1,FALSE)</f>
        <v>111030113</v>
      </c>
    </row>
    <row r="29" spans="1:18" s="888" customFormat="1" hidden="1">
      <c r="A29" s="885" t="s">
        <v>3</v>
      </c>
      <c r="B29" s="885" t="s">
        <v>16</v>
      </c>
      <c r="C29" s="889">
        <v>111030114</v>
      </c>
      <c r="D29" s="889" t="s">
        <v>631</v>
      </c>
      <c r="E29" s="886" t="s">
        <v>6</v>
      </c>
      <c r="F29" s="886" t="s">
        <v>271</v>
      </c>
      <c r="G29" s="47">
        <f>IF(F29="I",IFERROR(VLOOKUP(C29,'BG 062022'!A:C,3,FALSE),0),0)</f>
        <v>6693960</v>
      </c>
      <c r="H29" s="885"/>
      <c r="I29" s="63">
        <f>IF(F29="I",IFERROR(VLOOKUP(C29,'BG 062022'!A:D,4,FALSE),0),0)</f>
        <v>978.95</v>
      </c>
      <c r="J29" s="887"/>
      <c r="K29" s="47">
        <f>IF(F29="I",SUMIF('BG 2021'!B:B,Clasificaciones!C29,'BG 2021'!D:D),0)</f>
        <v>6759960</v>
      </c>
      <c r="L29" s="887"/>
      <c r="M29" s="63">
        <f>IF(F29="I",SUMIF('BG 2021'!B:B,Clasificaciones!C29,'BG 2021'!E:E),0)</f>
        <v>983.87000000011176</v>
      </c>
      <c r="N29" s="887"/>
      <c r="O29" s="47">
        <f>IF(F29="I",SUMIF('BG 062021'!A:A,Clasificaciones!C29,'BG 062021'!C:C),0)</f>
        <v>510132871</v>
      </c>
      <c r="P29" s="887"/>
      <c r="Q29" s="63">
        <f>IF(F29="I",SUMIF('BG 062021'!A:A,Clasificaciones!C29,'BG 062021'!D:D),0)</f>
        <v>75755.03</v>
      </c>
      <c r="R29" s="888">
        <f>+VLOOKUP(C29,'CA EFE'!A:A,1,FALSE)</f>
        <v>111030114</v>
      </c>
    </row>
    <row r="30" spans="1:18" s="888" customFormat="1" hidden="1">
      <c r="A30" s="885" t="s">
        <v>3</v>
      </c>
      <c r="B30" s="885" t="s">
        <v>16</v>
      </c>
      <c r="C30" s="889">
        <v>111030116</v>
      </c>
      <c r="D30" s="889" t="s">
        <v>862</v>
      </c>
      <c r="E30" s="886" t="s">
        <v>6</v>
      </c>
      <c r="F30" s="886" t="s">
        <v>271</v>
      </c>
      <c r="G30" s="47">
        <f>IF(F30="I",IFERROR(VLOOKUP(C30,'BG 062022'!A:C,3,FALSE),0),0)</f>
        <v>3800000</v>
      </c>
      <c r="H30" s="885"/>
      <c r="I30" s="63">
        <f>IF(F30="I",IFERROR(VLOOKUP(C30,'BG 062022'!A:D,4,FALSE),0),0)</f>
        <v>555.73</v>
      </c>
      <c r="J30" s="887"/>
      <c r="K30" s="47">
        <f>IF(F30="I",SUMIF('BG 2021'!B:B,Clasificaciones!C30,'BG 2021'!D:D),0)</f>
        <v>3800000</v>
      </c>
      <c r="L30" s="887"/>
      <c r="M30" s="63">
        <f>IF(F30="I",SUMIF('BG 2021'!B:B,Clasificaciones!C30,'BG 2021'!E:E),0)</f>
        <v>553.05999999999995</v>
      </c>
      <c r="N30" s="887"/>
      <c r="O30" s="47">
        <f>IF(F30="I",SUMIF('BG 062021'!A:A,Clasificaciones!C30,'BG 062021'!C:C),0)</f>
        <v>3800000</v>
      </c>
      <c r="P30" s="887"/>
      <c r="Q30" s="63">
        <f>IF(F30="I",SUMIF('BG 062021'!A:A,Clasificaciones!C30,'BG 062021'!D:D),0)</f>
        <v>564.29999999999995</v>
      </c>
      <c r="R30" s="888">
        <f>+VLOOKUP(C30,'CA EFE'!A:A,1,FALSE)</f>
        <v>111030116</v>
      </c>
    </row>
    <row r="31" spans="1:18" s="888" customFormat="1" hidden="1">
      <c r="A31" s="885" t="s">
        <v>3</v>
      </c>
      <c r="B31" s="885" t="s">
        <v>16</v>
      </c>
      <c r="C31" s="889">
        <v>111030117</v>
      </c>
      <c r="D31" s="889" t="s">
        <v>863</v>
      </c>
      <c r="E31" s="886" t="s">
        <v>6</v>
      </c>
      <c r="F31" s="886" t="s">
        <v>271</v>
      </c>
      <c r="G31" s="47">
        <f>IF(F31="I",IFERROR(VLOOKUP(C31,'BG 062022'!A:C,3,FALSE),0),0)</f>
        <v>1001731</v>
      </c>
      <c r="H31" s="885"/>
      <c r="I31" s="63">
        <f>IF(F31="I",IFERROR(VLOOKUP(C31,'BG 062022'!A:D,4,FALSE),0),0)</f>
        <v>146.5</v>
      </c>
      <c r="J31" s="887"/>
      <c r="K31" s="47">
        <f>IF(F31="I",SUMIF('BG 2021'!B:B,Clasificaciones!C31,'BG 2021'!D:D),0)</f>
        <v>1000706</v>
      </c>
      <c r="L31" s="887"/>
      <c r="M31" s="63">
        <f>IF(F31="I",SUMIF('BG 2021'!B:B,Clasificaciones!C31,'BG 2021'!E:E),0)</f>
        <v>145.64999999999998</v>
      </c>
      <c r="N31" s="887"/>
      <c r="O31" s="47">
        <f>IF(F31="I",SUMIF('BG 062021'!A:A,Clasificaciones!C31,'BG 062021'!C:C),0)</f>
        <v>0</v>
      </c>
      <c r="P31" s="887"/>
      <c r="Q31" s="63">
        <f>IF(F31="I",SUMIF('BG 062021'!A:A,Clasificaciones!C31,'BG 062021'!D:D),0)</f>
        <v>0</v>
      </c>
      <c r="R31" s="888">
        <f>+VLOOKUP(C31,'CA EFE'!A:A,1,FALSE)</f>
        <v>111030117</v>
      </c>
    </row>
    <row r="32" spans="1:18" s="888" customFormat="1" hidden="1">
      <c r="A32" s="885" t="s">
        <v>3</v>
      </c>
      <c r="B32" s="885" t="s">
        <v>16</v>
      </c>
      <c r="C32" s="889">
        <v>111030118</v>
      </c>
      <c r="D32" s="889" t="s">
        <v>1182</v>
      </c>
      <c r="E32" s="886" t="s">
        <v>6</v>
      </c>
      <c r="F32" s="886" t="s">
        <v>271</v>
      </c>
      <c r="G32" s="47">
        <f>IF(F32="I",IFERROR(VLOOKUP(C32,'BG 062022'!A:C,3,FALSE),0),0)</f>
        <v>98487176</v>
      </c>
      <c r="H32" s="885"/>
      <c r="I32" s="63">
        <f>IF(F32="I",IFERROR(VLOOKUP(C32,'BG 062022'!A:D,4,FALSE),0),0)</f>
        <v>14403.13</v>
      </c>
      <c r="J32" s="887"/>
      <c r="K32" s="47">
        <f>IF(F32="I",SUMIF('BG 2021'!B:B,Clasificaciones!C32,'BG 2021'!D:D),0)</f>
        <v>468059075</v>
      </c>
      <c r="L32" s="887"/>
      <c r="M32" s="63">
        <f>IF(F32="I",SUMIF('BG 2021'!B:B,Clasificaciones!C32,'BG 2021'!E:E),0)</f>
        <v>68122.84</v>
      </c>
      <c r="N32" s="887"/>
      <c r="O32" s="47">
        <f>IF(F32="I",SUMIF('BG 062021'!A:A,Clasificaciones!C32,'BG 062021'!C:C),0)</f>
        <v>573835519</v>
      </c>
      <c r="P32" s="887"/>
      <c r="Q32" s="63">
        <f>IF(F32="I",SUMIF('BG 062021'!A:A,Clasificaciones!C32,'BG 062021'!D:D),0)</f>
        <v>85214.91</v>
      </c>
      <c r="R32" s="888">
        <f>+VLOOKUP(C32,'CA EFE'!A:A,1,FALSE)</f>
        <v>111030118</v>
      </c>
    </row>
    <row r="33" spans="1:18" s="888" customFormat="1" hidden="1">
      <c r="A33" s="885" t="s">
        <v>3</v>
      </c>
      <c r="B33" s="885" t="s">
        <v>16</v>
      </c>
      <c r="C33" s="889">
        <v>111030119</v>
      </c>
      <c r="D33" s="889" t="s">
        <v>641</v>
      </c>
      <c r="E33" s="886" t="s">
        <v>6</v>
      </c>
      <c r="F33" s="886" t="s">
        <v>271</v>
      </c>
      <c r="G33" s="47">
        <f>IF(F33="I",IFERROR(VLOOKUP(C33,'BG 062022'!A:C,3,FALSE),0),0)</f>
        <v>3293281</v>
      </c>
      <c r="H33" s="885"/>
      <c r="I33" s="63">
        <f>IF(F33="I",IFERROR(VLOOKUP(C33,'BG 062022'!A:D,4,FALSE),0),0)</f>
        <v>481.62</v>
      </c>
      <c r="J33" s="887"/>
      <c r="K33" s="47">
        <f>IF(F33="I",SUMIF('BG 2021'!B:B,Clasificaciones!C33,'BG 2021'!D:D),0)</f>
        <v>110</v>
      </c>
      <c r="L33" s="887"/>
      <c r="M33" s="63">
        <f>IF(F33="I",SUMIF('BG 2021'!B:B,Clasificaciones!C33,'BG 2021'!E:E),0)</f>
        <v>2.0000000004074536E-2</v>
      </c>
      <c r="N33" s="887"/>
      <c r="O33" s="47">
        <f>IF(F33="I",SUMIF('BG 062021'!A:A,Clasificaciones!C33,'BG 062021'!C:C),0)</f>
        <v>0</v>
      </c>
      <c r="P33" s="887"/>
      <c r="Q33" s="63">
        <f>IF(F33="I",SUMIF('BG 062021'!A:A,Clasificaciones!C33,'BG 062021'!D:D),0)</f>
        <v>0</v>
      </c>
      <c r="R33" s="888">
        <f>+VLOOKUP(C33,'CA EFE'!A:A,1,FALSE)</f>
        <v>111030119</v>
      </c>
    </row>
    <row r="34" spans="1:18" s="888" customFormat="1" hidden="1">
      <c r="A34" s="885" t="s">
        <v>3</v>
      </c>
      <c r="B34" s="885" t="s">
        <v>16</v>
      </c>
      <c r="C34" s="889">
        <v>111030120</v>
      </c>
      <c r="D34" s="889" t="s">
        <v>864</v>
      </c>
      <c r="E34" s="886" t="s">
        <v>6</v>
      </c>
      <c r="F34" s="886" t="s">
        <v>271</v>
      </c>
      <c r="G34" s="47">
        <f>IF(F34="I",IFERROR(VLOOKUP(C34,'BG 062022'!A:C,3,FALSE),0),0)</f>
        <v>1787672</v>
      </c>
      <c r="H34" s="885"/>
      <c r="I34" s="63">
        <f>IF(F34="I",IFERROR(VLOOKUP(C34,'BG 062022'!A:D,4,FALSE),0),0)</f>
        <v>261.44</v>
      </c>
      <c r="J34" s="887"/>
      <c r="K34" s="47">
        <f>IF(F34="I",SUMIF('BG 2021'!B:B,Clasificaciones!C34,'BG 2021'!D:D),0)</f>
        <v>0</v>
      </c>
      <c r="L34" s="887"/>
      <c r="M34" s="63">
        <f>IF(F34="I",SUMIF('BG 2021'!B:B,Clasificaciones!C34,'BG 2021'!E:E),0)</f>
        <v>0</v>
      </c>
      <c r="N34" s="887"/>
      <c r="O34" s="47">
        <f>IF(F34="I",SUMIF('BG 062021'!A:A,Clasificaciones!C34,'BG 062021'!C:C),0)</f>
        <v>0</v>
      </c>
      <c r="P34" s="887"/>
      <c r="Q34" s="63">
        <f>IF(F34="I",SUMIF('BG 062021'!A:A,Clasificaciones!C34,'BG 062021'!D:D),0)</f>
        <v>0</v>
      </c>
      <c r="R34" s="888">
        <f>+VLOOKUP(C34,'CA EFE'!A:A,1,FALSE)</f>
        <v>111030120</v>
      </c>
    </row>
    <row r="35" spans="1:18" s="888" customFormat="1" hidden="1">
      <c r="A35" s="885" t="s">
        <v>3</v>
      </c>
      <c r="B35" s="885" t="s">
        <v>16</v>
      </c>
      <c r="C35" s="889">
        <v>111030121</v>
      </c>
      <c r="D35" s="889" t="s">
        <v>865</v>
      </c>
      <c r="E35" s="886" t="s">
        <v>6</v>
      </c>
      <c r="F35" s="886" t="s">
        <v>271</v>
      </c>
      <c r="G35" s="47">
        <f>IF(F35="I",IFERROR(VLOOKUP(C35,'BG 062022'!A:C,3,FALSE),0),0)</f>
        <v>75842113</v>
      </c>
      <c r="H35" s="885"/>
      <c r="I35" s="63">
        <f>IF(F35="I",IFERROR(VLOOKUP(C35,'BG 062022'!A:D,4,FALSE),0),0)</f>
        <v>11091.43</v>
      </c>
      <c r="J35" s="887"/>
      <c r="K35" s="47">
        <f>IF(F35="I",SUMIF('BG 2021'!B:B,Clasificaciones!C35,'BG 2021'!D:D),0)</f>
        <v>47834073</v>
      </c>
      <c r="L35" s="887"/>
      <c r="M35" s="63">
        <f>IF(F35="I",SUMIF('BG 2021'!B:B,Clasificaciones!C35,'BG 2021'!E:E),0)</f>
        <v>6961.929999999702</v>
      </c>
      <c r="N35" s="887"/>
      <c r="O35" s="47">
        <f>IF(F35="I",SUMIF('BG 062021'!A:A,Clasificaciones!C35,'BG 062021'!C:C),0)</f>
        <v>104307742</v>
      </c>
      <c r="P35" s="887"/>
      <c r="Q35" s="63">
        <f>IF(F35="I",SUMIF('BG 062021'!A:A,Clasificaciones!C35,'BG 062021'!D:D),0)</f>
        <v>15489.76</v>
      </c>
      <c r="R35" s="888">
        <f>+VLOOKUP(C35,'CA EFE'!A:A,1,FALSE)</f>
        <v>111030121</v>
      </c>
    </row>
    <row r="36" spans="1:18" s="888" customFormat="1" hidden="1">
      <c r="A36" s="885" t="s">
        <v>3</v>
      </c>
      <c r="B36" s="885" t="s">
        <v>16</v>
      </c>
      <c r="C36" s="889">
        <v>111030122</v>
      </c>
      <c r="D36" s="889" t="s">
        <v>1201</v>
      </c>
      <c r="E36" s="886" t="s">
        <v>6</v>
      </c>
      <c r="F36" s="886" t="s">
        <v>271</v>
      </c>
      <c r="G36" s="47">
        <f>IF(F36="I",IFERROR(VLOOKUP(C36,'BG 062022'!A:C,3,FALSE),0),0)</f>
        <v>23344122</v>
      </c>
      <c r="H36" s="885"/>
      <c r="I36" s="63">
        <f>IF(F36="I",IFERROR(VLOOKUP(C36,'BG 062022'!A:D,4,FALSE),0),0)</f>
        <v>3413.93</v>
      </c>
      <c r="J36" s="887"/>
      <c r="K36" s="47">
        <f>IF(F36="I",SUMIF('BG 2021'!B:B,Clasificaciones!C36,'BG 2021'!D:D),0)</f>
        <v>7781169</v>
      </c>
      <c r="L36" s="887"/>
      <c r="M36" s="63">
        <f>IF(F36="I",SUMIF('BG 2021'!B:B,Clasificaciones!C36,'BG 2021'!E:E),0)</f>
        <v>1132.5</v>
      </c>
      <c r="N36" s="887"/>
      <c r="O36" s="47">
        <f>IF(F36="I",SUMIF('BG 062021'!A:A,Clasificaciones!C36,'BG 062021'!C:C),0)</f>
        <v>4305516</v>
      </c>
      <c r="P36" s="887"/>
      <c r="Q36" s="63">
        <f>IF(F36="I",SUMIF('BG 062021'!A:A,Clasificaciones!C36,'BG 062021'!D:D),0)</f>
        <v>639.37</v>
      </c>
      <c r="R36" s="888">
        <f>+VLOOKUP(C36,'CA EFE'!A:A,1,FALSE)</f>
        <v>111030122</v>
      </c>
    </row>
    <row r="37" spans="1:18" s="888" customFormat="1" hidden="1">
      <c r="A37" s="885" t="s">
        <v>3</v>
      </c>
      <c r="B37" s="885" t="s">
        <v>16</v>
      </c>
      <c r="C37" s="889">
        <v>111030123</v>
      </c>
      <c r="D37" s="889" t="s">
        <v>1496</v>
      </c>
      <c r="E37" s="886" t="s">
        <v>6</v>
      </c>
      <c r="F37" s="886" t="s">
        <v>271</v>
      </c>
      <c r="G37" s="47">
        <f>IF(F37="I",IFERROR(VLOOKUP(C37,'BG 062022'!A:C,3,FALSE),0),0)</f>
        <v>5463533</v>
      </c>
      <c r="H37" s="885"/>
      <c r="I37" s="63">
        <f>IF(F37="I",IFERROR(VLOOKUP(C37,'BG 062022'!A:D,4,FALSE),0),0)</f>
        <v>799.01</v>
      </c>
      <c r="J37" s="887"/>
      <c r="K37" s="47">
        <f>IF(F37="I",SUMIF('BG 2021'!B:B,Clasificaciones!C37,'BG 2021'!D:D),0)</f>
        <v>0</v>
      </c>
      <c r="L37" s="887"/>
      <c r="M37" s="63">
        <f>IF(F37="I",SUMIF('BG 2021'!B:B,Clasificaciones!C37,'BG 2021'!E:E),0)</f>
        <v>0</v>
      </c>
      <c r="N37" s="887"/>
      <c r="O37" s="47">
        <f>IF(F37="I",SUMIF('BG 062021'!A:A,Clasificaciones!C37,'BG 062021'!C:C),0)</f>
        <v>0</v>
      </c>
      <c r="P37" s="887"/>
      <c r="Q37" s="63">
        <f>IF(F37="I",SUMIF('BG 062021'!A:A,Clasificaciones!C37,'BG 062021'!D:D),0)</f>
        <v>0</v>
      </c>
      <c r="R37" s="888">
        <f>+VLOOKUP(C37,'CA EFE'!A:A,1,FALSE)</f>
        <v>111030123</v>
      </c>
    </row>
    <row r="38" spans="1:18" s="888" customFormat="1" hidden="1">
      <c r="A38" s="885" t="s">
        <v>3</v>
      </c>
      <c r="B38" s="885" t="s">
        <v>16</v>
      </c>
      <c r="C38" s="889">
        <v>111030124</v>
      </c>
      <c r="D38" s="889" t="s">
        <v>1497</v>
      </c>
      <c r="E38" s="886" t="s">
        <v>6</v>
      </c>
      <c r="F38" s="886" t="s">
        <v>271</v>
      </c>
      <c r="G38" s="47">
        <f>IF(F38="I",IFERROR(VLOOKUP(C38,'BG 062022'!A:C,3,FALSE),0),0)</f>
        <v>2000000</v>
      </c>
      <c r="H38" s="885"/>
      <c r="I38" s="63">
        <f>IF(F38="I",IFERROR(VLOOKUP(C38,'BG 062022'!A:D,4,FALSE),0),0)</f>
        <v>292.49</v>
      </c>
      <c r="J38" s="887"/>
      <c r="K38" s="47">
        <f>IF(F38="I",SUMIF('BG 2021'!B:B,Clasificaciones!C38,'BG 2021'!D:D),0)</f>
        <v>0</v>
      </c>
      <c r="L38" s="887"/>
      <c r="M38" s="63">
        <f>IF(F38="I",SUMIF('BG 2021'!B:B,Clasificaciones!C38,'BG 2021'!E:E),0)</f>
        <v>0</v>
      </c>
      <c r="N38" s="887"/>
      <c r="O38" s="47">
        <f>IF(F38="I",SUMIF('BG 062021'!A:A,Clasificaciones!C38,'BG 062021'!C:C),0)</f>
        <v>0</v>
      </c>
      <c r="P38" s="887"/>
      <c r="Q38" s="63">
        <f>IF(F38="I",SUMIF('BG 062021'!A:A,Clasificaciones!C38,'BG 062021'!D:D),0)</f>
        <v>0</v>
      </c>
      <c r="R38" s="888">
        <f>+VLOOKUP(C38,'CA EFE'!A:A,1,FALSE)</f>
        <v>111030124</v>
      </c>
    </row>
    <row r="39" spans="1:18" s="888" customFormat="1" hidden="1">
      <c r="A39" s="885" t="s">
        <v>3</v>
      </c>
      <c r="B39" s="885"/>
      <c r="C39" s="889">
        <v>1110302</v>
      </c>
      <c r="D39" s="889" t="s">
        <v>632</v>
      </c>
      <c r="E39" s="886" t="s">
        <v>186</v>
      </c>
      <c r="F39" s="886" t="s">
        <v>270</v>
      </c>
      <c r="G39" s="47">
        <f>IF(F39="I",IFERROR(VLOOKUP(C39,'BG 062022'!A:C,3,FALSE),0),0)</f>
        <v>0</v>
      </c>
      <c r="H39" s="885"/>
      <c r="I39" s="63">
        <f>IF(F39="I",IFERROR(VLOOKUP(C39,'BG 062022'!A:D,4,FALSE),0),0)</f>
        <v>0</v>
      </c>
      <c r="J39" s="887"/>
      <c r="K39" s="47">
        <f>IF(F39="I",SUMIF('BG 2021'!B:B,Clasificaciones!C39,'BG 2021'!D:D),0)</f>
        <v>0</v>
      </c>
      <c r="L39" s="887"/>
      <c r="M39" s="63">
        <f>IF(F39="I",SUMIF('BG 2021'!B:B,Clasificaciones!C39,'BG 2021'!E:E),0)</f>
        <v>0</v>
      </c>
      <c r="N39" s="887"/>
      <c r="O39" s="47">
        <f>IF(F39="I",SUMIF('BG 062021'!A:A,Clasificaciones!C39,'BG 062021'!C:C),0)</f>
        <v>0</v>
      </c>
      <c r="P39" s="887"/>
      <c r="Q39" s="63">
        <f>IF(F39="I",SUMIF('BG 062021'!A:A,Clasificaciones!C39,'BG 062021'!D:D),0)</f>
        <v>0</v>
      </c>
    </row>
    <row r="40" spans="1:18" s="888" customFormat="1" hidden="1">
      <c r="A40" s="885" t="s">
        <v>3</v>
      </c>
      <c r="B40" s="885" t="s">
        <v>16</v>
      </c>
      <c r="C40" s="889">
        <v>111030201</v>
      </c>
      <c r="D40" s="889" t="s">
        <v>866</v>
      </c>
      <c r="E40" s="886" t="s">
        <v>186</v>
      </c>
      <c r="F40" s="886" t="s">
        <v>271</v>
      </c>
      <c r="G40" s="47">
        <f>IF(F40="I",IFERROR(VLOOKUP(C40,'BG 062022'!A:C,3,FALSE),0),0)</f>
        <v>1</v>
      </c>
      <c r="H40" s="885"/>
      <c r="I40" s="63">
        <f>IF(F40="I",IFERROR(VLOOKUP(C40,'BG 062022'!A:D,4,FALSE),0),0)</f>
        <v>0</v>
      </c>
      <c r="J40" s="887"/>
      <c r="K40" s="47">
        <f>IF(F40="I",SUMIF('BG 2021'!B:B,Clasificaciones!C40,'BG 2021'!D:D),0)</f>
        <v>1</v>
      </c>
      <c r="L40" s="887"/>
      <c r="M40" s="63">
        <f>IF(F40="I",SUMIF('BG 2021'!B:B,Clasificaciones!C40,'BG 2021'!E:E),0)</f>
        <v>0</v>
      </c>
      <c r="N40" s="887"/>
      <c r="O40" s="47">
        <f>IF(F40="I",SUMIF('BG 062021'!A:A,Clasificaciones!C40,'BG 062021'!C:C),0)</f>
        <v>1076822324</v>
      </c>
      <c r="P40" s="887"/>
      <c r="Q40" s="63">
        <f>IF(F40="I",SUMIF('BG 062021'!A:A,Clasificaciones!C40,'BG 062021'!D:D),0)</f>
        <v>159908.75</v>
      </c>
      <c r="R40" s="888">
        <f>+VLOOKUP(C40,'CA EFE'!A:A,1,FALSE)</f>
        <v>111030201</v>
      </c>
    </row>
    <row r="41" spans="1:18" s="888" customFormat="1" hidden="1">
      <c r="A41" s="885" t="s">
        <v>3</v>
      </c>
      <c r="B41" s="885" t="s">
        <v>16</v>
      </c>
      <c r="C41" s="889">
        <v>111030202</v>
      </c>
      <c r="D41" s="889" t="s">
        <v>633</v>
      </c>
      <c r="E41" s="886" t="s">
        <v>186</v>
      </c>
      <c r="F41" s="886" t="s">
        <v>271</v>
      </c>
      <c r="G41" s="47">
        <f>IF(F41="I",IFERROR(VLOOKUP(C41,'BG 062022'!A:C,3,FALSE),0),0)</f>
        <v>581286244</v>
      </c>
      <c r="H41" s="885"/>
      <c r="I41" s="63">
        <f>IF(F41="I",IFERROR(VLOOKUP(C41,'BG 062022'!A:D,4,FALSE),0),0)</f>
        <v>85009.47</v>
      </c>
      <c r="J41" s="887"/>
      <c r="K41" s="47">
        <f>IF(F41="I",SUMIF('BG 2021'!B:B,Clasificaciones!C41,'BG 2021'!D:D),0)</f>
        <v>103749</v>
      </c>
      <c r="L41" s="887"/>
      <c r="M41" s="63">
        <f>IF(F41="I",SUMIF('BG 2021'!B:B,Clasificaciones!C41,'BG 2021'!E:E),0)</f>
        <v>15.099999994039536</v>
      </c>
      <c r="N41" s="887"/>
      <c r="O41" s="47">
        <f>IF(F41="I",SUMIF('BG 062021'!A:A,Clasificaciones!C41,'BG 062021'!C:C),0)</f>
        <v>120673</v>
      </c>
      <c r="P41" s="887"/>
      <c r="Q41" s="63">
        <f>IF(F41="I",SUMIF('BG 062021'!A:A,Clasificaciones!C41,'BG 062021'!D:D),0)</f>
        <v>17.920000000000002</v>
      </c>
      <c r="R41" s="888">
        <f>+VLOOKUP(C41,'CA EFE'!A:A,1,FALSE)</f>
        <v>111030202</v>
      </c>
    </row>
    <row r="42" spans="1:18" s="888" customFormat="1" hidden="1">
      <c r="A42" s="885" t="s">
        <v>3</v>
      </c>
      <c r="B42" s="885" t="s">
        <v>16</v>
      </c>
      <c r="C42" s="889">
        <v>111030203</v>
      </c>
      <c r="D42" s="889" t="s">
        <v>634</v>
      </c>
      <c r="E42" s="886" t="s">
        <v>186</v>
      </c>
      <c r="F42" s="886" t="s">
        <v>271</v>
      </c>
      <c r="G42" s="47">
        <f>IF(F42="I",IFERROR(VLOOKUP(C42,'BG 062022'!A:C,3,FALSE),0),0)</f>
        <v>47338782</v>
      </c>
      <c r="H42" s="885"/>
      <c r="I42" s="63">
        <f>IF(F42="I",IFERROR(VLOOKUP(C42,'BG 062022'!A:D,4,FALSE),0),0)</f>
        <v>6923</v>
      </c>
      <c r="J42" s="887"/>
      <c r="K42" s="47">
        <f>IF(F42="I",SUMIF('BG 2021'!B:B,Clasificaciones!C42,'BG 2021'!D:D),0)</f>
        <v>47566618</v>
      </c>
      <c r="L42" s="887"/>
      <c r="M42" s="63">
        <f>IF(F42="I",SUMIF('BG 2021'!B:B,Clasificaciones!C42,'BG 2021'!E:E),0)</f>
        <v>6923</v>
      </c>
      <c r="N42" s="887"/>
      <c r="O42" s="47">
        <f>IF(F42="I",SUMIF('BG 062021'!A:A,Clasificaciones!C42,'BG 062021'!C:C),0)</f>
        <v>40403880</v>
      </c>
      <c r="P42" s="887"/>
      <c r="Q42" s="63">
        <f>IF(F42="I",SUMIF('BG 062021'!A:A,Clasificaciones!C42,'BG 062021'!D:D),0)</f>
        <v>6000</v>
      </c>
      <c r="R42" s="888">
        <f>+VLOOKUP(C42,'CA EFE'!A:A,1,FALSE)</f>
        <v>111030203</v>
      </c>
    </row>
    <row r="43" spans="1:18" s="888" customFormat="1" hidden="1">
      <c r="A43" s="885" t="s">
        <v>3</v>
      </c>
      <c r="B43" s="885" t="s">
        <v>16</v>
      </c>
      <c r="C43" s="889">
        <v>111030204</v>
      </c>
      <c r="D43" s="889" t="s">
        <v>635</v>
      </c>
      <c r="E43" s="886" t="s">
        <v>186</v>
      </c>
      <c r="F43" s="886" t="s">
        <v>271</v>
      </c>
      <c r="G43" s="47">
        <f>IF(F43="I",IFERROR(VLOOKUP(C43,'BG 062022'!A:C,3,FALSE),0),0)</f>
        <v>52166681</v>
      </c>
      <c r="H43" s="885"/>
      <c r="I43" s="63">
        <f>IF(F43="I",IFERROR(VLOOKUP(C43,'BG 062022'!A:D,4,FALSE),0),0)</f>
        <v>7629.05</v>
      </c>
      <c r="J43" s="887"/>
      <c r="K43" s="47">
        <f>IF(F43="I",SUMIF('BG 2021'!B:B,Clasificaciones!C43,'BG 2021'!D:D),0)</f>
        <v>51387132</v>
      </c>
      <c r="L43" s="887"/>
      <c r="M43" s="63">
        <f>IF(F43="I",SUMIF('BG 2021'!B:B,Clasificaciones!C43,'BG 2021'!E:E),0)</f>
        <v>7479.0499999999984</v>
      </c>
      <c r="N43" s="887"/>
      <c r="O43" s="47">
        <f>IF(F43="I",SUMIF('BG 062021'!A:A,Clasificaciones!C43,'BG 062021'!C:C),0)</f>
        <v>57097753</v>
      </c>
      <c r="P43" s="887"/>
      <c r="Q43" s="63">
        <f>IF(F43="I",SUMIF('BG 062021'!A:A,Clasificaciones!C43,'BG 062021'!D:D),0)</f>
        <v>8479.0499999999993</v>
      </c>
      <c r="R43" s="888">
        <f>+VLOOKUP(C43,'CA EFE'!A:A,1,FALSE)</f>
        <v>111030204</v>
      </c>
    </row>
    <row r="44" spans="1:18" s="888" customFormat="1" hidden="1">
      <c r="A44" s="885" t="s">
        <v>3</v>
      </c>
      <c r="B44" s="885" t="s">
        <v>16</v>
      </c>
      <c r="C44" s="889">
        <v>111030205</v>
      </c>
      <c r="D44" s="889" t="s">
        <v>867</v>
      </c>
      <c r="E44" s="886" t="s">
        <v>186</v>
      </c>
      <c r="F44" s="886" t="s">
        <v>271</v>
      </c>
      <c r="G44" s="47">
        <f>IF(F44="I",IFERROR(VLOOKUP(C44,'BG 062022'!A:C,3,FALSE),0),0)</f>
        <v>0</v>
      </c>
      <c r="H44" s="885"/>
      <c r="I44" s="63">
        <f>IF(F44="I",IFERROR(VLOOKUP(C44,'BG 062022'!A:D,4,FALSE),0),0)</f>
        <v>0</v>
      </c>
      <c r="J44" s="887"/>
      <c r="K44" s="47">
        <f>IF(F44="I",SUMIF('BG 2021'!B:B,Clasificaciones!C44,'BG 2021'!D:D),0)</f>
        <v>0</v>
      </c>
      <c r="L44" s="887"/>
      <c r="M44" s="63">
        <f>IF(F44="I",SUMIF('BG 2021'!B:B,Clasificaciones!C44,'BG 2021'!E:E),0)</f>
        <v>0</v>
      </c>
      <c r="N44" s="887"/>
      <c r="O44" s="47">
        <f>IF(F44="I",SUMIF('BG 062021'!A:A,Clasificaciones!C44,'BG 062021'!C:C),0)</f>
        <v>0</v>
      </c>
      <c r="P44" s="887"/>
      <c r="Q44" s="63">
        <f>IF(F44="I",SUMIF('BG 062021'!A:A,Clasificaciones!C44,'BG 062021'!D:D),0)</f>
        <v>0</v>
      </c>
    </row>
    <row r="45" spans="1:18" s="888" customFormat="1" hidden="1">
      <c r="A45" s="885" t="s">
        <v>3</v>
      </c>
      <c r="B45" s="885" t="s">
        <v>16</v>
      </c>
      <c r="C45" s="889">
        <v>111030206</v>
      </c>
      <c r="D45" s="889" t="s">
        <v>1385</v>
      </c>
      <c r="E45" s="886" t="s">
        <v>186</v>
      </c>
      <c r="F45" s="886" t="s">
        <v>271</v>
      </c>
      <c r="G45" s="47">
        <f>IF(F45="I",IFERROR(VLOOKUP(C45,'BG 062022'!A:C,3,FALSE),0),0)</f>
        <v>43415878</v>
      </c>
      <c r="H45" s="885"/>
      <c r="I45" s="63">
        <f>IF(F45="I",IFERROR(VLOOKUP(C45,'BG 062022'!A:D,4,FALSE),0),0)</f>
        <v>6349.3</v>
      </c>
      <c r="J45" s="887"/>
      <c r="K45" s="47">
        <f>IF(F45="I",SUMIF('BG 2021'!B:B,Clasificaciones!C45,'BG 2021'!D:D),0)</f>
        <v>39661888</v>
      </c>
      <c r="L45" s="887"/>
      <c r="M45" s="63">
        <f>IF(F45="I",SUMIF('BG 2021'!B:B,Clasificaciones!C45,'BG 2021'!E:E),0)</f>
        <v>5772.5199999999031</v>
      </c>
      <c r="N45" s="887"/>
      <c r="O45" s="47">
        <f>IF(F45="I",SUMIF('BG 062021'!A:A,Clasificaciones!C45,'BG 062021'!C:C),0)</f>
        <v>104977496</v>
      </c>
      <c r="P45" s="887"/>
      <c r="Q45" s="63">
        <f>IF(F45="I",SUMIF('BG 062021'!A:A,Clasificaciones!C45,'BG 062021'!D:D),0)</f>
        <v>15589.22</v>
      </c>
      <c r="R45" s="888">
        <f>+VLOOKUP(C45,'CA EFE'!A:A,1,FALSE)</f>
        <v>111030206</v>
      </c>
    </row>
    <row r="46" spans="1:18" s="888" customFormat="1" hidden="1">
      <c r="A46" s="885" t="s">
        <v>3</v>
      </c>
      <c r="B46" s="885" t="s">
        <v>16</v>
      </c>
      <c r="C46" s="889">
        <v>111030207</v>
      </c>
      <c r="D46" s="889" t="s">
        <v>1386</v>
      </c>
      <c r="E46" s="886" t="s">
        <v>186</v>
      </c>
      <c r="F46" s="886" t="s">
        <v>271</v>
      </c>
      <c r="G46" s="47">
        <f>IF(F46="I",IFERROR(VLOOKUP(C46,'BG 062022'!A:C,3,FALSE),0),0)</f>
        <v>626352</v>
      </c>
      <c r="H46" s="885"/>
      <c r="I46" s="63">
        <f>IF(F46="I",IFERROR(VLOOKUP(C46,'BG 062022'!A:D,4,FALSE),0),0)</f>
        <v>91.6</v>
      </c>
      <c r="J46" s="887"/>
      <c r="K46" s="47">
        <f>IF(F46="I",SUMIF('BG 2021'!B:B,Clasificaciones!C46,'BG 2021'!D:D),0)</f>
        <v>12780</v>
      </c>
      <c r="L46" s="887"/>
      <c r="M46" s="63">
        <f>IF(F46="I",SUMIF('BG 2021'!B:B,Clasificaciones!C46,'BG 2021'!E:E),0)</f>
        <v>1.86</v>
      </c>
      <c r="N46" s="887"/>
      <c r="O46" s="47">
        <f>IF(F46="I",SUMIF('BG 062021'!A:A,Clasificaciones!C46,'BG 062021'!C:C),0)</f>
        <v>12525</v>
      </c>
      <c r="P46" s="887"/>
      <c r="Q46" s="63">
        <f>IF(F46="I",SUMIF('BG 062021'!A:A,Clasificaciones!C46,'BG 062021'!D:D),0)</f>
        <v>1.86</v>
      </c>
      <c r="R46" s="888">
        <f>+VLOOKUP(C46,'CA EFE'!A:A,1,FALSE)</f>
        <v>111030207</v>
      </c>
    </row>
    <row r="47" spans="1:18" s="888" customFormat="1" hidden="1">
      <c r="A47" s="885" t="s">
        <v>3</v>
      </c>
      <c r="B47" s="885" t="s">
        <v>16</v>
      </c>
      <c r="C47" s="889">
        <v>111030208</v>
      </c>
      <c r="D47" s="889" t="s">
        <v>869</v>
      </c>
      <c r="E47" s="886" t="s">
        <v>186</v>
      </c>
      <c r="F47" s="886" t="s">
        <v>271</v>
      </c>
      <c r="G47" s="47">
        <f>IF(F47="I",IFERROR(VLOOKUP(C47,'BG 062022'!A:C,3,FALSE),0),0)</f>
        <v>0</v>
      </c>
      <c r="H47" s="885"/>
      <c r="I47" s="63">
        <f>IF(F47="I",IFERROR(VLOOKUP(C47,'BG 062022'!A:D,4,FALSE),0),0)</f>
        <v>0</v>
      </c>
      <c r="J47" s="887"/>
      <c r="K47" s="47">
        <f>IF(F47="I",SUMIF('BG 2021'!B:B,Clasificaciones!C47,'BG 2021'!D:D),0)</f>
        <v>0</v>
      </c>
      <c r="L47" s="887"/>
      <c r="M47" s="63">
        <f>IF(F47="I",SUMIF('BG 2021'!B:B,Clasificaciones!C47,'BG 2021'!E:E),0)</f>
        <v>0</v>
      </c>
      <c r="N47" s="887"/>
      <c r="O47" s="47">
        <f>IF(F47="I",SUMIF('BG 062021'!A:A,Clasificaciones!C47,'BG 062021'!C:C),0)</f>
        <v>0</v>
      </c>
      <c r="P47" s="887"/>
      <c r="Q47" s="63">
        <f>IF(F47="I",SUMIF('BG 062021'!A:A,Clasificaciones!C47,'BG 062021'!D:D),0)</f>
        <v>0</v>
      </c>
    </row>
    <row r="48" spans="1:18" s="888" customFormat="1" hidden="1">
      <c r="A48" s="885" t="s">
        <v>3</v>
      </c>
      <c r="B48" s="885" t="s">
        <v>16</v>
      </c>
      <c r="C48" s="889">
        <v>111030209</v>
      </c>
      <c r="D48" s="889" t="s">
        <v>1387</v>
      </c>
      <c r="E48" s="886" t="s">
        <v>186</v>
      </c>
      <c r="F48" s="886" t="s">
        <v>271</v>
      </c>
      <c r="G48" s="47">
        <f>IF(F48="I",IFERROR(VLOOKUP(C48,'BG 062022'!A:C,3,FALSE),0),0)</f>
        <v>34668</v>
      </c>
      <c r="H48" s="885"/>
      <c r="I48" s="63">
        <f>IF(F48="I",IFERROR(VLOOKUP(C48,'BG 062022'!A:D,4,FALSE),0),0)</f>
        <v>5.07</v>
      </c>
      <c r="J48" s="887"/>
      <c r="K48" s="47">
        <f>IF(F48="I",SUMIF('BG 2021'!B:B,Clasificaciones!C48,'BG 2021'!D:D),0)</f>
        <v>34835</v>
      </c>
      <c r="L48" s="887"/>
      <c r="M48" s="63">
        <f>IF(F48="I",SUMIF('BG 2021'!B:B,Clasificaciones!C48,'BG 2021'!E:E),0)</f>
        <v>5.0699999998323619</v>
      </c>
      <c r="N48" s="887"/>
      <c r="O48" s="47">
        <f>IF(F48="I",SUMIF('BG 062021'!A:A,Clasificaciones!C48,'BG 062021'!C:C),0)</f>
        <v>2029887228</v>
      </c>
      <c r="P48" s="887"/>
      <c r="Q48" s="63">
        <f>IF(F48="I",SUMIF('BG 062021'!A:A,Clasificaciones!C48,'BG 062021'!D:D),0)</f>
        <v>301439.45</v>
      </c>
      <c r="R48" s="888">
        <f>+VLOOKUP(C48,'CA EFE'!A:A,1,FALSE)</f>
        <v>111030209</v>
      </c>
    </row>
    <row r="49" spans="1:18" s="888" customFormat="1" hidden="1">
      <c r="A49" s="885" t="s">
        <v>3</v>
      </c>
      <c r="B49" s="885" t="s">
        <v>16</v>
      </c>
      <c r="C49" s="889">
        <v>111030210</v>
      </c>
      <c r="D49" s="889" t="s">
        <v>1388</v>
      </c>
      <c r="E49" s="886" t="s">
        <v>186</v>
      </c>
      <c r="F49" s="886" t="s">
        <v>271</v>
      </c>
      <c r="G49" s="47">
        <f>IF(F49="I",IFERROR(VLOOKUP(C49,'BG 062022'!A:C,3,FALSE),0),0)</f>
        <v>52164636</v>
      </c>
      <c r="H49" s="885"/>
      <c r="I49" s="63">
        <f>IF(F49="I",IFERROR(VLOOKUP(C49,'BG 062022'!A:D,4,FALSE),0),0)</f>
        <v>7628.75</v>
      </c>
      <c r="J49" s="887"/>
      <c r="K49" s="47">
        <f>IF(F49="I",SUMIF('BG 2021'!B:B,Clasificaciones!C49,'BG 2021'!D:D),0)</f>
        <v>28300935</v>
      </c>
      <c r="L49" s="887"/>
      <c r="M49" s="63">
        <f>IF(F49="I",SUMIF('BG 2021'!B:B,Clasificaciones!C49,'BG 2021'!E:E),0)</f>
        <v>4119.0100000000093</v>
      </c>
      <c r="N49" s="887"/>
      <c r="O49" s="47">
        <f>IF(F49="I",SUMIF('BG 062021'!A:A,Clasificaciones!C49,'BG 062021'!C:C),0)</f>
        <v>165352744</v>
      </c>
      <c r="P49" s="887"/>
      <c r="Q49" s="63">
        <f>IF(F49="I",SUMIF('BG 062021'!A:A,Clasificaciones!C49,'BG 062021'!D:D),0)</f>
        <v>24554.98</v>
      </c>
      <c r="R49" s="888">
        <f>+VLOOKUP(C49,'CA EFE'!A:A,1,FALSE)</f>
        <v>111030210</v>
      </c>
    </row>
    <row r="50" spans="1:18" s="888" customFormat="1" hidden="1">
      <c r="A50" s="885" t="s">
        <v>3</v>
      </c>
      <c r="B50" s="885" t="s">
        <v>16</v>
      </c>
      <c r="C50" s="889">
        <v>111030211</v>
      </c>
      <c r="D50" s="889" t="s">
        <v>639</v>
      </c>
      <c r="E50" s="886" t="s">
        <v>186</v>
      </c>
      <c r="F50" s="886" t="s">
        <v>271</v>
      </c>
      <c r="G50" s="47">
        <f>IF(F50="I",IFERROR(VLOOKUP(C50,'BG 062022'!A:C,3,FALSE),0),0)</f>
        <v>22860878</v>
      </c>
      <c r="H50" s="885"/>
      <c r="I50" s="63">
        <f>IF(F50="I",IFERROR(VLOOKUP(C50,'BG 062022'!A:D,4,FALSE),0),0)</f>
        <v>3343.26</v>
      </c>
      <c r="J50" s="887"/>
      <c r="K50" s="47">
        <f>IF(F50="I",SUMIF('BG 2021'!B:B,Clasificaciones!C50,'BG 2021'!D:D),0)</f>
        <v>16401929</v>
      </c>
      <c r="L50" s="887"/>
      <c r="M50" s="63">
        <f>IF(F50="I",SUMIF('BG 2021'!B:B,Clasificaciones!C50,'BG 2021'!E:E),0)</f>
        <v>2387.1900000000023</v>
      </c>
      <c r="N50" s="887"/>
      <c r="O50" s="47">
        <f>IF(F50="I",SUMIF('BG 062021'!A:A,Clasificaciones!C50,'BG 062021'!C:C),0)</f>
        <v>8504545</v>
      </c>
      <c r="P50" s="887"/>
      <c r="Q50" s="63">
        <f>IF(F50="I",SUMIF('BG 062021'!A:A,Clasificaciones!C50,'BG 062021'!D:D),0)</f>
        <v>1262.93</v>
      </c>
      <c r="R50" s="888">
        <f>+VLOOKUP(C50,'CA EFE'!A:A,1,FALSE)</f>
        <v>111030211</v>
      </c>
    </row>
    <row r="51" spans="1:18" s="888" customFormat="1" hidden="1">
      <c r="A51" s="885" t="s">
        <v>3</v>
      </c>
      <c r="B51" s="885" t="s">
        <v>16</v>
      </c>
      <c r="C51" s="889">
        <v>111030212</v>
      </c>
      <c r="D51" s="889" t="s">
        <v>640</v>
      </c>
      <c r="E51" s="886" t="s">
        <v>186</v>
      </c>
      <c r="F51" s="886" t="s">
        <v>271</v>
      </c>
      <c r="G51" s="47">
        <f>IF(F51="I",IFERROR(VLOOKUP(C51,'BG 062022'!A:C,3,FALSE),0),0)</f>
        <v>45566603</v>
      </c>
      <c r="H51" s="885"/>
      <c r="I51" s="63">
        <f>IF(F51="I",IFERROR(VLOOKUP(C51,'BG 062022'!A:D,4,FALSE),0),0)</f>
        <v>6663.83</v>
      </c>
      <c r="J51" s="887"/>
      <c r="K51" s="47">
        <f>IF(F51="I",SUMIF('BG 2021'!B:B,Clasificaciones!C51,'BG 2021'!D:D),0)</f>
        <v>22914151</v>
      </c>
      <c r="L51" s="887"/>
      <c r="M51" s="63">
        <f>IF(F51="I",SUMIF('BG 2021'!B:B,Clasificaciones!C51,'BG 2021'!E:E),0)</f>
        <v>3335</v>
      </c>
      <c r="N51" s="887"/>
      <c r="O51" s="47">
        <f>IF(F51="I",SUMIF('BG 062021'!A:A,Clasificaciones!C51,'BG 062021'!C:C),0)</f>
        <v>19831571</v>
      </c>
      <c r="P51" s="887"/>
      <c r="Q51" s="63">
        <f>IF(F51="I",SUMIF('BG 062021'!A:A,Clasificaciones!C51,'BG 062021'!D:D),0)</f>
        <v>2945</v>
      </c>
      <c r="R51" s="888">
        <f>+VLOOKUP(C51,'CA EFE'!A:A,1,FALSE)</f>
        <v>111030212</v>
      </c>
    </row>
    <row r="52" spans="1:18" s="888" customFormat="1" hidden="1">
      <c r="A52" s="885" t="s">
        <v>3</v>
      </c>
      <c r="B52" s="885" t="s">
        <v>16</v>
      </c>
      <c r="C52" s="889">
        <v>111030213</v>
      </c>
      <c r="D52" s="889" t="s">
        <v>870</v>
      </c>
      <c r="E52" s="886" t="s">
        <v>186</v>
      </c>
      <c r="F52" s="886" t="s">
        <v>271</v>
      </c>
      <c r="G52" s="47">
        <f>IF(F52="I",IFERROR(VLOOKUP(C52,'BG 062022'!A:C,3,FALSE),0),0)</f>
        <v>0</v>
      </c>
      <c r="H52" s="885"/>
      <c r="I52" s="63">
        <f>IF(F52="I",IFERROR(VLOOKUP(C52,'BG 062022'!A:D,4,FALSE),0),0)</f>
        <v>0</v>
      </c>
      <c r="J52" s="887"/>
      <c r="K52" s="47">
        <f>IF(F52="I",SUMIF('BG 2021'!B:B,Clasificaciones!C52,'BG 2021'!D:D),0)</f>
        <v>0</v>
      </c>
      <c r="L52" s="887"/>
      <c r="M52" s="63">
        <f>IF(F52="I",SUMIF('BG 2021'!B:B,Clasificaciones!C52,'BG 2021'!E:E),0)</f>
        <v>0</v>
      </c>
      <c r="N52" s="887"/>
      <c r="O52" s="47">
        <f>IF(F52="I",SUMIF('BG 062021'!A:A,Clasificaciones!C52,'BG 062021'!C:C),0)</f>
        <v>0</v>
      </c>
      <c r="P52" s="887"/>
      <c r="Q52" s="63">
        <f>IF(F52="I",SUMIF('BG 062021'!A:A,Clasificaciones!C52,'BG 062021'!D:D),0)</f>
        <v>0</v>
      </c>
    </row>
    <row r="53" spans="1:18" s="888" customFormat="1" hidden="1">
      <c r="A53" s="885" t="s">
        <v>3</v>
      </c>
      <c r="B53" s="885" t="s">
        <v>16</v>
      </c>
      <c r="C53" s="889">
        <v>111030214</v>
      </c>
      <c r="D53" s="889" t="s">
        <v>641</v>
      </c>
      <c r="E53" s="886" t="s">
        <v>186</v>
      </c>
      <c r="F53" s="886" t="s">
        <v>271</v>
      </c>
      <c r="G53" s="47">
        <f>IF(F53="I",IFERROR(VLOOKUP(C53,'BG 062022'!A:C,3,FALSE),0),0)</f>
        <v>42633192</v>
      </c>
      <c r="H53" s="885"/>
      <c r="I53" s="63">
        <f>IF(F53="I",IFERROR(VLOOKUP(C53,'BG 062022'!A:D,4,FALSE),0),0)</f>
        <v>6234.84</v>
      </c>
      <c r="J53" s="887"/>
      <c r="K53" s="47">
        <f>IF(F53="I",SUMIF('BG 2021'!B:B,Clasificaciones!C53,'BG 2021'!D:D),0)</f>
        <v>10492</v>
      </c>
      <c r="L53" s="887"/>
      <c r="M53" s="63">
        <f>IF(F53="I",SUMIF('BG 2021'!B:B,Clasificaciones!C53,'BG 2021'!E:E),0)</f>
        <v>1.5270000002346935</v>
      </c>
      <c r="N53" s="887"/>
      <c r="O53" s="47">
        <f>IF(F53="I",SUMIF('BG 062021'!A:A,Clasificaciones!C53,'BG 062021'!C:C),0)</f>
        <v>9226</v>
      </c>
      <c r="P53" s="887"/>
      <c r="Q53" s="63">
        <f>IF(F53="I",SUMIF('BG 062021'!A:A,Clasificaciones!C53,'BG 062021'!D:D),0)</f>
        <v>1.37</v>
      </c>
      <c r="R53" s="888">
        <f>+VLOOKUP(C53,'CA EFE'!A:A,1,FALSE)</f>
        <v>111030214</v>
      </c>
    </row>
    <row r="54" spans="1:18" s="888" customFormat="1" hidden="1">
      <c r="A54" s="885" t="s">
        <v>3</v>
      </c>
      <c r="B54" s="885" t="s">
        <v>16</v>
      </c>
      <c r="C54" s="889">
        <v>111030215</v>
      </c>
      <c r="D54" s="889" t="s">
        <v>871</v>
      </c>
      <c r="E54" s="886" t="s">
        <v>186</v>
      </c>
      <c r="F54" s="886" t="s">
        <v>271</v>
      </c>
      <c r="G54" s="47">
        <f>IF(F54="I",IFERROR(VLOOKUP(C54,'BG 062022'!A:C,3,FALSE),0),0)</f>
        <v>0</v>
      </c>
      <c r="H54" s="885"/>
      <c r="I54" s="63">
        <f>IF(F54="I",IFERROR(VLOOKUP(C54,'BG 062022'!A:D,4,FALSE),0),0)</f>
        <v>0</v>
      </c>
      <c r="J54" s="887"/>
      <c r="K54" s="47">
        <f>IF(F54="I",SUMIF('BG 2021'!B:B,Clasificaciones!C54,'BG 2021'!D:D),0)</f>
        <v>0</v>
      </c>
      <c r="L54" s="887"/>
      <c r="M54" s="63">
        <f>IF(F54="I",SUMIF('BG 2021'!B:B,Clasificaciones!C54,'BG 2021'!E:E),0)</f>
        <v>0</v>
      </c>
      <c r="N54" s="887"/>
      <c r="O54" s="47">
        <f>IF(F54="I",SUMIF('BG 062021'!A:A,Clasificaciones!C54,'BG 062021'!C:C),0)</f>
        <v>0</v>
      </c>
      <c r="P54" s="887"/>
      <c r="Q54" s="63">
        <f>IF(F54="I",SUMIF('BG 062021'!A:A,Clasificaciones!C54,'BG 062021'!D:D),0)</f>
        <v>0</v>
      </c>
    </row>
    <row r="55" spans="1:18" s="888" customFormat="1" hidden="1">
      <c r="A55" s="885" t="s">
        <v>3</v>
      </c>
      <c r="B55" s="885" t="s">
        <v>16</v>
      </c>
      <c r="C55" s="889">
        <v>111030216</v>
      </c>
      <c r="D55" s="889" t="s">
        <v>872</v>
      </c>
      <c r="E55" s="886" t="s">
        <v>186</v>
      </c>
      <c r="F55" s="886" t="s">
        <v>271</v>
      </c>
      <c r="G55" s="47">
        <f>IF(F55="I",IFERROR(VLOOKUP(C55,'BG 062022'!A:C,3,FALSE),0),0)</f>
        <v>6841251</v>
      </c>
      <c r="H55" s="885"/>
      <c r="I55" s="63">
        <f>IF(F55="I",IFERROR(VLOOKUP(C55,'BG 062022'!A:D,4,FALSE),0),0)</f>
        <v>1000.49</v>
      </c>
      <c r="J55" s="887"/>
      <c r="K55" s="47">
        <f>IF(F55="I",SUMIF('BG 2021'!B:B,Clasificaciones!C55,'BG 2021'!D:D),0)</f>
        <v>6871291</v>
      </c>
      <c r="L55" s="887"/>
      <c r="M55" s="63">
        <f>IF(F55="I",SUMIF('BG 2021'!B:B,Clasificaciones!C55,'BG 2021'!E:E),0)</f>
        <v>1000.0700000000651</v>
      </c>
      <c r="N55" s="887"/>
      <c r="O55" s="47">
        <f>IF(F55="I",SUMIF('BG 062021'!A:A,Clasificaciones!C55,'BG 062021'!C:C),0)</f>
        <v>0</v>
      </c>
      <c r="P55" s="887"/>
      <c r="Q55" s="63">
        <f>IF(F55="I",SUMIF('BG 062021'!A:A,Clasificaciones!C55,'BG 062021'!D:D),0)</f>
        <v>0</v>
      </c>
      <c r="R55" s="888">
        <f>+VLOOKUP(C55,'CA EFE'!A:A,1,FALSE)</f>
        <v>111030216</v>
      </c>
    </row>
    <row r="56" spans="1:18" s="888" customFormat="1" hidden="1">
      <c r="A56" s="885" t="s">
        <v>3</v>
      </c>
      <c r="B56" s="885" t="s">
        <v>16</v>
      </c>
      <c r="C56" s="889">
        <v>111030217</v>
      </c>
      <c r="D56" s="889" t="s">
        <v>642</v>
      </c>
      <c r="E56" s="886" t="s">
        <v>186</v>
      </c>
      <c r="F56" s="886" t="s">
        <v>271</v>
      </c>
      <c r="G56" s="47">
        <f>IF(F56="I",IFERROR(VLOOKUP(C56,'BG 062022'!A:C,3,FALSE),0),0)</f>
        <v>93216304</v>
      </c>
      <c r="H56" s="885"/>
      <c r="I56" s="63">
        <f>IF(F56="I",IFERROR(VLOOKUP(C56,'BG 062022'!A:D,4,FALSE),0),0)</f>
        <v>13632.3</v>
      </c>
      <c r="J56" s="887"/>
      <c r="K56" s="47">
        <f>IF(F56="I",SUMIF('BG 2021'!B:B,Clasificaciones!C56,'BG 2021'!D:D),0)</f>
        <v>61362792</v>
      </c>
      <c r="L56" s="887"/>
      <c r="M56" s="63">
        <f>IF(F56="I",SUMIF('BG 2021'!B:B,Clasificaciones!C56,'BG 2021'!E:E),0)</f>
        <v>8930.9399999999441</v>
      </c>
      <c r="N56" s="887"/>
      <c r="O56" s="47">
        <f>IF(F56="I",SUMIF('BG 062021'!A:A,Clasificaciones!C56,'BG 062021'!C:C),0)</f>
        <v>101727879</v>
      </c>
      <c r="P56" s="887"/>
      <c r="Q56" s="63">
        <f>IF(F56="I",SUMIF('BG 062021'!A:A,Clasificaciones!C56,'BG 062021'!D:D),0)</f>
        <v>15106.65</v>
      </c>
      <c r="R56" s="888">
        <f>+VLOOKUP(C56,'CA EFE'!A:A,1,FALSE)</f>
        <v>111030217</v>
      </c>
    </row>
    <row r="57" spans="1:18" s="888" customFormat="1" hidden="1">
      <c r="A57" s="885" t="s">
        <v>3</v>
      </c>
      <c r="B57" s="885" t="s">
        <v>16</v>
      </c>
      <c r="C57" s="889">
        <v>111030218</v>
      </c>
      <c r="D57" s="889" t="s">
        <v>643</v>
      </c>
      <c r="E57" s="886" t="s">
        <v>186</v>
      </c>
      <c r="F57" s="886" t="s">
        <v>271</v>
      </c>
      <c r="G57" s="47">
        <f>IF(F57="I",IFERROR(VLOOKUP(C57,'BG 062022'!A:C,3,FALSE),0),0)</f>
        <v>28237311</v>
      </c>
      <c r="H57" s="885"/>
      <c r="I57" s="63">
        <f>IF(F57="I",IFERROR(VLOOKUP(C57,'BG 062022'!A:D,4,FALSE),0),0)</f>
        <v>4129.53</v>
      </c>
      <c r="J57" s="887"/>
      <c r="K57" s="47">
        <f>IF(F57="I",SUMIF('BG 2021'!B:B,Clasificaciones!C57,'BG 2021'!D:D),0)</f>
        <v>26311969</v>
      </c>
      <c r="L57" s="887"/>
      <c r="M57" s="63">
        <f>IF(F57="I",SUMIF('BG 2021'!B:B,Clasificaciones!C57,'BG 2021'!E:E),0)</f>
        <v>3829.5299999999988</v>
      </c>
      <c r="N57" s="887"/>
      <c r="O57" s="47">
        <f>IF(F57="I",SUMIF('BG 062021'!A:A,Clasificaciones!C57,'BG 062021'!C:C),0)</f>
        <v>24928654</v>
      </c>
      <c r="P57" s="887"/>
      <c r="Q57" s="63">
        <f>IF(F57="I",SUMIF('BG 062021'!A:A,Clasificaciones!C57,'BG 062021'!D:D),0)</f>
        <v>3701.92</v>
      </c>
      <c r="R57" s="888">
        <f>+VLOOKUP(C57,'CA EFE'!A:A,1,FALSE)</f>
        <v>111030218</v>
      </c>
    </row>
    <row r="58" spans="1:18" s="888" customFormat="1" hidden="1">
      <c r="A58" s="885" t="s">
        <v>3</v>
      </c>
      <c r="B58" s="885" t="s">
        <v>16</v>
      </c>
      <c r="C58" s="889">
        <v>111030219</v>
      </c>
      <c r="D58" s="889" t="s">
        <v>644</v>
      </c>
      <c r="E58" s="886" t="s">
        <v>186</v>
      </c>
      <c r="F58" s="886" t="s">
        <v>271</v>
      </c>
      <c r="G58" s="47">
        <f>IF(F58="I",IFERROR(VLOOKUP(C58,'BG 062022'!A:C,3,FALSE),0),0)</f>
        <v>19565557</v>
      </c>
      <c r="H58" s="885"/>
      <c r="I58" s="63">
        <f>IF(F58="I",IFERROR(VLOOKUP(C58,'BG 062022'!A:D,4,FALSE),0),0)</f>
        <v>2861.34</v>
      </c>
      <c r="J58" s="887"/>
      <c r="K58" s="47">
        <f>IF(F58="I",SUMIF('BG 2021'!B:B,Clasificaciones!C58,'BG 2021'!D:D),0)</f>
        <v>20109555</v>
      </c>
      <c r="L58" s="887"/>
      <c r="M58" s="63">
        <f>IF(F58="I",SUMIF('BG 2021'!B:B,Clasificaciones!C58,'BG 2021'!E:E),0)</f>
        <v>2926.8099999995902</v>
      </c>
      <c r="N58" s="887"/>
      <c r="O58" s="47">
        <f>IF(F58="I",SUMIF('BG 062021'!A:A,Clasificaciones!C58,'BG 062021'!C:C),0)</f>
        <v>13484997</v>
      </c>
      <c r="P58" s="887"/>
      <c r="Q58" s="63">
        <f>IF(F58="I",SUMIF('BG 062021'!A:A,Clasificaciones!C58,'BG 062021'!D:D),0)</f>
        <v>2002.53</v>
      </c>
      <c r="R58" s="888">
        <f>+VLOOKUP(C58,'CA EFE'!A:A,1,FALSE)</f>
        <v>111030219</v>
      </c>
    </row>
    <row r="59" spans="1:18" s="888" customFormat="1" hidden="1">
      <c r="A59" s="885" t="s">
        <v>3</v>
      </c>
      <c r="B59" s="885" t="s">
        <v>16</v>
      </c>
      <c r="C59" s="889">
        <v>111030220</v>
      </c>
      <c r="D59" s="889" t="s">
        <v>1499</v>
      </c>
      <c r="E59" s="886" t="s">
        <v>186</v>
      </c>
      <c r="F59" s="886" t="s">
        <v>271</v>
      </c>
      <c r="G59" s="47">
        <f>IF(F59="I",IFERROR(VLOOKUP(C59,'BG 062022'!A:C,3,FALSE),0),0)</f>
        <v>25334761</v>
      </c>
      <c r="H59" s="885"/>
      <c r="I59" s="63">
        <f>IF(F59="I",IFERROR(VLOOKUP(C59,'BG 062022'!A:D,4,FALSE),0),0)</f>
        <v>3705.05</v>
      </c>
      <c r="J59" s="887"/>
      <c r="K59" s="47">
        <f>IF(F59="I",SUMIF('BG 2021'!B:B,Clasificaciones!C59,'BG 2021'!D:D),0)</f>
        <v>0</v>
      </c>
      <c r="L59" s="887"/>
      <c r="M59" s="63">
        <f>IF(F59="I",SUMIF('BG 2021'!B:B,Clasificaciones!C59,'BG 2021'!E:E),0)</f>
        <v>0</v>
      </c>
      <c r="N59" s="887"/>
      <c r="O59" s="47">
        <f>IF(F59="I",SUMIF('BG 062021'!A:A,Clasificaciones!C59,'BG 062021'!C:C),0)</f>
        <v>0</v>
      </c>
      <c r="P59" s="887"/>
      <c r="Q59" s="63">
        <f>IF(F59="I",SUMIF('BG 062021'!A:A,Clasificaciones!C59,'BG 062021'!D:D),0)</f>
        <v>0</v>
      </c>
      <c r="R59" s="888">
        <f>+VLOOKUP(C59,'CA EFE'!A:A,1,FALSE)</f>
        <v>111030220</v>
      </c>
    </row>
    <row r="60" spans="1:18" s="888" customFormat="1" hidden="1">
      <c r="A60" s="885" t="s">
        <v>3</v>
      </c>
      <c r="B60" s="885" t="s">
        <v>16</v>
      </c>
      <c r="C60" s="889">
        <v>111030221</v>
      </c>
      <c r="D60" s="889" t="s">
        <v>1496</v>
      </c>
      <c r="E60" s="886" t="s">
        <v>186</v>
      </c>
      <c r="F60" s="886" t="s">
        <v>271</v>
      </c>
      <c r="G60" s="47">
        <f>IF(F60="I",IFERROR(VLOOKUP(C60,'BG 062022'!A:C,3,FALSE),0),0)</f>
        <v>20744958</v>
      </c>
      <c r="H60" s="885"/>
      <c r="I60" s="63">
        <f>IF(F60="I",IFERROR(VLOOKUP(C60,'BG 062022'!A:D,4,FALSE),0),0)</f>
        <v>3033.82</v>
      </c>
      <c r="J60" s="887"/>
      <c r="K60" s="47">
        <f>IF(F60="I",SUMIF('BG 2021'!B:B,Clasificaciones!C60,'BG 2021'!D:D),0)</f>
        <v>0</v>
      </c>
      <c r="L60" s="887"/>
      <c r="M60" s="63">
        <f>IF(F60="I",SUMIF('BG 2021'!B:B,Clasificaciones!C60,'BG 2021'!E:E),0)</f>
        <v>0</v>
      </c>
      <c r="N60" s="887"/>
      <c r="O60" s="47">
        <f>IF(F60="I",SUMIF('BG 062021'!A:A,Clasificaciones!C60,'BG 062021'!C:C),0)</f>
        <v>0</v>
      </c>
      <c r="P60" s="887"/>
      <c r="Q60" s="63">
        <f>IF(F60="I",SUMIF('BG 062021'!A:A,Clasificaciones!C60,'BG 062021'!D:D),0)</f>
        <v>0</v>
      </c>
    </row>
    <row r="61" spans="1:18" s="888" customFormat="1" hidden="1">
      <c r="A61" s="885" t="s">
        <v>3</v>
      </c>
      <c r="B61" s="885" t="s">
        <v>16</v>
      </c>
      <c r="C61" s="889">
        <v>111030222</v>
      </c>
      <c r="D61" s="889" t="s">
        <v>1500</v>
      </c>
      <c r="E61" s="886" t="s">
        <v>186</v>
      </c>
      <c r="F61" s="886" t="s">
        <v>271</v>
      </c>
      <c r="G61" s="47">
        <f>IF(F61="I",IFERROR(VLOOKUP(C61,'BG 062022'!A:C,3,FALSE),0),0)</f>
        <v>6708322</v>
      </c>
      <c r="H61" s="885"/>
      <c r="I61" s="63">
        <f>IF(F61="I",IFERROR(VLOOKUP(C61,'BG 062022'!A:D,4,FALSE),0),0)</f>
        <v>981.05</v>
      </c>
      <c r="J61" s="887"/>
      <c r="K61" s="47">
        <f>IF(F61="I",SUMIF('BG 2021'!B:B,Clasificaciones!C61,'BG 2021'!D:D),0)</f>
        <v>0</v>
      </c>
      <c r="L61" s="887"/>
      <c r="M61" s="63">
        <f>IF(F61="I",SUMIF('BG 2021'!B:B,Clasificaciones!C61,'BG 2021'!E:E),0)</f>
        <v>0</v>
      </c>
      <c r="N61" s="887"/>
      <c r="O61" s="47">
        <f>IF(F61="I",SUMIF('BG 062021'!A:A,Clasificaciones!C61,'BG 062021'!C:C),0)</f>
        <v>0</v>
      </c>
      <c r="P61" s="887"/>
      <c r="Q61" s="63">
        <f>IF(F61="I",SUMIF('BG 062021'!A:A,Clasificaciones!C61,'BG 062021'!D:D),0)</f>
        <v>0</v>
      </c>
      <c r="R61" s="888">
        <f>+VLOOKUP(C61,'CA EFE'!A:A,1,FALSE)</f>
        <v>111030222</v>
      </c>
    </row>
    <row r="62" spans="1:18" s="888" customFormat="1" hidden="1">
      <c r="A62" s="885" t="s">
        <v>3</v>
      </c>
      <c r="B62" s="885" t="s">
        <v>16</v>
      </c>
      <c r="C62" s="889">
        <v>11104</v>
      </c>
      <c r="D62" s="889" t="s">
        <v>873</v>
      </c>
      <c r="E62" s="886" t="s">
        <v>6</v>
      </c>
      <c r="F62" s="886" t="s">
        <v>271</v>
      </c>
      <c r="G62" s="47">
        <f>IF(F62="I",IFERROR(VLOOKUP(C62,'BG 062022'!A:C,3,FALSE),0),0)</f>
        <v>0</v>
      </c>
      <c r="H62" s="885"/>
      <c r="I62" s="63">
        <f>IF(F62="I",IFERROR(VLOOKUP(C62,'BG 062022'!A:D,4,FALSE),0),0)</f>
        <v>0</v>
      </c>
      <c r="J62" s="887"/>
      <c r="K62" s="47">
        <f>IF(F62="I",SUMIF('BG 2021'!B:B,Clasificaciones!C62,'BG 2021'!D:D),0)</f>
        <v>0</v>
      </c>
      <c r="L62" s="887"/>
      <c r="M62" s="63">
        <f>IF(F62="I",SUMIF('BG 2021'!B:B,Clasificaciones!C62,'BG 2021'!E:E),0)</f>
        <v>0</v>
      </c>
      <c r="N62" s="887"/>
      <c r="O62" s="47">
        <f>IF(F62="I",SUMIF('BG 062021'!A:A,Clasificaciones!C62,'BG 062021'!C:C),0)</f>
        <v>0</v>
      </c>
      <c r="P62" s="887"/>
      <c r="Q62" s="63">
        <f>IF(F62="I",SUMIF('BG 062021'!A:A,Clasificaciones!C62,'BG 062021'!D:D),0)</f>
        <v>0</v>
      </c>
    </row>
    <row r="63" spans="1:18" s="888" customFormat="1" hidden="1">
      <c r="A63" s="885" t="s">
        <v>3</v>
      </c>
      <c r="B63" s="885" t="s">
        <v>16</v>
      </c>
      <c r="C63" s="889">
        <v>11105</v>
      </c>
      <c r="D63" s="889" t="s">
        <v>874</v>
      </c>
      <c r="E63" s="886" t="s">
        <v>6</v>
      </c>
      <c r="F63" s="886" t="s">
        <v>271</v>
      </c>
      <c r="G63" s="47">
        <f>IF(F63="I",IFERROR(VLOOKUP(C63,'BG 062022'!A:C,3,FALSE),0),0)</f>
        <v>0</v>
      </c>
      <c r="H63" s="885"/>
      <c r="I63" s="63">
        <f>IF(F63="I",IFERROR(VLOOKUP(C63,'BG 062022'!A:D,4,FALSE),0),0)</f>
        <v>0</v>
      </c>
      <c r="J63" s="887"/>
      <c r="K63" s="47">
        <f>IF(F63="I",SUMIF('BG 2021'!B:B,Clasificaciones!C63,'BG 2021'!D:D),0)</f>
        <v>0</v>
      </c>
      <c r="L63" s="887"/>
      <c r="M63" s="63">
        <f>IF(F63="I",SUMIF('BG 2021'!B:B,Clasificaciones!C63,'BG 2021'!E:E),0)</f>
        <v>0</v>
      </c>
      <c r="N63" s="887"/>
      <c r="O63" s="47">
        <f>IF(F63="I",SUMIF('BG 062021'!A:A,Clasificaciones!C63,'BG 062021'!C:C),0)</f>
        <v>0</v>
      </c>
      <c r="P63" s="887"/>
      <c r="Q63" s="63">
        <f>IF(F63="I",SUMIF('BG 062021'!A:A,Clasificaciones!C63,'BG 062021'!D:D),0)</f>
        <v>0</v>
      </c>
    </row>
    <row r="64" spans="1:18" s="888" customFormat="1" hidden="1">
      <c r="A64" s="885" t="s">
        <v>3</v>
      </c>
      <c r="B64" s="885" t="s">
        <v>16</v>
      </c>
      <c r="C64" s="889">
        <v>11106</v>
      </c>
      <c r="D64" s="889" t="s">
        <v>875</v>
      </c>
      <c r="E64" s="886" t="s">
        <v>6</v>
      </c>
      <c r="F64" s="886" t="s">
        <v>271</v>
      </c>
      <c r="G64" s="47">
        <f>IF(F64="I",IFERROR(VLOOKUP(C64,'BG 062022'!A:C,3,FALSE),0),0)</f>
        <v>0</v>
      </c>
      <c r="H64" s="885"/>
      <c r="I64" s="63">
        <f>IF(F64="I",IFERROR(VLOOKUP(C64,'BG 062022'!A:D,4,FALSE),0),0)</f>
        <v>0</v>
      </c>
      <c r="J64" s="887"/>
      <c r="K64" s="47">
        <f>IF(F64="I",SUMIF('BG 2021'!B:B,Clasificaciones!C64,'BG 2021'!D:D),0)</f>
        <v>0</v>
      </c>
      <c r="L64" s="887"/>
      <c r="M64" s="63">
        <f>IF(F64="I",SUMIF('BG 2021'!B:B,Clasificaciones!C64,'BG 2021'!E:E),0)</f>
        <v>0</v>
      </c>
      <c r="N64" s="887"/>
      <c r="O64" s="47">
        <f>IF(F64="I",SUMIF('BG 062021'!A:A,Clasificaciones!C64,'BG 062021'!C:C),0)</f>
        <v>0</v>
      </c>
      <c r="P64" s="887"/>
      <c r="Q64" s="63">
        <f>IF(F64="I",SUMIF('BG 062021'!A:A,Clasificaciones!C64,'BG 062021'!D:D),0)</f>
        <v>0</v>
      </c>
    </row>
    <row r="65" spans="1:18" s="888" customFormat="1" hidden="1">
      <c r="A65" s="885" t="s">
        <v>3</v>
      </c>
      <c r="B65" s="885" t="s">
        <v>16</v>
      </c>
      <c r="C65" s="889">
        <v>11107</v>
      </c>
      <c r="D65" s="889" t="s">
        <v>876</v>
      </c>
      <c r="E65" s="886" t="s">
        <v>6</v>
      </c>
      <c r="F65" s="886" t="s">
        <v>271</v>
      </c>
      <c r="G65" s="47">
        <f>IF(F65="I",IFERROR(VLOOKUP(C65,'BG 062022'!A:C,3,FALSE),0),0)</f>
        <v>0</v>
      </c>
      <c r="H65" s="885"/>
      <c r="I65" s="63">
        <f>IF(F65="I",IFERROR(VLOOKUP(C65,'BG 062022'!A:D,4,FALSE),0),0)</f>
        <v>0</v>
      </c>
      <c r="J65" s="887"/>
      <c r="K65" s="47">
        <f>IF(F65="I",SUMIF('BG 2021'!B:B,Clasificaciones!C65,'BG 2021'!D:D),0)</f>
        <v>0</v>
      </c>
      <c r="L65" s="887"/>
      <c r="M65" s="63">
        <f>IF(F65="I",SUMIF('BG 2021'!B:B,Clasificaciones!C65,'BG 2021'!E:E),0)</f>
        <v>0</v>
      </c>
      <c r="N65" s="887"/>
      <c r="O65" s="47">
        <f>IF(F65="I",SUMIF('BG 062021'!A:A,Clasificaciones!C65,'BG 062021'!C:C),0)</f>
        <v>0</v>
      </c>
      <c r="P65" s="887"/>
      <c r="Q65" s="63">
        <f>IF(F65="I",SUMIF('BG 062021'!A:A,Clasificaciones!C65,'BG 062021'!D:D),0)</f>
        <v>0</v>
      </c>
    </row>
    <row r="66" spans="1:18" s="888" customFormat="1" hidden="1">
      <c r="A66" s="885" t="s">
        <v>3</v>
      </c>
      <c r="B66" s="885"/>
      <c r="C66" s="889">
        <v>112</v>
      </c>
      <c r="D66" s="889" t="s">
        <v>206</v>
      </c>
      <c r="E66" s="886" t="s">
        <v>6</v>
      </c>
      <c r="F66" s="886" t="s">
        <v>270</v>
      </c>
      <c r="G66" s="47">
        <f>IF(F66="I",IFERROR(VLOOKUP(C66,'BG 062022'!A:C,3,FALSE),0),0)</f>
        <v>0</v>
      </c>
      <c r="H66" s="885"/>
      <c r="I66" s="63">
        <f>IF(F66="I",IFERROR(VLOOKUP(C66,'BG 062022'!A:D,4,FALSE),0),0)</f>
        <v>0</v>
      </c>
      <c r="J66" s="887"/>
      <c r="K66" s="47">
        <f>IF(F66="I",SUMIF('BG 2021'!B:B,Clasificaciones!C66,'BG 2021'!D:D),0)</f>
        <v>0</v>
      </c>
      <c r="L66" s="887"/>
      <c r="M66" s="63">
        <f>IF(F66="I",SUMIF('BG 2021'!B:B,Clasificaciones!C66,'BG 2021'!E:E),0)</f>
        <v>0</v>
      </c>
      <c r="N66" s="887"/>
      <c r="O66" s="47">
        <f>IF(F66="I",SUMIF('BG 062021'!A:A,Clasificaciones!C66,'BG 062021'!C:C),0)</f>
        <v>0</v>
      </c>
      <c r="P66" s="887"/>
      <c r="Q66" s="63">
        <f>IF(F66="I",SUMIF('BG 062021'!A:A,Clasificaciones!C66,'BG 062021'!D:D),0)</f>
        <v>0</v>
      </c>
    </row>
    <row r="67" spans="1:18" s="888" customFormat="1" hidden="1">
      <c r="A67" s="885" t="s">
        <v>3</v>
      </c>
      <c r="B67" s="885"/>
      <c r="C67" s="889">
        <v>11201</v>
      </c>
      <c r="D67" s="889" t="s">
        <v>645</v>
      </c>
      <c r="E67" s="886" t="s">
        <v>6</v>
      </c>
      <c r="F67" s="886" t="s">
        <v>270</v>
      </c>
      <c r="G67" s="47">
        <f>IF(F67="I",IFERROR(VLOOKUP(C67,'BG 062022'!A:C,3,FALSE),0),0)</f>
        <v>0</v>
      </c>
      <c r="H67" s="885"/>
      <c r="I67" s="63">
        <f>IF(F67="I",IFERROR(VLOOKUP(C67,'BG 062022'!A:D,4,FALSE),0),0)</f>
        <v>0</v>
      </c>
      <c r="J67" s="887"/>
      <c r="K67" s="47">
        <f>IF(F67="I",SUMIF('BG 2021'!B:B,Clasificaciones!C67,'BG 2021'!D:D),0)</f>
        <v>0</v>
      </c>
      <c r="L67" s="887"/>
      <c r="M67" s="63">
        <f>IF(F67="I",SUMIF('BG 2021'!B:B,Clasificaciones!C67,'BG 2021'!E:E),0)</f>
        <v>0</v>
      </c>
      <c r="N67" s="887"/>
      <c r="O67" s="47">
        <f>IF(F67="I",SUMIF('BG 062021'!A:A,Clasificaciones!C67,'BG 062021'!C:C),0)</f>
        <v>0</v>
      </c>
      <c r="P67" s="887"/>
      <c r="Q67" s="63">
        <f>IF(F67="I",SUMIF('BG 062021'!A:A,Clasificaciones!C67,'BG 062021'!D:D),0)</f>
        <v>0</v>
      </c>
    </row>
    <row r="68" spans="1:18" s="888" customFormat="1" hidden="1">
      <c r="A68" s="885" t="s">
        <v>3</v>
      </c>
      <c r="B68" s="885"/>
      <c r="C68" s="889">
        <v>112011</v>
      </c>
      <c r="D68" s="889" t="s">
        <v>646</v>
      </c>
      <c r="E68" s="886" t="s">
        <v>6</v>
      </c>
      <c r="F68" s="886" t="s">
        <v>270</v>
      </c>
      <c r="G68" s="47">
        <f>IF(F68="I",IFERROR(VLOOKUP(C68,'BG 062022'!A:C,3,FALSE),0),0)</f>
        <v>0</v>
      </c>
      <c r="H68" s="885"/>
      <c r="I68" s="63">
        <f>IF(F68="I",IFERROR(VLOOKUP(C68,'BG 062022'!A:D,4,FALSE),0),0)</f>
        <v>0</v>
      </c>
      <c r="J68" s="887"/>
      <c r="K68" s="47">
        <f>IF(F68="I",SUMIF('BG 2021'!B:B,Clasificaciones!C68,'BG 2021'!D:D),0)</f>
        <v>0</v>
      </c>
      <c r="L68" s="887"/>
      <c r="M68" s="63">
        <f>IF(F68="I",SUMIF('BG 2021'!B:B,Clasificaciones!C68,'BG 2021'!E:E),0)</f>
        <v>0</v>
      </c>
      <c r="N68" s="887"/>
      <c r="O68" s="47">
        <f>IF(F68="I",SUMIF('BG 062021'!A:A,Clasificaciones!C68,'BG 062021'!C:C),0)</f>
        <v>0</v>
      </c>
      <c r="P68" s="887"/>
      <c r="Q68" s="63">
        <f>IF(F68="I",SUMIF('BG 062021'!A:A,Clasificaciones!C68,'BG 062021'!D:D),0)</f>
        <v>0</v>
      </c>
    </row>
    <row r="69" spans="1:18" s="888" customFormat="1" hidden="1">
      <c r="A69" s="885" t="s">
        <v>3</v>
      </c>
      <c r="B69" s="885"/>
      <c r="C69" s="889">
        <v>1120111</v>
      </c>
      <c r="D69" s="889" t="s">
        <v>647</v>
      </c>
      <c r="E69" s="886" t="s">
        <v>6</v>
      </c>
      <c r="F69" s="886" t="s">
        <v>270</v>
      </c>
      <c r="G69" s="47">
        <f>IF(F69="I",IFERROR(VLOOKUP(C69,'BG 062022'!A:C,3,FALSE),0),0)</f>
        <v>0</v>
      </c>
      <c r="H69" s="885"/>
      <c r="I69" s="63">
        <f>IF(F69="I",IFERROR(VLOOKUP(C69,'BG 062022'!A:D,4,FALSE),0),0)</f>
        <v>0</v>
      </c>
      <c r="J69" s="887"/>
      <c r="K69" s="47">
        <f>IF(F69="I",SUMIF('BG 2021'!B:B,Clasificaciones!C69,'BG 2021'!D:D),0)</f>
        <v>0</v>
      </c>
      <c r="L69" s="887"/>
      <c r="M69" s="63">
        <f>IF(F69="I",SUMIF('BG 2021'!B:B,Clasificaciones!C69,'BG 2021'!E:E),0)</f>
        <v>0</v>
      </c>
      <c r="N69" s="887"/>
      <c r="O69" s="47">
        <f>IF(F69="I",SUMIF('BG 062021'!A:A,Clasificaciones!C69,'BG 062021'!C:C),0)</f>
        <v>0</v>
      </c>
      <c r="P69" s="887"/>
      <c r="Q69" s="63">
        <f>IF(F69="I",SUMIF('BG 062021'!A:A,Clasificaciones!C69,'BG 062021'!D:D),0)</f>
        <v>0</v>
      </c>
    </row>
    <row r="70" spans="1:18" s="888" customFormat="1" hidden="1">
      <c r="A70" s="885" t="s">
        <v>3</v>
      </c>
      <c r="B70" s="885"/>
      <c r="C70" s="889">
        <v>11201111</v>
      </c>
      <c r="D70" s="889" t="s">
        <v>648</v>
      </c>
      <c r="E70" s="886" t="s">
        <v>6</v>
      </c>
      <c r="F70" s="886" t="s">
        <v>270</v>
      </c>
      <c r="G70" s="47">
        <f>IF(F70="I",IFERROR(VLOOKUP(C70,'BG 062022'!A:C,3,FALSE),0),0)</f>
        <v>0</v>
      </c>
      <c r="H70" s="885"/>
      <c r="I70" s="63">
        <f>IF(F70="I",IFERROR(VLOOKUP(C70,'BG 062022'!A:D,4,FALSE),0),0)</f>
        <v>0</v>
      </c>
      <c r="J70" s="887"/>
      <c r="K70" s="47">
        <f>IF(F70="I",SUMIF('BG 2021'!B:B,Clasificaciones!C70,'BG 2021'!D:D),0)</f>
        <v>0</v>
      </c>
      <c r="L70" s="887"/>
      <c r="M70" s="63">
        <f>IF(F70="I",SUMIF('BG 2021'!B:B,Clasificaciones!C70,'BG 2021'!E:E),0)</f>
        <v>0</v>
      </c>
      <c r="N70" s="887"/>
      <c r="O70" s="47">
        <f>IF(F70="I",SUMIF('BG 062021'!A:A,Clasificaciones!C70,'BG 062021'!C:C),0)</f>
        <v>0</v>
      </c>
      <c r="P70" s="887"/>
      <c r="Q70" s="63">
        <f>IF(F70="I",SUMIF('BG 062021'!A:A,Clasificaciones!C70,'BG 062021'!D:D),0)</f>
        <v>0</v>
      </c>
    </row>
    <row r="71" spans="1:18" s="888" customFormat="1" hidden="1">
      <c r="A71" s="885" t="s">
        <v>3</v>
      </c>
      <c r="B71" s="885" t="s">
        <v>83</v>
      </c>
      <c r="C71" s="889">
        <v>1120111101</v>
      </c>
      <c r="D71" s="889" t="s">
        <v>649</v>
      </c>
      <c r="E71" s="886" t="s">
        <v>6</v>
      </c>
      <c r="F71" s="886" t="s">
        <v>271</v>
      </c>
      <c r="G71" s="47">
        <f>IF(F71="I",IFERROR(VLOOKUP(C71,'BG 062022'!A:C,3,FALSE),0),0)</f>
        <v>375000000</v>
      </c>
      <c r="H71" s="885"/>
      <c r="I71" s="63">
        <f>IF(F71="I",IFERROR(VLOOKUP(C71,'BG 062022'!A:D,4,FALSE),0),0)</f>
        <v>54841.4</v>
      </c>
      <c r="J71" s="887"/>
      <c r="K71" s="47">
        <f>IF(F71="I",SUMIF('BG 2021'!B:B,Clasificaciones!C71,'BG 2021'!D:D),0)</f>
        <v>75000000</v>
      </c>
      <c r="L71" s="887"/>
      <c r="M71" s="63">
        <f>IF(F71="I",SUMIF('BG 2021'!B:B,Clasificaciones!C71,'BG 2021'!E:E),0)</f>
        <v>10915.739999999991</v>
      </c>
      <c r="N71" s="887"/>
      <c r="O71" s="47">
        <f>IF(F71="I",SUMIF('BG 062021'!A:A,Clasificaciones!C71,'BG 062021'!C:C),0)</f>
        <v>75000000</v>
      </c>
      <c r="P71" s="887"/>
      <c r="Q71" s="63">
        <f>IF(F71="I",SUMIF('BG 062021'!A:A,Clasificaciones!C71,'BG 062021'!D:D),0)</f>
        <v>11137.54</v>
      </c>
      <c r="R71" s="888">
        <f>+VLOOKUP(C71,'CA EFE'!A:A,1,FALSE)</f>
        <v>1120111101</v>
      </c>
    </row>
    <row r="72" spans="1:18" s="888" customFormat="1" hidden="1">
      <c r="A72" s="885" t="s">
        <v>3</v>
      </c>
      <c r="B72" s="885"/>
      <c r="C72" s="889">
        <v>1120111102</v>
      </c>
      <c r="D72" s="889" t="s">
        <v>877</v>
      </c>
      <c r="E72" s="886" t="s">
        <v>186</v>
      </c>
      <c r="F72" s="886" t="s">
        <v>271</v>
      </c>
      <c r="G72" s="47">
        <f>IF(F72="I",IFERROR(VLOOKUP(C72,'BG 062022'!A:C,3,FALSE),0),0)</f>
        <v>0</v>
      </c>
      <c r="H72" s="885"/>
      <c r="I72" s="63">
        <f>IF(F72="I",IFERROR(VLOOKUP(C72,'BG 062022'!A:D,4,FALSE),0),0)</f>
        <v>0</v>
      </c>
      <c r="J72" s="887"/>
      <c r="K72" s="47">
        <f>IF(F72="I",SUMIF('BG 2021'!B:B,Clasificaciones!C72,'BG 2021'!D:D),0)</f>
        <v>0</v>
      </c>
      <c r="L72" s="887"/>
      <c r="M72" s="63">
        <f>IF(F72="I",SUMIF('BG 2021'!B:B,Clasificaciones!C72,'BG 2021'!E:E),0)</f>
        <v>0</v>
      </c>
      <c r="N72" s="887"/>
      <c r="O72" s="47">
        <f>IF(F72="I",SUMIF('BG 062021'!A:A,Clasificaciones!C72,'BG 062021'!C:C),0)</f>
        <v>0</v>
      </c>
      <c r="P72" s="887"/>
      <c r="Q72" s="63">
        <f>IF(F72="I",SUMIF('BG 062021'!A:A,Clasificaciones!C72,'BG 062021'!D:D),0)</f>
        <v>0</v>
      </c>
    </row>
    <row r="73" spans="1:18" s="888" customFormat="1" hidden="1">
      <c r="A73" s="885" t="s">
        <v>3</v>
      </c>
      <c r="B73" s="885"/>
      <c r="C73" s="889">
        <v>1120112</v>
      </c>
      <c r="D73" s="889" t="s">
        <v>650</v>
      </c>
      <c r="E73" s="886" t="s">
        <v>6</v>
      </c>
      <c r="F73" s="886" t="s">
        <v>270</v>
      </c>
      <c r="G73" s="47">
        <f>IF(F73="I",IFERROR(VLOOKUP(C73,'BG 062022'!A:C,3,FALSE),0),0)</f>
        <v>0</v>
      </c>
      <c r="H73" s="885"/>
      <c r="I73" s="63">
        <f>IF(F73="I",IFERROR(VLOOKUP(C73,'BG 062022'!A:D,4,FALSE),0),0)</f>
        <v>0</v>
      </c>
      <c r="J73" s="887"/>
      <c r="K73" s="47">
        <f>IF(F73="I",SUMIF('BG 2021'!B:B,Clasificaciones!C73,'BG 2021'!D:D),0)</f>
        <v>0</v>
      </c>
      <c r="L73" s="887"/>
      <c r="M73" s="63">
        <f>IF(F73="I",SUMIF('BG 2021'!B:B,Clasificaciones!C73,'BG 2021'!E:E),0)</f>
        <v>0</v>
      </c>
      <c r="N73" s="887"/>
      <c r="O73" s="47">
        <f>IF(F73="I",SUMIF('BG 062021'!A:A,Clasificaciones!C73,'BG 062021'!C:C),0)</f>
        <v>0</v>
      </c>
      <c r="P73" s="887"/>
      <c r="Q73" s="63">
        <f>IF(F73="I",SUMIF('BG 062021'!A:A,Clasificaciones!C73,'BG 062021'!D:D),0)</f>
        <v>0</v>
      </c>
    </row>
    <row r="74" spans="1:18" s="888" customFormat="1" hidden="1">
      <c r="A74" s="885" t="s">
        <v>3</v>
      </c>
      <c r="B74" s="885"/>
      <c r="C74" s="889">
        <v>11201121</v>
      </c>
      <c r="D74" s="889" t="s">
        <v>470</v>
      </c>
      <c r="E74" s="886" t="s">
        <v>6</v>
      </c>
      <c r="F74" s="886" t="s">
        <v>270</v>
      </c>
      <c r="G74" s="47">
        <f>IF(F74="I",IFERROR(VLOOKUP(C74,'BG 062022'!A:C,3,FALSE),0),0)</f>
        <v>0</v>
      </c>
      <c r="H74" s="885"/>
      <c r="I74" s="63">
        <f>IF(F74="I",IFERROR(VLOOKUP(C74,'BG 062022'!A:D,4,FALSE),0),0)</f>
        <v>0</v>
      </c>
      <c r="J74" s="887"/>
      <c r="K74" s="47">
        <f>IF(F74="I",SUMIF('BG 2021'!B:B,Clasificaciones!C74,'BG 2021'!D:D),0)</f>
        <v>0</v>
      </c>
      <c r="L74" s="887"/>
      <c r="M74" s="63">
        <f>IF(F74="I",SUMIF('BG 2021'!B:B,Clasificaciones!C74,'BG 2021'!E:E),0)</f>
        <v>0</v>
      </c>
      <c r="N74" s="887"/>
      <c r="O74" s="47">
        <f>IF(F74="I",SUMIF('BG 062021'!A:A,Clasificaciones!C74,'BG 062021'!C:C),0)</f>
        <v>0</v>
      </c>
      <c r="P74" s="887"/>
      <c r="Q74" s="63">
        <f>IF(F74="I",SUMIF('BG 062021'!A:A,Clasificaciones!C74,'BG 062021'!D:D),0)</f>
        <v>0</v>
      </c>
    </row>
    <row r="75" spans="1:18" s="888" customFormat="1" hidden="1">
      <c r="A75" s="885" t="s">
        <v>3</v>
      </c>
      <c r="B75" s="885" t="s">
        <v>83</v>
      </c>
      <c r="C75" s="889">
        <v>1120112101</v>
      </c>
      <c r="D75" s="889" t="s">
        <v>651</v>
      </c>
      <c r="E75" s="886" t="s">
        <v>6</v>
      </c>
      <c r="F75" s="886" t="s">
        <v>271</v>
      </c>
      <c r="G75" s="47">
        <f>IF(F75="I",IFERROR(VLOOKUP(C75,'BG 062022'!A:C,3,FALSE),0),0)</f>
        <v>700000000</v>
      </c>
      <c r="H75" s="885"/>
      <c r="I75" s="63">
        <f>IF(F75="I",IFERROR(VLOOKUP(C75,'BG 062022'!A:D,4,FALSE),0),0)</f>
        <v>102370.61</v>
      </c>
      <c r="J75" s="887"/>
      <c r="K75" s="47">
        <f>IF(F75="I",SUMIF('BG 2021'!B:B,Clasificaciones!C75,'BG 2021'!D:D),0)</f>
        <v>100000000</v>
      </c>
      <c r="L75" s="887"/>
      <c r="M75" s="63">
        <f>IF(F75="I",SUMIF('BG 2021'!B:B,Clasificaciones!C75,'BG 2021'!E:E),0)</f>
        <v>14554.319999999367</v>
      </c>
      <c r="N75" s="887"/>
      <c r="O75" s="47">
        <f>IF(F75="I",SUMIF('BG 062021'!A:A,Clasificaciones!C75,'BG 062021'!C:C),0)</f>
        <v>529000000</v>
      </c>
      <c r="P75" s="887"/>
      <c r="Q75" s="63">
        <f>IF(F75="I",SUMIF('BG 062021'!A:A,Clasificaciones!C75,'BG 062021'!D:D),0)</f>
        <v>78556.81</v>
      </c>
      <c r="R75" s="888">
        <f>+VLOOKUP(C75,'CA EFE'!A:A,1,FALSE)</f>
        <v>1120112101</v>
      </c>
    </row>
    <row r="76" spans="1:18" s="888" customFormat="1" hidden="1">
      <c r="A76" s="885" t="s">
        <v>3</v>
      </c>
      <c r="B76" s="885"/>
      <c r="C76" s="889">
        <v>1120112102</v>
      </c>
      <c r="D76" s="889" t="s">
        <v>779</v>
      </c>
      <c r="E76" s="886" t="s">
        <v>186</v>
      </c>
      <c r="F76" s="886" t="s">
        <v>271</v>
      </c>
      <c r="G76" s="47">
        <f>IF(F76="I",IFERROR(VLOOKUP(C76,'BG 062022'!A:C,3,FALSE),0),0)</f>
        <v>0</v>
      </c>
      <c r="H76" s="885"/>
      <c r="I76" s="63">
        <f>IF(F76="I",IFERROR(VLOOKUP(C76,'BG 062022'!A:D,4,FALSE),0),0)</f>
        <v>0</v>
      </c>
      <c r="J76" s="887"/>
      <c r="K76" s="47">
        <f>IF(F76="I",SUMIF('BG 2021'!B:B,Clasificaciones!C76,'BG 2021'!D:D),0)</f>
        <v>0</v>
      </c>
      <c r="L76" s="887"/>
      <c r="M76" s="63">
        <f>IF(F76="I",SUMIF('BG 2021'!B:B,Clasificaciones!C76,'BG 2021'!E:E),0)</f>
        <v>0</v>
      </c>
      <c r="N76" s="887"/>
      <c r="O76" s="47">
        <f>IF(F76="I",SUMIF('BG 062021'!A:A,Clasificaciones!C76,'BG 062021'!C:C),0)</f>
        <v>0</v>
      </c>
      <c r="P76" s="887"/>
      <c r="Q76" s="63">
        <f>IF(F76="I",SUMIF('BG 062021'!A:A,Clasificaciones!C76,'BG 062021'!D:D),0)</f>
        <v>0</v>
      </c>
    </row>
    <row r="77" spans="1:18" s="888" customFormat="1" hidden="1">
      <c r="A77" s="885" t="s">
        <v>3</v>
      </c>
      <c r="B77" s="885"/>
      <c r="C77" s="889">
        <v>11201122</v>
      </c>
      <c r="D77" s="889" t="s">
        <v>878</v>
      </c>
      <c r="E77" s="886" t="s">
        <v>6</v>
      </c>
      <c r="F77" s="886" t="s">
        <v>270</v>
      </c>
      <c r="G77" s="47">
        <f>IF(F77="I",IFERROR(VLOOKUP(C77,'BG 062022'!A:C,3,FALSE),0),0)</f>
        <v>0</v>
      </c>
      <c r="H77" s="885"/>
      <c r="I77" s="63">
        <f>IF(F77="I",IFERROR(VLOOKUP(C77,'BG 062022'!A:D,4,FALSE),0),0)</f>
        <v>0</v>
      </c>
      <c r="J77" s="887"/>
      <c r="K77" s="47">
        <f>IF(F77="I",SUMIF('BG 2021'!B:B,Clasificaciones!C77,'BG 2021'!D:D),0)</f>
        <v>0</v>
      </c>
      <c r="L77" s="887"/>
      <c r="M77" s="63">
        <f>IF(F77="I",SUMIF('BG 2021'!B:B,Clasificaciones!C77,'BG 2021'!E:E),0)</f>
        <v>0</v>
      </c>
      <c r="N77" s="887"/>
      <c r="O77" s="47">
        <f>IF(F77="I",SUMIF('BG 062021'!A:A,Clasificaciones!C77,'BG 062021'!C:C),0)</f>
        <v>0</v>
      </c>
      <c r="P77" s="887"/>
      <c r="Q77" s="63">
        <f>IF(F77="I",SUMIF('BG 062021'!A:A,Clasificaciones!C77,'BG 062021'!D:D),0)</f>
        <v>0</v>
      </c>
    </row>
    <row r="78" spans="1:18" s="888" customFormat="1" hidden="1">
      <c r="A78" s="885" t="s">
        <v>3</v>
      </c>
      <c r="B78" s="885" t="s">
        <v>83</v>
      </c>
      <c r="C78" s="889">
        <v>1120112201</v>
      </c>
      <c r="D78" s="889" t="s">
        <v>879</v>
      </c>
      <c r="E78" s="886" t="s">
        <v>6</v>
      </c>
      <c r="F78" s="886" t="s">
        <v>271</v>
      </c>
      <c r="G78" s="47">
        <f>IF(F78="I",IFERROR(VLOOKUP(C78,'BG 062022'!A:C,3,FALSE),0),0)</f>
        <v>0</v>
      </c>
      <c r="H78" s="885"/>
      <c r="I78" s="63">
        <f>IF(F78="I",IFERROR(VLOOKUP(C78,'BG 062022'!A:D,4,FALSE),0),0)</f>
        <v>0</v>
      </c>
      <c r="J78" s="887"/>
      <c r="K78" s="47">
        <f>IF(F78="I",SUMIF('BG 2021'!B:B,Clasificaciones!C78,'BG 2021'!D:D),0)</f>
        <v>0</v>
      </c>
      <c r="L78" s="887"/>
      <c r="M78" s="63">
        <f>IF(F78="I",SUMIF('BG 2021'!B:B,Clasificaciones!C78,'BG 2021'!E:E),0)</f>
        <v>0</v>
      </c>
      <c r="N78" s="887"/>
      <c r="O78" s="47">
        <f>IF(F78="I",SUMIF('BG 062021'!A:A,Clasificaciones!C78,'BG 062021'!C:C),0)</f>
        <v>1526000000</v>
      </c>
      <c r="P78" s="887"/>
      <c r="Q78" s="63">
        <f>IF(F78="I",SUMIF('BG 062021'!A:A,Clasificaciones!C78,'BG 062021'!D:D),0)</f>
        <v>226611.9</v>
      </c>
    </row>
    <row r="79" spans="1:18" s="888" customFormat="1" hidden="1">
      <c r="A79" s="885" t="s">
        <v>3</v>
      </c>
      <c r="B79" s="885" t="s">
        <v>83</v>
      </c>
      <c r="C79" s="889">
        <v>1120112202</v>
      </c>
      <c r="D79" s="889" t="s">
        <v>1389</v>
      </c>
      <c r="E79" s="886" t="s">
        <v>186</v>
      </c>
      <c r="F79" s="886" t="s">
        <v>271</v>
      </c>
      <c r="G79" s="47">
        <f>IF(F79="I",IFERROR(VLOOKUP(C79,'BG 062022'!A:C,3,FALSE),0),0)</f>
        <v>232488600</v>
      </c>
      <c r="H79" s="885"/>
      <c r="I79" s="63">
        <f>IF(F79="I",IFERROR(VLOOKUP(C79,'BG 062022'!A:D,4,FALSE),0),0)</f>
        <v>34000</v>
      </c>
      <c r="J79" s="887"/>
      <c r="K79" s="47">
        <f>IF(F79="I",SUMIF('BG 2021'!B:B,Clasificaciones!C79,'BG 2021'!D:D),0)</f>
        <v>68708100</v>
      </c>
      <c r="L79" s="887"/>
      <c r="M79" s="63">
        <f>IF(F79="I",SUMIF('BG 2021'!B:B,Clasificaciones!C79,'BG 2021'!E:E),0)</f>
        <v>10000</v>
      </c>
      <c r="N79" s="887"/>
      <c r="O79" s="47">
        <f>IF(F79="I",SUMIF('BG 062021'!A:A,Clasificaciones!C79,'BG 062021'!C:C),0)</f>
        <v>40403880</v>
      </c>
      <c r="P79" s="887"/>
      <c r="Q79" s="63">
        <f>IF(F79="I",SUMIF('BG 062021'!A:A,Clasificaciones!C79,'BG 062021'!D:D),0)</f>
        <v>6000</v>
      </c>
    </row>
    <row r="80" spans="1:18" s="888" customFormat="1" hidden="1">
      <c r="A80" s="885" t="s">
        <v>3</v>
      </c>
      <c r="B80" s="885"/>
      <c r="C80" s="889">
        <v>11201123</v>
      </c>
      <c r="D80" s="889" t="s">
        <v>72</v>
      </c>
      <c r="E80" s="886" t="s">
        <v>6</v>
      </c>
      <c r="F80" s="886" t="s">
        <v>270</v>
      </c>
      <c r="G80" s="47">
        <f>IF(F80="I",IFERROR(VLOOKUP(C80,'BG 062022'!A:C,3,FALSE),0),0)</f>
        <v>0</v>
      </c>
      <c r="H80" s="885"/>
      <c r="I80" s="63">
        <f>IF(F80="I",IFERROR(VLOOKUP(C80,'BG 062022'!A:D,4,FALSE),0),0)</f>
        <v>0</v>
      </c>
      <c r="J80" s="887"/>
      <c r="K80" s="47">
        <f>IF(F80="I",SUMIF('BG 2021'!B:B,Clasificaciones!C80,'BG 2021'!D:D),0)</f>
        <v>0</v>
      </c>
      <c r="L80" s="887"/>
      <c r="M80" s="63">
        <f>IF(F80="I",SUMIF('BG 2021'!B:B,Clasificaciones!C80,'BG 2021'!E:E),0)</f>
        <v>0</v>
      </c>
      <c r="N80" s="887"/>
      <c r="O80" s="47">
        <f>IF(F80="I",SUMIF('BG 062021'!A:A,Clasificaciones!C80,'BG 062021'!C:C),0)</f>
        <v>0</v>
      </c>
      <c r="P80" s="887"/>
      <c r="Q80" s="63">
        <f>IF(F80="I",SUMIF('BG 062021'!A:A,Clasificaciones!C80,'BG 062021'!D:D),0)</f>
        <v>0</v>
      </c>
    </row>
    <row r="81" spans="1:18" s="888" customFormat="1" hidden="1">
      <c r="A81" s="885" t="s">
        <v>3</v>
      </c>
      <c r="B81" s="885" t="s">
        <v>83</v>
      </c>
      <c r="C81" s="889">
        <v>1120112301</v>
      </c>
      <c r="D81" s="889" t="s">
        <v>652</v>
      </c>
      <c r="E81" s="886" t="s">
        <v>6</v>
      </c>
      <c r="F81" s="886" t="s">
        <v>271</v>
      </c>
      <c r="G81" s="47">
        <f>IF(F81="I",IFERROR(VLOOKUP(C81,'BG 062022'!A:C,3,FALSE),0),0)</f>
        <v>6800000000</v>
      </c>
      <c r="H81" s="885"/>
      <c r="I81" s="63">
        <f>IF(F81="I",IFERROR(VLOOKUP(C81,'BG 062022'!A:D,4,FALSE),0),0)</f>
        <v>994457.36</v>
      </c>
      <c r="J81" s="887"/>
      <c r="K81" s="47">
        <f>IF(F81="I",SUMIF('BG 2021'!B:B,Clasificaciones!C81,'BG 2021'!D:D),0)</f>
        <v>1250000000</v>
      </c>
      <c r="L81" s="887"/>
      <c r="M81" s="63">
        <f>IF(F81="I",SUMIF('BG 2021'!B:B,Clasificaciones!C81,'BG 2021'!E:E),0)</f>
        <v>181929.05999999493</v>
      </c>
      <c r="N81" s="887"/>
      <c r="O81" s="47">
        <f>IF(F81="I",SUMIF('BG 062021'!A:A,Clasificaciones!C81,'BG 062021'!C:C),0)</f>
        <v>4893000000</v>
      </c>
      <c r="P81" s="887"/>
      <c r="Q81" s="63">
        <f>IF(F81="I",SUMIF('BG 062021'!A:A,Clasificaciones!C81,'BG 062021'!D:D),0)</f>
        <v>726613.38</v>
      </c>
      <c r="R81" s="888">
        <f>+VLOOKUP(C81,'CA EFE'!A:A,1,FALSE)</f>
        <v>1120112301</v>
      </c>
    </row>
    <row r="82" spans="1:18" s="888" customFormat="1" hidden="1">
      <c r="A82" s="885" t="s">
        <v>3</v>
      </c>
      <c r="B82" s="885" t="s">
        <v>83</v>
      </c>
      <c r="C82" s="889">
        <v>1120112302</v>
      </c>
      <c r="D82" s="889" t="s">
        <v>1370</v>
      </c>
      <c r="E82" s="886" t="s">
        <v>186</v>
      </c>
      <c r="F82" s="886" t="s">
        <v>271</v>
      </c>
      <c r="G82" s="47">
        <f>IF(F82="I",IFERROR(VLOOKUP(C82,'BG 062022'!A:C,3,FALSE),0),0)</f>
        <v>205137000</v>
      </c>
      <c r="H82" s="885"/>
      <c r="I82" s="63">
        <f>IF(F82="I",IFERROR(VLOOKUP(C82,'BG 062022'!A:D,4,FALSE),0),0)</f>
        <v>30000</v>
      </c>
      <c r="J82" s="887"/>
      <c r="K82" s="47">
        <f>IF(F82="I",SUMIF('BG 2021'!B:B,Clasificaciones!C82,'BG 2021'!D:D),0)</f>
        <v>1030621500</v>
      </c>
      <c r="L82" s="887"/>
      <c r="M82" s="63">
        <f>IF(F82="I",SUMIF('BG 2021'!B:B,Clasificaciones!C82,'BG 2021'!E:E),0)</f>
        <v>150000</v>
      </c>
      <c r="N82" s="887"/>
      <c r="O82" s="47">
        <f>IF(F82="I",SUMIF('BG 062021'!A:A,Clasificaciones!C82,'BG 062021'!C:C),0)</f>
        <v>0</v>
      </c>
      <c r="P82" s="887"/>
      <c r="Q82" s="63">
        <f>IF(F82="I",SUMIF('BG 062021'!A:A,Clasificaciones!C82,'BG 062021'!D:D),0)</f>
        <v>0</v>
      </c>
    </row>
    <row r="83" spans="1:18" s="888" customFormat="1" hidden="1">
      <c r="A83" s="885" t="s">
        <v>3</v>
      </c>
      <c r="B83" s="885"/>
      <c r="C83" s="889">
        <v>1120113</v>
      </c>
      <c r="D83" s="889" t="s">
        <v>654</v>
      </c>
      <c r="E83" s="886" t="s">
        <v>6</v>
      </c>
      <c r="F83" s="886" t="s">
        <v>270</v>
      </c>
      <c r="G83" s="47">
        <f>IF(F83="I",IFERROR(VLOOKUP(C83,'BG 062022'!A:C,3,FALSE),0),0)</f>
        <v>0</v>
      </c>
      <c r="H83" s="885"/>
      <c r="I83" s="63">
        <f>IF(F83="I",IFERROR(VLOOKUP(C83,'BG 062022'!A:D,4,FALSE),0),0)</f>
        <v>0</v>
      </c>
      <c r="J83" s="887"/>
      <c r="K83" s="47">
        <f>IF(F83="I",SUMIF('BG 2021'!B:B,Clasificaciones!C83,'BG 2021'!D:D),0)</f>
        <v>0</v>
      </c>
      <c r="L83" s="887"/>
      <c r="M83" s="63">
        <f>IF(F83="I",SUMIF('BG 2021'!B:B,Clasificaciones!C83,'BG 2021'!E:E),0)</f>
        <v>0</v>
      </c>
      <c r="N83" s="887"/>
      <c r="O83" s="47">
        <f>IF(F83="I",SUMIF('BG 062021'!A:A,Clasificaciones!C83,'BG 062021'!C:C),0)</f>
        <v>0</v>
      </c>
      <c r="P83" s="887"/>
      <c r="Q83" s="63">
        <f>IF(F83="I",SUMIF('BG 062021'!A:A,Clasificaciones!C83,'BG 062021'!D:D),0)</f>
        <v>0</v>
      </c>
    </row>
    <row r="84" spans="1:18" s="888" customFormat="1" hidden="1">
      <c r="A84" s="885" t="s">
        <v>3</v>
      </c>
      <c r="B84" s="885"/>
      <c r="C84" s="889">
        <v>11201131</v>
      </c>
      <c r="D84" s="889" t="s">
        <v>655</v>
      </c>
      <c r="E84" s="886" t="s">
        <v>6</v>
      </c>
      <c r="F84" s="886" t="s">
        <v>270</v>
      </c>
      <c r="G84" s="47">
        <f>IF(F84="I",IFERROR(VLOOKUP(C84,'BG 062022'!A:C,3,FALSE),0),0)</f>
        <v>0</v>
      </c>
      <c r="H84" s="885"/>
      <c r="I84" s="63">
        <f>IF(F84="I",IFERROR(VLOOKUP(C84,'BG 062022'!A:D,4,FALSE),0),0)</f>
        <v>0</v>
      </c>
      <c r="J84" s="887"/>
      <c r="K84" s="47">
        <f>IF(F84="I",SUMIF('BG 2021'!B:B,Clasificaciones!C84,'BG 2021'!D:D),0)</f>
        <v>0</v>
      </c>
      <c r="L84" s="887"/>
      <c r="M84" s="63">
        <f>IF(F84="I",SUMIF('BG 2021'!B:B,Clasificaciones!C84,'BG 2021'!E:E),0)</f>
        <v>0</v>
      </c>
      <c r="N84" s="887"/>
      <c r="O84" s="47">
        <f>IF(F84="I",SUMIF('BG 062021'!A:A,Clasificaciones!C84,'BG 062021'!C:C),0)</f>
        <v>0</v>
      </c>
      <c r="P84" s="887"/>
      <c r="Q84" s="63">
        <f>IF(F84="I",SUMIF('BG 062021'!A:A,Clasificaciones!C84,'BG 062021'!D:D),0)</f>
        <v>0</v>
      </c>
    </row>
    <row r="85" spans="1:18" s="888" customFormat="1" hidden="1">
      <c r="A85" s="885" t="s">
        <v>3</v>
      </c>
      <c r="B85" s="885" t="s">
        <v>83</v>
      </c>
      <c r="C85" s="889">
        <v>1120113101</v>
      </c>
      <c r="D85" s="889" t="s">
        <v>656</v>
      </c>
      <c r="E85" s="886" t="s">
        <v>6</v>
      </c>
      <c r="F85" s="886" t="s">
        <v>271</v>
      </c>
      <c r="G85" s="47">
        <f>IF(F85="I",IFERROR(VLOOKUP(C85,'BG 062022'!A:C,3,FALSE),0),0)</f>
        <v>13718000000</v>
      </c>
      <c r="H85" s="885"/>
      <c r="I85" s="63">
        <f>IF(F85="I",IFERROR(VLOOKUP(C85,'BG 062022'!A:D,4,FALSE),0),0)</f>
        <v>2006171.49</v>
      </c>
      <c r="J85" s="887"/>
      <c r="K85" s="47">
        <f>IF(F85="I",SUMIF('BG 2021'!B:B,Clasificaciones!C85,'BG 2021'!D:D),0)</f>
        <v>2623000000</v>
      </c>
      <c r="L85" s="887"/>
      <c r="M85" s="63">
        <f>IF(F85="I",SUMIF('BG 2021'!B:B,Clasificaciones!C85,'BG 2021'!E:E),0)</f>
        <v>381759.94000000134</v>
      </c>
      <c r="N85" s="887"/>
      <c r="O85" s="47">
        <f>IF(F85="I",SUMIF('BG 062021'!A:A,Clasificaciones!C85,'BG 062021'!C:C),0)</f>
        <v>514000000</v>
      </c>
      <c r="P85" s="887"/>
      <c r="Q85" s="63">
        <f>IF(F85="I",SUMIF('BG 062021'!A:A,Clasificaciones!C85,'BG 062021'!D:D),0)</f>
        <v>76329.3</v>
      </c>
      <c r="R85" s="888">
        <f>+VLOOKUP(C85,'CA EFE'!A:A,1,FALSE)</f>
        <v>1120113101</v>
      </c>
    </row>
    <row r="86" spans="1:18" s="888" customFormat="1" hidden="1">
      <c r="A86" s="885" t="s">
        <v>3</v>
      </c>
      <c r="B86" s="885"/>
      <c r="C86" s="889">
        <v>1120113102</v>
      </c>
      <c r="D86" s="889" t="s">
        <v>769</v>
      </c>
      <c r="E86" s="886" t="s">
        <v>186</v>
      </c>
      <c r="F86" s="886" t="s">
        <v>271</v>
      </c>
      <c r="G86" s="47">
        <f>IF(F86="I",IFERROR(VLOOKUP(C86,'BG 062022'!A:C,3,FALSE),0),0)</f>
        <v>0</v>
      </c>
      <c r="H86" s="885"/>
      <c r="I86" s="63">
        <f>IF(F86="I",IFERROR(VLOOKUP(C86,'BG 062022'!A:D,4,FALSE),0),0)</f>
        <v>0</v>
      </c>
      <c r="J86" s="887"/>
      <c r="K86" s="47">
        <f>IF(F86="I",SUMIF('BG 2021'!B:B,Clasificaciones!C86,'BG 2021'!D:D),0)</f>
        <v>0</v>
      </c>
      <c r="L86" s="887"/>
      <c r="M86" s="63">
        <f>IF(F86="I",SUMIF('BG 2021'!B:B,Clasificaciones!C86,'BG 2021'!E:E),0)</f>
        <v>0</v>
      </c>
      <c r="N86" s="887"/>
      <c r="O86" s="47">
        <f>IF(F86="I",SUMIF('BG 062021'!A:A,Clasificaciones!C86,'BG 062021'!C:C),0)</f>
        <v>0</v>
      </c>
      <c r="P86" s="887"/>
      <c r="Q86" s="63">
        <f>IF(F86="I",SUMIF('BG 062021'!A:A,Clasificaciones!C86,'BG 062021'!D:D),0)</f>
        <v>0</v>
      </c>
    </row>
    <row r="87" spans="1:18" s="888" customFormat="1" hidden="1">
      <c r="A87" s="885" t="s">
        <v>3</v>
      </c>
      <c r="B87" s="885"/>
      <c r="C87" s="889">
        <v>11201132</v>
      </c>
      <c r="D87" s="889" t="s">
        <v>657</v>
      </c>
      <c r="E87" s="886" t="s">
        <v>6</v>
      </c>
      <c r="F87" s="886" t="s">
        <v>270</v>
      </c>
      <c r="G87" s="47">
        <f>IF(F87="I",IFERROR(VLOOKUP(C87,'BG 062022'!A:C,3,FALSE),0),0)</f>
        <v>0</v>
      </c>
      <c r="H87" s="885"/>
      <c r="I87" s="63">
        <f>IF(F87="I",IFERROR(VLOOKUP(C87,'BG 062022'!A:D,4,FALSE),0),0)</f>
        <v>0</v>
      </c>
      <c r="J87" s="887"/>
      <c r="K87" s="47">
        <f>IF(F87="I",SUMIF('BG 2021'!B:B,Clasificaciones!C87,'BG 2021'!D:D),0)</f>
        <v>0</v>
      </c>
      <c r="L87" s="887"/>
      <c r="M87" s="63">
        <f>IF(F87="I",SUMIF('BG 2021'!B:B,Clasificaciones!C87,'BG 2021'!E:E),0)</f>
        <v>0</v>
      </c>
      <c r="N87" s="887"/>
      <c r="O87" s="47">
        <f>IF(F87="I",SUMIF('BG 062021'!A:A,Clasificaciones!C87,'BG 062021'!C:C),0)</f>
        <v>0</v>
      </c>
      <c r="P87" s="887"/>
      <c r="Q87" s="63">
        <f>IF(F87="I",SUMIF('BG 062021'!A:A,Clasificaciones!C87,'BG 062021'!D:D),0)</f>
        <v>0</v>
      </c>
    </row>
    <row r="88" spans="1:18" s="888" customFormat="1" hidden="1">
      <c r="A88" s="885" t="s">
        <v>3</v>
      </c>
      <c r="B88" s="885" t="s">
        <v>83</v>
      </c>
      <c r="C88" s="889">
        <v>1120113201</v>
      </c>
      <c r="D88" s="889" t="s">
        <v>658</v>
      </c>
      <c r="E88" s="886" t="s">
        <v>6</v>
      </c>
      <c r="F88" s="886" t="s">
        <v>271</v>
      </c>
      <c r="G88" s="47">
        <f>IF(F88="I",IFERROR(VLOOKUP(C88,'BG 062022'!A:C,3,FALSE),0),0)</f>
        <v>0</v>
      </c>
      <c r="H88" s="885"/>
      <c r="I88" s="63">
        <f>IF(F88="I",IFERROR(VLOOKUP(C88,'BG 062022'!A:D,4,FALSE),0),0)</f>
        <v>0</v>
      </c>
      <c r="J88" s="887"/>
      <c r="K88" s="47">
        <f>IF(F88="I",SUMIF('BG 2021'!B:B,Clasificaciones!C88,'BG 2021'!D:D),0)</f>
        <v>0</v>
      </c>
      <c r="L88" s="887"/>
      <c r="M88" s="63">
        <f>IF(F88="I",SUMIF('BG 2021'!B:B,Clasificaciones!C88,'BG 2021'!E:E),0)</f>
        <v>0</v>
      </c>
      <c r="N88" s="887"/>
      <c r="O88" s="47">
        <f>IF(F88="I",SUMIF('BG 062021'!A:A,Clasificaciones!C88,'BG 062021'!C:C),0)</f>
        <v>0</v>
      </c>
      <c r="P88" s="887"/>
      <c r="Q88" s="63">
        <f>IF(F88="I",SUMIF('BG 062021'!A:A,Clasificaciones!C88,'BG 062021'!D:D),0)</f>
        <v>0</v>
      </c>
    </row>
    <row r="89" spans="1:18" s="888" customFormat="1" hidden="1">
      <c r="A89" s="885" t="s">
        <v>3</v>
      </c>
      <c r="B89" s="885"/>
      <c r="C89" s="889">
        <v>1120113202</v>
      </c>
      <c r="D89" s="889" t="s">
        <v>880</v>
      </c>
      <c r="E89" s="886" t="s">
        <v>186</v>
      </c>
      <c r="F89" s="886" t="s">
        <v>271</v>
      </c>
      <c r="G89" s="47">
        <f>IF(F89="I",IFERROR(VLOOKUP(C89,'BG 062022'!A:C,3,FALSE),0),0)</f>
        <v>0</v>
      </c>
      <c r="H89" s="885"/>
      <c r="I89" s="63">
        <f>IF(F89="I",IFERROR(VLOOKUP(C89,'BG 062022'!A:D,4,FALSE),0),0)</f>
        <v>0</v>
      </c>
      <c r="J89" s="887"/>
      <c r="K89" s="47">
        <f>IF(F89="I",SUMIF('BG 2021'!B:B,Clasificaciones!C89,'BG 2021'!D:D),0)</f>
        <v>0</v>
      </c>
      <c r="L89" s="887"/>
      <c r="M89" s="63">
        <f>IF(F89="I",SUMIF('BG 2021'!B:B,Clasificaciones!C89,'BG 2021'!E:E),0)</f>
        <v>0</v>
      </c>
      <c r="N89" s="887"/>
      <c r="O89" s="47">
        <f>IF(F89="I",SUMIF('BG 062021'!A:A,Clasificaciones!C89,'BG 062021'!C:C),0)</f>
        <v>0</v>
      </c>
      <c r="P89" s="887"/>
      <c r="Q89" s="63">
        <f>IF(F89="I",SUMIF('BG 062021'!A:A,Clasificaciones!C89,'BG 062021'!D:D),0)</f>
        <v>0</v>
      </c>
    </row>
    <row r="90" spans="1:18" s="888" customFormat="1" hidden="1">
      <c r="A90" s="885" t="s">
        <v>3</v>
      </c>
      <c r="B90" s="885"/>
      <c r="C90" s="889">
        <v>11201133</v>
      </c>
      <c r="D90" s="889" t="s">
        <v>881</v>
      </c>
      <c r="E90" s="886" t="s">
        <v>6</v>
      </c>
      <c r="F90" s="886" t="s">
        <v>270</v>
      </c>
      <c r="G90" s="47">
        <f>IF(F90="I",IFERROR(VLOOKUP(C90,'BG 062022'!A:C,3,FALSE),0),0)</f>
        <v>0</v>
      </c>
      <c r="H90" s="885"/>
      <c r="I90" s="63">
        <f>IF(F90="I",IFERROR(VLOOKUP(C90,'BG 062022'!A:D,4,FALSE),0),0)</f>
        <v>0</v>
      </c>
      <c r="J90" s="887"/>
      <c r="K90" s="47">
        <f>IF(F90="I",SUMIF('BG 2021'!B:B,Clasificaciones!C90,'BG 2021'!D:D),0)</f>
        <v>0</v>
      </c>
      <c r="L90" s="887"/>
      <c r="M90" s="63">
        <f>IF(F90="I",SUMIF('BG 2021'!B:B,Clasificaciones!C90,'BG 2021'!E:E),0)</f>
        <v>0</v>
      </c>
      <c r="N90" s="887"/>
      <c r="O90" s="47">
        <f>IF(F90="I",SUMIF('BG 062021'!A:A,Clasificaciones!C90,'BG 062021'!C:C),0)</f>
        <v>0</v>
      </c>
      <c r="P90" s="887"/>
      <c r="Q90" s="63">
        <f>IF(F90="I",SUMIF('BG 062021'!A:A,Clasificaciones!C90,'BG 062021'!D:D),0)</f>
        <v>0</v>
      </c>
    </row>
    <row r="91" spans="1:18" s="888" customFormat="1" hidden="1">
      <c r="A91" s="885" t="s">
        <v>3</v>
      </c>
      <c r="B91" s="885"/>
      <c r="C91" s="889">
        <v>1120113301</v>
      </c>
      <c r="D91" s="889" t="s">
        <v>882</v>
      </c>
      <c r="E91" s="886" t="s">
        <v>6</v>
      </c>
      <c r="F91" s="886" t="s">
        <v>271</v>
      </c>
      <c r="G91" s="47">
        <f>IF(F91="I",IFERROR(VLOOKUP(C91,'BG 062022'!A:C,3,FALSE),0),0)</f>
        <v>0</v>
      </c>
      <c r="H91" s="885"/>
      <c r="I91" s="63">
        <f>IF(F91="I",IFERROR(VLOOKUP(C91,'BG 062022'!A:D,4,FALSE),0),0)</f>
        <v>0</v>
      </c>
      <c r="J91" s="887"/>
      <c r="K91" s="47">
        <f>IF(F91="I",SUMIF('BG 2021'!B:B,Clasificaciones!C91,'BG 2021'!D:D),0)</f>
        <v>0</v>
      </c>
      <c r="L91" s="887"/>
      <c r="M91" s="63">
        <f>IF(F91="I",SUMIF('BG 2021'!B:B,Clasificaciones!C91,'BG 2021'!E:E),0)</f>
        <v>0</v>
      </c>
      <c r="N91" s="887"/>
      <c r="O91" s="47">
        <f>IF(F91="I",SUMIF('BG 062021'!A:A,Clasificaciones!C91,'BG 062021'!C:C),0)</f>
        <v>0</v>
      </c>
      <c r="P91" s="887"/>
      <c r="Q91" s="63">
        <f>IF(F91="I",SUMIF('BG 062021'!A:A,Clasificaciones!C91,'BG 062021'!D:D),0)</f>
        <v>0</v>
      </c>
    </row>
    <row r="92" spans="1:18" s="888" customFormat="1" hidden="1">
      <c r="A92" s="885" t="s">
        <v>3</v>
      </c>
      <c r="B92" s="885"/>
      <c r="C92" s="889">
        <v>1120113302</v>
      </c>
      <c r="D92" s="889" t="s">
        <v>883</v>
      </c>
      <c r="E92" s="886" t="s">
        <v>186</v>
      </c>
      <c r="F92" s="886" t="s">
        <v>271</v>
      </c>
      <c r="G92" s="47">
        <f>IF(F92="I",IFERROR(VLOOKUP(C92,'BG 062022'!A:C,3,FALSE),0),0)</f>
        <v>0</v>
      </c>
      <c r="H92" s="885"/>
      <c r="I92" s="63">
        <f>IF(F92="I",IFERROR(VLOOKUP(C92,'BG 062022'!A:D,4,FALSE),0),0)</f>
        <v>0</v>
      </c>
      <c r="J92" s="887"/>
      <c r="K92" s="47">
        <f>IF(F92="I",SUMIF('BG 2021'!B:B,Clasificaciones!C92,'BG 2021'!D:D),0)</f>
        <v>0</v>
      </c>
      <c r="L92" s="887"/>
      <c r="M92" s="63">
        <f>IF(F92="I",SUMIF('BG 2021'!B:B,Clasificaciones!C92,'BG 2021'!E:E),0)</f>
        <v>0</v>
      </c>
      <c r="N92" s="887"/>
      <c r="O92" s="47">
        <f>IF(F92="I",SUMIF('BG 062021'!A:A,Clasificaciones!C92,'BG 062021'!C:C),0)</f>
        <v>0</v>
      </c>
      <c r="P92" s="887"/>
      <c r="Q92" s="63">
        <f>IF(F92="I",SUMIF('BG 062021'!A:A,Clasificaciones!C92,'BG 062021'!D:D),0)</f>
        <v>0</v>
      </c>
    </row>
    <row r="93" spans="1:18" s="888" customFormat="1" hidden="1">
      <c r="A93" s="885" t="s">
        <v>3</v>
      </c>
      <c r="B93" s="885"/>
      <c r="C93" s="889">
        <v>1120114</v>
      </c>
      <c r="D93" s="889" t="s">
        <v>659</v>
      </c>
      <c r="E93" s="886" t="s">
        <v>6</v>
      </c>
      <c r="F93" s="886" t="s">
        <v>270</v>
      </c>
      <c r="G93" s="47">
        <f>IF(F93="I",IFERROR(VLOOKUP(C93,'BG 062022'!A:C,3,FALSE),0),0)</f>
        <v>0</v>
      </c>
      <c r="H93" s="885"/>
      <c r="I93" s="63">
        <f>IF(F93="I",IFERROR(VLOOKUP(C93,'BG 062022'!A:D,4,FALSE),0),0)</f>
        <v>0</v>
      </c>
      <c r="J93" s="887"/>
      <c r="K93" s="47">
        <f>IF(F93="I",SUMIF('BG 2021'!B:B,Clasificaciones!C93,'BG 2021'!D:D),0)</f>
        <v>0</v>
      </c>
      <c r="L93" s="887"/>
      <c r="M93" s="63">
        <f>IF(F93="I",SUMIF('BG 2021'!B:B,Clasificaciones!C93,'BG 2021'!E:E),0)</f>
        <v>0</v>
      </c>
      <c r="N93" s="887"/>
      <c r="O93" s="47">
        <f>IF(F93="I",SUMIF('BG 062021'!A:A,Clasificaciones!C93,'BG 062021'!C:C),0)</f>
        <v>0</v>
      </c>
      <c r="P93" s="887"/>
      <c r="Q93" s="63">
        <f>IF(F93="I",SUMIF('BG 062021'!A:A,Clasificaciones!C93,'BG 062021'!D:D),0)</f>
        <v>0</v>
      </c>
    </row>
    <row r="94" spans="1:18" s="888" customFormat="1" hidden="1">
      <c r="A94" s="885" t="s">
        <v>3</v>
      </c>
      <c r="B94" s="885"/>
      <c r="C94" s="889">
        <v>11201141</v>
      </c>
      <c r="D94" s="889" t="s">
        <v>470</v>
      </c>
      <c r="E94" s="886" t="s">
        <v>6</v>
      </c>
      <c r="F94" s="886" t="s">
        <v>270</v>
      </c>
      <c r="G94" s="47">
        <f>IF(F94="I",IFERROR(VLOOKUP(C94,'BG 062022'!A:C,3,FALSE),0),0)</f>
        <v>0</v>
      </c>
      <c r="H94" s="885"/>
      <c r="I94" s="63">
        <f>IF(F94="I",IFERROR(VLOOKUP(C94,'BG 062022'!A:D,4,FALSE),0),0)</f>
        <v>0</v>
      </c>
      <c r="J94" s="887"/>
      <c r="K94" s="47">
        <f>IF(F94="I",SUMIF('BG 2021'!B:B,Clasificaciones!C94,'BG 2021'!D:D),0)</f>
        <v>0</v>
      </c>
      <c r="L94" s="887"/>
      <c r="M94" s="63">
        <f>IF(F94="I",SUMIF('BG 2021'!B:B,Clasificaciones!C94,'BG 2021'!E:E),0)</f>
        <v>0</v>
      </c>
      <c r="N94" s="887"/>
      <c r="O94" s="47">
        <f>IF(F94="I",SUMIF('BG 062021'!A:A,Clasificaciones!C94,'BG 062021'!C:C),0)</f>
        <v>0</v>
      </c>
      <c r="P94" s="887"/>
      <c r="Q94" s="63">
        <f>IF(F94="I",SUMIF('BG 062021'!A:A,Clasificaciones!C94,'BG 062021'!D:D),0)</f>
        <v>0</v>
      </c>
    </row>
    <row r="95" spans="1:18" s="888" customFormat="1" hidden="1">
      <c r="A95" s="885" t="s">
        <v>3</v>
      </c>
      <c r="B95" s="885"/>
      <c r="C95" s="889">
        <v>1120114101</v>
      </c>
      <c r="D95" s="889" t="s">
        <v>884</v>
      </c>
      <c r="E95" s="886" t="s">
        <v>6</v>
      </c>
      <c r="F95" s="886" t="s">
        <v>271</v>
      </c>
      <c r="G95" s="47">
        <f>IF(F95="I",IFERROR(VLOOKUP(C95,'BG 062022'!A:C,3,FALSE),0),0)</f>
        <v>0</v>
      </c>
      <c r="H95" s="885"/>
      <c r="I95" s="63">
        <f>IF(F95="I",IFERROR(VLOOKUP(C95,'BG 062022'!A:D,4,FALSE),0),0)</f>
        <v>0</v>
      </c>
      <c r="J95" s="887"/>
      <c r="K95" s="47">
        <f>IF(F95="I",SUMIF('BG 2021'!B:B,Clasificaciones!C95,'BG 2021'!D:D),0)</f>
        <v>0</v>
      </c>
      <c r="L95" s="887"/>
      <c r="M95" s="63">
        <f>IF(F95="I",SUMIF('BG 2021'!B:B,Clasificaciones!C95,'BG 2021'!E:E),0)</f>
        <v>0</v>
      </c>
      <c r="N95" s="887"/>
      <c r="O95" s="47">
        <f>IF(F95="I",SUMIF('BG 062021'!A:A,Clasificaciones!C95,'BG 062021'!C:C),0)</f>
        <v>0</v>
      </c>
      <c r="P95" s="887"/>
      <c r="Q95" s="63">
        <f>IF(F95="I",SUMIF('BG 062021'!A:A,Clasificaciones!C95,'BG 062021'!D:D),0)</f>
        <v>0</v>
      </c>
    </row>
    <row r="96" spans="1:18" s="888" customFormat="1" hidden="1">
      <c r="A96" s="885" t="s">
        <v>3</v>
      </c>
      <c r="B96" s="885" t="s">
        <v>83</v>
      </c>
      <c r="C96" s="889">
        <v>1120114102</v>
      </c>
      <c r="D96" s="889" t="s">
        <v>771</v>
      </c>
      <c r="E96" s="886" t="s">
        <v>186</v>
      </c>
      <c r="F96" s="886" t="s">
        <v>271</v>
      </c>
      <c r="G96" s="957">
        <f>IF(F96="I",IFERROR(VLOOKUP(C96,'BG 062022'!A:C,3,FALSE),0),0)</f>
        <v>6837900</v>
      </c>
      <c r="H96" s="885"/>
      <c r="I96" s="63">
        <f>IF(F96="I",IFERROR(VLOOKUP(C96,'BG 062022'!A:D,4,FALSE),0),0)</f>
        <v>1000</v>
      </c>
      <c r="J96" s="887"/>
      <c r="K96" s="47">
        <f>IF(F96="I",SUMIF('BG 2021'!B:B,Clasificaciones!C96,'BG 2021'!D:D),0)</f>
        <v>0</v>
      </c>
      <c r="L96" s="887"/>
      <c r="M96" s="63">
        <f>IF(F96="I",SUMIF('BG 2021'!B:B,Clasificaciones!C96,'BG 2021'!E:E),0)</f>
        <v>0</v>
      </c>
      <c r="N96" s="887"/>
      <c r="O96" s="47">
        <f>IF(F96="I",SUMIF('BG 062021'!A:A,Clasificaciones!C96,'BG 062021'!C:C),0)</f>
        <v>0</v>
      </c>
      <c r="P96" s="887"/>
      <c r="Q96" s="63">
        <f>IF(F96="I",SUMIF('BG 062021'!A:A,Clasificaciones!C96,'BG 062021'!D:D),0)</f>
        <v>0</v>
      </c>
    </row>
    <row r="97" spans="1:18" s="888" customFormat="1" hidden="1">
      <c r="A97" s="885" t="s">
        <v>3</v>
      </c>
      <c r="B97" s="885"/>
      <c r="C97" s="889">
        <v>11201142</v>
      </c>
      <c r="D97" s="889" t="s">
        <v>878</v>
      </c>
      <c r="E97" s="886" t="s">
        <v>6</v>
      </c>
      <c r="F97" s="886" t="s">
        <v>270</v>
      </c>
      <c r="G97" s="47">
        <f>IF(F97="I",IFERROR(VLOOKUP(C97,'BG 062022'!A:C,3,FALSE),0),0)</f>
        <v>0</v>
      </c>
      <c r="H97" s="885"/>
      <c r="I97" s="63">
        <f>IF(F97="I",IFERROR(VLOOKUP(C97,'BG 062022'!A:D,4,FALSE),0),0)</f>
        <v>0</v>
      </c>
      <c r="J97" s="887"/>
      <c r="K97" s="47">
        <f>IF(F97="I",SUMIF('BG 2021'!B:B,Clasificaciones!C97,'BG 2021'!D:D),0)</f>
        <v>0</v>
      </c>
      <c r="L97" s="887"/>
      <c r="M97" s="63">
        <f>IF(F97="I",SUMIF('BG 2021'!B:B,Clasificaciones!C97,'BG 2021'!E:E),0)</f>
        <v>0</v>
      </c>
      <c r="N97" s="887"/>
      <c r="O97" s="47">
        <f>IF(F97="I",SUMIF('BG 062021'!A:A,Clasificaciones!C97,'BG 062021'!C:C),0)</f>
        <v>0</v>
      </c>
      <c r="P97" s="887"/>
      <c r="Q97" s="63">
        <f>IF(F97="I",SUMIF('BG 062021'!A:A,Clasificaciones!C97,'BG 062021'!D:D),0)</f>
        <v>0</v>
      </c>
    </row>
    <row r="98" spans="1:18" s="888" customFormat="1" hidden="1">
      <c r="A98" s="885" t="s">
        <v>3</v>
      </c>
      <c r="B98" s="885"/>
      <c r="C98" s="889">
        <v>1120114201</v>
      </c>
      <c r="D98" s="889" t="s">
        <v>885</v>
      </c>
      <c r="E98" s="886" t="s">
        <v>6</v>
      </c>
      <c r="F98" s="886" t="s">
        <v>271</v>
      </c>
      <c r="G98" s="47">
        <f>IF(F98="I",IFERROR(VLOOKUP(C98,'BG 062022'!A:C,3,FALSE),0),0)</f>
        <v>0</v>
      </c>
      <c r="H98" s="885"/>
      <c r="I98" s="63">
        <f>IF(F98="I",IFERROR(VLOOKUP(C98,'BG 062022'!A:D,4,FALSE),0),0)</f>
        <v>0</v>
      </c>
      <c r="J98" s="887"/>
      <c r="K98" s="47">
        <f>IF(F98="I",SUMIF('BG 2021'!B:B,Clasificaciones!C98,'BG 2021'!D:D),0)</f>
        <v>0</v>
      </c>
      <c r="L98" s="887"/>
      <c r="M98" s="63">
        <f>IF(F98="I",SUMIF('BG 2021'!B:B,Clasificaciones!C98,'BG 2021'!E:E),0)</f>
        <v>0</v>
      </c>
      <c r="N98" s="887"/>
      <c r="O98" s="47">
        <f>IF(F98="I",SUMIF('BG 062021'!A:A,Clasificaciones!C98,'BG 062021'!C:C),0)</f>
        <v>0</v>
      </c>
      <c r="P98" s="887"/>
      <c r="Q98" s="63">
        <f>IF(F98="I",SUMIF('BG 062021'!A:A,Clasificaciones!C98,'BG 062021'!D:D),0)</f>
        <v>0</v>
      </c>
    </row>
    <row r="99" spans="1:18" s="888" customFormat="1" hidden="1">
      <c r="A99" s="885" t="s">
        <v>3</v>
      </c>
      <c r="B99" s="885" t="s">
        <v>83</v>
      </c>
      <c r="C99" s="889">
        <v>1120114202</v>
      </c>
      <c r="D99" s="889" t="s">
        <v>772</v>
      </c>
      <c r="E99" s="886" t="s">
        <v>186</v>
      </c>
      <c r="F99" s="886" t="s">
        <v>271</v>
      </c>
      <c r="G99" s="957">
        <f>IF(F99="I",IFERROR(VLOOKUP(C99,'BG 062022'!A:C,3,FALSE),0),0)</f>
        <v>88892700</v>
      </c>
      <c r="H99" s="885"/>
      <c r="I99" s="63">
        <f>IF(F99="I",IFERROR(VLOOKUP(C99,'BG 062022'!A:D,4,FALSE),0),0)</f>
        <v>13000</v>
      </c>
      <c r="J99" s="887"/>
      <c r="K99" s="47">
        <f>IF(F99="I",SUMIF('BG 2021'!B:B,Clasificaciones!C99,'BG 2021'!D:D),0)</f>
        <v>0</v>
      </c>
      <c r="L99" s="887"/>
      <c r="M99" s="63">
        <f>IF(F99="I",SUMIF('BG 2021'!B:B,Clasificaciones!C99,'BG 2021'!E:E),0)</f>
        <v>0</v>
      </c>
      <c r="N99" s="887"/>
      <c r="O99" s="47">
        <f>IF(F99="I",SUMIF('BG 062021'!A:A,Clasificaciones!C99,'BG 062021'!C:C),0)</f>
        <v>0</v>
      </c>
      <c r="P99" s="887"/>
      <c r="Q99" s="63">
        <f>IF(F99="I",SUMIF('BG 062021'!A:A,Clasificaciones!C99,'BG 062021'!D:D),0)</f>
        <v>0</v>
      </c>
    </row>
    <row r="100" spans="1:18" s="888" customFormat="1" hidden="1">
      <c r="A100" s="885" t="s">
        <v>3</v>
      </c>
      <c r="B100" s="885"/>
      <c r="C100" s="889">
        <v>11201143</v>
      </c>
      <c r="D100" s="889" t="s">
        <v>72</v>
      </c>
      <c r="E100" s="886" t="s">
        <v>6</v>
      </c>
      <c r="F100" s="886" t="s">
        <v>270</v>
      </c>
      <c r="G100" s="47">
        <f>IF(F100="I",IFERROR(VLOOKUP(C100,'BG 062022'!A:C,3,FALSE),0),0)</f>
        <v>0</v>
      </c>
      <c r="H100" s="885"/>
      <c r="I100" s="63">
        <f>IF(F100="I",IFERROR(VLOOKUP(C100,'BG 062022'!A:D,4,FALSE),0),0)</f>
        <v>0</v>
      </c>
      <c r="J100" s="887"/>
      <c r="K100" s="47">
        <f>IF(F100="I",SUMIF('BG 2021'!B:B,Clasificaciones!C100,'BG 2021'!D:D),0)</f>
        <v>0</v>
      </c>
      <c r="L100" s="887"/>
      <c r="M100" s="63">
        <f>IF(F100="I",SUMIF('BG 2021'!B:B,Clasificaciones!C100,'BG 2021'!E:E),0)</f>
        <v>0</v>
      </c>
      <c r="N100" s="887"/>
      <c r="O100" s="47">
        <f>IF(F100="I",SUMIF('BG 062021'!A:A,Clasificaciones!C100,'BG 062021'!C:C),0)</f>
        <v>0</v>
      </c>
      <c r="P100" s="887"/>
      <c r="Q100" s="63">
        <f>IF(F100="I",SUMIF('BG 062021'!A:A,Clasificaciones!C100,'BG 062021'!D:D),0)</f>
        <v>0</v>
      </c>
    </row>
    <row r="101" spans="1:18" s="888" customFormat="1" hidden="1">
      <c r="A101" s="885" t="s">
        <v>3</v>
      </c>
      <c r="B101" s="885" t="s">
        <v>83</v>
      </c>
      <c r="C101" s="889">
        <v>1120114301</v>
      </c>
      <c r="D101" s="889" t="s">
        <v>660</v>
      </c>
      <c r="E101" s="886" t="s">
        <v>6</v>
      </c>
      <c r="F101" s="886" t="s">
        <v>271</v>
      </c>
      <c r="G101" s="957">
        <f>IF(F101="I",IFERROR(VLOOKUP(C101,'BG 062022'!A:C,3,FALSE),0),0)</f>
        <v>504602589</v>
      </c>
      <c r="H101" s="885"/>
      <c r="I101" s="63">
        <f>IF(F101="I",IFERROR(VLOOKUP(C101,'BG 062022'!A:D,4,FALSE),0),0)</f>
        <v>73794.960000000006</v>
      </c>
      <c r="J101" s="887"/>
      <c r="K101" s="47">
        <f>IF(F101="I",SUMIF('BG 2021'!B:B,Clasificaciones!C101,'BG 2021'!D:D),0)</f>
        <v>8007017205</v>
      </c>
      <c r="L101" s="887"/>
      <c r="M101" s="63">
        <f>IF(F101="I",SUMIF('BG 2021'!B:B,Clasificaciones!C101,'BG 2021'!E:E),0)</f>
        <v>1165367.290000001</v>
      </c>
      <c r="N101" s="887"/>
      <c r="O101" s="47">
        <f>IF(F101="I",SUMIF('BG 062021'!A:A,Clasificaciones!C101,'BG 062021'!C:C),0)</f>
        <v>125000000</v>
      </c>
      <c r="P101" s="887"/>
      <c r="Q101" s="63">
        <f>IF(F101="I",SUMIF('BG 062021'!A:A,Clasificaciones!C101,'BG 062021'!D:D),0)</f>
        <v>18562.57</v>
      </c>
      <c r="R101" s="888">
        <f>+VLOOKUP(C101,'CA EFE'!A:A,1,FALSE)</f>
        <v>1120114301</v>
      </c>
    </row>
    <row r="102" spans="1:18" s="888" customFormat="1" hidden="1">
      <c r="A102" s="885" t="s">
        <v>3</v>
      </c>
      <c r="B102" s="885" t="s">
        <v>83</v>
      </c>
      <c r="C102" s="889">
        <v>1120114302</v>
      </c>
      <c r="D102" s="889" t="s">
        <v>774</v>
      </c>
      <c r="E102" s="886" t="s">
        <v>186</v>
      </c>
      <c r="F102" s="886" t="s">
        <v>271</v>
      </c>
      <c r="G102" s="957">
        <f>IF(F102="I",IFERROR(VLOOKUP(C102,'BG 062022'!A:C,3,FALSE),0),0)</f>
        <v>649600500</v>
      </c>
      <c r="H102" s="885"/>
      <c r="I102" s="63">
        <f>IF(F102="I",IFERROR(VLOOKUP(C102,'BG 062022'!A:D,4,FALSE),0),0)</f>
        <v>95000</v>
      </c>
      <c r="J102" s="887"/>
      <c r="K102" s="47">
        <f>IF(F102="I",SUMIF('BG 2021'!B:B,Clasificaciones!C102,'BG 2021'!D:D),0)</f>
        <v>0</v>
      </c>
      <c r="L102" s="887"/>
      <c r="M102" s="63">
        <f>IF(F102="I",SUMIF('BG 2021'!B:B,Clasificaciones!C102,'BG 2021'!E:E),0)</f>
        <v>0</v>
      </c>
      <c r="N102" s="887"/>
      <c r="O102" s="47">
        <f>IF(F102="I",SUMIF('BG 062021'!A:A,Clasificaciones!C102,'BG 062021'!C:C),0)</f>
        <v>505048500</v>
      </c>
      <c r="P102" s="887"/>
      <c r="Q102" s="63">
        <f>IF(F102="I",SUMIF('BG 062021'!A:A,Clasificaciones!C102,'BG 062021'!D:D),0)</f>
        <v>75000</v>
      </c>
    </row>
    <row r="103" spans="1:18" s="888" customFormat="1" hidden="1">
      <c r="A103" s="885" t="s">
        <v>3</v>
      </c>
      <c r="B103" s="885"/>
      <c r="C103" s="889">
        <v>11201144</v>
      </c>
      <c r="D103" s="889" t="s">
        <v>655</v>
      </c>
      <c r="E103" s="886" t="s">
        <v>6</v>
      </c>
      <c r="F103" s="886" t="s">
        <v>270</v>
      </c>
      <c r="G103" s="47">
        <f>IF(F103="I",IFERROR(VLOOKUP(C103,'BG 062022'!A:C,3,FALSE),0),0)</f>
        <v>0</v>
      </c>
      <c r="H103" s="885"/>
      <c r="I103" s="63">
        <f>IF(F103="I",IFERROR(VLOOKUP(C103,'BG 062022'!A:D,4,FALSE),0),0)</f>
        <v>0</v>
      </c>
      <c r="J103" s="887"/>
      <c r="K103" s="47">
        <f>IF(F103="I",SUMIF('BG 2021'!B:B,Clasificaciones!C103,'BG 2021'!D:D),0)</f>
        <v>0</v>
      </c>
      <c r="L103" s="887"/>
      <c r="M103" s="63">
        <f>IF(F103="I",SUMIF('BG 2021'!B:B,Clasificaciones!C103,'BG 2021'!E:E),0)</f>
        <v>0</v>
      </c>
      <c r="N103" s="887"/>
      <c r="O103" s="47">
        <f>IF(F103="I",SUMIF('BG 062021'!A:A,Clasificaciones!C103,'BG 062021'!C:C),0)</f>
        <v>0</v>
      </c>
      <c r="P103" s="887"/>
      <c r="Q103" s="63">
        <f>IF(F103="I",SUMIF('BG 062021'!A:A,Clasificaciones!C103,'BG 062021'!D:D),0)</f>
        <v>0</v>
      </c>
    </row>
    <row r="104" spans="1:18" s="888" customFormat="1" hidden="1">
      <c r="A104" s="885" t="s">
        <v>3</v>
      </c>
      <c r="B104" s="885"/>
      <c r="C104" s="889">
        <v>1120114401</v>
      </c>
      <c r="D104" s="889" t="s">
        <v>656</v>
      </c>
      <c r="E104" s="886" t="s">
        <v>6</v>
      </c>
      <c r="F104" s="886" t="s">
        <v>271</v>
      </c>
      <c r="G104" s="47">
        <f>IF(F104="I",IFERROR(VLOOKUP(C104,'BG 062022'!A:C,3,FALSE),0),0)</f>
        <v>0</v>
      </c>
      <c r="H104" s="885"/>
      <c r="I104" s="63">
        <f>IF(F104="I",IFERROR(VLOOKUP(C104,'BG 062022'!A:D,4,FALSE),0),0)</f>
        <v>0</v>
      </c>
      <c r="J104" s="887"/>
      <c r="K104" s="47">
        <f>IF(F104="I",SUMIF('BG 2021'!B:B,Clasificaciones!C104,'BG 2021'!D:D),0)</f>
        <v>0</v>
      </c>
      <c r="L104" s="887"/>
      <c r="M104" s="63">
        <f>IF(F104="I",SUMIF('BG 2021'!B:B,Clasificaciones!C104,'BG 2021'!E:E),0)</f>
        <v>0</v>
      </c>
      <c r="N104" s="887"/>
      <c r="O104" s="47">
        <f>IF(F104="I",SUMIF('BG 062021'!A:A,Clasificaciones!C104,'BG 062021'!C:C),0)</f>
        <v>0</v>
      </c>
      <c r="P104" s="887"/>
      <c r="Q104" s="63">
        <f>IF(F104="I",SUMIF('BG 062021'!A:A,Clasificaciones!C104,'BG 062021'!D:D),0)</f>
        <v>0</v>
      </c>
    </row>
    <row r="105" spans="1:18" s="888" customFormat="1" hidden="1">
      <c r="A105" s="885" t="s">
        <v>3</v>
      </c>
      <c r="B105" s="885"/>
      <c r="C105" s="889">
        <v>1120114402</v>
      </c>
      <c r="D105" s="889" t="s">
        <v>769</v>
      </c>
      <c r="E105" s="886" t="s">
        <v>186</v>
      </c>
      <c r="F105" s="886" t="s">
        <v>271</v>
      </c>
      <c r="G105" s="47">
        <f>IF(F105="I",IFERROR(VLOOKUP(C105,'BG 062022'!A:C,3,FALSE),0),0)</f>
        <v>0</v>
      </c>
      <c r="H105" s="885"/>
      <c r="I105" s="63">
        <f>IF(F105="I",IFERROR(VLOOKUP(C105,'BG 062022'!A:D,4,FALSE),0),0)</f>
        <v>0</v>
      </c>
      <c r="J105" s="887"/>
      <c r="K105" s="47">
        <f>IF(F105="I",SUMIF('BG 2021'!B:B,Clasificaciones!C105,'BG 2021'!D:D),0)</f>
        <v>0</v>
      </c>
      <c r="L105" s="887"/>
      <c r="M105" s="63">
        <f>IF(F105="I",SUMIF('BG 2021'!B:B,Clasificaciones!C105,'BG 2021'!E:E),0)</f>
        <v>0</v>
      </c>
      <c r="N105" s="887"/>
      <c r="O105" s="47">
        <f>IF(F105="I",SUMIF('BG 062021'!A:A,Clasificaciones!C105,'BG 062021'!C:C),0)</f>
        <v>0</v>
      </c>
      <c r="P105" s="887"/>
      <c r="Q105" s="63">
        <f>IF(F105="I",SUMIF('BG 062021'!A:A,Clasificaciones!C105,'BG 062021'!D:D),0)</f>
        <v>0</v>
      </c>
    </row>
    <row r="106" spans="1:18" s="888" customFormat="1" hidden="1">
      <c r="A106" s="885" t="s">
        <v>3</v>
      </c>
      <c r="B106" s="885"/>
      <c r="C106" s="889">
        <v>11201145</v>
      </c>
      <c r="D106" s="889" t="s">
        <v>657</v>
      </c>
      <c r="E106" s="886" t="s">
        <v>6</v>
      </c>
      <c r="F106" s="886" t="s">
        <v>270</v>
      </c>
      <c r="G106" s="47">
        <f>IF(F106="I",IFERROR(VLOOKUP(C106,'BG 062022'!A:C,3,FALSE),0),0)</f>
        <v>0</v>
      </c>
      <c r="H106" s="885"/>
      <c r="I106" s="63">
        <f>IF(F106="I",IFERROR(VLOOKUP(C106,'BG 062022'!A:D,4,FALSE),0),0)</f>
        <v>0</v>
      </c>
      <c r="J106" s="887"/>
      <c r="K106" s="47">
        <f>IF(F106="I",SUMIF('BG 2021'!B:B,Clasificaciones!C106,'BG 2021'!D:D),0)</f>
        <v>0</v>
      </c>
      <c r="L106" s="887"/>
      <c r="M106" s="63">
        <f>IF(F106="I",SUMIF('BG 2021'!B:B,Clasificaciones!C106,'BG 2021'!E:E),0)</f>
        <v>0</v>
      </c>
      <c r="N106" s="887"/>
      <c r="O106" s="47">
        <f>IF(F106="I",SUMIF('BG 062021'!A:A,Clasificaciones!C106,'BG 062021'!C:C),0)</f>
        <v>0</v>
      </c>
      <c r="P106" s="887"/>
      <c r="Q106" s="63">
        <f>IF(F106="I",SUMIF('BG 062021'!A:A,Clasificaciones!C106,'BG 062021'!D:D),0)</f>
        <v>0</v>
      </c>
    </row>
    <row r="107" spans="1:18" s="888" customFormat="1" hidden="1">
      <c r="A107" s="885" t="s">
        <v>3</v>
      </c>
      <c r="B107" s="885"/>
      <c r="C107" s="889">
        <v>1120114501</v>
      </c>
      <c r="D107" s="889" t="s">
        <v>658</v>
      </c>
      <c r="E107" s="886" t="s">
        <v>6</v>
      </c>
      <c r="F107" s="886" t="s">
        <v>271</v>
      </c>
      <c r="G107" s="47">
        <f>IF(F107="I",IFERROR(VLOOKUP(C107,'BG 062022'!A:C,3,FALSE),0),0)</f>
        <v>0</v>
      </c>
      <c r="H107" s="885"/>
      <c r="I107" s="63">
        <f>IF(F107="I",IFERROR(VLOOKUP(C107,'BG 062022'!A:D,4,FALSE),0),0)</f>
        <v>0</v>
      </c>
      <c r="J107" s="887"/>
      <c r="K107" s="47">
        <f>IF(F107="I",SUMIF('BG 2021'!B:B,Clasificaciones!C107,'BG 2021'!D:D),0)</f>
        <v>0</v>
      </c>
      <c r="L107" s="887"/>
      <c r="M107" s="63">
        <f>IF(F107="I",SUMIF('BG 2021'!B:B,Clasificaciones!C107,'BG 2021'!E:E),0)</f>
        <v>0</v>
      </c>
      <c r="N107" s="887"/>
      <c r="O107" s="47">
        <f>IF(F107="I",SUMIF('BG 062021'!A:A,Clasificaciones!C107,'BG 062021'!C:C),0)</f>
        <v>0</v>
      </c>
      <c r="P107" s="887"/>
      <c r="Q107" s="63">
        <f>IF(F107="I",SUMIF('BG 062021'!A:A,Clasificaciones!C107,'BG 062021'!D:D),0)</f>
        <v>0</v>
      </c>
    </row>
    <row r="108" spans="1:18" s="888" customFormat="1" hidden="1">
      <c r="A108" s="885" t="s">
        <v>3</v>
      </c>
      <c r="B108" s="885"/>
      <c r="C108" s="889">
        <v>1120114502</v>
      </c>
      <c r="D108" s="889" t="s">
        <v>880</v>
      </c>
      <c r="E108" s="886" t="s">
        <v>186</v>
      </c>
      <c r="F108" s="886" t="s">
        <v>271</v>
      </c>
      <c r="G108" s="47">
        <f>IF(F108="I",IFERROR(VLOOKUP(C108,'BG 062022'!A:C,3,FALSE),0),0)</f>
        <v>0</v>
      </c>
      <c r="H108" s="885"/>
      <c r="I108" s="63">
        <f>IF(F108="I",IFERROR(VLOOKUP(C108,'BG 062022'!A:D,4,FALSE),0),0)</f>
        <v>0</v>
      </c>
      <c r="J108" s="887"/>
      <c r="K108" s="47">
        <f>IF(F108="I",SUMIF('BG 2021'!B:B,Clasificaciones!C108,'BG 2021'!D:D),0)</f>
        <v>0</v>
      </c>
      <c r="L108" s="887"/>
      <c r="M108" s="63">
        <f>IF(F108="I",SUMIF('BG 2021'!B:B,Clasificaciones!C108,'BG 2021'!E:E),0)</f>
        <v>0</v>
      </c>
      <c r="N108" s="887"/>
      <c r="O108" s="47">
        <f>IF(F108="I",SUMIF('BG 062021'!A:A,Clasificaciones!C108,'BG 062021'!C:C),0)</f>
        <v>0</v>
      </c>
      <c r="P108" s="887"/>
      <c r="Q108" s="63">
        <f>IF(F108="I",SUMIF('BG 062021'!A:A,Clasificaciones!C108,'BG 062021'!D:D),0)</f>
        <v>0</v>
      </c>
    </row>
    <row r="109" spans="1:18" s="888" customFormat="1" hidden="1">
      <c r="A109" s="885" t="s">
        <v>3</v>
      </c>
      <c r="B109" s="885"/>
      <c r="C109" s="889">
        <v>11201146</v>
      </c>
      <c r="D109" s="889" t="s">
        <v>881</v>
      </c>
      <c r="E109" s="886" t="s">
        <v>6</v>
      </c>
      <c r="F109" s="886" t="s">
        <v>270</v>
      </c>
      <c r="G109" s="47">
        <f>IF(F109="I",IFERROR(VLOOKUP(C109,'BG 062022'!A:C,3,FALSE),0),0)</f>
        <v>0</v>
      </c>
      <c r="H109" s="885"/>
      <c r="I109" s="63">
        <f>IF(F109="I",IFERROR(VLOOKUP(C109,'BG 062022'!A:D,4,FALSE),0),0)</f>
        <v>0</v>
      </c>
      <c r="J109" s="887"/>
      <c r="K109" s="47">
        <f>IF(F109="I",SUMIF('BG 2021'!B:B,Clasificaciones!C109,'BG 2021'!D:D),0)</f>
        <v>0</v>
      </c>
      <c r="L109" s="887"/>
      <c r="M109" s="63">
        <f>IF(F109="I",SUMIF('BG 2021'!B:B,Clasificaciones!C109,'BG 2021'!E:E),0)</f>
        <v>0</v>
      </c>
      <c r="N109" s="887"/>
      <c r="O109" s="47">
        <f>IF(F109="I",SUMIF('BG 062021'!A:A,Clasificaciones!C109,'BG 062021'!C:C),0)</f>
        <v>0</v>
      </c>
      <c r="P109" s="887"/>
      <c r="Q109" s="63">
        <f>IF(F109="I",SUMIF('BG 062021'!A:A,Clasificaciones!C109,'BG 062021'!D:D),0)</f>
        <v>0</v>
      </c>
    </row>
    <row r="110" spans="1:18" s="888" customFormat="1" hidden="1">
      <c r="A110" s="885" t="s">
        <v>3</v>
      </c>
      <c r="B110" s="885"/>
      <c r="C110" s="889">
        <v>1120114601</v>
      </c>
      <c r="D110" s="889" t="s">
        <v>882</v>
      </c>
      <c r="E110" s="886" t="s">
        <v>6</v>
      </c>
      <c r="F110" s="886" t="s">
        <v>271</v>
      </c>
      <c r="G110" s="47">
        <f>IF(F110="I",IFERROR(VLOOKUP(C110,'BG 062022'!A:C,3,FALSE),0),0)</f>
        <v>0</v>
      </c>
      <c r="H110" s="885"/>
      <c r="I110" s="63">
        <f>IF(F110="I",IFERROR(VLOOKUP(C110,'BG 062022'!A:D,4,FALSE),0),0)</f>
        <v>0</v>
      </c>
      <c r="J110" s="887"/>
      <c r="K110" s="47">
        <f>IF(F110="I",SUMIF('BG 2021'!B:B,Clasificaciones!C110,'BG 2021'!D:D),0)</f>
        <v>0</v>
      </c>
      <c r="L110" s="887"/>
      <c r="M110" s="63">
        <f>IF(F110="I",SUMIF('BG 2021'!B:B,Clasificaciones!C110,'BG 2021'!E:E),0)</f>
        <v>0</v>
      </c>
      <c r="N110" s="887"/>
      <c r="O110" s="47">
        <f>IF(F110="I",SUMIF('BG 062021'!A:A,Clasificaciones!C110,'BG 062021'!C:C),0)</f>
        <v>0</v>
      </c>
      <c r="P110" s="887"/>
      <c r="Q110" s="63">
        <f>IF(F110="I",SUMIF('BG 062021'!A:A,Clasificaciones!C110,'BG 062021'!D:D),0)</f>
        <v>0</v>
      </c>
    </row>
    <row r="111" spans="1:18" s="888" customFormat="1" hidden="1">
      <c r="A111" s="885" t="s">
        <v>3</v>
      </c>
      <c r="B111" s="885"/>
      <c r="C111" s="889">
        <v>1120114602</v>
      </c>
      <c r="D111" s="889" t="s">
        <v>883</v>
      </c>
      <c r="E111" s="886" t="s">
        <v>186</v>
      </c>
      <c r="F111" s="886" t="s">
        <v>271</v>
      </c>
      <c r="G111" s="47">
        <f>IF(F111="I",IFERROR(VLOOKUP(C111,'BG 062022'!A:C,3,FALSE),0),0)</f>
        <v>0</v>
      </c>
      <c r="H111" s="885"/>
      <c r="I111" s="63">
        <f>IF(F111="I",IFERROR(VLOOKUP(C111,'BG 062022'!A:D,4,FALSE),0),0)</f>
        <v>0</v>
      </c>
      <c r="J111" s="887"/>
      <c r="K111" s="47">
        <f>IF(F111="I",SUMIF('BG 2021'!B:B,Clasificaciones!C111,'BG 2021'!D:D),0)</f>
        <v>0</v>
      </c>
      <c r="L111" s="887"/>
      <c r="M111" s="63">
        <f>IF(F111="I",SUMIF('BG 2021'!B:B,Clasificaciones!C111,'BG 2021'!E:E),0)</f>
        <v>0</v>
      </c>
      <c r="N111" s="887"/>
      <c r="O111" s="47">
        <f>IF(F111="I",SUMIF('BG 062021'!A:A,Clasificaciones!C111,'BG 062021'!C:C),0)</f>
        <v>0</v>
      </c>
      <c r="P111" s="887"/>
      <c r="Q111" s="63">
        <f>IF(F111="I",SUMIF('BG 062021'!A:A,Clasificaciones!C111,'BG 062021'!D:D),0)</f>
        <v>0</v>
      </c>
    </row>
    <row r="112" spans="1:18" s="888" customFormat="1" hidden="1">
      <c r="A112" s="885" t="s">
        <v>3</v>
      </c>
      <c r="B112" s="885"/>
      <c r="C112" s="889">
        <v>1120115</v>
      </c>
      <c r="D112" s="889" t="s">
        <v>886</v>
      </c>
      <c r="E112" s="886" t="s">
        <v>6</v>
      </c>
      <c r="F112" s="886" t="s">
        <v>270</v>
      </c>
      <c r="G112" s="47">
        <f>IF(F112="I",IFERROR(VLOOKUP(C112,'BG 062022'!A:C,3,FALSE),0),0)</f>
        <v>0</v>
      </c>
      <c r="H112" s="885"/>
      <c r="I112" s="63">
        <f>IF(F112="I",IFERROR(VLOOKUP(C112,'BG 062022'!A:D,4,FALSE),0),0)</f>
        <v>0</v>
      </c>
      <c r="J112" s="887"/>
      <c r="K112" s="47">
        <f>IF(F112="I",SUMIF('BG 2021'!B:B,Clasificaciones!C112,'BG 2021'!D:D),0)</f>
        <v>0</v>
      </c>
      <c r="L112" s="887"/>
      <c r="M112" s="63">
        <f>IF(F112="I",SUMIF('BG 2021'!B:B,Clasificaciones!C112,'BG 2021'!E:E),0)</f>
        <v>0</v>
      </c>
      <c r="N112" s="887"/>
      <c r="O112" s="47">
        <f>IF(F112="I",SUMIF('BG 062021'!A:A,Clasificaciones!C112,'BG 062021'!C:C),0)</f>
        <v>0</v>
      </c>
      <c r="P112" s="887"/>
      <c r="Q112" s="63">
        <f>IF(F112="I",SUMIF('BG 062021'!A:A,Clasificaciones!C112,'BG 062021'!D:D),0)</f>
        <v>0</v>
      </c>
    </row>
    <row r="113" spans="1:18" s="888" customFormat="1" hidden="1">
      <c r="A113" s="885" t="s">
        <v>3</v>
      </c>
      <c r="B113" s="885"/>
      <c r="C113" s="889">
        <v>11201151</v>
      </c>
      <c r="D113" s="889" t="s">
        <v>887</v>
      </c>
      <c r="E113" s="886" t="s">
        <v>6</v>
      </c>
      <c r="F113" s="886" t="s">
        <v>270</v>
      </c>
      <c r="G113" s="47">
        <f>IF(F113="I",IFERROR(VLOOKUP(C113,'BG 062022'!A:C,3,FALSE),0),0)</f>
        <v>0</v>
      </c>
      <c r="H113" s="885"/>
      <c r="I113" s="63">
        <f>IF(F113="I",IFERROR(VLOOKUP(C113,'BG 062022'!A:D,4,FALSE),0),0)</f>
        <v>0</v>
      </c>
      <c r="J113" s="887"/>
      <c r="K113" s="47">
        <f>IF(F113="I",SUMIF('BG 2021'!B:B,Clasificaciones!C113,'BG 2021'!D:D),0)</f>
        <v>0</v>
      </c>
      <c r="L113" s="887"/>
      <c r="M113" s="63">
        <f>IF(F113="I",SUMIF('BG 2021'!B:B,Clasificaciones!C113,'BG 2021'!E:E),0)</f>
        <v>0</v>
      </c>
      <c r="N113" s="887"/>
      <c r="O113" s="47">
        <f>IF(F113="I",SUMIF('BG 062021'!A:A,Clasificaciones!C113,'BG 062021'!C:C),0)</f>
        <v>0</v>
      </c>
      <c r="P113" s="887"/>
      <c r="Q113" s="63">
        <f>IF(F113="I",SUMIF('BG 062021'!A:A,Clasificaciones!C113,'BG 062021'!D:D),0)</f>
        <v>0</v>
      </c>
    </row>
    <row r="114" spans="1:18" s="888" customFormat="1" hidden="1">
      <c r="A114" s="885" t="s">
        <v>3</v>
      </c>
      <c r="B114" s="885"/>
      <c r="C114" s="889">
        <v>1120115101</v>
      </c>
      <c r="D114" s="889" t="s">
        <v>888</v>
      </c>
      <c r="E114" s="886" t="s">
        <v>6</v>
      </c>
      <c r="F114" s="886" t="s">
        <v>271</v>
      </c>
      <c r="G114" s="47">
        <f>IF(F114="I",IFERROR(VLOOKUP(C114,'BG 062022'!A:C,3,FALSE),0),0)</f>
        <v>0</v>
      </c>
      <c r="H114" s="885"/>
      <c r="I114" s="63">
        <f>IF(F114="I",IFERROR(VLOOKUP(C114,'BG 062022'!A:D,4,FALSE),0),0)</f>
        <v>0</v>
      </c>
      <c r="J114" s="887"/>
      <c r="K114" s="47">
        <f>IF(F114="I",SUMIF('BG 2021'!B:B,Clasificaciones!C114,'BG 2021'!D:D),0)</f>
        <v>0</v>
      </c>
      <c r="L114" s="887"/>
      <c r="M114" s="63">
        <f>IF(F114="I",SUMIF('BG 2021'!B:B,Clasificaciones!C114,'BG 2021'!E:E),0)</f>
        <v>0</v>
      </c>
      <c r="N114" s="887"/>
      <c r="O114" s="47">
        <f>IF(F114="I",SUMIF('BG 062021'!A:A,Clasificaciones!C114,'BG 062021'!C:C),0)</f>
        <v>0</v>
      </c>
      <c r="P114" s="887"/>
      <c r="Q114" s="63">
        <f>IF(F114="I",SUMIF('BG 062021'!A:A,Clasificaciones!C114,'BG 062021'!D:D),0)</f>
        <v>0</v>
      </c>
    </row>
    <row r="115" spans="1:18" s="888" customFormat="1" hidden="1">
      <c r="A115" s="885" t="s">
        <v>3</v>
      </c>
      <c r="B115" s="885"/>
      <c r="C115" s="889">
        <v>1120115102</v>
      </c>
      <c r="D115" s="889" t="s">
        <v>889</v>
      </c>
      <c r="E115" s="886" t="s">
        <v>186</v>
      </c>
      <c r="F115" s="886" t="s">
        <v>271</v>
      </c>
      <c r="G115" s="47">
        <f>IF(F115="I",IFERROR(VLOOKUP(C115,'BG 062022'!A:C,3,FALSE),0),0)</f>
        <v>0</v>
      </c>
      <c r="H115" s="885"/>
      <c r="I115" s="63">
        <f>IF(F115="I",IFERROR(VLOOKUP(C115,'BG 062022'!A:D,4,FALSE),0),0)</f>
        <v>0</v>
      </c>
      <c r="J115" s="887"/>
      <c r="K115" s="47">
        <f>IF(F115="I",SUMIF('BG 2021'!B:B,Clasificaciones!C115,'BG 2021'!D:D),0)</f>
        <v>0</v>
      </c>
      <c r="L115" s="887"/>
      <c r="M115" s="63">
        <f>IF(F115="I",SUMIF('BG 2021'!B:B,Clasificaciones!C115,'BG 2021'!E:E),0)</f>
        <v>0</v>
      </c>
      <c r="N115" s="887"/>
      <c r="O115" s="47">
        <f>IF(F115="I",SUMIF('BG 062021'!A:A,Clasificaciones!C115,'BG 062021'!C:C),0)</f>
        <v>0</v>
      </c>
      <c r="P115" s="887"/>
      <c r="Q115" s="63">
        <f>IF(F115="I",SUMIF('BG 062021'!A:A,Clasificaciones!C115,'BG 062021'!D:D),0)</f>
        <v>0</v>
      </c>
    </row>
    <row r="116" spans="1:18" s="888" customFormat="1" hidden="1">
      <c r="A116" s="885" t="s">
        <v>3</v>
      </c>
      <c r="B116" s="885"/>
      <c r="C116" s="889">
        <v>11201152</v>
      </c>
      <c r="D116" s="889" t="s">
        <v>890</v>
      </c>
      <c r="E116" s="886" t="s">
        <v>6</v>
      </c>
      <c r="F116" s="886" t="s">
        <v>270</v>
      </c>
      <c r="G116" s="47">
        <f>IF(F116="I",IFERROR(VLOOKUP(C116,'BG 062022'!A:C,3,FALSE),0),0)</f>
        <v>0</v>
      </c>
      <c r="H116" s="885"/>
      <c r="I116" s="63">
        <f>IF(F116="I",IFERROR(VLOOKUP(C116,'BG 062022'!A:D,4,FALSE),0),0)</f>
        <v>0</v>
      </c>
      <c r="J116" s="887"/>
      <c r="K116" s="47">
        <f>IF(F116="I",SUMIF('BG 2021'!B:B,Clasificaciones!C116,'BG 2021'!D:D),0)</f>
        <v>0</v>
      </c>
      <c r="L116" s="887"/>
      <c r="M116" s="63">
        <f>IF(F116="I",SUMIF('BG 2021'!B:B,Clasificaciones!C116,'BG 2021'!E:E),0)</f>
        <v>0</v>
      </c>
      <c r="N116" s="887"/>
      <c r="O116" s="47">
        <f>IF(F116="I",SUMIF('BG 062021'!A:A,Clasificaciones!C116,'BG 062021'!C:C),0)</f>
        <v>0</v>
      </c>
      <c r="P116" s="887"/>
      <c r="Q116" s="63">
        <f>IF(F116="I",SUMIF('BG 062021'!A:A,Clasificaciones!C116,'BG 062021'!D:D),0)</f>
        <v>0</v>
      </c>
    </row>
    <row r="117" spans="1:18" s="888" customFormat="1" hidden="1">
      <c r="A117" s="885" t="s">
        <v>3</v>
      </c>
      <c r="B117" s="885"/>
      <c r="C117" s="889">
        <v>1120115201</v>
      </c>
      <c r="D117" s="889" t="s">
        <v>891</v>
      </c>
      <c r="E117" s="886" t="s">
        <v>6</v>
      </c>
      <c r="F117" s="886" t="s">
        <v>271</v>
      </c>
      <c r="G117" s="47">
        <f>IF(F117="I",IFERROR(VLOOKUP(C117,'BG 062022'!A:C,3,FALSE),0),0)</f>
        <v>0</v>
      </c>
      <c r="H117" s="885"/>
      <c r="I117" s="63">
        <f>IF(F117="I",IFERROR(VLOOKUP(C117,'BG 062022'!A:D,4,FALSE),0),0)</f>
        <v>0</v>
      </c>
      <c r="J117" s="887"/>
      <c r="K117" s="47">
        <f>IF(F117="I",SUMIF('BG 2021'!B:B,Clasificaciones!C117,'BG 2021'!D:D),0)</f>
        <v>0</v>
      </c>
      <c r="L117" s="887"/>
      <c r="M117" s="63">
        <f>IF(F117="I",SUMIF('BG 2021'!B:B,Clasificaciones!C117,'BG 2021'!E:E),0)</f>
        <v>0</v>
      </c>
      <c r="N117" s="887"/>
      <c r="O117" s="47">
        <f>IF(F117="I",SUMIF('BG 062021'!A:A,Clasificaciones!C117,'BG 062021'!C:C),0)</f>
        <v>0</v>
      </c>
      <c r="P117" s="887"/>
      <c r="Q117" s="63">
        <f>IF(F117="I",SUMIF('BG 062021'!A:A,Clasificaciones!C117,'BG 062021'!D:D),0)</f>
        <v>0</v>
      </c>
    </row>
    <row r="118" spans="1:18" s="888" customFormat="1" hidden="1">
      <c r="A118" s="885" t="s">
        <v>3</v>
      </c>
      <c r="B118" s="885"/>
      <c r="C118" s="889">
        <v>1120115202</v>
      </c>
      <c r="D118" s="889" t="s">
        <v>892</v>
      </c>
      <c r="E118" s="886" t="s">
        <v>186</v>
      </c>
      <c r="F118" s="886" t="s">
        <v>271</v>
      </c>
      <c r="G118" s="47">
        <f>IF(F118="I",IFERROR(VLOOKUP(C118,'BG 062022'!A:C,3,FALSE),0),0)</f>
        <v>0</v>
      </c>
      <c r="H118" s="885"/>
      <c r="I118" s="63">
        <f>IF(F118="I",IFERROR(VLOOKUP(C118,'BG 062022'!A:D,4,FALSE),0),0)</f>
        <v>0</v>
      </c>
      <c r="J118" s="887"/>
      <c r="K118" s="47">
        <f>IF(F118="I",SUMIF('BG 2021'!B:B,Clasificaciones!C118,'BG 2021'!D:D),0)</f>
        <v>0</v>
      </c>
      <c r="L118" s="887"/>
      <c r="M118" s="63">
        <f>IF(F118="I",SUMIF('BG 2021'!B:B,Clasificaciones!C118,'BG 2021'!E:E),0)</f>
        <v>0</v>
      </c>
      <c r="N118" s="887"/>
      <c r="O118" s="47">
        <f>IF(F118="I",SUMIF('BG 062021'!A:A,Clasificaciones!C118,'BG 062021'!C:C),0)</f>
        <v>0</v>
      </c>
      <c r="P118" s="887"/>
      <c r="Q118" s="63">
        <f>IF(F118="I",SUMIF('BG 062021'!A:A,Clasificaciones!C118,'BG 062021'!D:D),0)</f>
        <v>0</v>
      </c>
    </row>
    <row r="119" spans="1:18" s="888" customFormat="1" hidden="1">
      <c r="A119" s="885" t="s">
        <v>3</v>
      </c>
      <c r="B119" s="885"/>
      <c r="C119" s="889">
        <v>11201153</v>
      </c>
      <c r="D119" s="889" t="s">
        <v>1556</v>
      </c>
      <c r="E119" s="886" t="s">
        <v>6</v>
      </c>
      <c r="F119" s="886" t="s">
        <v>270</v>
      </c>
      <c r="G119" s="47">
        <f>IF(F119="I",IFERROR(VLOOKUP(C119,'BG 062022'!A:C,3,FALSE),0),0)</f>
        <v>0</v>
      </c>
      <c r="H119" s="885"/>
      <c r="I119" s="63">
        <f>IF(F119="I",IFERROR(VLOOKUP(C119,'BG 062022'!A:D,4,FALSE),0),0)</f>
        <v>0</v>
      </c>
      <c r="J119" s="887"/>
      <c r="K119" s="47">
        <f>IF(F119="I",SUMIF('BG 2021'!B:B,Clasificaciones!C119,'BG 2021'!D:D),0)</f>
        <v>0</v>
      </c>
      <c r="L119" s="887"/>
      <c r="M119" s="63">
        <f>IF(F119="I",SUMIF('BG 2021'!B:B,Clasificaciones!C119,'BG 2021'!E:E),0)</f>
        <v>0</v>
      </c>
      <c r="N119" s="887"/>
      <c r="O119" s="47">
        <f>IF(F119="I",SUMIF('BG 062021'!A:A,Clasificaciones!C119,'BG 062021'!C:C),0)</f>
        <v>0</v>
      </c>
      <c r="P119" s="887"/>
      <c r="Q119" s="63">
        <f>IF(F119="I",SUMIF('BG 062021'!A:A,Clasificaciones!C119,'BG 062021'!D:D),0)</f>
        <v>0</v>
      </c>
    </row>
    <row r="120" spans="1:18" s="888" customFormat="1" hidden="1">
      <c r="A120" s="885" t="s">
        <v>3</v>
      </c>
      <c r="B120" s="885" t="s">
        <v>83</v>
      </c>
      <c r="C120" s="889">
        <v>1120115301</v>
      </c>
      <c r="D120" s="889" t="s">
        <v>1557</v>
      </c>
      <c r="E120" s="886" t="s">
        <v>6</v>
      </c>
      <c r="F120" s="886" t="s">
        <v>271</v>
      </c>
      <c r="G120" s="47">
        <f>IF(F120="I",IFERROR(VLOOKUP(C120,'BG 062022'!A:C,3,FALSE),0),0)</f>
        <v>1277933080</v>
      </c>
      <c r="H120" s="885"/>
      <c r="I120" s="63">
        <f>IF(F120="I",IFERROR(VLOOKUP(C120,'BG 062022'!A:D,4,FALSE),0),0)</f>
        <v>186889.7</v>
      </c>
      <c r="J120" s="887"/>
      <c r="K120" s="47">
        <f>IF(F120="I",SUMIF('BG 2021'!B:B,Clasificaciones!C120,'BG 2021'!D:D),0)</f>
        <v>0</v>
      </c>
      <c r="L120" s="887"/>
      <c r="M120" s="63">
        <f>IF(F120="I",SUMIF('BG 2021'!B:B,Clasificaciones!C120,'BG 2021'!E:E),0)</f>
        <v>0</v>
      </c>
      <c r="N120" s="887"/>
      <c r="O120" s="47">
        <f>IF(F120="I",SUMIF('BG 062021'!A:A,Clasificaciones!C120,'BG 062021'!C:C),0)</f>
        <v>0</v>
      </c>
      <c r="P120" s="887"/>
      <c r="Q120" s="63">
        <f>IF(F120="I",SUMIF('BG 062021'!A:A,Clasificaciones!C120,'BG 062021'!D:D),0)</f>
        <v>0</v>
      </c>
    </row>
    <row r="121" spans="1:18" s="888" customFormat="1" hidden="1">
      <c r="A121" s="885" t="s">
        <v>3</v>
      </c>
      <c r="B121" s="885"/>
      <c r="C121" s="889">
        <v>1120116</v>
      </c>
      <c r="D121" s="889" t="s">
        <v>661</v>
      </c>
      <c r="E121" s="886" t="s">
        <v>6</v>
      </c>
      <c r="F121" s="886" t="s">
        <v>270</v>
      </c>
      <c r="G121" s="47">
        <f>IF(F121="I",IFERROR(VLOOKUP(C121,'BG 062022'!A:C,3,FALSE),0),0)</f>
        <v>0</v>
      </c>
      <c r="H121" s="885"/>
      <c r="I121" s="63">
        <f>IF(F121="I",IFERROR(VLOOKUP(C121,'BG 062022'!A:D,4,FALSE),0),0)</f>
        <v>0</v>
      </c>
      <c r="J121" s="887"/>
      <c r="K121" s="47">
        <f>IF(F121="I",SUMIF('BG 2021'!B:B,Clasificaciones!C121,'BG 2021'!D:D),0)</f>
        <v>0</v>
      </c>
      <c r="L121" s="887"/>
      <c r="M121" s="63">
        <f>IF(F121="I",SUMIF('BG 2021'!B:B,Clasificaciones!C121,'BG 2021'!E:E),0)</f>
        <v>0</v>
      </c>
      <c r="N121" s="887"/>
      <c r="O121" s="47">
        <f>IF(F121="I",SUMIF('BG 062021'!A:A,Clasificaciones!C121,'BG 062021'!C:C),0)</f>
        <v>0</v>
      </c>
      <c r="P121" s="887"/>
      <c r="Q121" s="63">
        <f>IF(F121="I",SUMIF('BG 062021'!A:A,Clasificaciones!C121,'BG 062021'!D:D),0)</f>
        <v>0</v>
      </c>
    </row>
    <row r="122" spans="1:18" s="888" customFormat="1" hidden="1">
      <c r="A122" s="885" t="s">
        <v>3</v>
      </c>
      <c r="B122" s="885"/>
      <c r="C122" s="889">
        <v>11201161</v>
      </c>
      <c r="D122" s="889" t="s">
        <v>662</v>
      </c>
      <c r="E122" s="886" t="s">
        <v>6</v>
      </c>
      <c r="F122" s="886" t="s">
        <v>270</v>
      </c>
      <c r="G122" s="47">
        <f>IF(F122="I",IFERROR(VLOOKUP(C122,'BG 062022'!A:C,3,FALSE),0),0)</f>
        <v>0</v>
      </c>
      <c r="H122" s="885"/>
      <c r="I122" s="63">
        <f>IF(F122="I",IFERROR(VLOOKUP(C122,'BG 062022'!A:D,4,FALSE),0),0)</f>
        <v>0</v>
      </c>
      <c r="J122" s="887"/>
      <c r="K122" s="47">
        <f>IF(F122="I",SUMIF('BG 2021'!B:B,Clasificaciones!C122,'BG 2021'!D:D),0)</f>
        <v>0</v>
      </c>
      <c r="L122" s="887"/>
      <c r="M122" s="63">
        <f>IF(F122="I",SUMIF('BG 2021'!B:B,Clasificaciones!C122,'BG 2021'!E:E),0)</f>
        <v>0</v>
      </c>
      <c r="N122" s="887"/>
      <c r="O122" s="47">
        <f>IF(F122="I",SUMIF('BG 062021'!A:A,Clasificaciones!C122,'BG 062021'!C:C),0)</f>
        <v>0</v>
      </c>
      <c r="P122" s="887"/>
      <c r="Q122" s="63">
        <f>IF(F122="I",SUMIF('BG 062021'!A:A,Clasificaciones!C122,'BG 062021'!D:D),0)</f>
        <v>0</v>
      </c>
    </row>
    <row r="123" spans="1:18" s="888" customFormat="1" hidden="1">
      <c r="A123" s="885" t="s">
        <v>3</v>
      </c>
      <c r="B123" s="885" t="s">
        <v>83</v>
      </c>
      <c r="C123" s="889">
        <v>1120116101</v>
      </c>
      <c r="D123" s="889" t="s">
        <v>663</v>
      </c>
      <c r="E123" s="886" t="s">
        <v>6</v>
      </c>
      <c r="F123" s="886" t="s">
        <v>271</v>
      </c>
      <c r="G123" s="47">
        <f>IF(F123="I",IFERROR(VLOOKUP(C123,'BG 062022'!A:C,3,FALSE),0),0)</f>
        <v>3353261918</v>
      </c>
      <c r="H123" s="885"/>
      <c r="I123" s="63">
        <f>IF(F123="I",IFERROR(VLOOKUP(C123,'BG 062022'!A:D,4,FALSE),0),0)</f>
        <v>490393.53</v>
      </c>
      <c r="J123" s="887"/>
      <c r="K123" s="47">
        <f>IF(F123="I",SUMIF('BG 2021'!B:B,Clasificaciones!C123,'BG 2021'!D:D),0)</f>
        <v>3684400000</v>
      </c>
      <c r="L123" s="887"/>
      <c r="M123" s="63">
        <f>IF(F123="I",SUMIF('BG 2021'!B:B,Clasificaciones!C123,'BG 2021'!E:E),0)</f>
        <v>536239.54</v>
      </c>
      <c r="N123" s="887"/>
      <c r="O123" s="47">
        <f>IF(F123="I",SUMIF('BG 062021'!A:A,Clasificaciones!C123,'BG 062021'!C:C),0)</f>
        <v>4137877138</v>
      </c>
      <c r="P123" s="887"/>
      <c r="Q123" s="63">
        <f>IF(F123="I",SUMIF('BG 062021'!A:A,Clasificaciones!C123,'BG 062021'!D:D),0)</f>
        <v>614477.18999999994</v>
      </c>
      <c r="R123" s="888">
        <f>+VLOOKUP(C123,'CA EFE'!A:A,1,FALSE)</f>
        <v>1120116101</v>
      </c>
    </row>
    <row r="124" spans="1:18" s="888" customFormat="1" hidden="1">
      <c r="A124" s="885" t="s">
        <v>3</v>
      </c>
      <c r="B124" s="885"/>
      <c r="C124" s="889">
        <v>1120116102</v>
      </c>
      <c r="D124" s="889" t="s">
        <v>893</v>
      </c>
      <c r="E124" s="886" t="s">
        <v>186</v>
      </c>
      <c r="F124" s="886" t="s">
        <v>271</v>
      </c>
      <c r="G124" s="47">
        <f>IF(F124="I",IFERROR(VLOOKUP(C124,'BG 062022'!A:C,3,FALSE),0),0)</f>
        <v>0</v>
      </c>
      <c r="H124" s="885"/>
      <c r="I124" s="63">
        <f>IF(F124="I",IFERROR(VLOOKUP(C124,'BG 062022'!A:D,4,FALSE),0),0)</f>
        <v>0</v>
      </c>
      <c r="J124" s="887"/>
      <c r="K124" s="47">
        <f>IF(F124="I",SUMIF('BG 2021'!B:B,Clasificaciones!C124,'BG 2021'!D:D),0)</f>
        <v>0</v>
      </c>
      <c r="L124" s="887"/>
      <c r="M124" s="63">
        <f>IF(F124="I",SUMIF('BG 2021'!B:B,Clasificaciones!C124,'BG 2021'!E:E),0)</f>
        <v>0</v>
      </c>
      <c r="N124" s="887"/>
      <c r="O124" s="47">
        <f>IF(F124="I",SUMIF('BG 062021'!A:A,Clasificaciones!C124,'BG 062021'!C:C),0)</f>
        <v>0</v>
      </c>
      <c r="P124" s="887"/>
      <c r="Q124" s="63">
        <f>IF(F124="I",SUMIF('BG 062021'!A:A,Clasificaciones!C124,'BG 062021'!D:D),0)</f>
        <v>0</v>
      </c>
    </row>
    <row r="125" spans="1:18" s="888" customFormat="1" hidden="1">
      <c r="A125" s="885" t="s">
        <v>3</v>
      </c>
      <c r="B125" s="885" t="s">
        <v>83</v>
      </c>
      <c r="C125" s="889">
        <v>1120116103</v>
      </c>
      <c r="D125" s="889" t="s">
        <v>894</v>
      </c>
      <c r="E125" s="886" t="s">
        <v>6</v>
      </c>
      <c r="F125" s="886" t="s">
        <v>271</v>
      </c>
      <c r="G125" s="47">
        <f>IF(F125="I",IFERROR(VLOOKUP(C125,'BG 062022'!A:C,3,FALSE),0),0)</f>
        <v>0</v>
      </c>
      <c r="H125" s="885"/>
      <c r="I125" s="63">
        <f>IF(F125="I",IFERROR(VLOOKUP(C125,'BG 062022'!A:D,4,FALSE),0),0)</f>
        <v>0</v>
      </c>
      <c r="J125" s="887"/>
      <c r="K125" s="47">
        <f>IF(F125="I",SUMIF('BG 2021'!B:B,Clasificaciones!C125,'BG 2021'!D:D),0)</f>
        <v>0</v>
      </c>
      <c r="L125" s="887"/>
      <c r="M125" s="63">
        <f>IF(F125="I",SUMIF('BG 2021'!B:B,Clasificaciones!C125,'BG 2021'!E:E),0)</f>
        <v>0</v>
      </c>
      <c r="N125" s="887"/>
      <c r="O125" s="47">
        <f>IF(F125="I",SUMIF('BG 062021'!A:A,Clasificaciones!C125,'BG 062021'!C:C),0)</f>
        <v>852218740</v>
      </c>
      <c r="P125" s="887"/>
      <c r="Q125" s="63">
        <f>IF(F125="I",SUMIF('BG 062021'!A:A,Clasificaciones!C125,'BG 062021'!D:D),0)</f>
        <v>126554.99</v>
      </c>
    </row>
    <row r="126" spans="1:18" s="888" customFormat="1" hidden="1">
      <c r="A126" s="885" t="s">
        <v>3</v>
      </c>
      <c r="B126" s="885" t="s">
        <v>83</v>
      </c>
      <c r="C126" s="889">
        <v>1120116104</v>
      </c>
      <c r="D126" s="889" t="s">
        <v>1390</v>
      </c>
      <c r="E126" s="886" t="s">
        <v>186</v>
      </c>
      <c r="F126" s="886" t="s">
        <v>271</v>
      </c>
      <c r="G126" s="47">
        <f>IF(F126="I",IFERROR(VLOOKUP(C126,'BG 062022'!A:C,3,FALSE),0),0)</f>
        <v>647585576</v>
      </c>
      <c r="H126" s="885"/>
      <c r="I126" s="63">
        <f>IF(F126="I",IFERROR(VLOOKUP(C126,'BG 062022'!A:D,4,FALSE),0),0)</f>
        <v>94705.33</v>
      </c>
      <c r="J126" s="887"/>
      <c r="K126" s="47">
        <f>IF(F126="I",SUMIF('BG 2021'!B:B,Clasificaciones!C126,'BG 2021'!D:D),0)</f>
        <v>887918555</v>
      </c>
      <c r="L126" s="887"/>
      <c r="M126" s="63">
        <f>IF(F126="I",SUMIF('BG 2021'!B:B,Clasificaciones!C126,'BG 2021'!E:E),0)</f>
        <v>129230.55000000005</v>
      </c>
      <c r="N126" s="887"/>
      <c r="O126" s="47">
        <f>IF(F126="I",SUMIF('BG 062021'!A:A,Clasificaciones!C126,'BG 062021'!C:C),0)</f>
        <v>24945827</v>
      </c>
      <c r="P126" s="887"/>
      <c r="Q126" s="63">
        <f>IF(F126="I",SUMIF('BG 062021'!A:A,Clasificaciones!C126,'BG 062021'!D:D),0)</f>
        <v>3704.47</v>
      </c>
      <c r="R126" s="888">
        <f>+VLOOKUP(C126,'CA EFE'!A:A,1,FALSE)</f>
        <v>1120116104</v>
      </c>
    </row>
    <row r="127" spans="1:18" s="888" customFormat="1" hidden="1">
      <c r="A127" s="885" t="s">
        <v>3</v>
      </c>
      <c r="B127" s="885" t="s">
        <v>83</v>
      </c>
      <c r="C127" s="889">
        <v>1120116105</v>
      </c>
      <c r="D127" s="889" t="s">
        <v>664</v>
      </c>
      <c r="E127" s="886" t="s">
        <v>6</v>
      </c>
      <c r="F127" s="886" t="s">
        <v>271</v>
      </c>
      <c r="G127" s="47">
        <f>IF(F127="I",IFERROR(VLOOKUP(C127,'BG 062022'!A:C,3,FALSE),0),0)</f>
        <v>2062556431</v>
      </c>
      <c r="H127" s="885"/>
      <c r="I127" s="63">
        <f>IF(F127="I",IFERROR(VLOOKUP(C127,'BG 062022'!A:D,4,FALSE),0),0)</f>
        <v>301635.95</v>
      </c>
      <c r="J127" s="887"/>
      <c r="K127" s="47">
        <f>IF(F127="I",SUMIF('BG 2021'!B:B,Clasificaciones!C127,'BG 2021'!D:D),0)</f>
        <v>1462373699</v>
      </c>
      <c r="L127" s="887"/>
      <c r="M127" s="63">
        <f>IF(F127="I",SUMIF('BG 2021'!B:B,Clasificaciones!C127,'BG 2021'!E:E),0)</f>
        <v>212838.62000000008</v>
      </c>
      <c r="N127" s="887"/>
      <c r="O127" s="47">
        <f>IF(F127="I",SUMIF('BG 062021'!A:A,Clasificaciones!C127,'BG 062021'!C:C),0)</f>
        <v>2029882947</v>
      </c>
      <c r="P127" s="887"/>
      <c r="Q127" s="63">
        <f>IF(F127="I",SUMIF('BG 062021'!A:A,Clasificaciones!C127,'BG 062021'!D:D),0)</f>
        <v>301438.81</v>
      </c>
      <c r="R127" s="888">
        <f>+VLOOKUP(C127,'CA EFE'!A:A,1,FALSE)</f>
        <v>1120116105</v>
      </c>
    </row>
    <row r="128" spans="1:18" s="888" customFormat="1" hidden="1">
      <c r="A128" s="885" t="s">
        <v>3</v>
      </c>
      <c r="B128" s="885" t="s">
        <v>83</v>
      </c>
      <c r="C128" s="889">
        <v>1120116106</v>
      </c>
      <c r="D128" s="889" t="s">
        <v>1391</v>
      </c>
      <c r="E128" s="886" t="s">
        <v>186</v>
      </c>
      <c r="F128" s="886" t="s">
        <v>271</v>
      </c>
      <c r="G128" s="47">
        <f>IF(F128="I",IFERROR(VLOOKUP(C128,'BG 062022'!A:C,3,FALSE),0),0)</f>
        <v>3862637809</v>
      </c>
      <c r="H128" s="885"/>
      <c r="I128" s="63">
        <f>IF(F128="I",IFERROR(VLOOKUP(C128,'BG 062022'!A:D,4,FALSE),0),0)</f>
        <v>564886.56000000006</v>
      </c>
      <c r="J128" s="887"/>
      <c r="K128" s="47">
        <f>IF(F128="I",SUMIF('BG 2021'!B:B,Clasificaciones!C128,'BG 2021'!D:D),0)</f>
        <v>412685515</v>
      </c>
      <c r="L128" s="887"/>
      <c r="M128" s="63">
        <f>IF(F128="I",SUMIF('BG 2021'!B:B,Clasificaciones!C128,'BG 2021'!E:E),0)</f>
        <v>60063.589999999844</v>
      </c>
      <c r="N128" s="887"/>
      <c r="O128" s="47">
        <f>IF(F128="I",SUMIF('BG 062021'!A:A,Clasificaciones!C128,'BG 062021'!C:C),0)</f>
        <v>336470718</v>
      </c>
      <c r="P128" s="887"/>
      <c r="Q128" s="63">
        <f>IF(F128="I",SUMIF('BG 062021'!A:A,Clasificaciones!C128,'BG 062021'!D:D),0)</f>
        <v>49966.1</v>
      </c>
      <c r="R128" s="888">
        <f>+VLOOKUP(C128,'CA EFE'!A:A,1,FALSE)</f>
        <v>1120116106</v>
      </c>
    </row>
    <row r="129" spans="1:18" s="888" customFormat="1" hidden="1">
      <c r="A129" s="885" t="s">
        <v>3</v>
      </c>
      <c r="B129" s="885" t="s">
        <v>83</v>
      </c>
      <c r="C129" s="889">
        <v>1120116107</v>
      </c>
      <c r="D129" s="889" t="s">
        <v>666</v>
      </c>
      <c r="E129" s="886" t="s">
        <v>6</v>
      </c>
      <c r="F129" s="886" t="s">
        <v>271</v>
      </c>
      <c r="G129" s="47">
        <f>IF(F129="I",IFERROR(VLOOKUP(C129,'BG 062022'!A:C,3,FALSE),0),0)</f>
        <v>17798815626</v>
      </c>
      <c r="H129" s="885"/>
      <c r="I129" s="63">
        <f>IF(F129="I",IFERROR(VLOOKUP(C129,'BG 062022'!A:D,4,FALSE),0),0)</f>
        <v>2602965.1800000002</v>
      </c>
      <c r="J129" s="887"/>
      <c r="K129" s="47">
        <f>IF(F129="I",SUMIF('BG 2021'!B:B,Clasificaciones!C129,'BG 2021'!D:D),0)</f>
        <v>13691268545</v>
      </c>
      <c r="L129" s="887"/>
      <c r="M129" s="63">
        <f>IF(F129="I",SUMIF('BG 2021'!B:B,Clasificaciones!C129,'BG 2021'!E:E),0)</f>
        <v>1992671.6899999992</v>
      </c>
      <c r="N129" s="887"/>
      <c r="O129" s="47">
        <f>IF(F129="I",SUMIF('BG 062021'!A:A,Clasificaciones!C129,'BG 062021'!C:C),0)</f>
        <v>144815671</v>
      </c>
      <c r="P129" s="887"/>
      <c r="Q129" s="63">
        <f>IF(F129="I",SUMIF('BG 062021'!A:A,Clasificaciones!C129,'BG 062021'!D:D),0)</f>
        <v>21505.21</v>
      </c>
      <c r="R129" s="888">
        <f>+VLOOKUP(C129,'CA EFE'!A:A,1,FALSE)</f>
        <v>1120116107</v>
      </c>
    </row>
    <row r="130" spans="1:18" s="888" customFormat="1" hidden="1">
      <c r="A130" s="885" t="s">
        <v>3</v>
      </c>
      <c r="B130" s="885" t="s">
        <v>83</v>
      </c>
      <c r="C130" s="889">
        <v>1120116108</v>
      </c>
      <c r="D130" s="889" t="s">
        <v>895</v>
      </c>
      <c r="E130" s="886" t="s">
        <v>186</v>
      </c>
      <c r="F130" s="886" t="s">
        <v>271</v>
      </c>
      <c r="G130" s="47">
        <f>IF(F130="I",IFERROR(VLOOKUP(C130,'BG 062022'!A:C,3,FALSE),0),0)</f>
        <v>8548013318</v>
      </c>
      <c r="H130" s="885"/>
      <c r="I130" s="63">
        <f>IF(F130="I",IFERROR(VLOOKUP(C130,'BG 062022'!A:D,4,FALSE),0),0)</f>
        <v>1250093.3500000001</v>
      </c>
      <c r="J130" s="887"/>
      <c r="K130" s="47">
        <f>IF(F130="I",SUMIF('BG 2021'!B:B,Clasificaciones!C130,'BG 2021'!D:D),0)</f>
        <v>0</v>
      </c>
      <c r="L130" s="887"/>
      <c r="M130" s="63">
        <f>IF(F130="I",SUMIF('BG 2021'!B:B,Clasificaciones!C130,'BG 2021'!E:E),0)</f>
        <v>0</v>
      </c>
      <c r="N130" s="887"/>
      <c r="O130" s="47">
        <f>IF(F130="I",SUMIF('BG 062021'!A:A,Clasificaciones!C130,'BG 062021'!C:C),0)</f>
        <v>0</v>
      </c>
      <c r="P130" s="887"/>
      <c r="Q130" s="63">
        <f>IF(F130="I",SUMIF('BG 062021'!A:A,Clasificaciones!C130,'BG 062021'!D:D),0)</f>
        <v>0</v>
      </c>
      <c r="R130" s="888">
        <f>+VLOOKUP(C130,'CA EFE'!A:A,1,FALSE)</f>
        <v>1120116108</v>
      </c>
    </row>
    <row r="131" spans="1:18" s="888" customFormat="1" hidden="1">
      <c r="A131" s="885" t="s">
        <v>3</v>
      </c>
      <c r="B131" s="885" t="s">
        <v>83</v>
      </c>
      <c r="C131" s="889">
        <v>1120116109</v>
      </c>
      <c r="D131" s="889" t="s">
        <v>667</v>
      </c>
      <c r="E131" s="886" t="s">
        <v>6</v>
      </c>
      <c r="F131" s="886" t="s">
        <v>271</v>
      </c>
      <c r="G131" s="47">
        <f>IF(F131="I",IFERROR(VLOOKUP(C131,'BG 062022'!A:C,3,FALSE),0),0)</f>
        <v>0</v>
      </c>
      <c r="H131" s="885"/>
      <c r="I131" s="63">
        <f>IF(F131="I",IFERROR(VLOOKUP(C131,'BG 062022'!A:D,4,FALSE),0),0)</f>
        <v>0</v>
      </c>
      <c r="J131" s="887"/>
      <c r="K131" s="47">
        <f>IF(F131="I",SUMIF('BG 2021'!B:B,Clasificaciones!C131,'BG 2021'!D:D),0)</f>
        <v>0</v>
      </c>
      <c r="L131" s="887"/>
      <c r="M131" s="63">
        <f>IF(F131="I",SUMIF('BG 2021'!B:B,Clasificaciones!C131,'BG 2021'!E:E),0)</f>
        <v>0</v>
      </c>
      <c r="N131" s="887"/>
      <c r="O131" s="47">
        <f>IF(F131="I",SUMIF('BG 062021'!A:A,Clasificaciones!C131,'BG 062021'!C:C),0)</f>
        <v>0</v>
      </c>
      <c r="P131" s="887"/>
      <c r="Q131" s="63">
        <f>IF(F131="I",SUMIF('BG 062021'!A:A,Clasificaciones!C131,'BG 062021'!D:D),0)</f>
        <v>0</v>
      </c>
    </row>
    <row r="132" spans="1:18" s="888" customFormat="1" hidden="1">
      <c r="A132" s="885" t="s">
        <v>3</v>
      </c>
      <c r="B132" s="885"/>
      <c r="C132" s="889">
        <v>1120116110</v>
      </c>
      <c r="D132" s="889" t="s">
        <v>896</v>
      </c>
      <c r="E132" s="886" t="s">
        <v>186</v>
      </c>
      <c r="F132" s="886" t="s">
        <v>271</v>
      </c>
      <c r="G132" s="47">
        <f>IF(F132="I",IFERROR(VLOOKUP(C132,'BG 062022'!A:C,3,FALSE),0),0)</f>
        <v>0</v>
      </c>
      <c r="H132" s="885"/>
      <c r="I132" s="63">
        <f>IF(F132="I",IFERROR(VLOOKUP(C132,'BG 062022'!A:D,4,FALSE),0),0)</f>
        <v>0</v>
      </c>
      <c r="J132" s="887"/>
      <c r="K132" s="47">
        <f>IF(F132="I",SUMIF('BG 2021'!B:B,Clasificaciones!C132,'BG 2021'!D:D),0)</f>
        <v>0</v>
      </c>
      <c r="L132" s="887"/>
      <c r="M132" s="63">
        <f>IF(F132="I",SUMIF('BG 2021'!B:B,Clasificaciones!C132,'BG 2021'!E:E),0)</f>
        <v>0</v>
      </c>
      <c r="N132" s="887"/>
      <c r="O132" s="47">
        <f>IF(F132="I",SUMIF('BG 062021'!A:A,Clasificaciones!C132,'BG 062021'!C:C),0)</f>
        <v>0</v>
      </c>
      <c r="P132" s="887"/>
      <c r="Q132" s="63">
        <f>IF(F132="I",SUMIF('BG 062021'!A:A,Clasificaciones!C132,'BG 062021'!D:D),0)</f>
        <v>0</v>
      </c>
    </row>
    <row r="133" spans="1:18" s="888" customFormat="1" hidden="1">
      <c r="A133" s="885" t="s">
        <v>3</v>
      </c>
      <c r="B133" s="885"/>
      <c r="C133" s="889">
        <v>1120116111</v>
      </c>
      <c r="D133" s="889" t="s">
        <v>897</v>
      </c>
      <c r="E133" s="886" t="s">
        <v>6</v>
      </c>
      <c r="F133" s="886" t="s">
        <v>271</v>
      </c>
      <c r="G133" s="47">
        <f>IF(F133="I",IFERROR(VLOOKUP(C133,'BG 062022'!A:C,3,FALSE),0),0)</f>
        <v>0</v>
      </c>
      <c r="H133" s="885"/>
      <c r="I133" s="63">
        <f>IF(F133="I",IFERROR(VLOOKUP(C133,'BG 062022'!A:D,4,FALSE),0),0)</f>
        <v>0</v>
      </c>
      <c r="J133" s="887"/>
      <c r="K133" s="47">
        <f>IF(F133="I",SUMIF('BG 2021'!B:B,Clasificaciones!C133,'BG 2021'!D:D),0)</f>
        <v>0</v>
      </c>
      <c r="L133" s="887"/>
      <c r="M133" s="63">
        <f>IF(F133="I",SUMIF('BG 2021'!B:B,Clasificaciones!C133,'BG 2021'!E:E),0)</f>
        <v>0</v>
      </c>
      <c r="N133" s="887"/>
      <c r="O133" s="47">
        <f>IF(F133="I",SUMIF('BG 062021'!A:A,Clasificaciones!C133,'BG 062021'!C:C),0)</f>
        <v>0</v>
      </c>
      <c r="P133" s="887"/>
      <c r="Q133" s="63">
        <f>IF(F133="I",SUMIF('BG 062021'!A:A,Clasificaciones!C133,'BG 062021'!D:D),0)</f>
        <v>0</v>
      </c>
    </row>
    <row r="134" spans="1:18" s="888" customFormat="1" hidden="1">
      <c r="A134" s="885" t="s">
        <v>3</v>
      </c>
      <c r="B134" s="885"/>
      <c r="C134" s="889">
        <v>1120116112</v>
      </c>
      <c r="D134" s="889" t="s">
        <v>898</v>
      </c>
      <c r="E134" s="886" t="s">
        <v>186</v>
      </c>
      <c r="F134" s="886" t="s">
        <v>271</v>
      </c>
      <c r="G134" s="47">
        <f>IF(F134="I",IFERROR(VLOOKUP(C134,'BG 062022'!A:C,3,FALSE),0),0)</f>
        <v>0</v>
      </c>
      <c r="H134" s="885"/>
      <c r="I134" s="63">
        <f>IF(F134="I",IFERROR(VLOOKUP(C134,'BG 062022'!A:D,4,FALSE),0),0)</f>
        <v>0</v>
      </c>
      <c r="J134" s="887"/>
      <c r="K134" s="47">
        <f>IF(F134="I",SUMIF('BG 2021'!B:B,Clasificaciones!C134,'BG 2021'!D:D),0)</f>
        <v>0</v>
      </c>
      <c r="L134" s="887"/>
      <c r="M134" s="63">
        <f>IF(F134="I",SUMIF('BG 2021'!B:B,Clasificaciones!C134,'BG 2021'!E:E),0)</f>
        <v>0</v>
      </c>
      <c r="N134" s="887"/>
      <c r="O134" s="47">
        <f>IF(F134="I",SUMIF('BG 062021'!A:A,Clasificaciones!C134,'BG 062021'!C:C),0)</f>
        <v>0</v>
      </c>
      <c r="P134" s="887"/>
      <c r="Q134" s="63">
        <f>IF(F134="I",SUMIF('BG 062021'!A:A,Clasificaciones!C134,'BG 062021'!D:D),0)</f>
        <v>0</v>
      </c>
    </row>
    <row r="135" spans="1:18" s="888" customFormat="1" hidden="1">
      <c r="A135" s="885" t="s">
        <v>3</v>
      </c>
      <c r="B135" s="885"/>
      <c r="C135" s="889">
        <v>1120116113</v>
      </c>
      <c r="D135" s="889" t="s">
        <v>899</v>
      </c>
      <c r="E135" s="886" t="s">
        <v>6</v>
      </c>
      <c r="F135" s="886" t="s">
        <v>271</v>
      </c>
      <c r="G135" s="47">
        <f>IF(F135="I",IFERROR(VLOOKUP(C135,'BG 062022'!A:C,3,FALSE),0),0)</f>
        <v>0</v>
      </c>
      <c r="H135" s="885"/>
      <c r="I135" s="63">
        <f>IF(F135="I",IFERROR(VLOOKUP(C135,'BG 062022'!A:D,4,FALSE),0),0)</f>
        <v>0</v>
      </c>
      <c r="J135" s="887"/>
      <c r="K135" s="47">
        <f>IF(F135="I",SUMIF('BG 2021'!B:B,Clasificaciones!C135,'BG 2021'!D:D),0)</f>
        <v>0</v>
      </c>
      <c r="L135" s="887"/>
      <c r="M135" s="63">
        <f>IF(F135="I",SUMIF('BG 2021'!B:B,Clasificaciones!C135,'BG 2021'!E:E),0)</f>
        <v>0</v>
      </c>
      <c r="N135" s="887"/>
      <c r="O135" s="47">
        <f>IF(F135="I",SUMIF('BG 062021'!A:A,Clasificaciones!C135,'BG 062021'!C:C),0)</f>
        <v>0</v>
      </c>
      <c r="P135" s="887"/>
      <c r="Q135" s="63">
        <f>IF(F135="I",SUMIF('BG 062021'!A:A,Clasificaciones!C135,'BG 062021'!D:D),0)</f>
        <v>0</v>
      </c>
    </row>
    <row r="136" spans="1:18" s="888" customFormat="1" hidden="1">
      <c r="A136" s="885" t="s">
        <v>3</v>
      </c>
      <c r="B136" s="885" t="s">
        <v>83</v>
      </c>
      <c r="C136" s="889">
        <v>1120116114</v>
      </c>
      <c r="D136" s="889" t="s">
        <v>1392</v>
      </c>
      <c r="E136" s="886" t="s">
        <v>186</v>
      </c>
      <c r="F136" s="886" t="s">
        <v>271</v>
      </c>
      <c r="G136" s="47">
        <f>IF(F136="I",IFERROR(VLOOKUP(C136,'BG 062022'!A:C,3,FALSE),0),0)</f>
        <v>754152</v>
      </c>
      <c r="H136" s="885"/>
      <c r="I136" s="63">
        <f>IF(F136="I",IFERROR(VLOOKUP(C136,'BG 062022'!A:D,4,FALSE),0),0)</f>
        <v>110.29</v>
      </c>
      <c r="J136" s="887"/>
      <c r="K136" s="47">
        <f>IF(F136="I",SUMIF('BG 2021'!B:B,Clasificaciones!C136,'BG 2021'!D:D),0)</f>
        <v>69</v>
      </c>
      <c r="L136" s="887"/>
      <c r="M136" s="63">
        <f>IF(F136="I",SUMIF('BG 2021'!B:B,Clasificaciones!C136,'BG 2021'!E:E),0)</f>
        <v>9.9999999947613105E-3</v>
      </c>
      <c r="N136" s="887"/>
      <c r="O136" s="47">
        <f>IF(F136="I",SUMIF('BG 062021'!A:A,Clasificaciones!C136,'BG 062021'!C:C),0)</f>
        <v>0</v>
      </c>
      <c r="P136" s="887"/>
      <c r="Q136" s="63">
        <f>IF(F136="I",SUMIF('BG 062021'!A:A,Clasificaciones!C136,'BG 062021'!D:D),0)</f>
        <v>0</v>
      </c>
      <c r="R136" s="888">
        <f>+VLOOKUP(C136,'CA EFE'!A:A,1,FALSE)</f>
        <v>1120116114</v>
      </c>
    </row>
    <row r="137" spans="1:18" s="888" customFormat="1" hidden="1">
      <c r="A137" s="885" t="s">
        <v>3</v>
      </c>
      <c r="B137" s="885"/>
      <c r="C137" s="889">
        <v>1120116115</v>
      </c>
      <c r="D137" s="889" t="s">
        <v>900</v>
      </c>
      <c r="E137" s="886" t="s">
        <v>6</v>
      </c>
      <c r="F137" s="886" t="s">
        <v>271</v>
      </c>
      <c r="G137" s="47">
        <f>IF(F137="I",IFERROR(VLOOKUP(C137,'BG 062022'!A:C,3,FALSE),0),0)</f>
        <v>0</v>
      </c>
      <c r="H137" s="885"/>
      <c r="I137" s="63">
        <f>IF(F137="I",IFERROR(VLOOKUP(C137,'BG 062022'!A:D,4,FALSE),0),0)</f>
        <v>0</v>
      </c>
      <c r="J137" s="887"/>
      <c r="K137" s="47">
        <f>IF(F137="I",SUMIF('BG 2021'!B:B,Clasificaciones!C137,'BG 2021'!D:D),0)</f>
        <v>0</v>
      </c>
      <c r="L137" s="887"/>
      <c r="M137" s="63">
        <f>IF(F137="I",SUMIF('BG 2021'!B:B,Clasificaciones!C137,'BG 2021'!E:E),0)</f>
        <v>0</v>
      </c>
      <c r="N137" s="887"/>
      <c r="O137" s="47">
        <f>IF(F137="I",SUMIF('BG 062021'!A:A,Clasificaciones!C137,'BG 062021'!C:C),0)</f>
        <v>0</v>
      </c>
      <c r="P137" s="887"/>
      <c r="Q137" s="63">
        <f>IF(F137="I",SUMIF('BG 062021'!A:A,Clasificaciones!C137,'BG 062021'!D:D),0)</f>
        <v>0</v>
      </c>
    </row>
    <row r="138" spans="1:18" s="888" customFormat="1" hidden="1">
      <c r="A138" s="885" t="s">
        <v>3</v>
      </c>
      <c r="B138" s="885"/>
      <c r="C138" s="889">
        <v>1120116116</v>
      </c>
      <c r="D138" s="889" t="s">
        <v>901</v>
      </c>
      <c r="E138" s="886" t="s">
        <v>186</v>
      </c>
      <c r="F138" s="886" t="s">
        <v>271</v>
      </c>
      <c r="G138" s="47">
        <f>IF(F138="I",IFERROR(VLOOKUP(C138,'BG 062022'!A:C,3,FALSE),0),0)</f>
        <v>0</v>
      </c>
      <c r="H138" s="885"/>
      <c r="I138" s="63">
        <f>IF(F138="I",IFERROR(VLOOKUP(C138,'BG 062022'!A:D,4,FALSE),0),0)</f>
        <v>0</v>
      </c>
      <c r="J138" s="887"/>
      <c r="K138" s="47">
        <f>IF(F138="I",SUMIF('BG 2021'!B:B,Clasificaciones!C138,'BG 2021'!D:D),0)</f>
        <v>0</v>
      </c>
      <c r="L138" s="887"/>
      <c r="M138" s="63">
        <f>IF(F138="I",SUMIF('BG 2021'!B:B,Clasificaciones!C138,'BG 2021'!E:E),0)</f>
        <v>0</v>
      </c>
      <c r="N138" s="887"/>
      <c r="O138" s="47">
        <f>IF(F138="I",SUMIF('BG 062021'!A:A,Clasificaciones!C138,'BG 062021'!C:C),0)</f>
        <v>0</v>
      </c>
      <c r="P138" s="887"/>
      <c r="Q138" s="63">
        <f>IF(F138="I",SUMIF('BG 062021'!A:A,Clasificaciones!C138,'BG 062021'!D:D),0)</f>
        <v>0</v>
      </c>
    </row>
    <row r="139" spans="1:18" s="888" customFormat="1" hidden="1">
      <c r="A139" s="885" t="s">
        <v>3</v>
      </c>
      <c r="B139" s="885" t="s">
        <v>83</v>
      </c>
      <c r="C139" s="889">
        <v>1120116117</v>
      </c>
      <c r="D139" s="889" t="s">
        <v>668</v>
      </c>
      <c r="E139" s="886" t="s">
        <v>6</v>
      </c>
      <c r="F139" s="886" t="s">
        <v>271</v>
      </c>
      <c r="G139" s="957">
        <f>IF(F139="I",IFERROR(VLOOKUP(C139,'BG 062022'!A:C,3,FALSE),0),0)</f>
        <v>37369013</v>
      </c>
      <c r="H139" s="885"/>
      <c r="I139" s="63">
        <f>IF(F139="I",IFERROR(VLOOKUP(C139,'BG 062022'!A:D,4,FALSE),0),0)</f>
        <v>5464.98</v>
      </c>
      <c r="J139" s="887"/>
      <c r="K139" s="47">
        <f>IF(F139="I",SUMIF('BG 2021'!B:B,Clasificaciones!C139,'BG 2021'!D:D),0)</f>
        <v>1679208575</v>
      </c>
      <c r="L139" s="887"/>
      <c r="M139" s="63">
        <f>IF(F139="I",SUMIF('BG 2021'!B:B,Clasificaciones!C139,'BG 2021'!E:E),0)</f>
        <v>244397.46999999997</v>
      </c>
      <c r="N139" s="887"/>
      <c r="O139" s="47">
        <f>IF(F139="I",SUMIF('BG 062021'!A:A,Clasificaciones!C139,'BG 062021'!C:C),0)</f>
        <v>5339588</v>
      </c>
      <c r="P139" s="887"/>
      <c r="Q139" s="63">
        <f>IF(F139="I",SUMIF('BG 062021'!A:A,Clasificaciones!C139,'BG 062021'!D:D),0)</f>
        <v>792.93</v>
      </c>
      <c r="R139" s="888">
        <f>+VLOOKUP(C139,'CA EFE'!A:A,1,FALSE)</f>
        <v>1120116117</v>
      </c>
    </row>
    <row r="140" spans="1:18" s="888" customFormat="1" hidden="1">
      <c r="A140" s="885" t="s">
        <v>3</v>
      </c>
      <c r="B140" s="885" t="s">
        <v>83</v>
      </c>
      <c r="C140" s="889">
        <v>1120116118</v>
      </c>
      <c r="D140" s="889" t="s">
        <v>1393</v>
      </c>
      <c r="E140" s="886" t="s">
        <v>186</v>
      </c>
      <c r="F140" s="886" t="s">
        <v>271</v>
      </c>
      <c r="G140" s="957">
        <f>IF(F140="I",IFERROR(VLOOKUP(C140,'BG 062022'!A:C,3,FALSE),0),0)</f>
        <v>4396912475</v>
      </c>
      <c r="H140" s="885"/>
      <c r="I140" s="63">
        <f>IF(F140="I",IFERROR(VLOOKUP(C140,'BG 062022'!A:D,4,FALSE),0),0)</f>
        <v>643020.88</v>
      </c>
      <c r="J140" s="887"/>
      <c r="K140" s="47">
        <f>IF(F140="I",SUMIF('BG 2021'!B:B,Clasificaciones!C140,'BG 2021'!D:D),0)</f>
        <v>3139299404</v>
      </c>
      <c r="L140" s="887"/>
      <c r="M140" s="63">
        <f>IF(F140="I",SUMIF('BG 2021'!B:B,Clasificaciones!C140,'BG 2021'!E:E),0)</f>
        <v>456903.82999999996</v>
      </c>
      <c r="N140" s="887"/>
      <c r="O140" s="47">
        <f>IF(F140="I",SUMIF('BG 062021'!A:A,Clasificaciones!C140,'BG 062021'!C:C),0)</f>
        <v>9957536</v>
      </c>
      <c r="P140" s="887"/>
      <c r="Q140" s="63">
        <f>IF(F140="I",SUMIF('BG 062021'!A:A,Clasificaciones!C140,'BG 062021'!D:D),0)</f>
        <v>1478.7</v>
      </c>
      <c r="R140" s="888">
        <f>+VLOOKUP(C140,'CA EFE'!A:A,1,FALSE)</f>
        <v>1120116118</v>
      </c>
    </row>
    <row r="141" spans="1:18" s="888" customFormat="1" hidden="1">
      <c r="A141" s="885" t="s">
        <v>3</v>
      </c>
      <c r="B141" s="885"/>
      <c r="C141" s="889">
        <v>1120116119</v>
      </c>
      <c r="D141" s="889" t="s">
        <v>666</v>
      </c>
      <c r="E141" s="886" t="s">
        <v>6</v>
      </c>
      <c r="F141" s="886" t="s">
        <v>271</v>
      </c>
      <c r="G141" s="47">
        <f>IF(F141="I",IFERROR(VLOOKUP(C141,'BG 062022'!A:C,3,FALSE),0),0)</f>
        <v>0</v>
      </c>
      <c r="H141" s="885"/>
      <c r="I141" s="63">
        <f>IF(F141="I",IFERROR(VLOOKUP(C141,'BG 062022'!A:D,4,FALSE),0),0)</f>
        <v>0</v>
      </c>
      <c r="J141" s="887"/>
      <c r="K141" s="47">
        <f>IF(F141="I",SUMIF('BG 2021'!B:B,Clasificaciones!C141,'BG 2021'!D:D),0)</f>
        <v>0</v>
      </c>
      <c r="L141" s="887"/>
      <c r="M141" s="63">
        <f>IF(F141="I",SUMIF('BG 2021'!B:B,Clasificaciones!C141,'BG 2021'!E:E),0)</f>
        <v>0</v>
      </c>
      <c r="N141" s="887"/>
      <c r="O141" s="47">
        <f>IF(F141="I",SUMIF('BG 062021'!A:A,Clasificaciones!C141,'BG 062021'!C:C),0)</f>
        <v>0</v>
      </c>
      <c r="P141" s="887"/>
      <c r="Q141" s="63">
        <f>IF(F141="I",SUMIF('BG 062021'!A:A,Clasificaciones!C141,'BG 062021'!D:D),0)</f>
        <v>0</v>
      </c>
    </row>
    <row r="142" spans="1:18" s="888" customFormat="1" hidden="1">
      <c r="A142" s="885" t="s">
        <v>3</v>
      </c>
      <c r="B142" s="885"/>
      <c r="C142" s="889">
        <v>1120116120</v>
      </c>
      <c r="D142" s="889" t="s">
        <v>895</v>
      </c>
      <c r="E142" s="886" t="s">
        <v>186</v>
      </c>
      <c r="F142" s="886" t="s">
        <v>271</v>
      </c>
      <c r="G142" s="47">
        <f>IF(F142="I",IFERROR(VLOOKUP(C142,'BG 062022'!A:C,3,FALSE),0),0)</f>
        <v>0</v>
      </c>
      <c r="H142" s="885"/>
      <c r="I142" s="63">
        <f>IF(F142="I",IFERROR(VLOOKUP(C142,'BG 062022'!A:D,4,FALSE),0),0)</f>
        <v>0</v>
      </c>
      <c r="J142" s="887"/>
      <c r="K142" s="47">
        <f>IF(F142="I",SUMIF('BG 2021'!B:B,Clasificaciones!C142,'BG 2021'!D:D),0)</f>
        <v>0</v>
      </c>
      <c r="L142" s="887"/>
      <c r="M142" s="63">
        <f>IF(F142="I",SUMIF('BG 2021'!B:B,Clasificaciones!C142,'BG 2021'!E:E),0)</f>
        <v>0</v>
      </c>
      <c r="N142" s="887"/>
      <c r="O142" s="47">
        <f>IF(F142="I",SUMIF('BG 062021'!A:A,Clasificaciones!C142,'BG 062021'!C:C),0)</f>
        <v>0</v>
      </c>
      <c r="P142" s="887"/>
      <c r="Q142" s="63">
        <f>IF(F142="I",SUMIF('BG 062021'!A:A,Clasificaciones!C142,'BG 062021'!D:D),0)</f>
        <v>0</v>
      </c>
    </row>
    <row r="143" spans="1:18" s="888" customFormat="1" hidden="1">
      <c r="A143" s="885" t="s">
        <v>3</v>
      </c>
      <c r="B143" s="885"/>
      <c r="C143" s="889">
        <v>1120116121</v>
      </c>
      <c r="D143" s="889" t="s">
        <v>902</v>
      </c>
      <c r="E143" s="886" t="s">
        <v>6</v>
      </c>
      <c r="F143" s="886" t="s">
        <v>271</v>
      </c>
      <c r="G143" s="47">
        <f>IF(F143="I",IFERROR(VLOOKUP(C143,'BG 062022'!A:C,3,FALSE),0),0)</f>
        <v>0</v>
      </c>
      <c r="H143" s="885"/>
      <c r="I143" s="63">
        <f>IF(F143="I",IFERROR(VLOOKUP(C143,'BG 062022'!A:D,4,FALSE),0),0)</f>
        <v>0</v>
      </c>
      <c r="J143" s="887"/>
      <c r="K143" s="47">
        <f>IF(F143="I",SUMIF('BG 2021'!B:B,Clasificaciones!C143,'BG 2021'!D:D),0)</f>
        <v>0</v>
      </c>
      <c r="L143" s="887"/>
      <c r="M143" s="63">
        <f>IF(F143="I",SUMIF('BG 2021'!B:B,Clasificaciones!C143,'BG 2021'!E:E),0)</f>
        <v>0</v>
      </c>
      <c r="N143" s="887"/>
      <c r="O143" s="47">
        <f>IF(F143="I",SUMIF('BG 062021'!A:A,Clasificaciones!C143,'BG 062021'!C:C),0)</f>
        <v>0</v>
      </c>
      <c r="P143" s="887"/>
      <c r="Q143" s="63">
        <f>IF(F143="I",SUMIF('BG 062021'!A:A,Clasificaciones!C143,'BG 062021'!D:D),0)</f>
        <v>0</v>
      </c>
    </row>
    <row r="144" spans="1:18" s="888" customFormat="1" hidden="1">
      <c r="A144" s="885" t="s">
        <v>3</v>
      </c>
      <c r="B144" s="885"/>
      <c r="C144" s="889">
        <v>1120116122</v>
      </c>
      <c r="D144" s="889" t="s">
        <v>903</v>
      </c>
      <c r="E144" s="886" t="s">
        <v>186</v>
      </c>
      <c r="F144" s="886" t="s">
        <v>271</v>
      </c>
      <c r="G144" s="47">
        <f>IF(F144="I",IFERROR(VLOOKUP(C144,'BG 062022'!A:C,3,FALSE),0),0)</f>
        <v>0</v>
      </c>
      <c r="H144" s="885"/>
      <c r="I144" s="63">
        <f>IF(F144="I",IFERROR(VLOOKUP(C144,'BG 062022'!A:D,4,FALSE),0),0)</f>
        <v>0</v>
      </c>
      <c r="J144" s="887"/>
      <c r="K144" s="47">
        <f>IF(F144="I",SUMIF('BG 2021'!B:B,Clasificaciones!C144,'BG 2021'!D:D),0)</f>
        <v>0</v>
      </c>
      <c r="L144" s="887"/>
      <c r="M144" s="63">
        <f>IF(F144="I",SUMIF('BG 2021'!B:B,Clasificaciones!C144,'BG 2021'!E:E),0)</f>
        <v>0</v>
      </c>
      <c r="N144" s="887"/>
      <c r="O144" s="47">
        <f>IF(F144="I",SUMIF('BG 062021'!A:A,Clasificaciones!C144,'BG 062021'!C:C),0)</f>
        <v>0</v>
      </c>
      <c r="P144" s="887"/>
      <c r="Q144" s="63">
        <f>IF(F144="I",SUMIF('BG 062021'!A:A,Clasificaciones!C144,'BG 062021'!D:D),0)</f>
        <v>0</v>
      </c>
    </row>
    <row r="145" spans="1:18" s="888" customFormat="1" hidden="1">
      <c r="A145" s="885" t="s">
        <v>3</v>
      </c>
      <c r="B145" s="885"/>
      <c r="C145" s="889">
        <v>1120116123</v>
      </c>
      <c r="D145" s="889" t="s">
        <v>897</v>
      </c>
      <c r="E145" s="886" t="s">
        <v>6</v>
      </c>
      <c r="F145" s="886" t="s">
        <v>271</v>
      </c>
      <c r="G145" s="47">
        <f>IF(F145="I",IFERROR(VLOOKUP(C145,'BG 062022'!A:C,3,FALSE),0),0)</f>
        <v>0</v>
      </c>
      <c r="H145" s="885"/>
      <c r="I145" s="63">
        <f>IF(F145="I",IFERROR(VLOOKUP(C145,'BG 062022'!A:D,4,FALSE),0),0)</f>
        <v>0</v>
      </c>
      <c r="J145" s="887"/>
      <c r="K145" s="47">
        <f>IF(F145="I",SUMIF('BG 2021'!B:B,Clasificaciones!C145,'BG 2021'!D:D),0)</f>
        <v>0</v>
      </c>
      <c r="L145" s="887"/>
      <c r="M145" s="63">
        <f>IF(F145="I",SUMIF('BG 2021'!B:B,Clasificaciones!C145,'BG 2021'!E:E),0)</f>
        <v>0</v>
      </c>
      <c r="N145" s="887"/>
      <c r="O145" s="47">
        <f>IF(F145="I",SUMIF('BG 062021'!A:A,Clasificaciones!C145,'BG 062021'!C:C),0)</f>
        <v>0</v>
      </c>
      <c r="P145" s="887"/>
      <c r="Q145" s="63">
        <f>IF(F145="I",SUMIF('BG 062021'!A:A,Clasificaciones!C145,'BG 062021'!D:D),0)</f>
        <v>0</v>
      </c>
    </row>
    <row r="146" spans="1:18" s="888" customFormat="1" hidden="1">
      <c r="A146" s="885" t="s">
        <v>3</v>
      </c>
      <c r="B146" s="885"/>
      <c r="C146" s="889">
        <v>1120116124</v>
      </c>
      <c r="D146" s="889" t="s">
        <v>898</v>
      </c>
      <c r="E146" s="886" t="s">
        <v>186</v>
      </c>
      <c r="F146" s="886" t="s">
        <v>271</v>
      </c>
      <c r="G146" s="47">
        <f>IF(F146="I",IFERROR(VLOOKUP(C146,'BG 062022'!A:C,3,FALSE),0),0)</f>
        <v>0</v>
      </c>
      <c r="H146" s="885"/>
      <c r="I146" s="63">
        <f>IF(F146="I",IFERROR(VLOOKUP(C146,'BG 062022'!A:D,4,FALSE),0),0)</f>
        <v>0</v>
      </c>
      <c r="J146" s="887"/>
      <c r="K146" s="47">
        <f>IF(F146="I",SUMIF('BG 2021'!B:B,Clasificaciones!C146,'BG 2021'!D:D),0)</f>
        <v>0</v>
      </c>
      <c r="L146" s="887"/>
      <c r="M146" s="63">
        <f>IF(F146="I",SUMIF('BG 2021'!B:B,Clasificaciones!C146,'BG 2021'!E:E),0)</f>
        <v>0</v>
      </c>
      <c r="N146" s="887"/>
      <c r="O146" s="47">
        <f>IF(F146="I",SUMIF('BG 062021'!A:A,Clasificaciones!C146,'BG 062021'!C:C),0)</f>
        <v>0</v>
      </c>
      <c r="P146" s="887"/>
      <c r="Q146" s="63">
        <f>IF(F146="I",SUMIF('BG 062021'!A:A,Clasificaciones!C146,'BG 062021'!D:D),0)</f>
        <v>0</v>
      </c>
    </row>
    <row r="147" spans="1:18" s="888" customFormat="1" hidden="1">
      <c r="A147" s="885" t="s">
        <v>3</v>
      </c>
      <c r="B147" s="885"/>
      <c r="C147" s="889">
        <v>1120116125</v>
      </c>
      <c r="D147" s="889" t="s">
        <v>904</v>
      </c>
      <c r="E147" s="886" t="s">
        <v>6</v>
      </c>
      <c r="F147" s="886" t="s">
        <v>271</v>
      </c>
      <c r="G147" s="47">
        <f>IF(F147="I",IFERROR(VLOOKUP(C147,'BG 062022'!A:C,3,FALSE),0),0)</f>
        <v>0</v>
      </c>
      <c r="H147" s="885"/>
      <c r="I147" s="63">
        <f>IF(F147="I",IFERROR(VLOOKUP(C147,'BG 062022'!A:D,4,FALSE),0),0)</f>
        <v>0</v>
      </c>
      <c r="J147" s="887"/>
      <c r="K147" s="47">
        <f>IF(F147="I",SUMIF('BG 2021'!B:B,Clasificaciones!C147,'BG 2021'!D:D),0)</f>
        <v>0</v>
      </c>
      <c r="L147" s="887"/>
      <c r="M147" s="63">
        <f>IF(F147="I",SUMIF('BG 2021'!B:B,Clasificaciones!C147,'BG 2021'!E:E),0)</f>
        <v>0</v>
      </c>
      <c r="N147" s="887"/>
      <c r="O147" s="47">
        <f>IF(F147="I",SUMIF('BG 062021'!A:A,Clasificaciones!C147,'BG 062021'!C:C),0)</f>
        <v>0</v>
      </c>
      <c r="P147" s="887"/>
      <c r="Q147" s="63">
        <f>IF(F147="I",SUMIF('BG 062021'!A:A,Clasificaciones!C147,'BG 062021'!D:D),0)</f>
        <v>0</v>
      </c>
    </row>
    <row r="148" spans="1:18" s="888" customFormat="1" hidden="1">
      <c r="A148" s="885" t="s">
        <v>3</v>
      </c>
      <c r="B148" s="885"/>
      <c r="C148" s="889">
        <v>1120116126</v>
      </c>
      <c r="D148" s="889" t="s">
        <v>904</v>
      </c>
      <c r="E148" s="886" t="s">
        <v>186</v>
      </c>
      <c r="F148" s="886" t="s">
        <v>271</v>
      </c>
      <c r="G148" s="47">
        <f>IF(F148="I",IFERROR(VLOOKUP(C148,'BG 062022'!A:C,3,FALSE),0),0)</f>
        <v>0</v>
      </c>
      <c r="H148" s="885"/>
      <c r="I148" s="63">
        <f>IF(F148="I",IFERROR(VLOOKUP(C148,'BG 062022'!A:D,4,FALSE),0),0)</f>
        <v>0</v>
      </c>
      <c r="J148" s="887"/>
      <c r="K148" s="47">
        <f>IF(F148="I",SUMIF('BG 2021'!B:B,Clasificaciones!C148,'BG 2021'!D:D),0)</f>
        <v>0</v>
      </c>
      <c r="L148" s="887"/>
      <c r="M148" s="63">
        <f>IF(F148="I",SUMIF('BG 2021'!B:B,Clasificaciones!C148,'BG 2021'!E:E),0)</f>
        <v>0</v>
      </c>
      <c r="N148" s="887"/>
      <c r="O148" s="47">
        <f>IF(F148="I",SUMIF('BG 062021'!A:A,Clasificaciones!C148,'BG 062021'!C:C),0)</f>
        <v>0</v>
      </c>
      <c r="P148" s="887"/>
      <c r="Q148" s="63">
        <f>IF(F148="I",SUMIF('BG 062021'!A:A,Clasificaciones!C148,'BG 062021'!D:D),0)</f>
        <v>0</v>
      </c>
    </row>
    <row r="149" spans="1:18" s="888" customFormat="1" hidden="1">
      <c r="A149" s="885" t="s">
        <v>3</v>
      </c>
      <c r="B149" s="885"/>
      <c r="C149" s="889">
        <v>1120116127</v>
      </c>
      <c r="D149" s="889" t="s">
        <v>905</v>
      </c>
      <c r="E149" s="886" t="s">
        <v>6</v>
      </c>
      <c r="F149" s="886" t="s">
        <v>271</v>
      </c>
      <c r="G149" s="47">
        <f>IF(F149="I",IFERROR(VLOOKUP(C149,'BG 062022'!A:C,3,FALSE),0),0)</f>
        <v>0</v>
      </c>
      <c r="H149" s="885"/>
      <c r="I149" s="63">
        <f>IF(F149="I",IFERROR(VLOOKUP(C149,'BG 062022'!A:D,4,FALSE),0),0)</f>
        <v>0</v>
      </c>
      <c r="J149" s="887"/>
      <c r="K149" s="47">
        <f>IF(F149="I",SUMIF('BG 2021'!B:B,Clasificaciones!C149,'BG 2021'!D:D),0)</f>
        <v>0</v>
      </c>
      <c r="L149" s="887"/>
      <c r="M149" s="63">
        <f>IF(F149="I",SUMIF('BG 2021'!B:B,Clasificaciones!C149,'BG 2021'!E:E),0)</f>
        <v>0</v>
      </c>
      <c r="N149" s="887"/>
      <c r="O149" s="47">
        <f>IF(F149="I",SUMIF('BG 062021'!A:A,Clasificaciones!C149,'BG 062021'!C:C),0)</f>
        <v>0</v>
      </c>
      <c r="P149" s="887"/>
      <c r="Q149" s="63">
        <f>IF(F149="I",SUMIF('BG 062021'!A:A,Clasificaciones!C149,'BG 062021'!D:D),0)</f>
        <v>0</v>
      </c>
    </row>
    <row r="150" spans="1:18" s="888" customFormat="1" hidden="1">
      <c r="A150" s="885" t="s">
        <v>3</v>
      </c>
      <c r="B150" s="885"/>
      <c r="C150" s="889">
        <v>1120116128</v>
      </c>
      <c r="D150" s="889" t="s">
        <v>905</v>
      </c>
      <c r="E150" s="886" t="s">
        <v>186</v>
      </c>
      <c r="F150" s="886" t="s">
        <v>271</v>
      </c>
      <c r="G150" s="47">
        <f>IF(F150="I",IFERROR(VLOOKUP(C150,'BG 062022'!A:C,3,FALSE),0),0)</f>
        <v>0</v>
      </c>
      <c r="H150" s="885"/>
      <c r="I150" s="63">
        <f>IF(F150="I",IFERROR(VLOOKUP(C150,'BG 062022'!A:D,4,FALSE),0),0)</f>
        <v>0</v>
      </c>
      <c r="J150" s="887"/>
      <c r="K150" s="47">
        <f>IF(F150="I",SUMIF('BG 2021'!B:B,Clasificaciones!C150,'BG 2021'!D:D),0)</f>
        <v>0</v>
      </c>
      <c r="L150" s="887"/>
      <c r="M150" s="63">
        <f>IF(F150="I",SUMIF('BG 2021'!B:B,Clasificaciones!C150,'BG 2021'!E:E),0)</f>
        <v>0</v>
      </c>
      <c r="N150" s="887"/>
      <c r="O150" s="47">
        <f>IF(F150="I",SUMIF('BG 062021'!A:A,Clasificaciones!C150,'BG 062021'!C:C),0)</f>
        <v>0</v>
      </c>
      <c r="P150" s="887"/>
      <c r="Q150" s="63">
        <f>IF(F150="I",SUMIF('BG 062021'!A:A,Clasificaciones!C150,'BG 062021'!D:D),0)</f>
        <v>0</v>
      </c>
    </row>
    <row r="151" spans="1:18" s="888" customFormat="1" hidden="1">
      <c r="A151" s="885" t="s">
        <v>3</v>
      </c>
      <c r="B151" s="885" t="s">
        <v>83</v>
      </c>
      <c r="C151" s="889">
        <v>1120116129</v>
      </c>
      <c r="D151" s="889" t="s">
        <v>670</v>
      </c>
      <c r="E151" s="886" t="s">
        <v>6</v>
      </c>
      <c r="F151" s="886" t="s">
        <v>271</v>
      </c>
      <c r="G151" s="47">
        <f>IF(F151="I",IFERROR(VLOOKUP(C151,'BG 062022'!A:C,3,FALSE),0),0)</f>
        <v>108262500</v>
      </c>
      <c r="H151" s="885"/>
      <c r="I151" s="63">
        <f>IF(F151="I",IFERROR(VLOOKUP(C151,'BG 062022'!A:D,4,FALSE),0),0)</f>
        <v>15832.71</v>
      </c>
      <c r="J151" s="887"/>
      <c r="K151" s="47">
        <f>IF(F151="I",SUMIF('BG 2021'!B:B,Clasificaciones!C151,'BG 2021'!D:D),0)</f>
        <v>41475000</v>
      </c>
      <c r="L151" s="887"/>
      <c r="M151" s="63">
        <f>IF(F151="I",SUMIF('BG 2021'!B:B,Clasificaciones!C151,'BG 2021'!E:E),0)</f>
        <v>6036.4100000000317</v>
      </c>
      <c r="N151" s="887"/>
      <c r="O151" s="47">
        <f>IF(F151="I",SUMIF('BG 062021'!A:A,Clasificaciones!C151,'BG 062021'!C:C),0)</f>
        <v>44437500</v>
      </c>
      <c r="P151" s="887"/>
      <c r="Q151" s="63">
        <f>IF(F151="I",SUMIF('BG 062021'!A:A,Clasificaciones!C151,'BG 062021'!D:D),0)</f>
        <v>6598.99</v>
      </c>
      <c r="R151" s="888">
        <f>+VLOOKUP(C151,'CA EFE'!A:A,1,FALSE)</f>
        <v>1120116129</v>
      </c>
    </row>
    <row r="152" spans="1:18" s="888" customFormat="1" hidden="1">
      <c r="A152" s="885" t="s">
        <v>3</v>
      </c>
      <c r="B152" s="885"/>
      <c r="C152" s="889">
        <v>1120116130</v>
      </c>
      <c r="D152" s="889" t="s">
        <v>906</v>
      </c>
      <c r="E152" s="886" t="s">
        <v>186</v>
      </c>
      <c r="F152" s="886" t="s">
        <v>271</v>
      </c>
      <c r="G152" s="47">
        <f>IF(F152="I",IFERROR(VLOOKUP(C152,'BG 062022'!A:C,3,FALSE),0),0)</f>
        <v>0</v>
      </c>
      <c r="H152" s="885"/>
      <c r="I152" s="63">
        <f>IF(F152="I",IFERROR(VLOOKUP(C152,'BG 062022'!A:D,4,FALSE),0),0)</f>
        <v>0</v>
      </c>
      <c r="J152" s="887"/>
      <c r="K152" s="47">
        <f>IF(F152="I",SUMIF('BG 2021'!B:B,Clasificaciones!C152,'BG 2021'!D:D),0)</f>
        <v>0</v>
      </c>
      <c r="L152" s="887"/>
      <c r="M152" s="63">
        <f>IF(F152="I",SUMIF('BG 2021'!B:B,Clasificaciones!C152,'BG 2021'!E:E),0)</f>
        <v>0</v>
      </c>
      <c r="N152" s="887"/>
      <c r="O152" s="47">
        <f>IF(F152="I",SUMIF('BG 062021'!A:A,Clasificaciones!C152,'BG 062021'!C:C),0)</f>
        <v>0</v>
      </c>
      <c r="P152" s="887"/>
      <c r="Q152" s="63">
        <f>IF(F152="I",SUMIF('BG 062021'!A:A,Clasificaciones!C152,'BG 062021'!D:D),0)</f>
        <v>0</v>
      </c>
    </row>
    <row r="153" spans="1:18" s="888" customFormat="1" hidden="1">
      <c r="A153" s="885" t="s">
        <v>3</v>
      </c>
      <c r="B153" s="885"/>
      <c r="C153" s="889">
        <v>1120116131</v>
      </c>
      <c r="D153" s="889" t="s">
        <v>907</v>
      </c>
      <c r="E153" s="886" t="s">
        <v>6</v>
      </c>
      <c r="F153" s="886" t="s">
        <v>271</v>
      </c>
      <c r="G153" s="47">
        <f>IF(F153="I",IFERROR(VLOOKUP(C153,'BG 062022'!A:C,3,FALSE),0),0)</f>
        <v>0</v>
      </c>
      <c r="H153" s="885"/>
      <c r="I153" s="63">
        <f>IF(F153="I",IFERROR(VLOOKUP(C153,'BG 062022'!A:D,4,FALSE),0),0)</f>
        <v>0</v>
      </c>
      <c r="J153" s="887"/>
      <c r="K153" s="47">
        <f>IF(F153="I",SUMIF('BG 2021'!B:B,Clasificaciones!C153,'BG 2021'!D:D),0)</f>
        <v>0</v>
      </c>
      <c r="L153" s="887"/>
      <c r="M153" s="63">
        <f>IF(F153="I",SUMIF('BG 2021'!B:B,Clasificaciones!C153,'BG 2021'!E:E),0)</f>
        <v>0</v>
      </c>
      <c r="N153" s="887"/>
      <c r="O153" s="47">
        <f>IF(F153="I",SUMIF('BG 062021'!A:A,Clasificaciones!C153,'BG 062021'!C:C),0)</f>
        <v>0</v>
      </c>
      <c r="P153" s="887"/>
      <c r="Q153" s="63">
        <f>IF(F153="I",SUMIF('BG 062021'!A:A,Clasificaciones!C153,'BG 062021'!D:D),0)</f>
        <v>0</v>
      </c>
    </row>
    <row r="154" spans="1:18" s="888" customFormat="1" hidden="1">
      <c r="A154" s="885" t="s">
        <v>3</v>
      </c>
      <c r="B154" s="885" t="s">
        <v>83</v>
      </c>
      <c r="C154" s="889">
        <v>1120116132</v>
      </c>
      <c r="D154" s="889" t="s">
        <v>908</v>
      </c>
      <c r="E154" s="886" t="s">
        <v>186</v>
      </c>
      <c r="F154" s="886" t="s">
        <v>271</v>
      </c>
      <c r="G154" s="957">
        <f>IF(F154="I",IFERROR(VLOOKUP(C154,'BG 062022'!A:C,3,FALSE),0),0)</f>
        <v>17714264</v>
      </c>
      <c r="H154" s="885"/>
      <c r="I154" s="63">
        <f>IF(F154="I",IFERROR(VLOOKUP(C154,'BG 062022'!A:D,4,FALSE),0),0)</f>
        <v>2590.6</v>
      </c>
      <c r="J154" s="887"/>
      <c r="K154" s="47">
        <f>IF(F154="I",SUMIF('BG 2021'!B:B,Clasificaciones!C154,'BG 2021'!D:D),0)</f>
        <v>0</v>
      </c>
      <c r="L154" s="887"/>
      <c r="M154" s="63">
        <f>IF(F154="I",SUMIF('BG 2021'!B:B,Clasificaciones!C154,'BG 2021'!E:E),0)</f>
        <v>0</v>
      </c>
      <c r="N154" s="887"/>
      <c r="O154" s="47">
        <f>IF(F154="I",SUMIF('BG 062021'!A:A,Clasificaciones!C154,'BG 062021'!C:C),0)</f>
        <v>0</v>
      </c>
      <c r="P154" s="887"/>
      <c r="Q154" s="63">
        <f>IF(F154="I",SUMIF('BG 062021'!A:A,Clasificaciones!C154,'BG 062021'!D:D),0)</f>
        <v>0</v>
      </c>
    </row>
    <row r="155" spans="1:18" s="888" customFormat="1" hidden="1">
      <c r="A155" s="885" t="s">
        <v>3</v>
      </c>
      <c r="B155" s="885"/>
      <c r="C155" s="889">
        <v>11201162</v>
      </c>
      <c r="D155" s="889" t="s">
        <v>671</v>
      </c>
      <c r="E155" s="886" t="s">
        <v>6</v>
      </c>
      <c r="F155" s="886" t="s">
        <v>270</v>
      </c>
      <c r="G155" s="47">
        <f>IF(F155="I",IFERROR(VLOOKUP(C155,'BG 062022'!A:C,3,FALSE),0),0)</f>
        <v>0</v>
      </c>
      <c r="H155" s="885"/>
      <c r="I155" s="63">
        <f>IF(F155="I",IFERROR(VLOOKUP(C155,'BG 062022'!A:D,4,FALSE),0),0)</f>
        <v>0</v>
      </c>
      <c r="J155" s="887"/>
      <c r="K155" s="47">
        <f>IF(F155="I",SUMIF('BG 2021'!B:B,Clasificaciones!C155,'BG 2021'!D:D),0)</f>
        <v>0</v>
      </c>
      <c r="L155" s="887"/>
      <c r="M155" s="63">
        <f>IF(F155="I",SUMIF('BG 2021'!B:B,Clasificaciones!C155,'BG 2021'!E:E),0)</f>
        <v>0</v>
      </c>
      <c r="N155" s="887"/>
      <c r="O155" s="47">
        <f>IF(F155="I",SUMIF('BG 062021'!A:A,Clasificaciones!C155,'BG 062021'!C:C),0)</f>
        <v>0</v>
      </c>
      <c r="P155" s="887"/>
      <c r="Q155" s="63">
        <f>IF(F155="I",SUMIF('BG 062021'!A:A,Clasificaciones!C155,'BG 062021'!D:D),0)</f>
        <v>0</v>
      </c>
    </row>
    <row r="156" spans="1:18" s="888" customFormat="1" hidden="1">
      <c r="A156" s="885" t="s">
        <v>3</v>
      </c>
      <c r="B156" s="885" t="s">
        <v>83</v>
      </c>
      <c r="C156" s="889">
        <v>1120116201</v>
      </c>
      <c r="D156" s="889" t="s">
        <v>672</v>
      </c>
      <c r="E156" s="886" t="s">
        <v>6</v>
      </c>
      <c r="F156" s="886" t="s">
        <v>271</v>
      </c>
      <c r="G156" s="47">
        <f>IF(F156="I",IFERROR(VLOOKUP(C156,'BG 062022'!A:C,3,FALSE),0),0)</f>
        <v>-3319152055</v>
      </c>
      <c r="H156" s="885"/>
      <c r="I156" s="63">
        <f>IF(F156="I",IFERROR(VLOOKUP(C156,'BG 062022'!A:D,4,FALSE),0),0)</f>
        <v>-485405.18</v>
      </c>
      <c r="J156" s="887"/>
      <c r="K156" s="47">
        <f>IF(F156="I",SUMIF('BG 2021'!B:B,Clasificaciones!C156,'BG 2021'!D:D),0)</f>
        <v>-3649070137</v>
      </c>
      <c r="L156" s="887"/>
      <c r="M156" s="63">
        <f>IF(F156="I",SUMIF('BG 2021'!B:B,Clasificaciones!C156,'BG 2021'!E:E),0)</f>
        <v>-531097.52</v>
      </c>
      <c r="N156" s="887"/>
      <c r="O156" s="47">
        <f>IF(F156="I",SUMIF('BG 062021'!A:A,Clasificaciones!C156,'BG 062021'!C:C),0)</f>
        <v>-4096671918</v>
      </c>
      <c r="P156" s="887"/>
      <c r="Q156" s="63">
        <f>IF(F156="I",SUMIF('BG 062021'!A:A,Clasificaciones!C156,'BG 062021'!D:D),0)</f>
        <v>-608358.19999999995</v>
      </c>
      <c r="R156" s="888">
        <f>+VLOOKUP(C156,'CA EFE'!A:A,1,FALSE)</f>
        <v>1120116201</v>
      </c>
    </row>
    <row r="157" spans="1:18" s="888" customFormat="1" hidden="1">
      <c r="A157" s="885" t="s">
        <v>3</v>
      </c>
      <c r="B157" s="885"/>
      <c r="C157" s="889">
        <v>1120116202</v>
      </c>
      <c r="D157" s="889" t="s">
        <v>909</v>
      </c>
      <c r="E157" s="886" t="s">
        <v>186</v>
      </c>
      <c r="F157" s="886" t="s">
        <v>271</v>
      </c>
      <c r="G157" s="47">
        <f>IF(F157="I",IFERROR(VLOOKUP(C157,'BG 062022'!A:C,3,FALSE),0),0)</f>
        <v>0</v>
      </c>
      <c r="H157" s="885"/>
      <c r="I157" s="63">
        <f>IF(F157="I",IFERROR(VLOOKUP(C157,'BG 062022'!A:D,4,FALSE),0),0)</f>
        <v>0</v>
      </c>
      <c r="J157" s="887"/>
      <c r="K157" s="47">
        <f>IF(F157="I",SUMIF('BG 2021'!B:B,Clasificaciones!C157,'BG 2021'!D:D),0)</f>
        <v>0</v>
      </c>
      <c r="L157" s="887"/>
      <c r="M157" s="63">
        <f>IF(F157="I",SUMIF('BG 2021'!B:B,Clasificaciones!C157,'BG 2021'!E:E),0)</f>
        <v>0</v>
      </c>
      <c r="N157" s="887"/>
      <c r="O157" s="47">
        <f>IF(F157="I",SUMIF('BG 062021'!A:A,Clasificaciones!C157,'BG 062021'!C:C),0)</f>
        <v>0</v>
      </c>
      <c r="P157" s="887"/>
      <c r="Q157" s="63">
        <f>IF(F157="I",SUMIF('BG 062021'!A:A,Clasificaciones!C157,'BG 062021'!D:D),0)</f>
        <v>0</v>
      </c>
    </row>
    <row r="158" spans="1:18" s="888" customFormat="1" hidden="1">
      <c r="A158" s="885" t="s">
        <v>3</v>
      </c>
      <c r="B158" s="885" t="s">
        <v>83</v>
      </c>
      <c r="C158" s="889">
        <v>1120116203</v>
      </c>
      <c r="D158" s="889" t="s">
        <v>910</v>
      </c>
      <c r="E158" s="886" t="s">
        <v>6</v>
      </c>
      <c r="F158" s="886" t="s">
        <v>271</v>
      </c>
      <c r="G158" s="47">
        <f>IF(F158="I",IFERROR(VLOOKUP(C158,'BG 062022'!A:C,3,FALSE),0),0)</f>
        <v>0</v>
      </c>
      <c r="H158" s="885"/>
      <c r="I158" s="63">
        <f>IF(F158="I",IFERROR(VLOOKUP(C158,'BG 062022'!A:D,4,FALSE),0),0)</f>
        <v>0</v>
      </c>
      <c r="J158" s="887"/>
      <c r="K158" s="47">
        <f>IF(F158="I",SUMIF('BG 2021'!B:B,Clasificaciones!C158,'BG 2021'!D:D),0)</f>
        <v>0</v>
      </c>
      <c r="L158" s="887"/>
      <c r="M158" s="63">
        <f>IF(F158="I",SUMIF('BG 2021'!B:B,Clasificaciones!C158,'BG 2021'!E:E),0)</f>
        <v>0</v>
      </c>
      <c r="N158" s="887"/>
      <c r="O158" s="47">
        <f>IF(F158="I",SUMIF('BG 062021'!A:A,Clasificaciones!C158,'BG 062021'!C:C),0)</f>
        <v>-840177973</v>
      </c>
      <c r="P158" s="887"/>
      <c r="Q158" s="63">
        <f>IF(F158="I",SUMIF('BG 062021'!A:A,Clasificaciones!C158,'BG 062021'!D:D),0)</f>
        <v>-124766.92</v>
      </c>
    </row>
    <row r="159" spans="1:18" s="888" customFormat="1" hidden="1">
      <c r="A159" s="885" t="s">
        <v>3</v>
      </c>
      <c r="B159" s="885" t="s">
        <v>83</v>
      </c>
      <c r="C159" s="889">
        <v>1120116204</v>
      </c>
      <c r="D159" s="889" t="s">
        <v>1394</v>
      </c>
      <c r="E159" s="886" t="s">
        <v>186</v>
      </c>
      <c r="F159" s="886" t="s">
        <v>271</v>
      </c>
      <c r="G159" s="47">
        <f>IF(F159="I",IFERROR(VLOOKUP(C159,'BG 062022'!A:C,3,FALSE),0),0)</f>
        <v>-631229593</v>
      </c>
      <c r="H159" s="885"/>
      <c r="I159" s="63">
        <f>IF(F159="I",IFERROR(VLOOKUP(C159,'BG 062022'!A:D,4,FALSE),0),0)</f>
        <v>-92313.37</v>
      </c>
      <c r="J159" s="887"/>
      <c r="K159" s="47">
        <f>IF(F159="I",SUMIF('BG 2021'!B:B,Clasificaciones!C159,'BG 2021'!D:D),0)</f>
        <v>-876158271</v>
      </c>
      <c r="L159" s="887"/>
      <c r="M159" s="63">
        <f>IF(F159="I",SUMIF('BG 2021'!B:B,Clasificaciones!C159,'BG 2021'!E:E),0)</f>
        <v>-127518.92000000004</v>
      </c>
      <c r="N159" s="887"/>
      <c r="O159" s="47">
        <f>IF(F159="I",SUMIF('BG 062021'!A:A,Clasificaciones!C159,'BG 062021'!C:C),0)</f>
        <v>-24291015</v>
      </c>
      <c r="P159" s="887"/>
      <c r="Q159" s="63">
        <f>IF(F159="I",SUMIF('BG 062021'!A:A,Clasificaciones!C159,'BG 062021'!D:D),0)</f>
        <v>-3607.23</v>
      </c>
      <c r="R159" s="888">
        <f>+VLOOKUP(C159,'CA EFE'!A:A,1,FALSE)</f>
        <v>1120116204</v>
      </c>
    </row>
    <row r="160" spans="1:18" s="888" customFormat="1" hidden="1">
      <c r="A160" s="885" t="s">
        <v>3</v>
      </c>
      <c r="B160" s="885" t="s">
        <v>83</v>
      </c>
      <c r="C160" s="889">
        <v>1120116205</v>
      </c>
      <c r="D160" s="889" t="s">
        <v>673</v>
      </c>
      <c r="E160" s="886" t="s">
        <v>6</v>
      </c>
      <c r="F160" s="886" t="s">
        <v>271</v>
      </c>
      <c r="G160" s="47">
        <f>IF(F160="I",IFERROR(VLOOKUP(C160,'BG 062022'!A:C,3,FALSE),0),0)</f>
        <v>-1260333564</v>
      </c>
      <c r="H160" s="885"/>
      <c r="I160" s="63">
        <f>IF(F160="I",IFERROR(VLOOKUP(C160,'BG 062022'!A:D,4,FALSE),0),0)</f>
        <v>-184315.88</v>
      </c>
      <c r="J160" s="887"/>
      <c r="K160" s="47">
        <f>IF(F160="I",SUMIF('BG 2021'!B:B,Clasificaciones!C160,'BG 2021'!D:D),0)</f>
        <v>-1156671548</v>
      </c>
      <c r="L160" s="887"/>
      <c r="M160" s="63">
        <f>IF(F160="I",SUMIF('BG 2021'!B:B,Clasificaciones!C160,'BG 2021'!E:E),0)</f>
        <v>-168345.73000000045</v>
      </c>
      <c r="N160" s="887"/>
      <c r="O160" s="47">
        <f>IF(F160="I",SUMIF('BG 062021'!A:A,Clasificaciones!C160,'BG 062021'!C:C),0)</f>
        <v>-1826026134</v>
      </c>
      <c r="P160" s="887"/>
      <c r="Q160" s="63">
        <f>IF(F160="I",SUMIF('BG 062021'!A:A,Clasificaciones!C160,'BG 062021'!D:D),0)</f>
        <v>-271165.96000000002</v>
      </c>
      <c r="R160" s="888">
        <f>+VLOOKUP(C160,'CA EFE'!A:A,1,FALSE)</f>
        <v>1120116205</v>
      </c>
    </row>
    <row r="161" spans="1:18" s="888" customFormat="1" hidden="1">
      <c r="A161" s="885" t="s">
        <v>3</v>
      </c>
      <c r="B161" s="885" t="s">
        <v>83</v>
      </c>
      <c r="C161" s="889">
        <v>1120116206</v>
      </c>
      <c r="D161" s="889" t="s">
        <v>1395</v>
      </c>
      <c r="E161" s="886" t="s">
        <v>186</v>
      </c>
      <c r="F161" s="886" t="s">
        <v>271</v>
      </c>
      <c r="G161" s="47">
        <f>IF(F161="I",IFERROR(VLOOKUP(C161,'BG 062022'!A:C,3,FALSE),0),0)</f>
        <v>-3447049871</v>
      </c>
      <c r="H161" s="885"/>
      <c r="I161" s="63">
        <f>IF(F161="I",IFERROR(VLOOKUP(C161,'BG 062022'!A:D,4,FALSE),0),0)</f>
        <v>-504109.43</v>
      </c>
      <c r="J161" s="887"/>
      <c r="K161" s="47">
        <f>IF(F161="I",SUMIF('BG 2021'!B:B,Clasificaciones!C161,'BG 2021'!D:D),0)</f>
        <v>-363487836</v>
      </c>
      <c r="L161" s="887"/>
      <c r="M161" s="63">
        <f>IF(F161="I",SUMIF('BG 2021'!B:B,Clasificaciones!C161,'BG 2021'!E:E),0)</f>
        <v>-52903.200000000186</v>
      </c>
      <c r="N161" s="887"/>
      <c r="O161" s="47">
        <f>IF(F161="I",SUMIF('BG 062021'!A:A,Clasificaciones!C161,'BG 062021'!C:C),0)</f>
        <v>-334323656</v>
      </c>
      <c r="P161" s="887"/>
      <c r="Q161" s="63">
        <f>IF(F161="I",SUMIF('BG 062021'!A:A,Clasificaciones!C161,'BG 062021'!D:D),0)</f>
        <v>-49647.26</v>
      </c>
      <c r="R161" s="888">
        <f>+VLOOKUP(C161,'CA EFE'!A:A,1,FALSE)</f>
        <v>1120116206</v>
      </c>
    </row>
    <row r="162" spans="1:18" s="888" customFormat="1" hidden="1">
      <c r="A162" s="885" t="s">
        <v>3</v>
      </c>
      <c r="B162" s="885" t="s">
        <v>83</v>
      </c>
      <c r="C162" s="889">
        <v>1120116207</v>
      </c>
      <c r="D162" s="889" t="s">
        <v>675</v>
      </c>
      <c r="E162" s="886" t="s">
        <v>6</v>
      </c>
      <c r="F162" s="886" t="s">
        <v>271</v>
      </c>
      <c r="G162" s="47">
        <f>IF(F162="I",IFERROR(VLOOKUP(C162,'BG 062022'!A:C,3,FALSE),0),0)</f>
        <v>-17561301706</v>
      </c>
      <c r="H162" s="885"/>
      <c r="I162" s="63">
        <f>IF(F162="I",IFERROR(VLOOKUP(C162,'BG 062022'!A:D,4,FALSE),0),0)</f>
        <v>-2568230.2599999998</v>
      </c>
      <c r="J162" s="887"/>
      <c r="K162" s="47">
        <f>IF(F162="I",SUMIF('BG 2021'!B:B,Clasificaciones!C162,'BG 2021'!D:D),0)</f>
        <v>-13256785621</v>
      </c>
      <c r="L162" s="887"/>
      <c r="M162" s="63">
        <f>IF(F162="I",SUMIF('BG 2021'!B:B,Clasificaciones!C162,'BG 2021'!E:E),0)</f>
        <v>-1929435.629999999</v>
      </c>
      <c r="N162" s="887"/>
      <c r="O162" s="47">
        <f>IF(F162="I",SUMIF('BG 062021'!A:A,Clasificaciones!C162,'BG 062021'!C:C),0)</f>
        <v>-133087890</v>
      </c>
      <c r="P162" s="887"/>
      <c r="Q162" s="63">
        <f>IF(F162="I",SUMIF('BG 062021'!A:A,Clasificaciones!C162,'BG 062021'!D:D),0)</f>
        <v>-19763.63</v>
      </c>
      <c r="R162" s="888">
        <f>+VLOOKUP(C162,'CA EFE'!A:A,1,FALSE)</f>
        <v>1120116207</v>
      </c>
    </row>
    <row r="163" spans="1:18" s="888" customFormat="1" hidden="1">
      <c r="A163" s="885" t="s">
        <v>3</v>
      </c>
      <c r="B163" s="885" t="s">
        <v>83</v>
      </c>
      <c r="C163" s="889">
        <v>1120116208</v>
      </c>
      <c r="D163" s="889" t="s">
        <v>1396</v>
      </c>
      <c r="E163" s="886" t="s">
        <v>186</v>
      </c>
      <c r="F163" s="886" t="s">
        <v>271</v>
      </c>
      <c r="G163" s="47">
        <f>IF(F163="I",IFERROR(VLOOKUP(C163,'BG 062022'!A:C,3,FALSE),0),0)</f>
        <v>-8427277201</v>
      </c>
      <c r="H163" s="885"/>
      <c r="I163" s="63">
        <f>IF(F163="I",IFERROR(VLOOKUP(C163,'BG 062022'!A:D,4,FALSE),0),0)</f>
        <v>-1232436.45</v>
      </c>
      <c r="J163" s="887"/>
      <c r="K163" s="47">
        <f>IF(F163="I",SUMIF('BG 2021'!B:B,Clasificaciones!C163,'BG 2021'!D:D),0)</f>
        <v>69</v>
      </c>
      <c r="L163" s="887"/>
      <c r="M163" s="63">
        <f>IF(F163="I",SUMIF('BG 2021'!B:B,Clasificaciones!C163,'BG 2021'!E:E),0)</f>
        <v>1.0000000009313226E-2</v>
      </c>
      <c r="N163" s="887"/>
      <c r="O163" s="47">
        <f>IF(F163="I",SUMIF('BG 062021'!A:A,Clasificaciones!C163,'BG 062021'!C:C),0)</f>
        <v>0</v>
      </c>
      <c r="P163" s="887"/>
      <c r="Q163" s="63">
        <f>IF(F163="I",SUMIF('BG 062021'!A:A,Clasificaciones!C163,'BG 062021'!D:D),0)</f>
        <v>0</v>
      </c>
      <c r="R163" s="888">
        <f>+VLOOKUP(C163,'CA EFE'!A:A,1,FALSE)</f>
        <v>1120116208</v>
      </c>
    </row>
    <row r="164" spans="1:18" s="888" customFormat="1" hidden="1">
      <c r="A164" s="885" t="s">
        <v>3</v>
      </c>
      <c r="B164" s="885" t="s">
        <v>83</v>
      </c>
      <c r="C164" s="889">
        <v>1120116209</v>
      </c>
      <c r="D164" s="889" t="s">
        <v>676</v>
      </c>
      <c r="E164" s="886" t="s">
        <v>6</v>
      </c>
      <c r="F164" s="886" t="s">
        <v>271</v>
      </c>
      <c r="G164" s="47">
        <f>IF(F164="I",IFERROR(VLOOKUP(C164,'BG 062022'!A:C,3,FALSE),0),0)</f>
        <v>0</v>
      </c>
      <c r="H164" s="885"/>
      <c r="I164" s="63">
        <f>IF(F164="I",IFERROR(VLOOKUP(C164,'BG 062022'!A:D,4,FALSE),0),0)</f>
        <v>0</v>
      </c>
      <c r="J164" s="887"/>
      <c r="K164" s="47">
        <f>IF(F164="I",SUMIF('BG 2021'!B:B,Clasificaciones!C164,'BG 2021'!D:D),0)</f>
        <v>0</v>
      </c>
      <c r="L164" s="887"/>
      <c r="M164" s="63">
        <f>IF(F164="I",SUMIF('BG 2021'!B:B,Clasificaciones!C164,'BG 2021'!E:E),0)</f>
        <v>0</v>
      </c>
      <c r="N164" s="887"/>
      <c r="O164" s="47">
        <f>IF(F164="I",SUMIF('BG 062021'!A:A,Clasificaciones!C164,'BG 062021'!C:C),0)</f>
        <v>0</v>
      </c>
      <c r="P164" s="887"/>
      <c r="Q164" s="63">
        <f>IF(F164="I",SUMIF('BG 062021'!A:A,Clasificaciones!C164,'BG 062021'!D:D),0)</f>
        <v>0</v>
      </c>
    </row>
    <row r="165" spans="1:18" s="888" customFormat="1" hidden="1">
      <c r="A165" s="885" t="s">
        <v>3</v>
      </c>
      <c r="B165" s="885"/>
      <c r="C165" s="889">
        <v>1120116210</v>
      </c>
      <c r="D165" s="889" t="s">
        <v>912</v>
      </c>
      <c r="E165" s="886" t="s">
        <v>186</v>
      </c>
      <c r="F165" s="886" t="s">
        <v>271</v>
      </c>
      <c r="G165" s="47">
        <f>IF(F165="I",IFERROR(VLOOKUP(C165,'BG 062022'!A:C,3,FALSE),0),0)</f>
        <v>0</v>
      </c>
      <c r="H165" s="885"/>
      <c r="I165" s="63">
        <f>IF(F165="I",IFERROR(VLOOKUP(C165,'BG 062022'!A:D,4,FALSE),0),0)</f>
        <v>0</v>
      </c>
      <c r="J165" s="887"/>
      <c r="K165" s="47">
        <f>IF(F165="I",SUMIF('BG 2021'!B:B,Clasificaciones!C165,'BG 2021'!D:D),0)</f>
        <v>0</v>
      </c>
      <c r="L165" s="887"/>
      <c r="M165" s="63">
        <f>IF(F165="I",SUMIF('BG 2021'!B:B,Clasificaciones!C165,'BG 2021'!E:E),0)</f>
        <v>0</v>
      </c>
      <c r="N165" s="887"/>
      <c r="O165" s="47">
        <f>IF(F165="I",SUMIF('BG 062021'!A:A,Clasificaciones!C165,'BG 062021'!C:C),0)</f>
        <v>0</v>
      </c>
      <c r="P165" s="887"/>
      <c r="Q165" s="63">
        <f>IF(F165="I",SUMIF('BG 062021'!A:A,Clasificaciones!C165,'BG 062021'!D:D),0)</f>
        <v>0</v>
      </c>
    </row>
    <row r="166" spans="1:18" s="888" customFormat="1" hidden="1">
      <c r="A166" s="885" t="s">
        <v>3</v>
      </c>
      <c r="B166" s="885"/>
      <c r="C166" s="889">
        <v>1120116211</v>
      </c>
      <c r="D166" s="889" t="s">
        <v>913</v>
      </c>
      <c r="E166" s="886" t="s">
        <v>6</v>
      </c>
      <c r="F166" s="886" t="s">
        <v>271</v>
      </c>
      <c r="G166" s="47">
        <f>IF(F166="I",IFERROR(VLOOKUP(C166,'BG 062022'!A:C,3,FALSE),0),0)</f>
        <v>0</v>
      </c>
      <c r="H166" s="885"/>
      <c r="I166" s="63">
        <f>IF(F166="I",IFERROR(VLOOKUP(C166,'BG 062022'!A:D,4,FALSE),0),0)</f>
        <v>0</v>
      </c>
      <c r="J166" s="887"/>
      <c r="K166" s="47">
        <f>IF(F166="I",SUMIF('BG 2021'!B:B,Clasificaciones!C166,'BG 2021'!D:D),0)</f>
        <v>0</v>
      </c>
      <c r="L166" s="887"/>
      <c r="M166" s="63">
        <f>IF(F166="I",SUMIF('BG 2021'!B:B,Clasificaciones!C166,'BG 2021'!E:E),0)</f>
        <v>0</v>
      </c>
      <c r="N166" s="887"/>
      <c r="O166" s="47">
        <f>IF(F166="I",SUMIF('BG 062021'!A:A,Clasificaciones!C166,'BG 062021'!C:C),0)</f>
        <v>0</v>
      </c>
      <c r="P166" s="887"/>
      <c r="Q166" s="63">
        <f>IF(F166="I",SUMIF('BG 062021'!A:A,Clasificaciones!C166,'BG 062021'!D:D),0)</f>
        <v>0</v>
      </c>
    </row>
    <row r="167" spans="1:18" s="888" customFormat="1" hidden="1">
      <c r="A167" s="885" t="s">
        <v>3</v>
      </c>
      <c r="B167" s="885"/>
      <c r="C167" s="889">
        <v>1120116212</v>
      </c>
      <c r="D167" s="889" t="s">
        <v>914</v>
      </c>
      <c r="E167" s="886" t="s">
        <v>186</v>
      </c>
      <c r="F167" s="886" t="s">
        <v>271</v>
      </c>
      <c r="G167" s="47">
        <f>IF(F167="I",IFERROR(VLOOKUP(C167,'BG 062022'!A:C,3,FALSE),0),0)</f>
        <v>0</v>
      </c>
      <c r="H167" s="885"/>
      <c r="I167" s="63">
        <f>IF(F167="I",IFERROR(VLOOKUP(C167,'BG 062022'!A:D,4,FALSE),0),0)</f>
        <v>0</v>
      </c>
      <c r="J167" s="887"/>
      <c r="K167" s="47">
        <f>IF(F167="I",SUMIF('BG 2021'!B:B,Clasificaciones!C167,'BG 2021'!D:D),0)</f>
        <v>0</v>
      </c>
      <c r="L167" s="887"/>
      <c r="M167" s="63">
        <f>IF(F167="I",SUMIF('BG 2021'!B:B,Clasificaciones!C167,'BG 2021'!E:E),0)</f>
        <v>0</v>
      </c>
      <c r="N167" s="887"/>
      <c r="O167" s="47">
        <f>IF(F167="I",SUMIF('BG 062021'!A:A,Clasificaciones!C167,'BG 062021'!C:C),0)</f>
        <v>0</v>
      </c>
      <c r="P167" s="887"/>
      <c r="Q167" s="63">
        <f>IF(F167="I",SUMIF('BG 062021'!A:A,Clasificaciones!C167,'BG 062021'!D:D),0)</f>
        <v>0</v>
      </c>
    </row>
    <row r="168" spans="1:18" s="888" customFormat="1" hidden="1">
      <c r="A168" s="885" t="s">
        <v>3</v>
      </c>
      <c r="B168" s="885"/>
      <c r="C168" s="889">
        <v>1120116213</v>
      </c>
      <c r="D168" s="889" t="s">
        <v>915</v>
      </c>
      <c r="E168" s="886" t="s">
        <v>6</v>
      </c>
      <c r="F168" s="886" t="s">
        <v>271</v>
      </c>
      <c r="G168" s="47">
        <f>IF(F168="I",IFERROR(VLOOKUP(C168,'BG 062022'!A:C,3,FALSE),0),0)</f>
        <v>0</v>
      </c>
      <c r="H168" s="885"/>
      <c r="I168" s="63">
        <f>IF(F168="I",IFERROR(VLOOKUP(C168,'BG 062022'!A:D,4,FALSE),0),0)</f>
        <v>0</v>
      </c>
      <c r="J168" s="887"/>
      <c r="K168" s="47">
        <f>IF(F168="I",SUMIF('BG 2021'!B:B,Clasificaciones!C168,'BG 2021'!D:D),0)</f>
        <v>0</v>
      </c>
      <c r="L168" s="887"/>
      <c r="M168" s="63">
        <f>IF(F168="I",SUMIF('BG 2021'!B:B,Clasificaciones!C168,'BG 2021'!E:E),0)</f>
        <v>0</v>
      </c>
      <c r="N168" s="887"/>
      <c r="O168" s="47">
        <f>IF(F168="I",SUMIF('BG 062021'!A:A,Clasificaciones!C168,'BG 062021'!C:C),0)</f>
        <v>0</v>
      </c>
      <c r="P168" s="887"/>
      <c r="Q168" s="63">
        <f>IF(F168="I",SUMIF('BG 062021'!A:A,Clasificaciones!C168,'BG 062021'!D:D),0)</f>
        <v>0</v>
      </c>
    </row>
    <row r="169" spans="1:18" s="888" customFormat="1" hidden="1">
      <c r="A169" s="885" t="s">
        <v>3</v>
      </c>
      <c r="B169" s="885" t="s">
        <v>83</v>
      </c>
      <c r="C169" s="889">
        <v>1120116214</v>
      </c>
      <c r="D169" s="889" t="s">
        <v>916</v>
      </c>
      <c r="E169" s="886" t="s">
        <v>186</v>
      </c>
      <c r="F169" s="886" t="s">
        <v>271</v>
      </c>
      <c r="G169" s="957">
        <f>IF(F169="I",IFERROR(VLOOKUP(C169,'BG 062022'!A:C,3,FALSE),0),0)</f>
        <v>-753947</v>
      </c>
      <c r="H169" s="885"/>
      <c r="I169" s="63">
        <f>IF(F169="I",IFERROR(VLOOKUP(C169,'BG 062022'!A:D,4,FALSE),0),0)</f>
        <v>-110.26</v>
      </c>
      <c r="J169" s="887"/>
      <c r="K169" s="47">
        <f>IF(F169="I",SUMIF('BG 2021'!B:B,Clasificaciones!C169,'BG 2021'!D:D),0)</f>
        <v>0</v>
      </c>
      <c r="L169" s="887"/>
      <c r="M169" s="63">
        <f>IF(F169="I",SUMIF('BG 2021'!B:B,Clasificaciones!C169,'BG 2021'!E:E),0)</f>
        <v>0</v>
      </c>
      <c r="N169" s="887"/>
      <c r="O169" s="47">
        <f>IF(F169="I",SUMIF('BG 062021'!A:A,Clasificaciones!C169,'BG 062021'!C:C),0)</f>
        <v>0</v>
      </c>
      <c r="P169" s="887"/>
      <c r="Q169" s="63">
        <f>IF(F169="I",SUMIF('BG 062021'!A:A,Clasificaciones!C169,'BG 062021'!D:D),0)</f>
        <v>0</v>
      </c>
      <c r="R169" s="888">
        <f>+VLOOKUP(C169,'CA EFE'!A:A,1,FALSE)</f>
        <v>1120116214</v>
      </c>
    </row>
    <row r="170" spans="1:18" s="888" customFormat="1" hidden="1">
      <c r="A170" s="885" t="s">
        <v>3</v>
      </c>
      <c r="B170" s="885"/>
      <c r="C170" s="889">
        <v>1120116215</v>
      </c>
      <c r="D170" s="889" t="s">
        <v>917</v>
      </c>
      <c r="E170" s="886" t="s">
        <v>6</v>
      </c>
      <c r="F170" s="886" t="s">
        <v>271</v>
      </c>
      <c r="G170" s="47">
        <f>IF(F170="I",IFERROR(VLOOKUP(C170,'BG 062022'!A:C,3,FALSE),0),0)</f>
        <v>0</v>
      </c>
      <c r="H170" s="885"/>
      <c r="I170" s="63">
        <f>IF(F170="I",IFERROR(VLOOKUP(C170,'BG 062022'!A:D,4,FALSE),0),0)</f>
        <v>0</v>
      </c>
      <c r="J170" s="887"/>
      <c r="K170" s="47">
        <f>IF(F170="I",SUMIF('BG 2021'!B:B,Clasificaciones!C170,'BG 2021'!D:D),0)</f>
        <v>0</v>
      </c>
      <c r="L170" s="887"/>
      <c r="M170" s="63">
        <f>IF(F170="I",SUMIF('BG 2021'!B:B,Clasificaciones!C170,'BG 2021'!E:E),0)</f>
        <v>0</v>
      </c>
      <c r="N170" s="887"/>
      <c r="O170" s="47">
        <f>IF(F170="I",SUMIF('BG 062021'!A:A,Clasificaciones!C170,'BG 062021'!C:C),0)</f>
        <v>0</v>
      </c>
      <c r="P170" s="887"/>
      <c r="Q170" s="63">
        <f>IF(F170="I",SUMIF('BG 062021'!A:A,Clasificaciones!C170,'BG 062021'!D:D),0)</f>
        <v>0</v>
      </c>
    </row>
    <row r="171" spans="1:18" s="888" customFormat="1" hidden="1">
      <c r="A171" s="885" t="s">
        <v>3</v>
      </c>
      <c r="B171" s="885"/>
      <c r="C171" s="889">
        <v>1120116216</v>
      </c>
      <c r="D171" s="889" t="s">
        <v>918</v>
      </c>
      <c r="E171" s="886" t="s">
        <v>186</v>
      </c>
      <c r="F171" s="886" t="s">
        <v>271</v>
      </c>
      <c r="G171" s="47">
        <f>IF(F171="I",IFERROR(VLOOKUP(C171,'BG 062022'!A:C,3,FALSE),0),0)</f>
        <v>0</v>
      </c>
      <c r="H171" s="885"/>
      <c r="I171" s="63">
        <f>IF(F171="I",IFERROR(VLOOKUP(C171,'BG 062022'!A:D,4,FALSE),0),0)</f>
        <v>0</v>
      </c>
      <c r="J171" s="887"/>
      <c r="K171" s="47">
        <f>IF(F171="I",SUMIF('BG 2021'!B:B,Clasificaciones!C171,'BG 2021'!D:D),0)</f>
        <v>0</v>
      </c>
      <c r="L171" s="887"/>
      <c r="M171" s="63">
        <f>IF(F171="I",SUMIF('BG 2021'!B:B,Clasificaciones!C171,'BG 2021'!E:E),0)</f>
        <v>0</v>
      </c>
      <c r="N171" s="887"/>
      <c r="O171" s="47">
        <f>IF(F171="I",SUMIF('BG 062021'!A:A,Clasificaciones!C171,'BG 062021'!C:C),0)</f>
        <v>0</v>
      </c>
      <c r="P171" s="887"/>
      <c r="Q171" s="63">
        <f>IF(F171="I",SUMIF('BG 062021'!A:A,Clasificaciones!C171,'BG 062021'!D:D),0)</f>
        <v>0</v>
      </c>
    </row>
    <row r="172" spans="1:18" s="888" customFormat="1" hidden="1">
      <c r="A172" s="885" t="s">
        <v>3</v>
      </c>
      <c r="B172" s="885" t="s">
        <v>83</v>
      </c>
      <c r="C172" s="889">
        <v>1120116217</v>
      </c>
      <c r="D172" s="889" t="s">
        <v>677</v>
      </c>
      <c r="E172" s="886" t="s">
        <v>6</v>
      </c>
      <c r="F172" s="886" t="s">
        <v>271</v>
      </c>
      <c r="G172" s="957">
        <f>IF(F172="I",IFERROR(VLOOKUP(C172,'BG 062022'!A:C,3,FALSE),0),0)</f>
        <v>-22326692</v>
      </c>
      <c r="H172" s="885"/>
      <c r="I172" s="63">
        <f>IF(F172="I",IFERROR(VLOOKUP(C172,'BG 062022'!A:D,4,FALSE),0),0)</f>
        <v>-3265.14</v>
      </c>
      <c r="J172" s="887"/>
      <c r="K172" s="47">
        <f>IF(F172="I",SUMIF('BG 2021'!B:B,Clasificaciones!C172,'BG 2021'!D:D),0)</f>
        <v>-1495389292</v>
      </c>
      <c r="L172" s="887"/>
      <c r="M172" s="63">
        <f>IF(F172="I",SUMIF('BG 2021'!B:B,Clasificaciones!C172,'BG 2021'!E:E),0)</f>
        <v>-217643.81000000006</v>
      </c>
      <c r="N172" s="887"/>
      <c r="O172" s="47">
        <f>IF(F172="I",SUMIF('BG 062021'!A:A,Clasificaciones!C172,'BG 062021'!C:C),0)</f>
        <v>-4373836</v>
      </c>
      <c r="P172" s="887"/>
      <c r="Q172" s="63">
        <f>IF(F172="I",SUMIF('BG 062021'!A:A,Clasificaciones!C172,'BG 062021'!D:D),0)</f>
        <v>-649.52</v>
      </c>
      <c r="R172" s="888">
        <f>+VLOOKUP(C172,'CA EFE'!A:A,1,FALSE)</f>
        <v>1120116217</v>
      </c>
    </row>
    <row r="173" spans="1:18" s="888" customFormat="1" hidden="1">
      <c r="A173" s="885" t="s">
        <v>3</v>
      </c>
      <c r="B173" s="885" t="s">
        <v>83</v>
      </c>
      <c r="C173" s="889">
        <v>1120116218</v>
      </c>
      <c r="D173" s="889" t="s">
        <v>1397</v>
      </c>
      <c r="E173" s="886" t="s">
        <v>186</v>
      </c>
      <c r="F173" s="886" t="s">
        <v>271</v>
      </c>
      <c r="G173" s="957">
        <f>IF(F173="I",IFERROR(VLOOKUP(C173,'BG 062022'!A:C,3,FALSE),0),0)</f>
        <v>-2011264759</v>
      </c>
      <c r="H173" s="885"/>
      <c r="I173" s="63">
        <f>IF(F173="I",IFERROR(VLOOKUP(C173,'BG 062022'!A:D,4,FALSE),0),0)</f>
        <v>-294134.86</v>
      </c>
      <c r="J173" s="887"/>
      <c r="K173" s="47">
        <f>IF(F173="I",SUMIF('BG 2021'!B:B,Clasificaciones!C173,'BG 2021'!D:D),0)</f>
        <v>-1343245691</v>
      </c>
      <c r="L173" s="887"/>
      <c r="M173" s="63">
        <f>IF(F173="I",SUMIF('BG 2021'!B:B,Clasificaciones!C173,'BG 2021'!E:E),0)</f>
        <v>-195500.33999999997</v>
      </c>
      <c r="N173" s="887"/>
      <c r="O173" s="47">
        <f>IF(F173="I",SUMIF('BG 062021'!A:A,Clasificaciones!C173,'BG 062021'!C:C),0)</f>
        <v>-6618627</v>
      </c>
      <c r="P173" s="887"/>
      <c r="Q173" s="63">
        <f>IF(F173="I",SUMIF('BG 062021'!A:A,Clasificaciones!C173,'BG 062021'!D:D),0)</f>
        <v>-982.87</v>
      </c>
      <c r="R173" s="888">
        <f>+VLOOKUP(C173,'CA EFE'!A:A,1,FALSE)</f>
        <v>1120116218</v>
      </c>
    </row>
    <row r="174" spans="1:18" s="888" customFormat="1" hidden="1">
      <c r="A174" s="885" t="s">
        <v>3</v>
      </c>
      <c r="B174" s="885"/>
      <c r="C174" s="889">
        <v>1120116219</v>
      </c>
      <c r="D174" s="889" t="s">
        <v>919</v>
      </c>
      <c r="E174" s="886" t="s">
        <v>6</v>
      </c>
      <c r="F174" s="886" t="s">
        <v>271</v>
      </c>
      <c r="G174" s="47">
        <f>IF(F174="I",IFERROR(VLOOKUP(C174,'BG 062022'!A:C,3,FALSE),0),0)</f>
        <v>0</v>
      </c>
      <c r="H174" s="885"/>
      <c r="I174" s="63">
        <f>IF(F174="I",IFERROR(VLOOKUP(C174,'BG 062022'!A:D,4,FALSE),0),0)</f>
        <v>0</v>
      </c>
      <c r="J174" s="887"/>
      <c r="K174" s="47">
        <f>IF(F174="I",SUMIF('BG 2021'!B:B,Clasificaciones!C174,'BG 2021'!D:D),0)</f>
        <v>0</v>
      </c>
      <c r="L174" s="887"/>
      <c r="M174" s="63">
        <f>IF(F174="I",SUMIF('BG 2021'!B:B,Clasificaciones!C174,'BG 2021'!E:E),0)</f>
        <v>0</v>
      </c>
      <c r="N174" s="887"/>
      <c r="O174" s="47">
        <f>IF(F174="I",SUMIF('BG 062021'!A:A,Clasificaciones!C174,'BG 062021'!C:C),0)</f>
        <v>0</v>
      </c>
      <c r="P174" s="887"/>
      <c r="Q174" s="63">
        <f>IF(F174="I",SUMIF('BG 062021'!A:A,Clasificaciones!C174,'BG 062021'!D:D),0)</f>
        <v>0</v>
      </c>
    </row>
    <row r="175" spans="1:18" s="888" customFormat="1" hidden="1">
      <c r="A175" s="885" t="s">
        <v>3</v>
      </c>
      <c r="B175" s="885"/>
      <c r="C175" s="889">
        <v>1120116220</v>
      </c>
      <c r="D175" s="889" t="s">
        <v>920</v>
      </c>
      <c r="E175" s="886" t="s">
        <v>186</v>
      </c>
      <c r="F175" s="886" t="s">
        <v>271</v>
      </c>
      <c r="G175" s="47">
        <f>IF(F175="I",IFERROR(VLOOKUP(C175,'BG 062022'!A:C,3,FALSE),0),0)</f>
        <v>0</v>
      </c>
      <c r="H175" s="885"/>
      <c r="I175" s="63">
        <f>IF(F175="I",IFERROR(VLOOKUP(C175,'BG 062022'!A:D,4,FALSE),0),0)</f>
        <v>0</v>
      </c>
      <c r="J175" s="887"/>
      <c r="K175" s="47">
        <f>IF(F175="I",SUMIF('BG 2021'!B:B,Clasificaciones!C175,'BG 2021'!D:D),0)</f>
        <v>0</v>
      </c>
      <c r="L175" s="887"/>
      <c r="M175" s="63">
        <f>IF(F175="I",SUMIF('BG 2021'!B:B,Clasificaciones!C175,'BG 2021'!E:E),0)</f>
        <v>0</v>
      </c>
      <c r="N175" s="887"/>
      <c r="O175" s="47">
        <f>IF(F175="I",SUMIF('BG 062021'!A:A,Clasificaciones!C175,'BG 062021'!C:C),0)</f>
        <v>0</v>
      </c>
      <c r="P175" s="887"/>
      <c r="Q175" s="63">
        <f>IF(F175="I",SUMIF('BG 062021'!A:A,Clasificaciones!C175,'BG 062021'!D:D),0)</f>
        <v>0</v>
      </c>
    </row>
    <row r="176" spans="1:18" s="888" customFormat="1" hidden="1">
      <c r="A176" s="885" t="s">
        <v>3</v>
      </c>
      <c r="B176" s="885"/>
      <c r="C176" s="889">
        <v>1120116221</v>
      </c>
      <c r="D176" s="889" t="s">
        <v>921</v>
      </c>
      <c r="E176" s="886" t="s">
        <v>6</v>
      </c>
      <c r="F176" s="886" t="s">
        <v>271</v>
      </c>
      <c r="G176" s="47">
        <f>IF(F176="I",IFERROR(VLOOKUP(C176,'BG 062022'!A:C,3,FALSE),0),0)</f>
        <v>0</v>
      </c>
      <c r="H176" s="885"/>
      <c r="I176" s="63">
        <f>IF(F176="I",IFERROR(VLOOKUP(C176,'BG 062022'!A:D,4,FALSE),0),0)</f>
        <v>0</v>
      </c>
      <c r="J176" s="887"/>
      <c r="K176" s="47">
        <f>IF(F176="I",SUMIF('BG 2021'!B:B,Clasificaciones!C176,'BG 2021'!D:D),0)</f>
        <v>0</v>
      </c>
      <c r="L176" s="887"/>
      <c r="M176" s="63">
        <f>IF(F176="I",SUMIF('BG 2021'!B:B,Clasificaciones!C176,'BG 2021'!E:E),0)</f>
        <v>0</v>
      </c>
      <c r="N176" s="887"/>
      <c r="O176" s="47">
        <f>IF(F176="I",SUMIF('BG 062021'!A:A,Clasificaciones!C176,'BG 062021'!C:C),0)</f>
        <v>0</v>
      </c>
      <c r="P176" s="887"/>
      <c r="Q176" s="63">
        <f>IF(F176="I",SUMIF('BG 062021'!A:A,Clasificaciones!C176,'BG 062021'!D:D),0)</f>
        <v>0</v>
      </c>
    </row>
    <row r="177" spans="1:18" s="888" customFormat="1" hidden="1">
      <c r="A177" s="885" t="s">
        <v>3</v>
      </c>
      <c r="B177" s="885"/>
      <c r="C177" s="889">
        <v>1120116222</v>
      </c>
      <c r="D177" s="889" t="s">
        <v>922</v>
      </c>
      <c r="E177" s="886" t="s">
        <v>186</v>
      </c>
      <c r="F177" s="886" t="s">
        <v>271</v>
      </c>
      <c r="G177" s="47">
        <f>IF(F177="I",IFERROR(VLOOKUP(C177,'BG 062022'!A:C,3,FALSE),0),0)</f>
        <v>0</v>
      </c>
      <c r="H177" s="885"/>
      <c r="I177" s="63">
        <f>IF(F177="I",IFERROR(VLOOKUP(C177,'BG 062022'!A:D,4,FALSE),0),0)</f>
        <v>0</v>
      </c>
      <c r="J177" s="887"/>
      <c r="K177" s="47">
        <f>IF(F177="I",SUMIF('BG 2021'!B:B,Clasificaciones!C177,'BG 2021'!D:D),0)</f>
        <v>0</v>
      </c>
      <c r="L177" s="887"/>
      <c r="M177" s="63">
        <f>IF(F177="I",SUMIF('BG 2021'!B:B,Clasificaciones!C177,'BG 2021'!E:E),0)</f>
        <v>0</v>
      </c>
      <c r="N177" s="887"/>
      <c r="O177" s="47">
        <f>IF(F177="I",SUMIF('BG 062021'!A:A,Clasificaciones!C177,'BG 062021'!C:C),0)</f>
        <v>0</v>
      </c>
      <c r="P177" s="887"/>
      <c r="Q177" s="63">
        <f>IF(F177="I",SUMIF('BG 062021'!A:A,Clasificaciones!C177,'BG 062021'!D:D),0)</f>
        <v>0</v>
      </c>
    </row>
    <row r="178" spans="1:18" s="888" customFormat="1" hidden="1">
      <c r="A178" s="885" t="s">
        <v>3</v>
      </c>
      <c r="B178" s="885"/>
      <c r="C178" s="889">
        <v>1120116223</v>
      </c>
      <c r="D178" s="889" t="s">
        <v>923</v>
      </c>
      <c r="E178" s="886" t="s">
        <v>6</v>
      </c>
      <c r="F178" s="886" t="s">
        <v>271</v>
      </c>
      <c r="G178" s="47">
        <f>IF(F178="I",IFERROR(VLOOKUP(C178,'BG 062022'!A:C,3,FALSE),0),0)</f>
        <v>0</v>
      </c>
      <c r="H178" s="885"/>
      <c r="I178" s="63">
        <f>IF(F178="I",IFERROR(VLOOKUP(C178,'BG 062022'!A:D,4,FALSE),0),0)</f>
        <v>0</v>
      </c>
      <c r="J178" s="887"/>
      <c r="K178" s="47">
        <f>IF(F178="I",SUMIF('BG 2021'!B:B,Clasificaciones!C178,'BG 2021'!D:D),0)</f>
        <v>0</v>
      </c>
      <c r="L178" s="887"/>
      <c r="M178" s="63">
        <f>IF(F178="I",SUMIF('BG 2021'!B:B,Clasificaciones!C178,'BG 2021'!E:E),0)</f>
        <v>0</v>
      </c>
      <c r="N178" s="887"/>
      <c r="O178" s="47">
        <f>IF(F178="I",SUMIF('BG 062021'!A:A,Clasificaciones!C178,'BG 062021'!C:C),0)</f>
        <v>0</v>
      </c>
      <c r="P178" s="887"/>
      <c r="Q178" s="63">
        <f>IF(F178="I",SUMIF('BG 062021'!A:A,Clasificaciones!C178,'BG 062021'!D:D),0)</f>
        <v>0</v>
      </c>
    </row>
    <row r="179" spans="1:18" s="888" customFormat="1" hidden="1">
      <c r="A179" s="885" t="s">
        <v>3</v>
      </c>
      <c r="B179" s="885"/>
      <c r="C179" s="889">
        <v>1120116224</v>
      </c>
      <c r="D179" s="889" t="s">
        <v>924</v>
      </c>
      <c r="E179" s="886" t="s">
        <v>186</v>
      </c>
      <c r="F179" s="886" t="s">
        <v>271</v>
      </c>
      <c r="G179" s="47">
        <f>IF(F179="I",IFERROR(VLOOKUP(C179,'BG 062022'!A:C,3,FALSE),0),0)</f>
        <v>0</v>
      </c>
      <c r="H179" s="885"/>
      <c r="I179" s="63">
        <f>IF(F179="I",IFERROR(VLOOKUP(C179,'BG 062022'!A:D,4,FALSE),0),0)</f>
        <v>0</v>
      </c>
      <c r="J179" s="887"/>
      <c r="K179" s="47">
        <f>IF(F179="I",SUMIF('BG 2021'!B:B,Clasificaciones!C179,'BG 2021'!D:D),0)</f>
        <v>0</v>
      </c>
      <c r="L179" s="887"/>
      <c r="M179" s="63">
        <f>IF(F179="I",SUMIF('BG 2021'!B:B,Clasificaciones!C179,'BG 2021'!E:E),0)</f>
        <v>0</v>
      </c>
      <c r="N179" s="887"/>
      <c r="O179" s="47">
        <f>IF(F179="I",SUMIF('BG 062021'!A:A,Clasificaciones!C179,'BG 062021'!C:C),0)</f>
        <v>0</v>
      </c>
      <c r="P179" s="887"/>
      <c r="Q179" s="63">
        <f>IF(F179="I",SUMIF('BG 062021'!A:A,Clasificaciones!C179,'BG 062021'!D:D),0)</f>
        <v>0</v>
      </c>
    </row>
    <row r="180" spans="1:18" s="888" customFormat="1" hidden="1">
      <c r="A180" s="885" t="s">
        <v>3</v>
      </c>
      <c r="B180" s="885"/>
      <c r="C180" s="889">
        <v>1120116225</v>
      </c>
      <c r="D180" s="889" t="s">
        <v>925</v>
      </c>
      <c r="E180" s="886" t="s">
        <v>6</v>
      </c>
      <c r="F180" s="886" t="s">
        <v>271</v>
      </c>
      <c r="G180" s="47">
        <f>IF(F180="I",IFERROR(VLOOKUP(C180,'BG 062022'!A:C,3,FALSE),0),0)</f>
        <v>0</v>
      </c>
      <c r="H180" s="885"/>
      <c r="I180" s="63">
        <f>IF(F180="I",IFERROR(VLOOKUP(C180,'BG 062022'!A:D,4,FALSE),0),0)</f>
        <v>0</v>
      </c>
      <c r="J180" s="887"/>
      <c r="K180" s="47">
        <f>IF(F180="I",SUMIF('BG 2021'!B:B,Clasificaciones!C180,'BG 2021'!D:D),0)</f>
        <v>0</v>
      </c>
      <c r="L180" s="887"/>
      <c r="M180" s="63">
        <f>IF(F180="I",SUMIF('BG 2021'!B:B,Clasificaciones!C180,'BG 2021'!E:E),0)</f>
        <v>0</v>
      </c>
      <c r="N180" s="887"/>
      <c r="O180" s="47">
        <f>IF(F180="I",SUMIF('BG 062021'!A:A,Clasificaciones!C180,'BG 062021'!C:C),0)</f>
        <v>0</v>
      </c>
      <c r="P180" s="887"/>
      <c r="Q180" s="63">
        <f>IF(F180="I",SUMIF('BG 062021'!A:A,Clasificaciones!C180,'BG 062021'!D:D),0)</f>
        <v>0</v>
      </c>
    </row>
    <row r="181" spans="1:18" s="888" customFormat="1" hidden="1">
      <c r="A181" s="885" t="s">
        <v>3</v>
      </c>
      <c r="B181" s="885"/>
      <c r="C181" s="889">
        <v>1120116226</v>
      </c>
      <c r="D181" s="889" t="s">
        <v>926</v>
      </c>
      <c r="E181" s="886" t="s">
        <v>186</v>
      </c>
      <c r="F181" s="886" t="s">
        <v>271</v>
      </c>
      <c r="G181" s="47">
        <f>IF(F181="I",IFERROR(VLOOKUP(C181,'BG 062022'!A:C,3,FALSE),0),0)</f>
        <v>0</v>
      </c>
      <c r="H181" s="885"/>
      <c r="I181" s="63">
        <f>IF(F181="I",IFERROR(VLOOKUP(C181,'BG 062022'!A:D,4,FALSE),0),0)</f>
        <v>0</v>
      </c>
      <c r="J181" s="887"/>
      <c r="K181" s="47">
        <f>IF(F181="I",SUMIF('BG 2021'!B:B,Clasificaciones!C181,'BG 2021'!D:D),0)</f>
        <v>0</v>
      </c>
      <c r="L181" s="887"/>
      <c r="M181" s="63">
        <f>IF(F181="I",SUMIF('BG 2021'!B:B,Clasificaciones!C181,'BG 2021'!E:E),0)</f>
        <v>0</v>
      </c>
      <c r="N181" s="887"/>
      <c r="O181" s="47">
        <f>IF(F181="I",SUMIF('BG 062021'!A:A,Clasificaciones!C181,'BG 062021'!C:C),0)</f>
        <v>0</v>
      </c>
      <c r="P181" s="887"/>
      <c r="Q181" s="63">
        <f>IF(F181="I",SUMIF('BG 062021'!A:A,Clasificaciones!C181,'BG 062021'!D:D),0)</f>
        <v>0</v>
      </c>
    </row>
    <row r="182" spans="1:18" s="888" customFormat="1" hidden="1">
      <c r="A182" s="885" t="s">
        <v>3</v>
      </c>
      <c r="B182" s="885"/>
      <c r="C182" s="889">
        <v>1120116227</v>
      </c>
      <c r="D182" s="889" t="s">
        <v>927</v>
      </c>
      <c r="E182" s="886" t="s">
        <v>6</v>
      </c>
      <c r="F182" s="886" t="s">
        <v>271</v>
      </c>
      <c r="G182" s="47">
        <f>IF(F182="I",IFERROR(VLOOKUP(C182,'BG 062022'!A:C,3,FALSE),0),0)</f>
        <v>0</v>
      </c>
      <c r="H182" s="885"/>
      <c r="I182" s="63">
        <f>IF(F182="I",IFERROR(VLOOKUP(C182,'BG 062022'!A:D,4,FALSE),0),0)</f>
        <v>0</v>
      </c>
      <c r="J182" s="887"/>
      <c r="K182" s="47">
        <f>IF(F182="I",SUMIF('BG 2021'!B:B,Clasificaciones!C182,'BG 2021'!D:D),0)</f>
        <v>0</v>
      </c>
      <c r="L182" s="887"/>
      <c r="M182" s="63">
        <f>IF(F182="I",SUMIF('BG 2021'!B:B,Clasificaciones!C182,'BG 2021'!E:E),0)</f>
        <v>0</v>
      </c>
      <c r="N182" s="887"/>
      <c r="O182" s="47">
        <f>IF(F182="I",SUMIF('BG 062021'!A:A,Clasificaciones!C182,'BG 062021'!C:C),0)</f>
        <v>0</v>
      </c>
      <c r="P182" s="887"/>
      <c r="Q182" s="63">
        <f>IF(F182="I",SUMIF('BG 062021'!A:A,Clasificaciones!C182,'BG 062021'!D:D),0)</f>
        <v>0</v>
      </c>
    </row>
    <row r="183" spans="1:18" s="888" customFormat="1" hidden="1">
      <c r="A183" s="885" t="s">
        <v>3</v>
      </c>
      <c r="B183" s="885"/>
      <c r="C183" s="889">
        <v>1120116228</v>
      </c>
      <c r="D183" s="889" t="s">
        <v>928</v>
      </c>
      <c r="E183" s="886" t="s">
        <v>186</v>
      </c>
      <c r="F183" s="886" t="s">
        <v>271</v>
      </c>
      <c r="G183" s="47">
        <f>IF(F183="I",IFERROR(VLOOKUP(C183,'BG 062022'!A:C,3,FALSE),0),0)</f>
        <v>0</v>
      </c>
      <c r="H183" s="885"/>
      <c r="I183" s="63">
        <f>IF(F183="I",IFERROR(VLOOKUP(C183,'BG 062022'!A:D,4,FALSE),0),0)</f>
        <v>0</v>
      </c>
      <c r="J183" s="887"/>
      <c r="K183" s="47">
        <f>IF(F183="I",SUMIF('BG 2021'!B:B,Clasificaciones!C183,'BG 2021'!D:D),0)</f>
        <v>0</v>
      </c>
      <c r="L183" s="887"/>
      <c r="M183" s="63">
        <f>IF(F183="I",SUMIF('BG 2021'!B:B,Clasificaciones!C183,'BG 2021'!E:E),0)</f>
        <v>0</v>
      </c>
      <c r="N183" s="887"/>
      <c r="O183" s="47">
        <f>IF(F183="I",SUMIF('BG 062021'!A:A,Clasificaciones!C183,'BG 062021'!C:C),0)</f>
        <v>0</v>
      </c>
      <c r="P183" s="887"/>
      <c r="Q183" s="63">
        <f>IF(F183="I",SUMIF('BG 062021'!A:A,Clasificaciones!C183,'BG 062021'!D:D),0)</f>
        <v>0</v>
      </c>
    </row>
    <row r="184" spans="1:18" s="888" customFormat="1" hidden="1">
      <c r="A184" s="885" t="s">
        <v>3</v>
      </c>
      <c r="B184" s="885" t="s">
        <v>83</v>
      </c>
      <c r="C184" s="889">
        <v>1120116229</v>
      </c>
      <c r="D184" s="885" t="s">
        <v>679</v>
      </c>
      <c r="E184" s="886" t="s">
        <v>6</v>
      </c>
      <c r="F184" s="886" t="s">
        <v>271</v>
      </c>
      <c r="G184" s="47">
        <f>IF(F184="I",IFERROR(VLOOKUP(C184,'BG 062022'!A:C,3,FALSE),0),0)</f>
        <v>-106354358</v>
      </c>
      <c r="H184" s="885"/>
      <c r="I184" s="63">
        <f>IF(F184="I",IFERROR(VLOOKUP(C184,'BG 062022'!A:D,4,FALSE),0),0)</f>
        <v>-15553.66</v>
      </c>
      <c r="J184" s="887"/>
      <c r="K184" s="47">
        <f>IF(F184="I",SUMIF('BG 2021'!B:B,Clasificaciones!C184,'BG 2021'!D:D),0)</f>
        <v>-40144890</v>
      </c>
      <c r="L184" s="887"/>
      <c r="M184" s="63">
        <f>IF(F184="I",SUMIF('BG 2021'!B:B,Clasificaciones!C184,'BG 2021'!E:E),0)</f>
        <v>-5842.8199999999488</v>
      </c>
      <c r="N184" s="887"/>
      <c r="O184" s="47">
        <f>IF(F184="I",SUMIF('BG 062021'!A:A,Clasificaciones!C184,'BG 062021'!C:C),0)</f>
        <v>-43129399</v>
      </c>
      <c r="P184" s="887"/>
      <c r="Q184" s="63">
        <f>IF(F184="I",SUMIF('BG 062021'!A:A,Clasificaciones!C184,'BG 062021'!D:D),0)</f>
        <v>-6404.74</v>
      </c>
      <c r="R184" s="888">
        <f>+VLOOKUP(C184,'CA EFE'!A:A,1,FALSE)</f>
        <v>1120116229</v>
      </c>
    </row>
    <row r="185" spans="1:18" s="888" customFormat="1" hidden="1">
      <c r="A185" s="885" t="s">
        <v>3</v>
      </c>
      <c r="B185" s="885"/>
      <c r="C185" s="889">
        <v>1120116230</v>
      </c>
      <c r="D185" s="889" t="s">
        <v>929</v>
      </c>
      <c r="E185" s="886" t="s">
        <v>186</v>
      </c>
      <c r="F185" s="886" t="s">
        <v>271</v>
      </c>
      <c r="G185" s="47">
        <f>IF(F185="I",IFERROR(VLOOKUP(C185,'BG 062022'!A:C,3,FALSE),0),0)</f>
        <v>0</v>
      </c>
      <c r="H185" s="885"/>
      <c r="I185" s="63">
        <f>IF(F185="I",IFERROR(VLOOKUP(C185,'BG 062022'!A:D,4,FALSE),0),0)</f>
        <v>0</v>
      </c>
      <c r="J185" s="887"/>
      <c r="K185" s="47">
        <f>IF(F185="I",SUMIF('BG 2021'!B:B,Clasificaciones!C185,'BG 2021'!D:D),0)</f>
        <v>0</v>
      </c>
      <c r="L185" s="887"/>
      <c r="M185" s="63">
        <f>IF(F185="I",SUMIF('BG 2021'!B:B,Clasificaciones!C185,'BG 2021'!E:E),0)</f>
        <v>0</v>
      </c>
      <c r="N185" s="887"/>
      <c r="O185" s="47">
        <f>IF(F185="I",SUMIF('BG 062021'!A:A,Clasificaciones!C185,'BG 062021'!C:C),0)</f>
        <v>0</v>
      </c>
      <c r="P185" s="887"/>
      <c r="Q185" s="63">
        <f>IF(F185="I",SUMIF('BG 062021'!A:A,Clasificaciones!C185,'BG 062021'!D:D),0)</f>
        <v>0</v>
      </c>
    </row>
    <row r="186" spans="1:18" s="888" customFormat="1" hidden="1">
      <c r="A186" s="885" t="s">
        <v>3</v>
      </c>
      <c r="B186" s="885"/>
      <c r="C186" s="889">
        <v>1120116231</v>
      </c>
      <c r="D186" s="889" t="s">
        <v>930</v>
      </c>
      <c r="E186" s="886" t="s">
        <v>6</v>
      </c>
      <c r="F186" s="886" t="s">
        <v>271</v>
      </c>
      <c r="G186" s="47">
        <f>IF(F186="I",IFERROR(VLOOKUP(C186,'BG 062022'!A:C,3,FALSE),0),0)</f>
        <v>0</v>
      </c>
      <c r="H186" s="885"/>
      <c r="I186" s="63">
        <f>IF(F186="I",IFERROR(VLOOKUP(C186,'BG 062022'!A:D,4,FALSE),0),0)</f>
        <v>0</v>
      </c>
      <c r="J186" s="887"/>
      <c r="K186" s="47">
        <f>IF(F186="I",SUMIF('BG 2021'!B:B,Clasificaciones!C186,'BG 2021'!D:D),0)</f>
        <v>0</v>
      </c>
      <c r="L186" s="887"/>
      <c r="M186" s="63">
        <f>IF(F186="I",SUMIF('BG 2021'!B:B,Clasificaciones!C186,'BG 2021'!E:E),0)</f>
        <v>0</v>
      </c>
      <c r="N186" s="887"/>
      <c r="O186" s="47">
        <f>IF(F186="I",SUMIF('BG 062021'!A:A,Clasificaciones!C186,'BG 062021'!C:C),0)</f>
        <v>0</v>
      </c>
      <c r="P186" s="887"/>
      <c r="Q186" s="63">
        <f>IF(F186="I",SUMIF('BG 062021'!A:A,Clasificaciones!C186,'BG 062021'!D:D),0)</f>
        <v>0</v>
      </c>
    </row>
    <row r="187" spans="1:18" s="888" customFormat="1" hidden="1">
      <c r="A187" s="885" t="s">
        <v>3</v>
      </c>
      <c r="B187" s="885" t="s">
        <v>83</v>
      </c>
      <c r="C187" s="889">
        <v>1120116232</v>
      </c>
      <c r="D187" s="889" t="s">
        <v>931</v>
      </c>
      <c r="E187" s="886" t="s">
        <v>186</v>
      </c>
      <c r="F187" s="886" t="s">
        <v>271</v>
      </c>
      <c r="G187" s="957">
        <f>IF(F187="I",IFERROR(VLOOKUP(C187,'BG 062022'!A:C,3,FALSE),0),0)</f>
        <v>-17355684</v>
      </c>
      <c r="H187" s="885"/>
      <c r="I187" s="63">
        <f>IF(F187="I",IFERROR(VLOOKUP(C187,'BG 062022'!A:D,4,FALSE),0),0)</f>
        <v>-2538.16</v>
      </c>
      <c r="J187" s="887"/>
      <c r="K187" s="47">
        <f>IF(F187="I",SUMIF('BG 2021'!B:B,Clasificaciones!C187,'BG 2021'!D:D),0)</f>
        <v>0</v>
      </c>
      <c r="L187" s="887"/>
      <c r="M187" s="63">
        <f>IF(F187="I",SUMIF('BG 2021'!B:B,Clasificaciones!C187,'BG 2021'!E:E),0)</f>
        <v>0</v>
      </c>
      <c r="N187" s="887"/>
      <c r="O187" s="47">
        <f>IF(F187="I",SUMIF('BG 062021'!A:A,Clasificaciones!C187,'BG 062021'!C:C),0)</f>
        <v>0</v>
      </c>
      <c r="P187" s="887"/>
      <c r="Q187" s="63">
        <f>IF(F187="I",SUMIF('BG 062021'!A:A,Clasificaciones!C187,'BG 062021'!D:D),0)</f>
        <v>0</v>
      </c>
    </row>
    <row r="188" spans="1:18" s="888" customFormat="1" hidden="1">
      <c r="A188" s="885" t="s">
        <v>3</v>
      </c>
      <c r="B188" s="885"/>
      <c r="C188" s="889">
        <v>112012</v>
      </c>
      <c r="D188" s="889" t="s">
        <v>932</v>
      </c>
      <c r="E188" s="886" t="s">
        <v>6</v>
      </c>
      <c r="F188" s="886" t="s">
        <v>270</v>
      </c>
      <c r="G188" s="47">
        <f>IF(F188="I",IFERROR(VLOOKUP(C188,'BG 062022'!A:C,3,FALSE),0),0)</f>
        <v>0</v>
      </c>
      <c r="H188" s="885"/>
      <c r="I188" s="63">
        <f>IF(F188="I",IFERROR(VLOOKUP(C188,'BG 062022'!A:D,4,FALSE),0),0)</f>
        <v>0</v>
      </c>
      <c r="J188" s="887"/>
      <c r="K188" s="47">
        <f>IF(F188="I",SUMIF('BG 2021'!B:B,Clasificaciones!C188,'BG 2021'!D:D),0)</f>
        <v>0</v>
      </c>
      <c r="L188" s="887"/>
      <c r="M188" s="63">
        <f>IF(F188="I",SUMIF('BG 2021'!B:B,Clasificaciones!C188,'BG 2021'!E:E),0)</f>
        <v>0</v>
      </c>
      <c r="N188" s="887"/>
      <c r="O188" s="47">
        <f>IF(F188="I",SUMIF('BG 062021'!A:A,Clasificaciones!C188,'BG 062021'!C:C),0)</f>
        <v>0</v>
      </c>
      <c r="P188" s="887"/>
      <c r="Q188" s="63">
        <f>IF(F188="I",SUMIF('BG 062021'!A:A,Clasificaciones!C188,'BG 062021'!D:D),0)</f>
        <v>0</v>
      </c>
    </row>
    <row r="189" spans="1:18" s="888" customFormat="1" hidden="1">
      <c r="A189" s="885" t="s">
        <v>3</v>
      </c>
      <c r="B189" s="885"/>
      <c r="C189" s="889">
        <v>1120121</v>
      </c>
      <c r="D189" s="889" t="s">
        <v>933</v>
      </c>
      <c r="E189" s="886" t="s">
        <v>6</v>
      </c>
      <c r="F189" s="886" t="s">
        <v>270</v>
      </c>
      <c r="G189" s="47">
        <f>IF(F189="I",IFERROR(VLOOKUP(C189,'BG 062022'!A:C,3,FALSE),0),0)</f>
        <v>0</v>
      </c>
      <c r="H189" s="885"/>
      <c r="I189" s="63">
        <f>IF(F189="I",IFERROR(VLOOKUP(C189,'BG 062022'!A:D,4,FALSE),0),0)</f>
        <v>0</v>
      </c>
      <c r="J189" s="887"/>
      <c r="K189" s="47">
        <f>IF(F189="I",SUMIF('BG 2021'!B:B,Clasificaciones!C189,'BG 2021'!D:D),0)</f>
        <v>0</v>
      </c>
      <c r="L189" s="887"/>
      <c r="M189" s="63">
        <f>IF(F189="I",SUMIF('BG 2021'!B:B,Clasificaciones!C189,'BG 2021'!E:E),0)</f>
        <v>0</v>
      </c>
      <c r="N189" s="887"/>
      <c r="O189" s="47">
        <f>IF(F189="I",SUMIF('BG 062021'!A:A,Clasificaciones!C189,'BG 062021'!C:C),0)</f>
        <v>0</v>
      </c>
      <c r="P189" s="887"/>
      <c r="Q189" s="63">
        <f>IF(F189="I",SUMIF('BG 062021'!A:A,Clasificaciones!C189,'BG 062021'!D:D),0)</f>
        <v>0</v>
      </c>
    </row>
    <row r="190" spans="1:18" s="888" customFormat="1" hidden="1">
      <c r="A190" s="885" t="s">
        <v>3</v>
      </c>
      <c r="B190" s="885"/>
      <c r="C190" s="889">
        <v>11201211</v>
      </c>
      <c r="D190" s="889" t="s">
        <v>648</v>
      </c>
      <c r="E190" s="886" t="s">
        <v>6</v>
      </c>
      <c r="F190" s="886" t="s">
        <v>270</v>
      </c>
      <c r="G190" s="47">
        <f>IF(F190="I",IFERROR(VLOOKUP(C190,'BG 062022'!A:C,3,FALSE),0),0)</f>
        <v>0</v>
      </c>
      <c r="H190" s="885"/>
      <c r="I190" s="63">
        <f>IF(F190="I",IFERROR(VLOOKUP(C190,'BG 062022'!A:D,4,FALSE),0),0)</f>
        <v>0</v>
      </c>
      <c r="J190" s="887"/>
      <c r="K190" s="47">
        <f>IF(F190="I",SUMIF('BG 2021'!B:B,Clasificaciones!C190,'BG 2021'!D:D),0)</f>
        <v>0</v>
      </c>
      <c r="L190" s="887"/>
      <c r="M190" s="63">
        <f>IF(F190="I",SUMIF('BG 2021'!B:B,Clasificaciones!C190,'BG 2021'!E:E),0)</f>
        <v>0</v>
      </c>
      <c r="N190" s="887"/>
      <c r="O190" s="47">
        <f>IF(F190="I",SUMIF('BG 062021'!A:A,Clasificaciones!C190,'BG 062021'!C:C),0)</f>
        <v>0</v>
      </c>
      <c r="P190" s="887"/>
      <c r="Q190" s="63">
        <f>IF(F190="I",SUMIF('BG 062021'!A:A,Clasificaciones!C190,'BG 062021'!D:D),0)</f>
        <v>0</v>
      </c>
    </row>
    <row r="191" spans="1:18" s="888" customFormat="1" hidden="1">
      <c r="A191" s="885" t="s">
        <v>3</v>
      </c>
      <c r="B191" s="885"/>
      <c r="C191" s="889">
        <v>1120121101</v>
      </c>
      <c r="D191" s="889" t="s">
        <v>775</v>
      </c>
      <c r="E191" s="886" t="s">
        <v>6</v>
      </c>
      <c r="F191" s="886" t="s">
        <v>271</v>
      </c>
      <c r="G191" s="47">
        <f>IF(F191="I",IFERROR(VLOOKUP(C191,'BG 062022'!A:C,3,FALSE),0),0)</f>
        <v>0</v>
      </c>
      <c r="H191" s="885"/>
      <c r="I191" s="63">
        <f>IF(F191="I",IFERROR(VLOOKUP(C191,'BG 062022'!A:D,4,FALSE),0),0)</f>
        <v>0</v>
      </c>
      <c r="J191" s="887"/>
      <c r="K191" s="47">
        <f>IF(F191="I",SUMIF('BG 2021'!B:B,Clasificaciones!C191,'BG 2021'!D:D),0)</f>
        <v>0</v>
      </c>
      <c r="L191" s="887"/>
      <c r="M191" s="63">
        <f>IF(F191="I",SUMIF('BG 2021'!B:B,Clasificaciones!C191,'BG 2021'!E:E),0)</f>
        <v>0</v>
      </c>
      <c r="N191" s="887"/>
      <c r="O191" s="47">
        <f>IF(F191="I",SUMIF('BG 062021'!A:A,Clasificaciones!C191,'BG 062021'!C:C),0)</f>
        <v>0</v>
      </c>
      <c r="P191" s="887"/>
      <c r="Q191" s="63">
        <f>IF(F191="I",SUMIF('BG 062021'!A:A,Clasificaciones!C191,'BG 062021'!D:D),0)</f>
        <v>0</v>
      </c>
    </row>
    <row r="192" spans="1:18" s="888" customFormat="1" hidden="1">
      <c r="A192" s="885" t="s">
        <v>3</v>
      </c>
      <c r="B192" s="885"/>
      <c r="C192" s="889">
        <v>1120121102</v>
      </c>
      <c r="D192" s="889" t="s">
        <v>877</v>
      </c>
      <c r="E192" s="886" t="s">
        <v>186</v>
      </c>
      <c r="F192" s="886" t="s">
        <v>271</v>
      </c>
      <c r="G192" s="47">
        <f>IF(F192="I",IFERROR(VLOOKUP(C192,'BG 062022'!A:C,3,FALSE),0),0)</f>
        <v>0</v>
      </c>
      <c r="H192" s="885"/>
      <c r="I192" s="63">
        <f>IF(F192="I",IFERROR(VLOOKUP(C192,'BG 062022'!A:D,4,FALSE),0),0)</f>
        <v>0</v>
      </c>
      <c r="J192" s="887"/>
      <c r="K192" s="47">
        <f>IF(F192="I",SUMIF('BG 2021'!B:B,Clasificaciones!C192,'BG 2021'!D:D),0)</f>
        <v>0</v>
      </c>
      <c r="L192" s="887"/>
      <c r="M192" s="63">
        <f>IF(F192="I",SUMIF('BG 2021'!B:B,Clasificaciones!C192,'BG 2021'!E:E),0)</f>
        <v>0</v>
      </c>
      <c r="N192" s="887"/>
      <c r="O192" s="47">
        <f>IF(F192="I",SUMIF('BG 062021'!A:A,Clasificaciones!C192,'BG 062021'!C:C),0)</f>
        <v>0</v>
      </c>
      <c r="P192" s="887"/>
      <c r="Q192" s="63">
        <f>IF(F192="I",SUMIF('BG 062021'!A:A,Clasificaciones!C192,'BG 062021'!D:D),0)</f>
        <v>0</v>
      </c>
    </row>
    <row r="193" spans="1:17" s="888" customFormat="1" hidden="1">
      <c r="A193" s="885" t="s">
        <v>3</v>
      </c>
      <c r="B193" s="885"/>
      <c r="C193" s="889">
        <v>11201212</v>
      </c>
      <c r="D193" s="889" t="s">
        <v>470</v>
      </c>
      <c r="E193" s="886" t="s">
        <v>6</v>
      </c>
      <c r="F193" s="886" t="s">
        <v>270</v>
      </c>
      <c r="G193" s="47">
        <f>IF(F193="I",IFERROR(VLOOKUP(C193,'BG 062022'!A:C,3,FALSE),0),0)</f>
        <v>0</v>
      </c>
      <c r="H193" s="885"/>
      <c r="I193" s="63">
        <f>IF(F193="I",IFERROR(VLOOKUP(C193,'BG 062022'!A:D,4,FALSE),0),0)</f>
        <v>0</v>
      </c>
      <c r="J193" s="887"/>
      <c r="K193" s="47">
        <f>IF(F193="I",SUMIF('BG 2021'!B:B,Clasificaciones!C193,'BG 2021'!D:D),0)</f>
        <v>0</v>
      </c>
      <c r="L193" s="887"/>
      <c r="M193" s="63">
        <f>IF(F193="I",SUMIF('BG 2021'!B:B,Clasificaciones!C193,'BG 2021'!E:E),0)</f>
        <v>0</v>
      </c>
      <c r="N193" s="887"/>
      <c r="O193" s="47">
        <f>IF(F193="I",SUMIF('BG 062021'!A:A,Clasificaciones!C193,'BG 062021'!C:C),0)</f>
        <v>0</v>
      </c>
      <c r="P193" s="887"/>
      <c r="Q193" s="63">
        <f>IF(F193="I",SUMIF('BG 062021'!A:A,Clasificaciones!C193,'BG 062021'!D:D),0)</f>
        <v>0</v>
      </c>
    </row>
    <row r="194" spans="1:17" s="888" customFormat="1" hidden="1">
      <c r="A194" s="885" t="s">
        <v>3</v>
      </c>
      <c r="B194" s="885"/>
      <c r="C194" s="889">
        <v>1120121201</v>
      </c>
      <c r="D194" s="889" t="s">
        <v>764</v>
      </c>
      <c r="E194" s="886" t="s">
        <v>6</v>
      </c>
      <c r="F194" s="886" t="s">
        <v>271</v>
      </c>
      <c r="G194" s="47">
        <f>IF(F194="I",IFERROR(VLOOKUP(C194,'BG 062022'!A:C,3,FALSE),0),0)</f>
        <v>0</v>
      </c>
      <c r="H194" s="885"/>
      <c r="I194" s="63">
        <f>IF(F194="I",IFERROR(VLOOKUP(C194,'BG 062022'!A:D,4,FALSE),0),0)</f>
        <v>0</v>
      </c>
      <c r="J194" s="887"/>
      <c r="K194" s="47">
        <f>IF(F194="I",SUMIF('BG 2021'!B:B,Clasificaciones!C194,'BG 2021'!D:D),0)</f>
        <v>0</v>
      </c>
      <c r="L194" s="887"/>
      <c r="M194" s="63">
        <f>IF(F194="I",SUMIF('BG 2021'!B:B,Clasificaciones!C194,'BG 2021'!E:E),0)</f>
        <v>0</v>
      </c>
      <c r="N194" s="887"/>
      <c r="O194" s="47">
        <f>IF(F194="I",SUMIF('BG 062021'!A:A,Clasificaciones!C194,'BG 062021'!C:C),0)</f>
        <v>0</v>
      </c>
      <c r="P194" s="887"/>
      <c r="Q194" s="63">
        <f>IF(F194="I",SUMIF('BG 062021'!A:A,Clasificaciones!C194,'BG 062021'!D:D),0)</f>
        <v>0</v>
      </c>
    </row>
    <row r="195" spans="1:17" s="888" customFormat="1" hidden="1">
      <c r="A195" s="885" t="s">
        <v>3</v>
      </c>
      <c r="B195" s="885"/>
      <c r="C195" s="889">
        <v>1120121202</v>
      </c>
      <c r="D195" s="889" t="s">
        <v>779</v>
      </c>
      <c r="E195" s="886" t="s">
        <v>186</v>
      </c>
      <c r="F195" s="886" t="s">
        <v>271</v>
      </c>
      <c r="G195" s="47">
        <f>IF(F195="I",IFERROR(VLOOKUP(C195,'BG 062022'!A:C,3,FALSE),0),0)</f>
        <v>0</v>
      </c>
      <c r="H195" s="885"/>
      <c r="I195" s="63">
        <f>IF(F195="I",IFERROR(VLOOKUP(C195,'BG 062022'!A:D,4,FALSE),0),0)</f>
        <v>0</v>
      </c>
      <c r="J195" s="887"/>
      <c r="K195" s="47">
        <f>IF(F195="I",SUMIF('BG 2021'!B:B,Clasificaciones!C195,'BG 2021'!D:D),0)</f>
        <v>0</v>
      </c>
      <c r="L195" s="887"/>
      <c r="M195" s="63">
        <f>IF(F195="I",SUMIF('BG 2021'!B:B,Clasificaciones!C195,'BG 2021'!E:E),0)</f>
        <v>0</v>
      </c>
      <c r="N195" s="887"/>
      <c r="O195" s="47">
        <f>IF(F195="I",SUMIF('BG 062021'!A:A,Clasificaciones!C195,'BG 062021'!C:C),0)</f>
        <v>0</v>
      </c>
      <c r="P195" s="887"/>
      <c r="Q195" s="63">
        <f>IF(F195="I",SUMIF('BG 062021'!A:A,Clasificaciones!C195,'BG 062021'!D:D),0)</f>
        <v>0</v>
      </c>
    </row>
    <row r="196" spans="1:17" s="888" customFormat="1" hidden="1">
      <c r="A196" s="885" t="s">
        <v>3</v>
      </c>
      <c r="B196" s="885"/>
      <c r="C196" s="889">
        <v>11201213</v>
      </c>
      <c r="D196" s="889" t="s">
        <v>878</v>
      </c>
      <c r="E196" s="886" t="s">
        <v>6</v>
      </c>
      <c r="F196" s="886" t="s">
        <v>270</v>
      </c>
      <c r="G196" s="47">
        <f>IF(F196="I",IFERROR(VLOOKUP(C196,'BG 062022'!A:C,3,FALSE),0),0)</f>
        <v>0</v>
      </c>
      <c r="H196" s="885"/>
      <c r="I196" s="63">
        <f>IF(F196="I",IFERROR(VLOOKUP(C196,'BG 062022'!A:D,4,FALSE),0),0)</f>
        <v>0</v>
      </c>
      <c r="J196" s="887"/>
      <c r="K196" s="47">
        <f>IF(F196="I",SUMIF('BG 2021'!B:B,Clasificaciones!C196,'BG 2021'!D:D),0)</f>
        <v>0</v>
      </c>
      <c r="L196" s="887"/>
      <c r="M196" s="63">
        <f>IF(F196="I",SUMIF('BG 2021'!B:B,Clasificaciones!C196,'BG 2021'!E:E),0)</f>
        <v>0</v>
      </c>
      <c r="N196" s="887"/>
      <c r="O196" s="47">
        <f>IF(F196="I",SUMIF('BG 062021'!A:A,Clasificaciones!C196,'BG 062021'!C:C),0)</f>
        <v>0</v>
      </c>
      <c r="P196" s="887"/>
      <c r="Q196" s="63">
        <f>IF(F196="I",SUMIF('BG 062021'!A:A,Clasificaciones!C196,'BG 062021'!D:D),0)</f>
        <v>0</v>
      </c>
    </row>
    <row r="197" spans="1:17" s="888" customFormat="1" hidden="1">
      <c r="A197" s="885" t="s">
        <v>3</v>
      </c>
      <c r="B197" s="885"/>
      <c r="C197" s="889">
        <v>1120121301</v>
      </c>
      <c r="D197" s="889" t="s">
        <v>765</v>
      </c>
      <c r="E197" s="886" t="s">
        <v>6</v>
      </c>
      <c r="F197" s="886" t="s">
        <v>271</v>
      </c>
      <c r="G197" s="47">
        <f>IF(F197="I",IFERROR(VLOOKUP(C197,'BG 062022'!A:C,3,FALSE),0),0)</f>
        <v>0</v>
      </c>
      <c r="H197" s="885"/>
      <c r="I197" s="63">
        <f>IF(F197="I",IFERROR(VLOOKUP(C197,'BG 062022'!A:D,4,FALSE),0),0)</f>
        <v>0</v>
      </c>
      <c r="J197" s="887"/>
      <c r="K197" s="47">
        <f>IF(F197="I",SUMIF('BG 2021'!B:B,Clasificaciones!C197,'BG 2021'!D:D),0)</f>
        <v>0</v>
      </c>
      <c r="L197" s="887"/>
      <c r="M197" s="63">
        <f>IF(F197="I",SUMIF('BG 2021'!B:B,Clasificaciones!C197,'BG 2021'!E:E),0)</f>
        <v>0</v>
      </c>
      <c r="N197" s="887"/>
      <c r="O197" s="47">
        <f>IF(F197="I",SUMIF('BG 062021'!A:A,Clasificaciones!C197,'BG 062021'!C:C),0)</f>
        <v>0</v>
      </c>
      <c r="P197" s="887"/>
      <c r="Q197" s="63">
        <f>IF(F197="I",SUMIF('BG 062021'!A:A,Clasificaciones!C197,'BG 062021'!D:D),0)</f>
        <v>0</v>
      </c>
    </row>
    <row r="198" spans="1:17" s="888" customFormat="1" hidden="1">
      <c r="A198" s="885" t="s">
        <v>3</v>
      </c>
      <c r="B198" s="885"/>
      <c r="C198" s="889">
        <v>1120121302</v>
      </c>
      <c r="D198" s="889" t="s">
        <v>766</v>
      </c>
      <c r="E198" s="886" t="s">
        <v>186</v>
      </c>
      <c r="F198" s="886" t="s">
        <v>271</v>
      </c>
      <c r="G198" s="47">
        <f>IF(F198="I",IFERROR(VLOOKUP(C198,'BG 062022'!A:C,3,FALSE),0),0)</f>
        <v>0</v>
      </c>
      <c r="H198" s="885"/>
      <c r="I198" s="63">
        <f>IF(F198="I",IFERROR(VLOOKUP(C198,'BG 062022'!A:D,4,FALSE),0),0)</f>
        <v>0</v>
      </c>
      <c r="J198" s="887"/>
      <c r="K198" s="47">
        <f>IF(F198="I",SUMIF('BG 2021'!B:B,Clasificaciones!C198,'BG 2021'!D:D),0)</f>
        <v>0</v>
      </c>
      <c r="L198" s="887"/>
      <c r="M198" s="63">
        <f>IF(F198="I",SUMIF('BG 2021'!B:B,Clasificaciones!C198,'BG 2021'!E:E),0)</f>
        <v>0</v>
      </c>
      <c r="N198" s="887"/>
      <c r="O198" s="47">
        <f>IF(F198="I",SUMIF('BG 062021'!A:A,Clasificaciones!C198,'BG 062021'!C:C),0)</f>
        <v>0</v>
      </c>
      <c r="P198" s="887"/>
      <c r="Q198" s="63">
        <f>IF(F198="I",SUMIF('BG 062021'!A:A,Clasificaciones!C198,'BG 062021'!D:D),0)</f>
        <v>0</v>
      </c>
    </row>
    <row r="199" spans="1:17" s="888" customFormat="1" hidden="1">
      <c r="A199" s="885" t="s">
        <v>3</v>
      </c>
      <c r="B199" s="885"/>
      <c r="C199" s="889">
        <v>11201214</v>
      </c>
      <c r="D199" s="889" t="s">
        <v>72</v>
      </c>
      <c r="E199" s="886" t="s">
        <v>6</v>
      </c>
      <c r="F199" s="886" t="s">
        <v>270</v>
      </c>
      <c r="G199" s="47">
        <f>IF(F199="I",IFERROR(VLOOKUP(C199,'BG 062022'!A:C,3,FALSE),0),0)</f>
        <v>0</v>
      </c>
      <c r="H199" s="885"/>
      <c r="I199" s="63">
        <f>IF(F199="I",IFERROR(VLOOKUP(C199,'BG 062022'!A:D,4,FALSE),0),0)</f>
        <v>0</v>
      </c>
      <c r="J199" s="887"/>
      <c r="K199" s="47">
        <f>IF(F199="I",SUMIF('BG 2021'!B:B,Clasificaciones!C199,'BG 2021'!D:D),0)</f>
        <v>0</v>
      </c>
      <c r="L199" s="887"/>
      <c r="M199" s="63">
        <f>IF(F199="I",SUMIF('BG 2021'!B:B,Clasificaciones!C199,'BG 2021'!E:E),0)</f>
        <v>0</v>
      </c>
      <c r="N199" s="887"/>
      <c r="O199" s="47">
        <f>IF(F199="I",SUMIF('BG 062021'!A:A,Clasificaciones!C199,'BG 062021'!C:C),0)</f>
        <v>0</v>
      </c>
      <c r="P199" s="887"/>
      <c r="Q199" s="63">
        <f>IF(F199="I",SUMIF('BG 062021'!A:A,Clasificaciones!C199,'BG 062021'!D:D),0)</f>
        <v>0</v>
      </c>
    </row>
    <row r="200" spans="1:17" s="888" customFormat="1" hidden="1">
      <c r="A200" s="885" t="s">
        <v>3</v>
      </c>
      <c r="B200" s="885"/>
      <c r="C200" s="889">
        <v>1120121401</v>
      </c>
      <c r="D200" s="889" t="s">
        <v>767</v>
      </c>
      <c r="E200" s="886" t="s">
        <v>6</v>
      </c>
      <c r="F200" s="886" t="s">
        <v>271</v>
      </c>
      <c r="G200" s="47">
        <f>IF(F200="I",IFERROR(VLOOKUP(C200,'BG 062022'!A:C,3,FALSE),0),0)</f>
        <v>0</v>
      </c>
      <c r="H200" s="885"/>
      <c r="I200" s="63">
        <f>IF(F200="I",IFERROR(VLOOKUP(C200,'BG 062022'!A:D,4,FALSE),0),0)</f>
        <v>0</v>
      </c>
      <c r="J200" s="887"/>
      <c r="K200" s="47">
        <f>IF(F200="I",SUMIF('BG 2021'!B:B,Clasificaciones!C200,'BG 2021'!D:D),0)</f>
        <v>0</v>
      </c>
      <c r="L200" s="887"/>
      <c r="M200" s="63">
        <f>IF(F200="I",SUMIF('BG 2021'!B:B,Clasificaciones!C200,'BG 2021'!E:E),0)</f>
        <v>0</v>
      </c>
      <c r="N200" s="887"/>
      <c r="O200" s="47">
        <f>IF(F200="I",SUMIF('BG 062021'!A:A,Clasificaciones!C200,'BG 062021'!C:C),0)</f>
        <v>0</v>
      </c>
      <c r="P200" s="887"/>
      <c r="Q200" s="63">
        <f>IF(F200="I",SUMIF('BG 062021'!A:A,Clasificaciones!C200,'BG 062021'!D:D),0)</f>
        <v>0</v>
      </c>
    </row>
    <row r="201" spans="1:17" s="888" customFormat="1" hidden="1">
      <c r="A201" s="885" t="s">
        <v>3</v>
      </c>
      <c r="B201" s="885"/>
      <c r="C201" s="889">
        <v>1120121402</v>
      </c>
      <c r="D201" s="889" t="s">
        <v>653</v>
      </c>
      <c r="E201" s="886" t="s">
        <v>186</v>
      </c>
      <c r="F201" s="886" t="s">
        <v>271</v>
      </c>
      <c r="G201" s="47">
        <f>IF(F201="I",IFERROR(VLOOKUP(C201,'BG 062022'!A:C,3,FALSE),0),0)</f>
        <v>0</v>
      </c>
      <c r="H201" s="885"/>
      <c r="I201" s="63">
        <f>IF(F201="I",IFERROR(VLOOKUP(C201,'BG 062022'!A:D,4,FALSE),0),0)</f>
        <v>0</v>
      </c>
      <c r="J201" s="887"/>
      <c r="K201" s="47">
        <f>IF(F201="I",SUMIF('BG 2021'!B:B,Clasificaciones!C201,'BG 2021'!D:D),0)</f>
        <v>0</v>
      </c>
      <c r="L201" s="887"/>
      <c r="M201" s="63">
        <f>IF(F201="I",SUMIF('BG 2021'!B:B,Clasificaciones!C201,'BG 2021'!E:E),0)</f>
        <v>0</v>
      </c>
      <c r="N201" s="887"/>
      <c r="O201" s="47">
        <f>IF(F201="I",SUMIF('BG 062021'!A:A,Clasificaciones!C201,'BG 062021'!C:C),0)</f>
        <v>0</v>
      </c>
      <c r="P201" s="887"/>
      <c r="Q201" s="63">
        <f>IF(F201="I",SUMIF('BG 062021'!A:A,Clasificaciones!C201,'BG 062021'!D:D),0)</f>
        <v>0</v>
      </c>
    </row>
    <row r="202" spans="1:17" s="888" customFormat="1" hidden="1">
      <c r="A202" s="885" t="s">
        <v>3</v>
      </c>
      <c r="B202" s="885"/>
      <c r="C202" s="889">
        <v>11202</v>
      </c>
      <c r="D202" s="889" t="s">
        <v>934</v>
      </c>
      <c r="E202" s="886" t="s">
        <v>6</v>
      </c>
      <c r="F202" s="886" t="s">
        <v>270</v>
      </c>
      <c r="G202" s="47">
        <f>IF(F202="I",IFERROR(VLOOKUP(C202,'BG 062022'!A:C,3,FALSE),0),0)</f>
        <v>0</v>
      </c>
      <c r="H202" s="885"/>
      <c r="I202" s="63">
        <f>IF(F202="I",IFERROR(VLOOKUP(C202,'BG 062022'!A:D,4,FALSE),0),0)</f>
        <v>0</v>
      </c>
      <c r="J202" s="887"/>
      <c r="K202" s="47">
        <f>IF(F202="I",SUMIF('BG 2021'!B:B,Clasificaciones!C202,'BG 2021'!D:D),0)</f>
        <v>0</v>
      </c>
      <c r="L202" s="887"/>
      <c r="M202" s="63">
        <f>IF(F202="I",SUMIF('BG 2021'!B:B,Clasificaciones!C202,'BG 2021'!E:E),0)</f>
        <v>0</v>
      </c>
      <c r="N202" s="887"/>
      <c r="O202" s="47">
        <f>IF(F202="I",SUMIF('BG 062021'!A:A,Clasificaciones!C202,'BG 062021'!C:C),0)</f>
        <v>0</v>
      </c>
      <c r="P202" s="887"/>
      <c r="Q202" s="63">
        <f>IF(F202="I",SUMIF('BG 062021'!A:A,Clasificaciones!C202,'BG 062021'!D:D),0)</f>
        <v>0</v>
      </c>
    </row>
    <row r="203" spans="1:17" s="888" customFormat="1" hidden="1">
      <c r="A203" s="885" t="s">
        <v>3</v>
      </c>
      <c r="B203" s="885"/>
      <c r="C203" s="889">
        <v>112021</v>
      </c>
      <c r="D203" s="889" t="s">
        <v>706</v>
      </c>
      <c r="E203" s="886" t="s">
        <v>6</v>
      </c>
      <c r="F203" s="886" t="s">
        <v>270</v>
      </c>
      <c r="G203" s="47">
        <f>IF(F203="I",IFERROR(VLOOKUP(C203,'BG 062022'!A:C,3,FALSE),0),0)</f>
        <v>0</v>
      </c>
      <c r="H203" s="885"/>
      <c r="I203" s="63">
        <f>IF(F203="I",IFERROR(VLOOKUP(C203,'BG 062022'!A:D,4,FALSE),0),0)</f>
        <v>0</v>
      </c>
      <c r="J203" s="887"/>
      <c r="K203" s="47">
        <f>IF(F203="I",SUMIF('BG 2021'!B:B,Clasificaciones!C203,'BG 2021'!D:D),0)</f>
        <v>0</v>
      </c>
      <c r="L203" s="887"/>
      <c r="M203" s="63">
        <f>IF(F203="I",SUMIF('BG 2021'!B:B,Clasificaciones!C203,'BG 2021'!E:E),0)</f>
        <v>0</v>
      </c>
      <c r="N203" s="887"/>
      <c r="O203" s="47">
        <f>IF(F203="I",SUMIF('BG 062021'!A:A,Clasificaciones!C203,'BG 062021'!C:C),0)</f>
        <v>0</v>
      </c>
      <c r="P203" s="887"/>
      <c r="Q203" s="63">
        <f>IF(F203="I",SUMIF('BG 062021'!A:A,Clasificaciones!C203,'BG 062021'!D:D),0)</f>
        <v>0</v>
      </c>
    </row>
    <row r="204" spans="1:17" s="888" customFormat="1" hidden="1">
      <c r="A204" s="885" t="s">
        <v>3</v>
      </c>
      <c r="B204" s="885"/>
      <c r="C204" s="889">
        <v>1120211</v>
      </c>
      <c r="D204" s="889" t="s">
        <v>650</v>
      </c>
      <c r="E204" s="886" t="s">
        <v>6</v>
      </c>
      <c r="F204" s="886" t="s">
        <v>270</v>
      </c>
      <c r="G204" s="47">
        <f>IF(F204="I",IFERROR(VLOOKUP(C204,'BG 062022'!A:C,3,FALSE),0),0)</f>
        <v>0</v>
      </c>
      <c r="H204" s="885"/>
      <c r="I204" s="63">
        <f>IF(F204="I",IFERROR(VLOOKUP(C204,'BG 062022'!A:D,4,FALSE),0),0)</f>
        <v>0</v>
      </c>
      <c r="J204" s="887"/>
      <c r="K204" s="47">
        <f>IF(F204="I",SUMIF('BG 2021'!B:B,Clasificaciones!C204,'BG 2021'!D:D),0)</f>
        <v>0</v>
      </c>
      <c r="L204" s="887"/>
      <c r="M204" s="63">
        <f>IF(F204="I",SUMIF('BG 2021'!B:B,Clasificaciones!C204,'BG 2021'!E:E),0)</f>
        <v>0</v>
      </c>
      <c r="N204" s="887"/>
      <c r="O204" s="47">
        <f>IF(F204="I",SUMIF('BG 062021'!A:A,Clasificaciones!C204,'BG 062021'!C:C),0)</f>
        <v>0</v>
      </c>
      <c r="P204" s="887"/>
      <c r="Q204" s="63">
        <f>IF(F204="I",SUMIF('BG 062021'!A:A,Clasificaciones!C204,'BG 062021'!D:D),0)</f>
        <v>0</v>
      </c>
    </row>
    <row r="205" spans="1:17" s="888" customFormat="1" hidden="1">
      <c r="A205" s="885" t="s">
        <v>3</v>
      </c>
      <c r="B205" s="885"/>
      <c r="C205" s="889">
        <v>11202111</v>
      </c>
      <c r="D205" s="889" t="s">
        <v>935</v>
      </c>
      <c r="E205" s="886" t="s">
        <v>6</v>
      </c>
      <c r="F205" s="886" t="s">
        <v>270</v>
      </c>
      <c r="G205" s="47">
        <f>IF(F205="I",IFERROR(VLOOKUP(C205,'BG 062022'!A:C,3,FALSE),0),0)</f>
        <v>0</v>
      </c>
      <c r="H205" s="885"/>
      <c r="I205" s="63">
        <f>IF(F205="I",IFERROR(VLOOKUP(C205,'BG 062022'!A:D,4,FALSE),0),0)</f>
        <v>0</v>
      </c>
      <c r="J205" s="887"/>
      <c r="K205" s="47">
        <f>IF(F205="I",SUMIF('BG 2021'!B:B,Clasificaciones!C205,'BG 2021'!D:D),0)</f>
        <v>0</v>
      </c>
      <c r="L205" s="887"/>
      <c r="M205" s="63">
        <f>IF(F205="I",SUMIF('BG 2021'!B:B,Clasificaciones!C205,'BG 2021'!E:E),0)</f>
        <v>0</v>
      </c>
      <c r="N205" s="887"/>
      <c r="O205" s="47">
        <f>IF(F205="I",SUMIF('BG 062021'!A:A,Clasificaciones!C205,'BG 062021'!C:C),0)</f>
        <v>0</v>
      </c>
      <c r="P205" s="887"/>
      <c r="Q205" s="63">
        <f>IF(F205="I",SUMIF('BG 062021'!A:A,Clasificaciones!C205,'BG 062021'!D:D),0)</f>
        <v>0</v>
      </c>
    </row>
    <row r="206" spans="1:17" s="888" customFormat="1" hidden="1">
      <c r="A206" s="885" t="s">
        <v>3</v>
      </c>
      <c r="B206" s="885" t="s">
        <v>484</v>
      </c>
      <c r="C206" s="889">
        <v>1120211101</v>
      </c>
      <c r="D206" s="889" t="s">
        <v>936</v>
      </c>
      <c r="E206" s="886" t="s">
        <v>6</v>
      </c>
      <c r="F206" s="886" t="s">
        <v>271</v>
      </c>
      <c r="G206" s="47">
        <f>IF(F206="I",IFERROR(VLOOKUP(C206,'BG 062022'!A:C,3,FALSE),0),0)</f>
        <v>0</v>
      </c>
      <c r="H206" s="885"/>
      <c r="I206" s="63">
        <f>IF(F206="I",IFERROR(VLOOKUP(C206,'BG 062022'!A:D,4,FALSE),0),0)</f>
        <v>0</v>
      </c>
      <c r="J206" s="887"/>
      <c r="K206" s="47">
        <f>IF(F206="I",SUMIF('BG 2021'!B:B,Clasificaciones!C206,'BG 2021'!D:D),0)</f>
        <v>0</v>
      </c>
      <c r="L206" s="887"/>
      <c r="M206" s="63">
        <f>IF(F206="I",SUMIF('BG 2021'!B:B,Clasificaciones!C206,'BG 2021'!E:E),0)</f>
        <v>0</v>
      </c>
      <c r="N206" s="887"/>
      <c r="O206" s="47">
        <f>IF(F206="I",SUMIF('BG 062021'!A:A,Clasificaciones!C206,'BG 062021'!C:C),0)</f>
        <v>0</v>
      </c>
      <c r="P206" s="887"/>
      <c r="Q206" s="63">
        <f>IF(F206="I",SUMIF('BG 062021'!A:A,Clasificaciones!C206,'BG 062021'!D:D),0)</f>
        <v>0</v>
      </c>
    </row>
    <row r="207" spans="1:17" s="888" customFormat="1" hidden="1">
      <c r="A207" s="885" t="s">
        <v>3</v>
      </c>
      <c r="B207" s="885"/>
      <c r="C207" s="889">
        <v>1120212</v>
      </c>
      <c r="D207" s="889" t="s">
        <v>654</v>
      </c>
      <c r="E207" s="886" t="s">
        <v>6</v>
      </c>
      <c r="F207" s="886" t="s">
        <v>270</v>
      </c>
      <c r="G207" s="47">
        <f>IF(F207="I",IFERROR(VLOOKUP(C207,'BG 062022'!A:C,3,FALSE),0),0)</f>
        <v>0</v>
      </c>
      <c r="H207" s="885"/>
      <c r="I207" s="63">
        <f>IF(F207="I",IFERROR(VLOOKUP(C207,'BG 062022'!A:D,4,FALSE),0),0)</f>
        <v>0</v>
      </c>
      <c r="J207" s="887"/>
      <c r="K207" s="47">
        <f>IF(F207="I",SUMIF('BG 2021'!B:B,Clasificaciones!C207,'BG 2021'!D:D),0)</f>
        <v>0</v>
      </c>
      <c r="L207" s="887"/>
      <c r="M207" s="63">
        <f>IF(F207="I",SUMIF('BG 2021'!B:B,Clasificaciones!C207,'BG 2021'!E:E),0)</f>
        <v>0</v>
      </c>
      <c r="N207" s="887"/>
      <c r="O207" s="47">
        <f>IF(F207="I",SUMIF('BG 062021'!A:A,Clasificaciones!C207,'BG 062021'!C:C),0)</f>
        <v>0</v>
      </c>
      <c r="P207" s="887"/>
      <c r="Q207" s="63">
        <f>IF(F207="I",SUMIF('BG 062021'!A:A,Clasificaciones!C207,'BG 062021'!D:D),0)</f>
        <v>0</v>
      </c>
    </row>
    <row r="208" spans="1:17" s="888" customFormat="1" hidden="1">
      <c r="A208" s="885" t="s">
        <v>3</v>
      </c>
      <c r="B208" s="885"/>
      <c r="C208" s="889">
        <v>1120213</v>
      </c>
      <c r="D208" s="889" t="s">
        <v>659</v>
      </c>
      <c r="E208" s="886" t="s">
        <v>6</v>
      </c>
      <c r="F208" s="886" t="s">
        <v>270</v>
      </c>
      <c r="G208" s="47">
        <f>IF(F208="I",IFERROR(VLOOKUP(C208,'BG 062022'!A:C,3,FALSE),0),0)</f>
        <v>0</v>
      </c>
      <c r="H208" s="885"/>
      <c r="I208" s="63">
        <f>IF(F208="I",IFERROR(VLOOKUP(C208,'BG 062022'!A:D,4,FALSE),0),0)</f>
        <v>0</v>
      </c>
      <c r="J208" s="887"/>
      <c r="K208" s="47">
        <f>IF(F208="I",SUMIF('BG 2021'!B:B,Clasificaciones!C208,'BG 2021'!D:D),0)</f>
        <v>0</v>
      </c>
      <c r="L208" s="887"/>
      <c r="M208" s="63">
        <f>IF(F208="I",SUMIF('BG 2021'!B:B,Clasificaciones!C208,'BG 2021'!E:E),0)</f>
        <v>0</v>
      </c>
      <c r="N208" s="887"/>
      <c r="O208" s="47">
        <f>IF(F208="I",SUMIF('BG 062021'!A:A,Clasificaciones!C208,'BG 062021'!C:C),0)</f>
        <v>0</v>
      </c>
      <c r="P208" s="887"/>
      <c r="Q208" s="63">
        <f>IF(F208="I",SUMIF('BG 062021'!A:A,Clasificaciones!C208,'BG 062021'!D:D),0)</f>
        <v>0</v>
      </c>
    </row>
    <row r="209" spans="1:18" s="888" customFormat="1" hidden="1">
      <c r="A209" s="885" t="s">
        <v>3</v>
      </c>
      <c r="B209" s="885"/>
      <c r="C209" s="889">
        <v>1120214</v>
      </c>
      <c r="D209" s="889" t="s">
        <v>890</v>
      </c>
      <c r="E209" s="886" t="s">
        <v>6</v>
      </c>
      <c r="F209" s="886" t="s">
        <v>270</v>
      </c>
      <c r="G209" s="47">
        <f>IF(F209="I",IFERROR(VLOOKUP(C209,'BG 062022'!A:C,3,FALSE),0),0)</f>
        <v>0</v>
      </c>
      <c r="H209" s="885"/>
      <c r="I209" s="63">
        <f>IF(F209="I",IFERROR(VLOOKUP(C209,'BG 062022'!A:D,4,FALSE),0),0)</f>
        <v>0</v>
      </c>
      <c r="J209" s="887"/>
      <c r="K209" s="47">
        <f>IF(F209="I",SUMIF('BG 2021'!B:B,Clasificaciones!C209,'BG 2021'!D:D),0)</f>
        <v>0</v>
      </c>
      <c r="L209" s="887"/>
      <c r="M209" s="63">
        <f>IF(F209="I",SUMIF('BG 2021'!B:B,Clasificaciones!C209,'BG 2021'!E:E),0)</f>
        <v>0</v>
      </c>
      <c r="N209" s="887"/>
      <c r="O209" s="47">
        <f>IF(F209="I",SUMIF('BG 062021'!A:A,Clasificaciones!C209,'BG 062021'!C:C),0)</f>
        <v>0</v>
      </c>
      <c r="P209" s="887"/>
      <c r="Q209" s="63">
        <f>IF(F209="I",SUMIF('BG 062021'!A:A,Clasificaciones!C209,'BG 062021'!D:D),0)</f>
        <v>0</v>
      </c>
    </row>
    <row r="210" spans="1:18" s="888" customFormat="1" hidden="1">
      <c r="A210" s="885" t="s">
        <v>3</v>
      </c>
      <c r="B210" s="885"/>
      <c r="C210" s="889">
        <v>1120215</v>
      </c>
      <c r="D210" s="889" t="s">
        <v>937</v>
      </c>
      <c r="E210" s="886" t="s">
        <v>6</v>
      </c>
      <c r="F210" s="886" t="s">
        <v>270</v>
      </c>
      <c r="G210" s="47">
        <f>IF(F210="I",IFERROR(VLOOKUP(C210,'BG 062022'!A:C,3,FALSE),0),0)</f>
        <v>0</v>
      </c>
      <c r="H210" s="885"/>
      <c r="I210" s="63">
        <f>IF(F210="I",IFERROR(VLOOKUP(C210,'BG 062022'!A:D,4,FALSE),0),0)</f>
        <v>0</v>
      </c>
      <c r="J210" s="887"/>
      <c r="K210" s="47">
        <f>IF(F210="I",SUMIF('BG 2021'!B:B,Clasificaciones!C210,'BG 2021'!D:D),0)</f>
        <v>0</v>
      </c>
      <c r="L210" s="887"/>
      <c r="M210" s="63">
        <f>IF(F210="I",SUMIF('BG 2021'!B:B,Clasificaciones!C210,'BG 2021'!E:E),0)</f>
        <v>0</v>
      </c>
      <c r="N210" s="887"/>
      <c r="O210" s="47">
        <f>IF(F210="I",SUMIF('BG 062021'!A:A,Clasificaciones!C210,'BG 062021'!C:C),0)</f>
        <v>0</v>
      </c>
      <c r="P210" s="887"/>
      <c r="Q210" s="63">
        <f>IF(F210="I",SUMIF('BG 062021'!A:A,Clasificaciones!C210,'BG 062021'!D:D),0)</f>
        <v>0</v>
      </c>
    </row>
    <row r="211" spans="1:18" s="888" customFormat="1" hidden="1">
      <c r="A211" s="885" t="s">
        <v>3</v>
      </c>
      <c r="B211" s="885" t="s">
        <v>484</v>
      </c>
      <c r="C211" s="889">
        <v>112021501</v>
      </c>
      <c r="D211" s="889" t="s">
        <v>938</v>
      </c>
      <c r="E211" s="886" t="s">
        <v>6</v>
      </c>
      <c r="F211" s="886" t="s">
        <v>271</v>
      </c>
      <c r="G211" s="47">
        <f>IF(F211="I",IFERROR(VLOOKUP(C211,'BG 062022'!A:C,3,FALSE),0),0)</f>
        <v>0</v>
      </c>
      <c r="H211" s="885"/>
      <c r="I211" s="63">
        <f>IF(F211="I",IFERROR(VLOOKUP(C211,'BG 062022'!A:D,4,FALSE),0),0)</f>
        <v>0</v>
      </c>
      <c r="J211" s="887"/>
      <c r="K211" s="47">
        <f>IF(F211="I",SUMIF('BG 2021'!B:B,Clasificaciones!C211,'BG 2021'!D:D),0)</f>
        <v>0</v>
      </c>
      <c r="L211" s="887"/>
      <c r="M211" s="63">
        <f>IF(F211="I",SUMIF('BG 2021'!B:B,Clasificaciones!C211,'BG 2021'!E:E),0)</f>
        <v>0</v>
      </c>
      <c r="N211" s="887"/>
      <c r="O211" s="47">
        <f>IF(F211="I",SUMIF('BG 062021'!A:A,Clasificaciones!C211,'BG 062021'!C:C),0)</f>
        <v>0</v>
      </c>
      <c r="P211" s="887"/>
      <c r="Q211" s="63">
        <f>IF(F211="I",SUMIF('BG 062021'!A:A,Clasificaciones!C211,'BG 062021'!D:D),0)</f>
        <v>0</v>
      </c>
    </row>
    <row r="212" spans="1:18" s="888" customFormat="1" hidden="1">
      <c r="A212" s="885" t="s">
        <v>3</v>
      </c>
      <c r="B212" s="885" t="s">
        <v>484</v>
      </c>
      <c r="C212" s="889">
        <v>112021502</v>
      </c>
      <c r="D212" s="889" t="s">
        <v>939</v>
      </c>
      <c r="E212" s="886" t="s">
        <v>6</v>
      </c>
      <c r="F212" s="886" t="s">
        <v>271</v>
      </c>
      <c r="G212" s="47">
        <f>IF(F212="I",IFERROR(VLOOKUP(C212,'BG 062022'!A:C,3,FALSE),0),0)</f>
        <v>0</v>
      </c>
      <c r="H212" s="885"/>
      <c r="I212" s="63">
        <f>IF(F212="I",IFERROR(VLOOKUP(C212,'BG 062022'!A:D,4,FALSE),0),0)</f>
        <v>0</v>
      </c>
      <c r="J212" s="887"/>
      <c r="K212" s="47">
        <f>IF(F212="I",SUMIF('BG 2021'!B:B,Clasificaciones!C212,'BG 2021'!D:D),0)</f>
        <v>0</v>
      </c>
      <c r="L212" s="887"/>
      <c r="M212" s="63">
        <f>IF(F212="I",SUMIF('BG 2021'!B:B,Clasificaciones!C212,'BG 2021'!E:E),0)</f>
        <v>0</v>
      </c>
      <c r="N212" s="887"/>
      <c r="O212" s="47">
        <f>IF(F212="I",SUMIF('BG 062021'!A:A,Clasificaciones!C212,'BG 062021'!C:C),0)</f>
        <v>0</v>
      </c>
      <c r="P212" s="887"/>
      <c r="Q212" s="63">
        <f>IF(F212="I",SUMIF('BG 062021'!A:A,Clasificaciones!C212,'BG 062021'!D:D),0)</f>
        <v>0</v>
      </c>
    </row>
    <row r="213" spans="1:18" s="888" customFormat="1" hidden="1">
      <c r="A213" s="885" t="s">
        <v>3</v>
      </c>
      <c r="B213" s="885"/>
      <c r="C213" s="889">
        <v>1120216</v>
      </c>
      <c r="D213" s="889" t="s">
        <v>940</v>
      </c>
      <c r="E213" s="886" t="s">
        <v>6</v>
      </c>
      <c r="F213" s="886" t="s">
        <v>271</v>
      </c>
      <c r="G213" s="47">
        <f>IF(F213="I",IFERROR(VLOOKUP(C213,'BG 062022'!A:C,3,FALSE),0),0)</f>
        <v>0</v>
      </c>
      <c r="H213" s="885"/>
      <c r="I213" s="63">
        <f>IF(F213="I",IFERROR(VLOOKUP(C213,'BG 062022'!A:D,4,FALSE),0),0)</f>
        <v>0</v>
      </c>
      <c r="J213" s="887"/>
      <c r="K213" s="47">
        <f>IF(F213="I",SUMIF('BG 2021'!B:B,Clasificaciones!C213,'BG 2021'!D:D),0)</f>
        <v>0</v>
      </c>
      <c r="L213" s="887"/>
      <c r="M213" s="63">
        <f>IF(F213="I",SUMIF('BG 2021'!B:B,Clasificaciones!C213,'BG 2021'!E:E),0)</f>
        <v>0</v>
      </c>
      <c r="N213" s="887"/>
      <c r="O213" s="47">
        <f>IF(F213="I",SUMIF('BG 062021'!A:A,Clasificaciones!C213,'BG 062021'!C:C),0)</f>
        <v>0</v>
      </c>
      <c r="P213" s="887"/>
      <c r="Q213" s="63">
        <f>IF(F213="I",SUMIF('BG 062021'!A:A,Clasificaciones!C213,'BG 062021'!D:D),0)</f>
        <v>0</v>
      </c>
    </row>
    <row r="214" spans="1:18" s="888" customFormat="1" hidden="1">
      <c r="A214" s="885" t="s">
        <v>3</v>
      </c>
      <c r="B214" s="885"/>
      <c r="C214" s="889">
        <v>11203</v>
      </c>
      <c r="D214" s="889" t="s">
        <v>150</v>
      </c>
      <c r="E214" s="886" t="s">
        <v>6</v>
      </c>
      <c r="F214" s="886" t="s">
        <v>270</v>
      </c>
      <c r="G214" s="47">
        <f>IF(F214="I",IFERROR(VLOOKUP(C214,'BG 062022'!A:C,3,FALSE),0),0)</f>
        <v>0</v>
      </c>
      <c r="H214" s="885"/>
      <c r="I214" s="63">
        <f>IF(F214="I",IFERROR(VLOOKUP(C214,'BG 062022'!A:D,4,FALSE),0),0)</f>
        <v>0</v>
      </c>
      <c r="J214" s="887"/>
      <c r="K214" s="47">
        <f>IF(F214="I",SUMIF('BG 2021'!B:B,Clasificaciones!C214,'BG 2021'!D:D),0)</f>
        <v>0</v>
      </c>
      <c r="L214" s="887"/>
      <c r="M214" s="63">
        <f>IF(F214="I",SUMIF('BG 2021'!B:B,Clasificaciones!C214,'BG 2021'!E:E),0)</f>
        <v>0</v>
      </c>
      <c r="N214" s="887"/>
      <c r="O214" s="47">
        <f>IF(F214="I",SUMIF('BG 062021'!A:A,Clasificaciones!C214,'BG 062021'!C:C),0)</f>
        <v>0</v>
      </c>
      <c r="P214" s="887"/>
      <c r="Q214" s="63">
        <f>IF(F214="I",SUMIF('BG 062021'!A:A,Clasificaciones!C214,'BG 062021'!D:D),0)</f>
        <v>0</v>
      </c>
    </row>
    <row r="215" spans="1:18" s="888" customFormat="1" hidden="1">
      <c r="A215" s="885" t="s">
        <v>3</v>
      </c>
      <c r="B215" s="885"/>
      <c r="C215" s="889">
        <v>112031</v>
      </c>
      <c r="D215" s="889" t="s">
        <v>680</v>
      </c>
      <c r="E215" s="886" t="s">
        <v>6</v>
      </c>
      <c r="F215" s="886" t="s">
        <v>270</v>
      </c>
      <c r="G215" s="47">
        <f>IF(F215="I",IFERROR(VLOOKUP(C215,'BG 062022'!A:C,3,FALSE),0),0)</f>
        <v>0</v>
      </c>
      <c r="H215" s="885"/>
      <c r="I215" s="63">
        <f>IF(F215="I",IFERROR(VLOOKUP(C215,'BG 062022'!A:D,4,FALSE),0),0)</f>
        <v>0</v>
      </c>
      <c r="J215" s="887"/>
      <c r="K215" s="47">
        <f>IF(F215="I",SUMIF('BG 2021'!B:B,Clasificaciones!C215,'BG 2021'!D:D),0)</f>
        <v>0</v>
      </c>
      <c r="L215" s="887"/>
      <c r="M215" s="63">
        <f>IF(F215="I",SUMIF('BG 2021'!B:B,Clasificaciones!C215,'BG 2021'!E:E),0)</f>
        <v>0</v>
      </c>
      <c r="N215" s="887"/>
      <c r="O215" s="47">
        <f>IF(F215="I",SUMIF('BG 062021'!A:A,Clasificaciones!C215,'BG 062021'!C:C),0)</f>
        <v>0</v>
      </c>
      <c r="P215" s="887"/>
      <c r="Q215" s="63">
        <f>IF(F215="I",SUMIF('BG 062021'!A:A,Clasificaciones!C215,'BG 062021'!D:D),0)</f>
        <v>0</v>
      </c>
    </row>
    <row r="216" spans="1:18" s="888" customFormat="1" hidden="1">
      <c r="A216" s="885" t="s">
        <v>3</v>
      </c>
      <c r="B216" s="885"/>
      <c r="C216" s="889">
        <v>11203101</v>
      </c>
      <c r="D216" s="889" t="s">
        <v>681</v>
      </c>
      <c r="E216" s="886" t="s">
        <v>6</v>
      </c>
      <c r="F216" s="886" t="s">
        <v>270</v>
      </c>
      <c r="G216" s="47">
        <f>IF(F216="I",IFERROR(VLOOKUP(C216,'BG 062022'!A:C,3,FALSE),0),0)</f>
        <v>0</v>
      </c>
      <c r="H216" s="885"/>
      <c r="I216" s="63">
        <f>IF(F216="I",IFERROR(VLOOKUP(C216,'BG 062022'!A:D,4,FALSE),0),0)</f>
        <v>0</v>
      </c>
      <c r="J216" s="887"/>
      <c r="K216" s="47">
        <f>IF(F216="I",SUMIF('BG 2021'!B:B,Clasificaciones!C216,'BG 2021'!D:D),0)</f>
        <v>0</v>
      </c>
      <c r="L216" s="887"/>
      <c r="M216" s="63">
        <f>IF(F216="I",SUMIF('BG 2021'!B:B,Clasificaciones!C216,'BG 2021'!E:E),0)</f>
        <v>0</v>
      </c>
      <c r="N216" s="887"/>
      <c r="O216" s="47">
        <f>IF(F216="I",SUMIF('BG 062021'!A:A,Clasificaciones!C216,'BG 062021'!C:C),0)</f>
        <v>0</v>
      </c>
      <c r="P216" s="887"/>
      <c r="Q216" s="63">
        <f>IF(F216="I",SUMIF('BG 062021'!A:A,Clasificaciones!C216,'BG 062021'!D:D),0)</f>
        <v>0</v>
      </c>
    </row>
    <row r="217" spans="1:18" s="888" customFormat="1" hidden="1">
      <c r="A217" s="885" t="s">
        <v>3</v>
      </c>
      <c r="B217" s="885" t="s">
        <v>483</v>
      </c>
      <c r="C217" s="889">
        <v>1120310101</v>
      </c>
      <c r="D217" s="889" t="s">
        <v>682</v>
      </c>
      <c r="E217" s="886" t="s">
        <v>6</v>
      </c>
      <c r="F217" s="886" t="s">
        <v>271</v>
      </c>
      <c r="G217" s="47">
        <f>IF(F217="I",IFERROR(VLOOKUP(C217,'BG 062022'!A:C,3,FALSE),0),0)</f>
        <v>43291000000</v>
      </c>
      <c r="H217" s="885"/>
      <c r="I217" s="63">
        <f>IF(F217="I",IFERROR(VLOOKUP(C217,'BG 062022'!A:D,4,FALSE),0),0)</f>
        <v>6331037.3099999996</v>
      </c>
      <c r="J217" s="887"/>
      <c r="K217" s="47">
        <f>IF(F217="I",SUMIF('BG 2021'!B:B,Clasificaciones!C217,'BG 2021'!D:D),0)</f>
        <v>45276000000</v>
      </c>
      <c r="L217" s="887"/>
      <c r="M217" s="63">
        <f>IF(F217="I",SUMIF('BG 2021'!B:B,Clasificaciones!C217,'BG 2021'!E:E),0)</f>
        <v>6589616.0700000003</v>
      </c>
      <c r="N217" s="887"/>
      <c r="O217" s="47">
        <f>IF(F217="I",SUMIF('BG 062021'!A:A,Clasificaciones!C217,'BG 062021'!C:C),0)</f>
        <v>27005000000</v>
      </c>
      <c r="P217" s="887"/>
      <c r="Q217" s="63">
        <f>IF(F217="I",SUMIF('BG 062021'!A:A,Clasificaciones!C217,'BG 062021'!D:D),0)</f>
        <v>4010258.42</v>
      </c>
      <c r="R217" s="888">
        <f>+VLOOKUP(C217,'CA EFE'!A:A,1,FALSE)</f>
        <v>1120310101</v>
      </c>
    </row>
    <row r="218" spans="1:18" s="888" customFormat="1" hidden="1">
      <c r="A218" s="885" t="s">
        <v>3</v>
      </c>
      <c r="B218" s="885" t="s">
        <v>483</v>
      </c>
      <c r="C218" s="889">
        <v>1120310102</v>
      </c>
      <c r="D218" s="889" t="s">
        <v>1398</v>
      </c>
      <c r="E218" s="886" t="s">
        <v>186</v>
      </c>
      <c r="F218" s="886" t="s">
        <v>271</v>
      </c>
      <c r="G218" s="47">
        <f>IF(F218="I",IFERROR(VLOOKUP(C218,'BG 062022'!A:C,3,FALSE),0),0)</f>
        <v>105051587654</v>
      </c>
      <c r="H218" s="885"/>
      <c r="I218" s="63">
        <f>IF(F218="I",IFERROR(VLOOKUP(C218,'BG 062022'!A:D,4,FALSE),0),0)</f>
        <v>15363136</v>
      </c>
      <c r="J218" s="887"/>
      <c r="K218" s="47">
        <f>IF(F218="I",SUMIF('BG 2021'!B:B,Clasificaciones!C218,'BG 2021'!D:D),0)</f>
        <v>5125624260</v>
      </c>
      <c r="L218" s="887"/>
      <c r="M218" s="63">
        <f>IF(F218="I",SUMIF('BG 2021'!B:B,Clasificaciones!C218,'BG 2021'!E:E),0)</f>
        <v>746000</v>
      </c>
      <c r="N218" s="887"/>
      <c r="O218" s="47">
        <f>IF(F218="I",SUMIF('BG 062021'!A:A,Clasificaciones!C218,'BG 062021'!C:C),0)</f>
        <v>5723883000</v>
      </c>
      <c r="P218" s="887"/>
      <c r="Q218" s="63">
        <f>IF(F218="I",SUMIF('BG 062021'!A:A,Clasificaciones!C218,'BG 062021'!D:D),0)</f>
        <v>850000</v>
      </c>
      <c r="R218" s="888">
        <f>+VLOOKUP(C218,'CA EFE'!A:A,1,FALSE)</f>
        <v>1120310102</v>
      </c>
    </row>
    <row r="219" spans="1:18" s="888" customFormat="1" hidden="1">
      <c r="A219" s="885" t="s">
        <v>3</v>
      </c>
      <c r="B219" s="885" t="s">
        <v>483</v>
      </c>
      <c r="C219" s="889">
        <v>1120310103</v>
      </c>
      <c r="D219" s="889" t="s">
        <v>1184</v>
      </c>
      <c r="E219" s="886" t="s">
        <v>6</v>
      </c>
      <c r="F219" s="886" t="s">
        <v>271</v>
      </c>
      <c r="G219" s="957">
        <f>IF(F219="I",IFERROR(VLOOKUP(C219,'BG 062022'!A:C,3,FALSE),0),0)</f>
        <v>9850000000</v>
      </c>
      <c r="H219" s="885"/>
      <c r="I219" s="63">
        <f>IF(F219="I",IFERROR(VLOOKUP(C219,'BG 062022'!A:D,4,FALSE),0),0)</f>
        <v>1440500.74</v>
      </c>
      <c r="J219" s="887"/>
      <c r="K219" s="47">
        <f>IF(F219="I",SUMIF('BG 2021'!B:B,Clasificaciones!C219,'BG 2021'!D:D),0)</f>
        <v>4000000000</v>
      </c>
      <c r="L219" s="887"/>
      <c r="M219" s="63">
        <f>IF(F219="I",SUMIF('BG 2021'!B:B,Clasificaciones!C219,'BG 2021'!E:E),0)</f>
        <v>582172.99</v>
      </c>
      <c r="N219" s="887"/>
      <c r="O219" s="47">
        <f>IF(F219="I",SUMIF('BG 062021'!A:A,Clasificaciones!C219,'BG 062021'!C:C),0)</f>
        <v>4000000000</v>
      </c>
      <c r="P219" s="887"/>
      <c r="Q219" s="63">
        <f>IF(F219="I",SUMIF('BG 062021'!A:A,Clasificaciones!C219,'BG 062021'!D:D),0)</f>
        <v>594002.36</v>
      </c>
      <c r="R219" s="888">
        <f>+VLOOKUP(C219,'CA EFE'!A:A,1,FALSE)</f>
        <v>1120310103</v>
      </c>
    </row>
    <row r="220" spans="1:18" s="888" customFormat="1" hidden="1">
      <c r="A220" s="885" t="s">
        <v>3</v>
      </c>
      <c r="B220" s="885" t="s">
        <v>483</v>
      </c>
      <c r="C220" s="889">
        <v>1120310104</v>
      </c>
      <c r="D220" s="889" t="s">
        <v>1269</v>
      </c>
      <c r="E220" s="886" t="s">
        <v>186</v>
      </c>
      <c r="F220" s="886" t="s">
        <v>271</v>
      </c>
      <c r="G220" s="47">
        <f>IF(F220="I",IFERROR(VLOOKUP(C220,'BG 062022'!A:C,3,FALSE),0),0)</f>
        <v>0</v>
      </c>
      <c r="H220" s="885"/>
      <c r="I220" s="63">
        <f>IF(F220="I",IFERROR(VLOOKUP(C220,'BG 062022'!A:D,4,FALSE),0),0)</f>
        <v>0</v>
      </c>
      <c r="J220" s="887"/>
      <c r="K220" s="47">
        <f>IF(F220="I",SUMIF('BG 2021'!B:B,Clasificaciones!C220,'BG 2021'!D:D),0)</f>
        <v>16787697422</v>
      </c>
      <c r="L220" s="887"/>
      <c r="M220" s="63">
        <f>IF(F220="I",SUMIF('BG 2021'!B:B,Clasificaciones!C220,'BG 2021'!E:E),0)</f>
        <v>2443336</v>
      </c>
      <c r="N220" s="887"/>
      <c r="O220" s="47">
        <f>IF(F220="I",SUMIF('BG 062021'!A:A,Clasificaciones!C220,'BG 062021'!C:C),0)</f>
        <v>0</v>
      </c>
      <c r="P220" s="887"/>
      <c r="Q220" s="63">
        <f>IF(F220="I",SUMIF('BG 062021'!A:A,Clasificaciones!C220,'BG 062021'!D:D),0)</f>
        <v>0</v>
      </c>
      <c r="R220" s="888">
        <f>+VLOOKUP(C220,'CA EFE'!A:A,1,FALSE)</f>
        <v>1120310104</v>
      </c>
    </row>
    <row r="221" spans="1:18" s="888" customFormat="1" hidden="1">
      <c r="A221" s="885" t="s">
        <v>3</v>
      </c>
      <c r="B221" s="885"/>
      <c r="C221" s="889">
        <v>112032</v>
      </c>
      <c r="D221" s="889" t="s">
        <v>941</v>
      </c>
      <c r="E221" s="886" t="s">
        <v>6</v>
      </c>
      <c r="F221" s="886" t="s">
        <v>270</v>
      </c>
      <c r="G221" s="47">
        <f>IF(F221="I",IFERROR(VLOOKUP(C221,'BG 062022'!A:C,3,FALSE),0),0)</f>
        <v>0</v>
      </c>
      <c r="H221" s="885"/>
      <c r="I221" s="63">
        <f>IF(F221="I",IFERROR(VLOOKUP(C221,'BG 062022'!A:D,4,FALSE),0),0)</f>
        <v>0</v>
      </c>
      <c r="J221" s="887"/>
      <c r="K221" s="47">
        <f>IF(F221="I",SUMIF('BG 2021'!B:B,Clasificaciones!C221,'BG 2021'!D:D),0)</f>
        <v>0</v>
      </c>
      <c r="L221" s="887"/>
      <c r="M221" s="63">
        <f>IF(F221="I",SUMIF('BG 2021'!B:B,Clasificaciones!C221,'BG 2021'!E:E),0)</f>
        <v>0</v>
      </c>
      <c r="N221" s="887"/>
      <c r="O221" s="47">
        <f>IF(F221="I",SUMIF('BG 062021'!A:A,Clasificaciones!C221,'BG 062021'!C:C),0)</f>
        <v>0</v>
      </c>
      <c r="P221" s="887"/>
      <c r="Q221" s="63">
        <f>IF(F221="I",SUMIF('BG 062021'!A:A,Clasificaciones!C221,'BG 062021'!D:D),0)</f>
        <v>0</v>
      </c>
    </row>
    <row r="222" spans="1:18" s="888" customFormat="1" hidden="1">
      <c r="A222" s="885" t="s">
        <v>3</v>
      </c>
      <c r="B222" s="885"/>
      <c r="C222" s="889">
        <v>11203201</v>
      </c>
      <c r="D222" s="889" t="s">
        <v>941</v>
      </c>
      <c r="E222" s="886" t="s">
        <v>6</v>
      </c>
      <c r="F222" s="886" t="s">
        <v>270</v>
      </c>
      <c r="G222" s="47">
        <f>IF(F222="I",IFERROR(VLOOKUP(C222,'BG 062022'!A:C,3,FALSE),0),0)</f>
        <v>0</v>
      </c>
      <c r="H222" s="885"/>
      <c r="I222" s="63">
        <f>IF(F222="I",IFERROR(VLOOKUP(C222,'BG 062022'!A:D,4,FALSE),0),0)</f>
        <v>0</v>
      </c>
      <c r="J222" s="887"/>
      <c r="K222" s="47">
        <f>IF(F222="I",SUMIF('BG 2021'!B:B,Clasificaciones!C222,'BG 2021'!D:D),0)</f>
        <v>0</v>
      </c>
      <c r="L222" s="887"/>
      <c r="M222" s="63">
        <f>IF(F222="I",SUMIF('BG 2021'!B:B,Clasificaciones!C222,'BG 2021'!E:E),0)</f>
        <v>0</v>
      </c>
      <c r="N222" s="887"/>
      <c r="O222" s="47">
        <f>IF(F222="I",SUMIF('BG 062021'!A:A,Clasificaciones!C222,'BG 062021'!C:C),0)</f>
        <v>0</v>
      </c>
      <c r="P222" s="887"/>
      <c r="Q222" s="63">
        <f>IF(F222="I",SUMIF('BG 062021'!A:A,Clasificaciones!C222,'BG 062021'!D:D),0)</f>
        <v>0</v>
      </c>
    </row>
    <row r="223" spans="1:18" s="888" customFormat="1" hidden="1">
      <c r="A223" s="885" t="s">
        <v>3</v>
      </c>
      <c r="B223" s="885"/>
      <c r="C223" s="889">
        <v>1120320101</v>
      </c>
      <c r="D223" s="889" t="s">
        <v>764</v>
      </c>
      <c r="E223" s="886" t="s">
        <v>6</v>
      </c>
      <c r="F223" s="886" t="s">
        <v>271</v>
      </c>
      <c r="G223" s="47">
        <f>IF(F223="I",IFERROR(VLOOKUP(C223,'BG 062022'!A:C,3,FALSE),0),0)</f>
        <v>0</v>
      </c>
      <c r="H223" s="885"/>
      <c r="I223" s="63">
        <f>IF(F223="I",IFERROR(VLOOKUP(C223,'BG 062022'!A:D,4,FALSE),0),0)</f>
        <v>0</v>
      </c>
      <c r="J223" s="887"/>
      <c r="K223" s="47">
        <f>IF(F223="I",SUMIF('BG 2021'!B:B,Clasificaciones!C223,'BG 2021'!D:D),0)</f>
        <v>0</v>
      </c>
      <c r="L223" s="887"/>
      <c r="M223" s="63">
        <f>IF(F223="I",SUMIF('BG 2021'!B:B,Clasificaciones!C223,'BG 2021'!E:E),0)</f>
        <v>0</v>
      </c>
      <c r="N223" s="887"/>
      <c r="O223" s="47">
        <f>IF(F223="I",SUMIF('BG 062021'!A:A,Clasificaciones!C223,'BG 062021'!C:C),0)</f>
        <v>0</v>
      </c>
      <c r="P223" s="887"/>
      <c r="Q223" s="63">
        <f>IF(F223="I",SUMIF('BG 062021'!A:A,Clasificaciones!C223,'BG 062021'!D:D),0)</f>
        <v>0</v>
      </c>
    </row>
    <row r="224" spans="1:18" s="888" customFormat="1" hidden="1">
      <c r="A224" s="885" t="s">
        <v>3</v>
      </c>
      <c r="B224" s="885"/>
      <c r="C224" s="889">
        <v>1120320102</v>
      </c>
      <c r="D224" s="889" t="s">
        <v>779</v>
      </c>
      <c r="E224" s="886" t="s">
        <v>186</v>
      </c>
      <c r="F224" s="886" t="s">
        <v>271</v>
      </c>
      <c r="G224" s="47">
        <f>IF(F224="I",IFERROR(VLOOKUP(C224,'BG 062022'!A:C,3,FALSE),0),0)</f>
        <v>0</v>
      </c>
      <c r="H224" s="885"/>
      <c r="I224" s="63">
        <f>IF(F224="I",IFERROR(VLOOKUP(C224,'BG 062022'!A:D,4,FALSE),0),0)</f>
        <v>0</v>
      </c>
      <c r="J224" s="887"/>
      <c r="K224" s="47">
        <f>IF(F224="I",SUMIF('BG 2021'!B:B,Clasificaciones!C224,'BG 2021'!D:D),0)</f>
        <v>0</v>
      </c>
      <c r="L224" s="887"/>
      <c r="M224" s="63">
        <f>IF(F224="I",SUMIF('BG 2021'!B:B,Clasificaciones!C224,'BG 2021'!E:E),0)</f>
        <v>0</v>
      </c>
      <c r="N224" s="887"/>
      <c r="O224" s="47">
        <f>IF(F224="I",SUMIF('BG 062021'!A:A,Clasificaciones!C224,'BG 062021'!C:C),0)</f>
        <v>0</v>
      </c>
      <c r="P224" s="887"/>
      <c r="Q224" s="63">
        <f>IF(F224="I",SUMIF('BG 062021'!A:A,Clasificaciones!C224,'BG 062021'!D:D),0)</f>
        <v>0</v>
      </c>
    </row>
    <row r="225" spans="1:18" s="888" customFormat="1" hidden="1">
      <c r="A225" s="885" t="s">
        <v>3</v>
      </c>
      <c r="B225" s="885"/>
      <c r="C225" s="889">
        <v>1120320103</v>
      </c>
      <c r="D225" s="889" t="s">
        <v>765</v>
      </c>
      <c r="E225" s="886" t="s">
        <v>6</v>
      </c>
      <c r="F225" s="886" t="s">
        <v>271</v>
      </c>
      <c r="G225" s="47">
        <f>IF(F225="I",IFERROR(VLOOKUP(C225,'BG 062022'!A:C,3,FALSE),0),0)</f>
        <v>0</v>
      </c>
      <c r="H225" s="885"/>
      <c r="I225" s="63">
        <f>IF(F225="I",IFERROR(VLOOKUP(C225,'BG 062022'!A:D,4,FALSE),0),0)</f>
        <v>0</v>
      </c>
      <c r="J225" s="887"/>
      <c r="K225" s="47">
        <f>IF(F225="I",SUMIF('BG 2021'!B:B,Clasificaciones!C225,'BG 2021'!D:D),0)</f>
        <v>0</v>
      </c>
      <c r="L225" s="887"/>
      <c r="M225" s="63">
        <f>IF(F225="I",SUMIF('BG 2021'!B:B,Clasificaciones!C225,'BG 2021'!E:E),0)</f>
        <v>0</v>
      </c>
      <c r="N225" s="887"/>
      <c r="O225" s="47">
        <f>IF(F225="I",SUMIF('BG 062021'!A:A,Clasificaciones!C225,'BG 062021'!C:C),0)</f>
        <v>0</v>
      </c>
      <c r="P225" s="887"/>
      <c r="Q225" s="63">
        <f>IF(F225="I",SUMIF('BG 062021'!A:A,Clasificaciones!C225,'BG 062021'!D:D),0)</f>
        <v>0</v>
      </c>
    </row>
    <row r="226" spans="1:18" s="888" customFormat="1" hidden="1">
      <c r="A226" s="885" t="s">
        <v>3</v>
      </c>
      <c r="B226" s="885" t="s">
        <v>483</v>
      </c>
      <c r="C226" s="889">
        <v>1120320104</v>
      </c>
      <c r="D226" s="889" t="s">
        <v>766</v>
      </c>
      <c r="E226" s="886" t="s">
        <v>186</v>
      </c>
      <c r="F226" s="886" t="s">
        <v>271</v>
      </c>
      <c r="G226" s="47">
        <f>IF(F226="I",IFERROR(VLOOKUP(C226,'BG 062022'!A:C,3,FALSE),0),0)</f>
        <v>633370061</v>
      </c>
      <c r="H226" s="885"/>
      <c r="I226" s="63">
        <f>IF(F226="I",IFERROR(VLOOKUP(C226,'BG 062022'!A:D,4,FALSE),0),0)</f>
        <v>92626.4</v>
      </c>
      <c r="J226" s="887"/>
      <c r="K226" s="47">
        <f>IF(F226="I",SUMIF('BG 2021'!B:B,Clasificaciones!C226,'BG 2021'!D:D),0)</f>
        <v>0</v>
      </c>
      <c r="L226" s="887"/>
      <c r="M226" s="63">
        <f>IF(F226="I",SUMIF('BG 2021'!B:B,Clasificaciones!C226,'BG 2021'!E:E),0)</f>
        <v>0</v>
      </c>
      <c r="N226" s="887"/>
      <c r="O226" s="47">
        <f>IF(F226="I",SUMIF('BG 062021'!A:A,Clasificaciones!C226,'BG 062021'!C:C),0)</f>
        <v>0</v>
      </c>
      <c r="P226" s="887"/>
      <c r="Q226" s="63">
        <f>IF(F226="I",SUMIF('BG 062021'!A:A,Clasificaciones!C226,'BG 062021'!D:D),0)</f>
        <v>0</v>
      </c>
    </row>
    <row r="227" spans="1:18" s="888" customFormat="1" hidden="1">
      <c r="A227" s="885" t="s">
        <v>3</v>
      </c>
      <c r="B227" s="885"/>
      <c r="C227" s="889">
        <v>1120320105</v>
      </c>
      <c r="D227" s="889" t="s">
        <v>767</v>
      </c>
      <c r="E227" s="886" t="s">
        <v>6</v>
      </c>
      <c r="F227" s="886" t="s">
        <v>271</v>
      </c>
      <c r="G227" s="47">
        <f>IF(F227="I",IFERROR(VLOOKUP(C227,'BG 062022'!A:C,3,FALSE),0),0)</f>
        <v>0</v>
      </c>
      <c r="H227" s="885"/>
      <c r="I227" s="63">
        <f>IF(F227="I",IFERROR(VLOOKUP(C227,'BG 062022'!A:D,4,FALSE),0),0)</f>
        <v>0</v>
      </c>
      <c r="J227" s="887"/>
      <c r="K227" s="47">
        <f>IF(F227="I",SUMIF('BG 2021'!B:B,Clasificaciones!C227,'BG 2021'!D:D),0)</f>
        <v>0</v>
      </c>
      <c r="L227" s="887"/>
      <c r="M227" s="63">
        <f>IF(F227="I",SUMIF('BG 2021'!B:B,Clasificaciones!C227,'BG 2021'!E:E),0)</f>
        <v>0</v>
      </c>
      <c r="N227" s="887"/>
      <c r="O227" s="47">
        <f>IF(F227="I",SUMIF('BG 062021'!A:A,Clasificaciones!C227,'BG 062021'!C:C),0)</f>
        <v>0</v>
      </c>
      <c r="P227" s="887"/>
      <c r="Q227" s="63">
        <f>IF(F227="I",SUMIF('BG 062021'!A:A,Clasificaciones!C227,'BG 062021'!D:D),0)</f>
        <v>0</v>
      </c>
    </row>
    <row r="228" spans="1:18" s="888" customFormat="1" hidden="1">
      <c r="A228" s="885" t="s">
        <v>3</v>
      </c>
      <c r="B228" s="885"/>
      <c r="C228" s="889">
        <v>1120320106</v>
      </c>
      <c r="D228" s="889" t="s">
        <v>653</v>
      </c>
      <c r="E228" s="886" t="s">
        <v>186</v>
      </c>
      <c r="F228" s="886" t="s">
        <v>271</v>
      </c>
      <c r="G228" s="47">
        <f>IF(F228="I",IFERROR(VLOOKUP(C228,'BG 062022'!A:C,3,FALSE),0),0)</f>
        <v>0</v>
      </c>
      <c r="H228" s="885"/>
      <c r="I228" s="63">
        <f>IF(F228="I",IFERROR(VLOOKUP(C228,'BG 062022'!A:D,4,FALSE),0),0)</f>
        <v>0</v>
      </c>
      <c r="J228" s="887"/>
      <c r="K228" s="47">
        <f>IF(F228="I",SUMIF('BG 2021'!B:B,Clasificaciones!C228,'BG 2021'!D:D),0)</f>
        <v>0</v>
      </c>
      <c r="L228" s="887"/>
      <c r="M228" s="63">
        <f>IF(F228="I",SUMIF('BG 2021'!B:B,Clasificaciones!C228,'BG 2021'!E:E),0)</f>
        <v>0</v>
      </c>
      <c r="N228" s="887"/>
      <c r="O228" s="47">
        <f>IF(F228="I",SUMIF('BG 062021'!A:A,Clasificaciones!C228,'BG 062021'!C:C),0)</f>
        <v>0</v>
      </c>
      <c r="P228" s="887"/>
      <c r="Q228" s="63">
        <f>IF(F228="I",SUMIF('BG 062021'!A:A,Clasificaciones!C228,'BG 062021'!D:D),0)</f>
        <v>0</v>
      </c>
    </row>
    <row r="229" spans="1:18" s="888" customFormat="1" hidden="1">
      <c r="A229" s="885" t="s">
        <v>3</v>
      </c>
      <c r="B229" s="885" t="s">
        <v>483</v>
      </c>
      <c r="C229" s="889">
        <v>1120320107</v>
      </c>
      <c r="D229" s="889" t="s">
        <v>768</v>
      </c>
      <c r="E229" s="886" t="s">
        <v>6</v>
      </c>
      <c r="F229" s="886" t="s">
        <v>271</v>
      </c>
      <c r="G229" s="47">
        <f>IF(F229="I",IFERROR(VLOOKUP(C229,'BG 062022'!A:C,3,FALSE),0),0)</f>
        <v>0</v>
      </c>
      <c r="H229" s="885"/>
      <c r="I229" s="63">
        <f>IF(F229="I",IFERROR(VLOOKUP(C229,'BG 062022'!A:D,4,FALSE),0),0)</f>
        <v>0</v>
      </c>
      <c r="J229" s="887"/>
      <c r="K229" s="47">
        <f>IF(F229="I",SUMIF('BG 2021'!B:B,Clasificaciones!C229,'BG 2021'!D:D),0)</f>
        <v>0</v>
      </c>
      <c r="L229" s="887"/>
      <c r="M229" s="63">
        <f>IF(F229="I",SUMIF('BG 2021'!B:B,Clasificaciones!C229,'BG 2021'!E:E),0)</f>
        <v>0</v>
      </c>
      <c r="N229" s="887"/>
      <c r="O229" s="47">
        <f>IF(F229="I",SUMIF('BG 062021'!A:A,Clasificaciones!C229,'BG 062021'!C:C),0)</f>
        <v>0</v>
      </c>
      <c r="P229" s="887"/>
      <c r="Q229" s="63">
        <f>IF(F229="I",SUMIF('BG 062021'!A:A,Clasificaciones!C229,'BG 062021'!D:D),0)</f>
        <v>0</v>
      </c>
    </row>
    <row r="230" spans="1:18" s="888" customFormat="1" hidden="1">
      <c r="A230" s="885" t="s">
        <v>3</v>
      </c>
      <c r="B230" s="885" t="s">
        <v>483</v>
      </c>
      <c r="C230" s="889">
        <v>1120320108</v>
      </c>
      <c r="D230" s="889" t="s">
        <v>769</v>
      </c>
      <c r="E230" s="886" t="s">
        <v>186</v>
      </c>
      <c r="F230" s="886" t="s">
        <v>271</v>
      </c>
      <c r="G230" s="47">
        <f>IF(F230="I",IFERROR(VLOOKUP(C230,'BG 062022'!A:C,3,FALSE),0),0)</f>
        <v>320021925</v>
      </c>
      <c r="H230" s="885"/>
      <c r="I230" s="63">
        <f>IF(F230="I",IFERROR(VLOOKUP(C230,'BG 062022'!A:D,4,FALSE),0),0)</f>
        <v>46801.2</v>
      </c>
      <c r="J230" s="887"/>
      <c r="K230" s="47">
        <f>IF(F230="I",SUMIF('BG 2021'!B:B,Clasificaciones!C230,'BG 2021'!D:D),0)</f>
        <v>0</v>
      </c>
      <c r="L230" s="887"/>
      <c r="M230" s="63">
        <f>IF(F230="I",SUMIF('BG 2021'!B:B,Clasificaciones!C230,'BG 2021'!E:E),0)</f>
        <v>0</v>
      </c>
      <c r="N230" s="887"/>
      <c r="O230" s="47">
        <f>IF(F230="I",SUMIF('BG 062021'!A:A,Clasificaciones!C230,'BG 062021'!C:C),0)</f>
        <v>0</v>
      </c>
      <c r="P230" s="887"/>
      <c r="Q230" s="63">
        <f>IF(F230="I",SUMIF('BG 062021'!A:A,Clasificaciones!C230,'BG 062021'!D:D),0)</f>
        <v>0</v>
      </c>
      <c r="R230" s="888">
        <f>+VLOOKUP(C230,'CA EFE'!A:A,1,FALSE)</f>
        <v>1120320108</v>
      </c>
    </row>
    <row r="231" spans="1:18" s="888" customFormat="1" hidden="1">
      <c r="A231" s="885" t="s">
        <v>3</v>
      </c>
      <c r="B231" s="885"/>
      <c r="C231" s="889">
        <v>1120320109</v>
      </c>
      <c r="D231" s="889" t="s">
        <v>770</v>
      </c>
      <c r="E231" s="886" t="s">
        <v>6</v>
      </c>
      <c r="F231" s="886" t="s">
        <v>271</v>
      </c>
      <c r="G231" s="47">
        <f>IF(F231="I",IFERROR(VLOOKUP(C231,'BG 062022'!A:C,3,FALSE),0),0)</f>
        <v>0</v>
      </c>
      <c r="H231" s="885"/>
      <c r="I231" s="63">
        <f>IF(F231="I",IFERROR(VLOOKUP(C231,'BG 062022'!A:D,4,FALSE),0),0)</f>
        <v>0</v>
      </c>
      <c r="J231" s="887"/>
      <c r="K231" s="47">
        <f>IF(F231="I",SUMIF('BG 2021'!B:B,Clasificaciones!C231,'BG 2021'!D:D),0)</f>
        <v>0</v>
      </c>
      <c r="L231" s="887"/>
      <c r="M231" s="63">
        <f>IF(F231="I",SUMIF('BG 2021'!B:B,Clasificaciones!C231,'BG 2021'!E:E),0)</f>
        <v>0</v>
      </c>
      <c r="N231" s="887"/>
      <c r="O231" s="47">
        <f>IF(F231="I",SUMIF('BG 062021'!A:A,Clasificaciones!C231,'BG 062021'!C:C),0)</f>
        <v>0</v>
      </c>
      <c r="P231" s="887"/>
      <c r="Q231" s="63">
        <f>IF(F231="I",SUMIF('BG 062021'!A:A,Clasificaciones!C231,'BG 062021'!D:D),0)</f>
        <v>0</v>
      </c>
    </row>
    <row r="232" spans="1:18" s="888" customFormat="1" hidden="1">
      <c r="A232" s="885" t="s">
        <v>3</v>
      </c>
      <c r="B232" s="885"/>
      <c r="C232" s="889">
        <v>1120320110</v>
      </c>
      <c r="D232" s="889" t="s">
        <v>880</v>
      </c>
      <c r="E232" s="886" t="s">
        <v>186</v>
      </c>
      <c r="F232" s="886" t="s">
        <v>271</v>
      </c>
      <c r="G232" s="47">
        <f>IF(F232="I",IFERROR(VLOOKUP(C232,'BG 062022'!A:C,3,FALSE),0),0)</f>
        <v>0</v>
      </c>
      <c r="H232" s="885"/>
      <c r="I232" s="63">
        <f>IF(F232="I",IFERROR(VLOOKUP(C232,'BG 062022'!A:D,4,FALSE),0),0)</f>
        <v>0</v>
      </c>
      <c r="J232" s="887"/>
      <c r="K232" s="47">
        <f>IF(F232="I",SUMIF('BG 2021'!B:B,Clasificaciones!C232,'BG 2021'!D:D),0)</f>
        <v>0</v>
      </c>
      <c r="L232" s="887"/>
      <c r="M232" s="63">
        <f>IF(F232="I",SUMIF('BG 2021'!B:B,Clasificaciones!C232,'BG 2021'!E:E),0)</f>
        <v>0</v>
      </c>
      <c r="N232" s="887"/>
      <c r="O232" s="47">
        <f>IF(F232="I",SUMIF('BG 062021'!A:A,Clasificaciones!C232,'BG 062021'!C:C),0)</f>
        <v>0</v>
      </c>
      <c r="P232" s="887"/>
      <c r="Q232" s="63">
        <f>IF(F232="I",SUMIF('BG 062021'!A:A,Clasificaciones!C232,'BG 062021'!D:D),0)</f>
        <v>0</v>
      </c>
    </row>
    <row r="233" spans="1:18" s="888" customFormat="1" hidden="1">
      <c r="A233" s="885" t="s">
        <v>3</v>
      </c>
      <c r="B233" s="885"/>
      <c r="C233" s="889">
        <v>1120320111</v>
      </c>
      <c r="D233" s="889" t="s">
        <v>942</v>
      </c>
      <c r="E233" s="886" t="s">
        <v>6</v>
      </c>
      <c r="F233" s="886" t="s">
        <v>271</v>
      </c>
      <c r="G233" s="47">
        <f>IF(F233="I",IFERROR(VLOOKUP(C233,'BG 062022'!A:C,3,FALSE),0),0)</f>
        <v>0</v>
      </c>
      <c r="H233" s="885"/>
      <c r="I233" s="63">
        <f>IF(F233="I",IFERROR(VLOOKUP(C233,'BG 062022'!A:D,4,FALSE),0),0)</f>
        <v>0</v>
      </c>
      <c r="J233" s="887"/>
      <c r="K233" s="47">
        <f>IF(F233="I",SUMIF('BG 2021'!B:B,Clasificaciones!C233,'BG 2021'!D:D),0)</f>
        <v>0</v>
      </c>
      <c r="L233" s="887"/>
      <c r="M233" s="63">
        <f>IF(F233="I",SUMIF('BG 2021'!B:B,Clasificaciones!C233,'BG 2021'!E:E),0)</f>
        <v>0</v>
      </c>
      <c r="N233" s="887"/>
      <c r="O233" s="47">
        <f>IF(F233="I",SUMIF('BG 062021'!A:A,Clasificaciones!C233,'BG 062021'!C:C),0)</f>
        <v>0</v>
      </c>
      <c r="P233" s="887"/>
      <c r="Q233" s="63">
        <f>IF(F233="I",SUMIF('BG 062021'!A:A,Clasificaciones!C233,'BG 062021'!D:D),0)</f>
        <v>0</v>
      </c>
    </row>
    <row r="234" spans="1:18" s="888" customFormat="1" hidden="1">
      <c r="A234" s="885" t="s">
        <v>3</v>
      </c>
      <c r="B234" s="885"/>
      <c r="C234" s="889">
        <v>1120320112</v>
      </c>
      <c r="D234" s="889" t="s">
        <v>883</v>
      </c>
      <c r="E234" s="886" t="s">
        <v>186</v>
      </c>
      <c r="F234" s="886" t="s">
        <v>271</v>
      </c>
      <c r="G234" s="47">
        <f>IF(F234="I",IFERROR(VLOOKUP(C234,'BG 062022'!A:C,3,FALSE),0),0)</f>
        <v>0</v>
      </c>
      <c r="H234" s="885"/>
      <c r="I234" s="63">
        <f>IF(F234="I",IFERROR(VLOOKUP(C234,'BG 062022'!A:D,4,FALSE),0),0)</f>
        <v>0</v>
      </c>
      <c r="J234" s="887"/>
      <c r="K234" s="47">
        <f>IF(F234="I",SUMIF('BG 2021'!B:B,Clasificaciones!C234,'BG 2021'!D:D),0)</f>
        <v>0</v>
      </c>
      <c r="L234" s="887"/>
      <c r="M234" s="63">
        <f>IF(F234="I",SUMIF('BG 2021'!B:B,Clasificaciones!C234,'BG 2021'!E:E),0)</f>
        <v>0</v>
      </c>
      <c r="N234" s="887"/>
      <c r="O234" s="47">
        <f>IF(F234="I",SUMIF('BG 062021'!A:A,Clasificaciones!C234,'BG 062021'!C:C),0)</f>
        <v>0</v>
      </c>
      <c r="P234" s="887"/>
      <c r="Q234" s="63">
        <f>IF(F234="I",SUMIF('BG 062021'!A:A,Clasificaciones!C234,'BG 062021'!D:D),0)</f>
        <v>0</v>
      </c>
    </row>
    <row r="235" spans="1:18" s="888" customFormat="1" hidden="1">
      <c r="A235" s="885" t="s">
        <v>3</v>
      </c>
      <c r="B235" s="885"/>
      <c r="C235" s="889">
        <v>1120320113</v>
      </c>
      <c r="D235" s="889" t="s">
        <v>943</v>
      </c>
      <c r="E235" s="886" t="s">
        <v>6</v>
      </c>
      <c r="F235" s="886" t="s">
        <v>271</v>
      </c>
      <c r="G235" s="47">
        <f>IF(F235="I",IFERROR(VLOOKUP(C235,'BG 062022'!A:C,3,FALSE),0),0)</f>
        <v>0</v>
      </c>
      <c r="H235" s="885"/>
      <c r="I235" s="63">
        <f>IF(F235="I",IFERROR(VLOOKUP(C235,'BG 062022'!A:D,4,FALSE),0),0)</f>
        <v>0</v>
      </c>
      <c r="J235" s="887"/>
      <c r="K235" s="47">
        <f>IF(F235="I",SUMIF('BG 2021'!B:B,Clasificaciones!C235,'BG 2021'!D:D),0)</f>
        <v>0</v>
      </c>
      <c r="L235" s="887"/>
      <c r="M235" s="63">
        <f>IF(F235="I",SUMIF('BG 2021'!B:B,Clasificaciones!C235,'BG 2021'!E:E),0)</f>
        <v>0</v>
      </c>
      <c r="N235" s="887"/>
      <c r="O235" s="47">
        <f>IF(F235="I",SUMIF('BG 062021'!A:A,Clasificaciones!C235,'BG 062021'!C:C),0)</f>
        <v>0</v>
      </c>
      <c r="P235" s="887"/>
      <c r="Q235" s="63">
        <f>IF(F235="I",SUMIF('BG 062021'!A:A,Clasificaciones!C235,'BG 062021'!D:D),0)</f>
        <v>0</v>
      </c>
    </row>
    <row r="236" spans="1:18" s="888" customFormat="1" hidden="1">
      <c r="A236" s="885" t="s">
        <v>3</v>
      </c>
      <c r="B236" s="885" t="s">
        <v>483</v>
      </c>
      <c r="C236" s="889">
        <v>1120320114</v>
      </c>
      <c r="D236" s="889" t="s">
        <v>1399</v>
      </c>
      <c r="E236" s="886" t="s">
        <v>186</v>
      </c>
      <c r="F236" s="886" t="s">
        <v>271</v>
      </c>
      <c r="G236" s="47">
        <f>IF(F236="I",IFERROR(VLOOKUP(C236,'BG 062022'!A:C,3,FALSE),0),0)</f>
        <v>0</v>
      </c>
      <c r="H236" s="885"/>
      <c r="I236" s="63">
        <f>IF(F236="I",IFERROR(VLOOKUP(C236,'BG 062022'!A:D,4,FALSE),0),0)</f>
        <v>0</v>
      </c>
      <c r="J236" s="887"/>
      <c r="K236" s="47">
        <f>IF(F236="I",SUMIF('BG 2021'!B:B,Clasificaciones!C236,'BG 2021'!D:D),0)</f>
        <v>63246150</v>
      </c>
      <c r="L236" s="887"/>
      <c r="M236" s="63">
        <f>IF(F236="I",SUMIF('BG 2021'!B:B,Clasificaciones!C236,'BG 2021'!E:E),0)</f>
        <v>9205.0500000000011</v>
      </c>
      <c r="N236" s="887"/>
      <c r="O236" s="47">
        <f>IF(F236="I",SUMIF('BG 062021'!A:A,Clasificaciones!C236,'BG 062021'!C:C),0)</f>
        <v>0</v>
      </c>
      <c r="P236" s="887"/>
      <c r="Q236" s="63">
        <f>IF(F236="I",SUMIF('BG 062021'!A:A,Clasificaciones!C236,'BG 062021'!D:D),0)</f>
        <v>0</v>
      </c>
      <c r="R236" s="888">
        <f>+VLOOKUP(C236,'CA EFE'!A:A,1,FALSE)</f>
        <v>1120320114</v>
      </c>
    </row>
    <row r="237" spans="1:18" s="888" customFormat="1" hidden="1">
      <c r="A237" s="885" t="s">
        <v>3</v>
      </c>
      <c r="B237" s="885"/>
      <c r="C237" s="889">
        <v>1120320115</v>
      </c>
      <c r="D237" s="889" t="s">
        <v>765</v>
      </c>
      <c r="E237" s="886" t="s">
        <v>6</v>
      </c>
      <c r="F237" s="886" t="s">
        <v>271</v>
      </c>
      <c r="G237" s="47">
        <f>IF(F237="I",IFERROR(VLOOKUP(C237,'BG 062022'!A:C,3,FALSE),0),0)</f>
        <v>0</v>
      </c>
      <c r="H237" s="885"/>
      <c r="I237" s="63">
        <f>IF(F237="I",IFERROR(VLOOKUP(C237,'BG 062022'!A:D,4,FALSE),0),0)</f>
        <v>0</v>
      </c>
      <c r="J237" s="887"/>
      <c r="K237" s="47">
        <f>IF(F237="I",SUMIF('BG 2021'!B:B,Clasificaciones!C237,'BG 2021'!D:D),0)</f>
        <v>0</v>
      </c>
      <c r="L237" s="887"/>
      <c r="M237" s="63">
        <f>IF(F237="I",SUMIF('BG 2021'!B:B,Clasificaciones!C237,'BG 2021'!E:E),0)</f>
        <v>0</v>
      </c>
      <c r="N237" s="887"/>
      <c r="O237" s="47">
        <f>IF(F237="I",SUMIF('BG 062021'!A:A,Clasificaciones!C237,'BG 062021'!C:C),0)</f>
        <v>0</v>
      </c>
      <c r="P237" s="887"/>
      <c r="Q237" s="63">
        <f>IF(F237="I",SUMIF('BG 062021'!A:A,Clasificaciones!C237,'BG 062021'!D:D),0)</f>
        <v>0</v>
      </c>
    </row>
    <row r="238" spans="1:18" s="888" customFormat="1" hidden="1">
      <c r="A238" s="885" t="s">
        <v>3</v>
      </c>
      <c r="B238" s="885"/>
      <c r="C238" s="889">
        <v>1120320116</v>
      </c>
      <c r="D238" s="889" t="s">
        <v>766</v>
      </c>
      <c r="E238" s="886" t="s">
        <v>186</v>
      </c>
      <c r="F238" s="886" t="s">
        <v>271</v>
      </c>
      <c r="G238" s="47">
        <f>IF(F238="I",IFERROR(VLOOKUP(C238,'BG 062022'!A:C,3,FALSE),0),0)</f>
        <v>0</v>
      </c>
      <c r="H238" s="885"/>
      <c r="I238" s="63">
        <f>IF(F238="I",IFERROR(VLOOKUP(C238,'BG 062022'!A:D,4,FALSE),0),0)</f>
        <v>0</v>
      </c>
      <c r="J238" s="887"/>
      <c r="K238" s="47">
        <f>IF(F238="I",SUMIF('BG 2021'!B:B,Clasificaciones!C238,'BG 2021'!D:D),0)</f>
        <v>0</v>
      </c>
      <c r="L238" s="887"/>
      <c r="M238" s="63">
        <f>IF(F238="I",SUMIF('BG 2021'!B:B,Clasificaciones!C238,'BG 2021'!E:E),0)</f>
        <v>0</v>
      </c>
      <c r="N238" s="887"/>
      <c r="O238" s="47">
        <f>IF(F238="I",SUMIF('BG 062021'!A:A,Clasificaciones!C238,'BG 062021'!C:C),0)</f>
        <v>0</v>
      </c>
      <c r="P238" s="887"/>
      <c r="Q238" s="63">
        <f>IF(F238="I",SUMIF('BG 062021'!A:A,Clasificaciones!C238,'BG 062021'!D:D),0)</f>
        <v>0</v>
      </c>
    </row>
    <row r="239" spans="1:18" s="888" customFormat="1" hidden="1">
      <c r="A239" s="885" t="s">
        <v>3</v>
      </c>
      <c r="B239" s="885" t="s">
        <v>483</v>
      </c>
      <c r="C239" s="889">
        <v>1120320117</v>
      </c>
      <c r="D239" s="889" t="s">
        <v>773</v>
      </c>
      <c r="E239" s="886" t="s">
        <v>6</v>
      </c>
      <c r="F239" s="886" t="s">
        <v>271</v>
      </c>
      <c r="G239" s="957">
        <f>IF(F239="I",IFERROR(VLOOKUP(C239,'BG 062022'!A:C,3,FALSE),0),0)</f>
        <v>25000000</v>
      </c>
      <c r="H239" s="885"/>
      <c r="I239" s="63">
        <f>IF(F239="I",IFERROR(VLOOKUP(C239,'BG 062022'!A:D,4,FALSE),0),0)</f>
        <v>3656.09</v>
      </c>
      <c r="J239" s="887"/>
      <c r="K239" s="47">
        <f>IF(F239="I",SUMIF('BG 2021'!B:B,Clasificaciones!C239,'BG 2021'!D:D),0)</f>
        <v>0</v>
      </c>
      <c r="L239" s="887"/>
      <c r="M239" s="63">
        <f>IF(F239="I",SUMIF('BG 2021'!B:B,Clasificaciones!C239,'BG 2021'!E:E),0)</f>
        <v>0</v>
      </c>
      <c r="N239" s="887"/>
      <c r="O239" s="47">
        <f>IF(F239="I",SUMIF('BG 062021'!A:A,Clasificaciones!C239,'BG 062021'!C:C),0)</f>
        <v>0</v>
      </c>
      <c r="P239" s="887"/>
      <c r="Q239" s="63">
        <f>IF(F239="I",SUMIF('BG 062021'!A:A,Clasificaciones!C239,'BG 062021'!D:D),0)</f>
        <v>0</v>
      </c>
    </row>
    <row r="240" spans="1:18" s="888" customFormat="1" hidden="1">
      <c r="A240" s="885" t="s">
        <v>3</v>
      </c>
      <c r="B240" s="885"/>
      <c r="C240" s="889">
        <v>1120320118</v>
      </c>
      <c r="D240" s="889" t="s">
        <v>774</v>
      </c>
      <c r="E240" s="886" t="s">
        <v>186</v>
      </c>
      <c r="F240" s="886" t="s">
        <v>271</v>
      </c>
      <c r="G240" s="47">
        <f>IF(F240="I",IFERROR(VLOOKUP(C240,'BG 062022'!A:C,3,FALSE),0),0)</f>
        <v>0</v>
      </c>
      <c r="H240" s="885"/>
      <c r="I240" s="63">
        <f>IF(F240="I",IFERROR(VLOOKUP(C240,'BG 062022'!A:D,4,FALSE),0),0)</f>
        <v>0</v>
      </c>
      <c r="J240" s="887"/>
      <c r="K240" s="47">
        <f>IF(F240="I",SUMIF('BG 2021'!B:B,Clasificaciones!C240,'BG 2021'!D:D),0)</f>
        <v>0</v>
      </c>
      <c r="L240" s="887"/>
      <c r="M240" s="63">
        <f>IF(F240="I",SUMIF('BG 2021'!B:B,Clasificaciones!C240,'BG 2021'!E:E),0)</f>
        <v>0</v>
      </c>
      <c r="N240" s="887"/>
      <c r="O240" s="47">
        <f>IF(F240="I",SUMIF('BG 062021'!A:A,Clasificaciones!C240,'BG 062021'!C:C),0)</f>
        <v>0</v>
      </c>
      <c r="P240" s="887"/>
      <c r="Q240" s="63">
        <f>IF(F240="I",SUMIF('BG 062021'!A:A,Clasificaciones!C240,'BG 062021'!D:D),0)</f>
        <v>0</v>
      </c>
    </row>
    <row r="241" spans="1:18" s="888" customFormat="1" hidden="1">
      <c r="A241" s="885" t="s">
        <v>3</v>
      </c>
      <c r="B241" s="885"/>
      <c r="C241" s="889">
        <v>1120320119</v>
      </c>
      <c r="D241" s="889" t="s">
        <v>768</v>
      </c>
      <c r="E241" s="886" t="s">
        <v>6</v>
      </c>
      <c r="F241" s="886" t="s">
        <v>271</v>
      </c>
      <c r="G241" s="47">
        <f>IF(F241="I",IFERROR(VLOOKUP(C241,'BG 062022'!A:C,3,FALSE),0),0)</f>
        <v>0</v>
      </c>
      <c r="H241" s="885"/>
      <c r="I241" s="63">
        <f>IF(F241="I",IFERROR(VLOOKUP(C241,'BG 062022'!A:D,4,FALSE),0),0)</f>
        <v>0</v>
      </c>
      <c r="J241" s="887"/>
      <c r="K241" s="47">
        <f>IF(F241="I",SUMIF('BG 2021'!B:B,Clasificaciones!C241,'BG 2021'!D:D),0)</f>
        <v>0</v>
      </c>
      <c r="L241" s="887"/>
      <c r="M241" s="63">
        <f>IF(F241="I",SUMIF('BG 2021'!B:B,Clasificaciones!C241,'BG 2021'!E:E),0)</f>
        <v>0</v>
      </c>
      <c r="N241" s="887"/>
      <c r="O241" s="47">
        <f>IF(F241="I",SUMIF('BG 062021'!A:A,Clasificaciones!C241,'BG 062021'!C:C),0)</f>
        <v>0</v>
      </c>
      <c r="P241" s="887"/>
      <c r="Q241" s="63">
        <f>IF(F241="I",SUMIF('BG 062021'!A:A,Clasificaciones!C241,'BG 062021'!D:D),0)</f>
        <v>0</v>
      </c>
    </row>
    <row r="242" spans="1:18" s="888" customFormat="1" hidden="1">
      <c r="A242" s="885" t="s">
        <v>3</v>
      </c>
      <c r="B242" s="885"/>
      <c r="C242" s="889">
        <v>1120320120</v>
      </c>
      <c r="D242" s="889" t="s">
        <v>769</v>
      </c>
      <c r="E242" s="886" t="s">
        <v>186</v>
      </c>
      <c r="F242" s="886" t="s">
        <v>271</v>
      </c>
      <c r="G242" s="47">
        <f>IF(F242="I",IFERROR(VLOOKUP(C242,'BG 062022'!A:C,3,FALSE),0),0)</f>
        <v>0</v>
      </c>
      <c r="H242" s="885"/>
      <c r="I242" s="63">
        <f>IF(F242="I",IFERROR(VLOOKUP(C242,'BG 062022'!A:D,4,FALSE),0),0)</f>
        <v>0</v>
      </c>
      <c r="J242" s="887"/>
      <c r="K242" s="47">
        <f>IF(F242="I",SUMIF('BG 2021'!B:B,Clasificaciones!C242,'BG 2021'!D:D),0)</f>
        <v>0</v>
      </c>
      <c r="L242" s="887"/>
      <c r="M242" s="63">
        <f>IF(F242="I",SUMIF('BG 2021'!B:B,Clasificaciones!C242,'BG 2021'!E:E),0)</f>
        <v>0</v>
      </c>
      <c r="N242" s="887"/>
      <c r="O242" s="47">
        <f>IF(F242="I",SUMIF('BG 062021'!A:A,Clasificaciones!C242,'BG 062021'!C:C),0)</f>
        <v>0</v>
      </c>
      <c r="P242" s="887"/>
      <c r="Q242" s="63">
        <f>IF(F242="I",SUMIF('BG 062021'!A:A,Clasificaciones!C242,'BG 062021'!D:D),0)</f>
        <v>0</v>
      </c>
    </row>
    <row r="243" spans="1:18" s="888" customFormat="1" hidden="1">
      <c r="A243" s="885" t="s">
        <v>3</v>
      </c>
      <c r="B243" s="885"/>
      <c r="C243" s="889">
        <v>1120320121</v>
      </c>
      <c r="D243" s="889" t="s">
        <v>782</v>
      </c>
      <c r="E243" s="886" t="s">
        <v>6</v>
      </c>
      <c r="F243" s="886" t="s">
        <v>271</v>
      </c>
      <c r="G243" s="47">
        <f>IF(F243="I",IFERROR(VLOOKUP(C243,'BG 062022'!A:C,3,FALSE),0),0)</f>
        <v>0</v>
      </c>
      <c r="H243" s="885"/>
      <c r="I243" s="63">
        <f>IF(F243="I",IFERROR(VLOOKUP(C243,'BG 062022'!A:D,4,FALSE),0),0)</f>
        <v>0</v>
      </c>
      <c r="J243" s="887"/>
      <c r="K243" s="47">
        <f>IF(F243="I",SUMIF('BG 2021'!B:B,Clasificaciones!C243,'BG 2021'!D:D),0)</f>
        <v>0</v>
      </c>
      <c r="L243" s="887"/>
      <c r="M243" s="63">
        <f>IF(F243="I",SUMIF('BG 2021'!B:B,Clasificaciones!C243,'BG 2021'!E:E),0)</f>
        <v>0</v>
      </c>
      <c r="N243" s="887"/>
      <c r="O243" s="47">
        <f>IF(F243="I",SUMIF('BG 062021'!A:A,Clasificaciones!C243,'BG 062021'!C:C),0)</f>
        <v>0</v>
      </c>
      <c r="P243" s="887"/>
      <c r="Q243" s="63">
        <f>IF(F243="I",SUMIF('BG 062021'!A:A,Clasificaciones!C243,'BG 062021'!D:D),0)</f>
        <v>0</v>
      </c>
    </row>
    <row r="244" spans="1:18" s="888" customFormat="1" hidden="1">
      <c r="A244" s="885" t="s">
        <v>3</v>
      </c>
      <c r="B244" s="885"/>
      <c r="C244" s="889">
        <v>1120320122</v>
      </c>
      <c r="D244" s="889" t="s">
        <v>944</v>
      </c>
      <c r="E244" s="886" t="s">
        <v>186</v>
      </c>
      <c r="F244" s="886" t="s">
        <v>271</v>
      </c>
      <c r="G244" s="47">
        <f>IF(F244="I",IFERROR(VLOOKUP(C244,'BG 062022'!A:C,3,FALSE),0),0)</f>
        <v>0</v>
      </c>
      <c r="H244" s="885"/>
      <c r="I244" s="63">
        <f>IF(F244="I",IFERROR(VLOOKUP(C244,'BG 062022'!A:D,4,FALSE),0),0)</f>
        <v>0</v>
      </c>
      <c r="J244" s="887"/>
      <c r="K244" s="47">
        <f>IF(F244="I",SUMIF('BG 2021'!B:B,Clasificaciones!C244,'BG 2021'!D:D),0)</f>
        <v>0</v>
      </c>
      <c r="L244" s="887"/>
      <c r="M244" s="63">
        <f>IF(F244="I",SUMIF('BG 2021'!B:B,Clasificaciones!C244,'BG 2021'!E:E),0)</f>
        <v>0</v>
      </c>
      <c r="N244" s="887"/>
      <c r="O244" s="47">
        <f>IF(F244="I",SUMIF('BG 062021'!A:A,Clasificaciones!C244,'BG 062021'!C:C),0)</f>
        <v>0</v>
      </c>
      <c r="P244" s="887"/>
      <c r="Q244" s="63">
        <f>IF(F244="I",SUMIF('BG 062021'!A:A,Clasificaciones!C244,'BG 062021'!D:D),0)</f>
        <v>0</v>
      </c>
    </row>
    <row r="245" spans="1:18" s="888" customFormat="1" hidden="1">
      <c r="A245" s="885" t="s">
        <v>3</v>
      </c>
      <c r="B245" s="885"/>
      <c r="C245" s="889">
        <v>1120320123</v>
      </c>
      <c r="D245" s="889" t="s">
        <v>942</v>
      </c>
      <c r="E245" s="886" t="s">
        <v>6</v>
      </c>
      <c r="F245" s="886" t="s">
        <v>271</v>
      </c>
      <c r="G245" s="47">
        <f>IF(F245="I",IFERROR(VLOOKUP(C245,'BG 062022'!A:C,3,FALSE),0),0)</f>
        <v>0</v>
      </c>
      <c r="H245" s="885"/>
      <c r="I245" s="63">
        <f>IF(F245="I",IFERROR(VLOOKUP(C245,'BG 062022'!A:D,4,FALSE),0),0)</f>
        <v>0</v>
      </c>
      <c r="J245" s="887"/>
      <c r="K245" s="47">
        <f>IF(F245="I",SUMIF('BG 2021'!B:B,Clasificaciones!C245,'BG 2021'!D:D),0)</f>
        <v>0</v>
      </c>
      <c r="L245" s="887"/>
      <c r="M245" s="63">
        <f>IF(F245="I",SUMIF('BG 2021'!B:B,Clasificaciones!C245,'BG 2021'!E:E),0)</f>
        <v>0</v>
      </c>
      <c r="N245" s="887"/>
      <c r="O245" s="47">
        <f>IF(F245="I",SUMIF('BG 062021'!A:A,Clasificaciones!C245,'BG 062021'!C:C),0)</f>
        <v>0</v>
      </c>
      <c r="P245" s="887"/>
      <c r="Q245" s="63">
        <f>IF(F245="I",SUMIF('BG 062021'!A:A,Clasificaciones!C245,'BG 062021'!D:D),0)</f>
        <v>0</v>
      </c>
    </row>
    <row r="246" spans="1:18" s="888" customFormat="1" hidden="1">
      <c r="A246" s="885" t="s">
        <v>3</v>
      </c>
      <c r="B246" s="885"/>
      <c r="C246" s="889">
        <v>1120320124</v>
      </c>
      <c r="D246" s="889" t="s">
        <v>883</v>
      </c>
      <c r="E246" s="886" t="s">
        <v>186</v>
      </c>
      <c r="F246" s="886" t="s">
        <v>271</v>
      </c>
      <c r="G246" s="47">
        <f>IF(F246="I",IFERROR(VLOOKUP(C246,'BG 062022'!A:C,3,FALSE),0),0)</f>
        <v>0</v>
      </c>
      <c r="H246" s="885"/>
      <c r="I246" s="63">
        <f>IF(F246="I",IFERROR(VLOOKUP(C246,'BG 062022'!A:D,4,FALSE),0),0)</f>
        <v>0</v>
      </c>
      <c r="J246" s="887"/>
      <c r="K246" s="47">
        <f>IF(F246="I",SUMIF('BG 2021'!B:B,Clasificaciones!C246,'BG 2021'!D:D),0)</f>
        <v>0</v>
      </c>
      <c r="L246" s="887"/>
      <c r="M246" s="63">
        <f>IF(F246="I",SUMIF('BG 2021'!B:B,Clasificaciones!C246,'BG 2021'!E:E),0)</f>
        <v>0</v>
      </c>
      <c r="N246" s="887"/>
      <c r="O246" s="47">
        <f>IF(F246="I",SUMIF('BG 062021'!A:A,Clasificaciones!C246,'BG 062021'!C:C),0)</f>
        <v>0</v>
      </c>
      <c r="P246" s="887"/>
      <c r="Q246" s="63">
        <f>IF(F246="I",SUMIF('BG 062021'!A:A,Clasificaciones!C246,'BG 062021'!D:D),0)</f>
        <v>0</v>
      </c>
    </row>
    <row r="247" spans="1:18" s="888" customFormat="1" hidden="1">
      <c r="A247" s="885" t="s">
        <v>3</v>
      </c>
      <c r="B247" s="885"/>
      <c r="C247" s="889">
        <v>11203202</v>
      </c>
      <c r="D247" s="889" t="s">
        <v>945</v>
      </c>
      <c r="E247" s="886" t="s">
        <v>6</v>
      </c>
      <c r="F247" s="886" t="s">
        <v>270</v>
      </c>
      <c r="G247" s="47">
        <f>IF(F247="I",IFERROR(VLOOKUP(C247,'BG 062022'!A:C,3,FALSE),0),0)</f>
        <v>0</v>
      </c>
      <c r="H247" s="885"/>
      <c r="I247" s="63">
        <f>IF(F247="I",IFERROR(VLOOKUP(C247,'BG 062022'!A:D,4,FALSE),0),0)</f>
        <v>0</v>
      </c>
      <c r="J247" s="887"/>
      <c r="K247" s="47">
        <f>IF(F247="I",SUMIF('BG 2021'!B:B,Clasificaciones!C247,'BG 2021'!D:D),0)</f>
        <v>0</v>
      </c>
      <c r="L247" s="887"/>
      <c r="M247" s="63">
        <f>IF(F247="I",SUMIF('BG 2021'!B:B,Clasificaciones!C247,'BG 2021'!E:E),0)</f>
        <v>0</v>
      </c>
      <c r="N247" s="887"/>
      <c r="O247" s="47">
        <f>IF(F247="I",SUMIF('BG 062021'!A:A,Clasificaciones!C247,'BG 062021'!C:C),0)</f>
        <v>0</v>
      </c>
      <c r="P247" s="887"/>
      <c r="Q247" s="63">
        <f>IF(F247="I",SUMIF('BG 062021'!A:A,Clasificaciones!C247,'BG 062021'!D:D),0)</f>
        <v>0</v>
      </c>
    </row>
    <row r="248" spans="1:18" s="888" customFormat="1" hidden="1">
      <c r="A248" s="885" t="s">
        <v>3</v>
      </c>
      <c r="B248" s="885" t="s">
        <v>483</v>
      </c>
      <c r="C248" s="889">
        <v>1120320201</v>
      </c>
      <c r="D248" s="889" t="s">
        <v>945</v>
      </c>
      <c r="E248" s="886" t="s">
        <v>6</v>
      </c>
      <c r="F248" s="886" t="s">
        <v>271</v>
      </c>
      <c r="G248" s="47">
        <f>IF(F248="I",IFERROR(VLOOKUP(C248,'BG 062022'!A:C,3,FALSE),0),0)</f>
        <v>2375000</v>
      </c>
      <c r="H248" s="885"/>
      <c r="I248" s="63">
        <f>IF(F248="I",IFERROR(VLOOKUP(C248,'BG 062022'!A:D,4,FALSE),0),0)</f>
        <v>347.33</v>
      </c>
      <c r="J248" s="887"/>
      <c r="K248" s="47">
        <f>IF(F248="I",SUMIF('BG 2021'!B:B,Clasificaciones!C248,'BG 2021'!D:D),0)</f>
        <v>0</v>
      </c>
      <c r="L248" s="887"/>
      <c r="M248" s="63">
        <f>IF(F248="I",SUMIF('BG 2021'!B:B,Clasificaciones!C248,'BG 2021'!E:E),0)</f>
        <v>0</v>
      </c>
      <c r="N248" s="887"/>
      <c r="O248" s="47">
        <f>IF(F248="I",SUMIF('BG 062021'!A:A,Clasificaciones!C248,'BG 062021'!C:C),0)</f>
        <v>0</v>
      </c>
      <c r="P248" s="887"/>
      <c r="Q248" s="63">
        <f>IF(F248="I",SUMIF('BG 062021'!A:A,Clasificaciones!C248,'BG 062021'!D:D),0)</f>
        <v>0</v>
      </c>
    </row>
    <row r="249" spans="1:18" s="888" customFormat="1" hidden="1">
      <c r="A249" s="885" t="s">
        <v>3</v>
      </c>
      <c r="B249" s="885" t="s">
        <v>483</v>
      </c>
      <c r="C249" s="889">
        <v>1120320202</v>
      </c>
      <c r="D249" s="889" t="s">
        <v>945</v>
      </c>
      <c r="E249" s="886" t="s">
        <v>186</v>
      </c>
      <c r="F249" s="886" t="s">
        <v>271</v>
      </c>
      <c r="G249" s="47">
        <f>IF(F249="I",IFERROR(VLOOKUP(C249,'BG 062022'!A:C,3,FALSE),0),0)</f>
        <v>4879184</v>
      </c>
      <c r="H249" s="885"/>
      <c r="I249" s="63">
        <f>IF(F249="I",IFERROR(VLOOKUP(C249,'BG 062022'!A:D,4,FALSE),0),0)</f>
        <v>713.55</v>
      </c>
      <c r="J249" s="887"/>
      <c r="K249" s="47">
        <f>IF(F249="I",SUMIF('BG 2021'!B:B,Clasificaciones!C249,'BG 2021'!D:D),0)</f>
        <v>713671</v>
      </c>
      <c r="L249" s="887"/>
      <c r="M249" s="63">
        <f>IF(F249="I",SUMIF('BG 2021'!B:B,Clasificaciones!C249,'BG 2021'!E:E),0)</f>
        <v>103.87</v>
      </c>
      <c r="N249" s="887"/>
      <c r="O249" s="47">
        <f>IF(F249="I",SUMIF('BG 062021'!A:A,Clasificaciones!C249,'BG 062021'!C:C),0)</f>
        <v>0</v>
      </c>
      <c r="P249" s="887"/>
      <c r="Q249" s="63">
        <f>IF(F249="I",SUMIF('BG 062021'!A:A,Clasificaciones!C249,'BG 062021'!D:D),0)</f>
        <v>0</v>
      </c>
      <c r="R249" s="888">
        <f>+VLOOKUP(C249,'CA EFE'!A:A,1,FALSE)</f>
        <v>1120320202</v>
      </c>
    </row>
    <row r="250" spans="1:18" s="888" customFormat="1" hidden="1">
      <c r="A250" s="885" t="s">
        <v>3</v>
      </c>
      <c r="B250" s="885"/>
      <c r="C250" s="889">
        <v>11203203</v>
      </c>
      <c r="D250" s="889" t="s">
        <v>946</v>
      </c>
      <c r="E250" s="886" t="s">
        <v>6</v>
      </c>
      <c r="F250" s="886" t="s">
        <v>270</v>
      </c>
      <c r="G250" s="47">
        <f>IF(F250="I",IFERROR(VLOOKUP(C250,'BG 062022'!A:C,3,FALSE),0),0)</f>
        <v>0</v>
      </c>
      <c r="H250" s="885"/>
      <c r="I250" s="63">
        <f>IF(F250="I",IFERROR(VLOOKUP(C250,'BG 062022'!A:D,4,FALSE),0),0)</f>
        <v>0</v>
      </c>
      <c r="J250" s="887"/>
      <c r="K250" s="47">
        <f>IF(F250="I",SUMIF('BG 2021'!B:B,Clasificaciones!C250,'BG 2021'!D:D),0)</f>
        <v>0</v>
      </c>
      <c r="L250" s="887"/>
      <c r="M250" s="63">
        <f>IF(F250="I",SUMIF('BG 2021'!B:B,Clasificaciones!C250,'BG 2021'!E:E),0)</f>
        <v>0</v>
      </c>
      <c r="N250" s="887"/>
      <c r="O250" s="47">
        <f>IF(F250="I",SUMIF('BG 062021'!A:A,Clasificaciones!C250,'BG 062021'!C:C),0)</f>
        <v>0</v>
      </c>
      <c r="P250" s="887"/>
      <c r="Q250" s="63">
        <f>IF(F250="I",SUMIF('BG 062021'!A:A,Clasificaciones!C250,'BG 062021'!D:D),0)</f>
        <v>0</v>
      </c>
    </row>
    <row r="251" spans="1:18" s="888" customFormat="1" hidden="1">
      <c r="A251" s="885" t="s">
        <v>3</v>
      </c>
      <c r="B251" s="885" t="s">
        <v>483</v>
      </c>
      <c r="C251" s="889">
        <v>1120320301</v>
      </c>
      <c r="D251" s="889" t="s">
        <v>946</v>
      </c>
      <c r="E251" s="886" t="s">
        <v>6</v>
      </c>
      <c r="F251" s="886" t="s">
        <v>271</v>
      </c>
      <c r="G251" s="47">
        <f>IF(F251="I",IFERROR(VLOOKUP(C251,'BG 062022'!A:C,3,FALSE),0),0)</f>
        <v>-2355479</v>
      </c>
      <c r="H251" s="885"/>
      <c r="I251" s="63">
        <f>IF(F251="I",IFERROR(VLOOKUP(C251,'BG 062022'!A:D,4,FALSE),0),0)</f>
        <v>-344.47</v>
      </c>
      <c r="J251" s="887"/>
      <c r="K251" s="47">
        <f>IF(F251="I",SUMIF('BG 2021'!B:B,Clasificaciones!C251,'BG 2021'!D:D),0)</f>
        <v>0</v>
      </c>
      <c r="L251" s="887"/>
      <c r="M251" s="63">
        <f>IF(F251="I",SUMIF('BG 2021'!B:B,Clasificaciones!C251,'BG 2021'!E:E),0)</f>
        <v>0</v>
      </c>
      <c r="N251" s="887"/>
      <c r="O251" s="47">
        <f>IF(F251="I",SUMIF('BG 062021'!A:A,Clasificaciones!C251,'BG 062021'!C:C),0)</f>
        <v>0</v>
      </c>
      <c r="P251" s="887"/>
      <c r="Q251" s="63">
        <f>IF(F251="I",SUMIF('BG 062021'!A:A,Clasificaciones!C251,'BG 062021'!D:D),0)</f>
        <v>0</v>
      </c>
    </row>
    <row r="252" spans="1:18" s="888" customFormat="1" hidden="1">
      <c r="A252" s="885" t="s">
        <v>3</v>
      </c>
      <c r="B252" s="885" t="s">
        <v>483</v>
      </c>
      <c r="C252" s="889">
        <v>1120320302</v>
      </c>
      <c r="D252" s="889" t="s">
        <v>946</v>
      </c>
      <c r="E252" s="886" t="s">
        <v>186</v>
      </c>
      <c r="F252" s="886" t="s">
        <v>271</v>
      </c>
      <c r="G252" s="47">
        <f>IF(F252="I",IFERROR(VLOOKUP(C252,'BG 062022'!A:C,3,FALSE),0),0)</f>
        <v>-2744460</v>
      </c>
      <c r="H252" s="885"/>
      <c r="I252" s="63">
        <f>IF(F252="I",IFERROR(VLOOKUP(C252,'BG 062022'!A:D,4,FALSE),0),0)</f>
        <v>-401.36</v>
      </c>
      <c r="J252" s="887"/>
      <c r="K252" s="47">
        <f>IF(F252="I",SUMIF('BG 2021'!B:B,Clasificaciones!C252,'BG 2021'!D:D),0)</f>
        <v>-539152</v>
      </c>
      <c r="L252" s="887"/>
      <c r="M252" s="63">
        <f>IF(F252="I",SUMIF('BG 2021'!B:B,Clasificaciones!C252,'BG 2021'!E:E),0)</f>
        <v>-78.47</v>
      </c>
      <c r="N252" s="887"/>
      <c r="O252" s="47">
        <f>IF(F252="I",SUMIF('BG 062021'!A:A,Clasificaciones!C252,'BG 062021'!C:C),0)</f>
        <v>0</v>
      </c>
      <c r="P252" s="887"/>
      <c r="Q252" s="63">
        <f>IF(F252="I",SUMIF('BG 062021'!A:A,Clasificaciones!C252,'BG 062021'!D:D),0)</f>
        <v>0</v>
      </c>
      <c r="R252" s="888">
        <f>+VLOOKUP(C252,'CA EFE'!A:A,1,FALSE)</f>
        <v>1120320302</v>
      </c>
    </row>
    <row r="253" spans="1:18" s="888" customFormat="1" hidden="1">
      <c r="A253" s="885" t="s">
        <v>3</v>
      </c>
      <c r="B253" s="885"/>
      <c r="C253" s="889">
        <v>113</v>
      </c>
      <c r="D253" s="889" t="s">
        <v>684</v>
      </c>
      <c r="E253" s="886" t="s">
        <v>6</v>
      </c>
      <c r="F253" s="886" t="s">
        <v>270</v>
      </c>
      <c r="G253" s="47">
        <f>IF(F253="I",IFERROR(VLOOKUP(C253,'BG 062022'!A:C,3,FALSE),0),0)</f>
        <v>0</v>
      </c>
      <c r="H253" s="885"/>
      <c r="I253" s="63">
        <f>IF(F253="I",IFERROR(VLOOKUP(C253,'BG 062022'!A:D,4,FALSE),0),0)</f>
        <v>0</v>
      </c>
      <c r="J253" s="887"/>
      <c r="K253" s="47">
        <f>IF(F253="I",SUMIF('BG 2021'!B:B,Clasificaciones!C253,'BG 2021'!D:D),0)</f>
        <v>0</v>
      </c>
      <c r="L253" s="887"/>
      <c r="M253" s="63">
        <f>IF(F253="I",SUMIF('BG 2021'!B:B,Clasificaciones!C253,'BG 2021'!E:E),0)</f>
        <v>0</v>
      </c>
      <c r="N253" s="887"/>
      <c r="O253" s="47">
        <f>IF(F253="I",SUMIF('BG 062021'!A:A,Clasificaciones!C253,'BG 062021'!C:C),0)</f>
        <v>0</v>
      </c>
      <c r="P253" s="887"/>
      <c r="Q253" s="63">
        <f>IF(F253="I",SUMIF('BG 062021'!A:A,Clasificaciones!C253,'BG 062021'!D:D),0)</f>
        <v>0</v>
      </c>
    </row>
    <row r="254" spans="1:18" s="888" customFormat="1" hidden="1">
      <c r="A254" s="885" t="s">
        <v>3</v>
      </c>
      <c r="B254" s="885"/>
      <c r="C254" s="889">
        <v>11301</v>
      </c>
      <c r="D254" s="889" t="s">
        <v>335</v>
      </c>
      <c r="E254" s="886" t="s">
        <v>6</v>
      </c>
      <c r="F254" s="886" t="s">
        <v>270</v>
      </c>
      <c r="G254" s="47">
        <f>IF(F254="I",IFERROR(VLOOKUP(C254,'BG 062022'!A:C,3,FALSE),0),0)</f>
        <v>0</v>
      </c>
      <c r="H254" s="885"/>
      <c r="I254" s="63">
        <f>IF(F254="I",IFERROR(VLOOKUP(C254,'BG 062022'!A:D,4,FALSE),0),0)</f>
        <v>0</v>
      </c>
      <c r="J254" s="887"/>
      <c r="K254" s="47">
        <f>IF(F254="I",SUMIF('BG 2021'!B:B,Clasificaciones!C254,'BG 2021'!D:D),0)</f>
        <v>0</v>
      </c>
      <c r="L254" s="887"/>
      <c r="M254" s="63">
        <f>IF(F254="I",SUMIF('BG 2021'!B:B,Clasificaciones!C254,'BG 2021'!E:E),0)</f>
        <v>0</v>
      </c>
      <c r="N254" s="887"/>
      <c r="O254" s="47">
        <f>IF(F254="I",SUMIF('BG 062021'!A:A,Clasificaciones!C254,'BG 062021'!C:C),0)</f>
        <v>0</v>
      </c>
      <c r="P254" s="887"/>
      <c r="Q254" s="63">
        <f>IF(F254="I",SUMIF('BG 062021'!A:A,Clasificaciones!C254,'BG 062021'!D:D),0)</f>
        <v>0</v>
      </c>
    </row>
    <row r="255" spans="1:18" s="888" customFormat="1" hidden="1">
      <c r="A255" s="885" t="s">
        <v>3</v>
      </c>
      <c r="B255" s="885"/>
      <c r="C255" s="889">
        <v>1130101</v>
      </c>
      <c r="D255" s="889" t="s">
        <v>685</v>
      </c>
      <c r="E255" s="886" t="s">
        <v>6</v>
      </c>
      <c r="F255" s="886" t="s">
        <v>270</v>
      </c>
      <c r="G255" s="47">
        <f>IF(F255="I",IFERROR(VLOOKUP(C255,'BG 062022'!A:C,3,FALSE),0),0)</f>
        <v>0</v>
      </c>
      <c r="H255" s="885"/>
      <c r="I255" s="63">
        <f>IF(F255="I",IFERROR(VLOOKUP(C255,'BG 062022'!A:D,4,FALSE),0),0)</f>
        <v>0</v>
      </c>
      <c r="J255" s="887"/>
      <c r="K255" s="47">
        <f>IF(F255="I",SUMIF('BG 2021'!B:B,Clasificaciones!C255,'BG 2021'!D:D),0)</f>
        <v>0</v>
      </c>
      <c r="L255" s="887"/>
      <c r="M255" s="63">
        <f>IF(F255="I",SUMIF('BG 2021'!B:B,Clasificaciones!C255,'BG 2021'!E:E),0)</f>
        <v>0</v>
      </c>
      <c r="N255" s="887"/>
      <c r="O255" s="47">
        <f>IF(F255="I",SUMIF('BG 062021'!A:A,Clasificaciones!C255,'BG 062021'!C:C),0)</f>
        <v>0</v>
      </c>
      <c r="P255" s="887"/>
      <c r="Q255" s="63">
        <f>IF(F255="I",SUMIF('BG 062021'!A:A,Clasificaciones!C255,'BG 062021'!D:D),0)</f>
        <v>0</v>
      </c>
    </row>
    <row r="256" spans="1:18" s="888" customFormat="1" hidden="1">
      <c r="A256" s="885" t="s">
        <v>3</v>
      </c>
      <c r="B256" s="885" t="s">
        <v>17</v>
      </c>
      <c r="C256" s="889">
        <v>113010101</v>
      </c>
      <c r="D256" s="889" t="s">
        <v>686</v>
      </c>
      <c r="E256" s="886" t="s">
        <v>6</v>
      </c>
      <c r="F256" s="886" t="s">
        <v>271</v>
      </c>
      <c r="G256" s="47">
        <f>IF(F256="I",IFERROR(VLOOKUP(C256,'BG 062022'!A:C,3,FALSE),0),0)</f>
        <v>7317954</v>
      </c>
      <c r="H256" s="885"/>
      <c r="I256" s="63">
        <f>IF(F256="I",IFERROR(VLOOKUP(C256,'BG 062022'!A:D,4,FALSE),0),0)</f>
        <v>1070.2</v>
      </c>
      <c r="J256" s="887"/>
      <c r="K256" s="47">
        <f>IF(F256="I",SUMIF('BG 2021'!B:B,Clasificaciones!C256,'BG 2021'!D:D),0)</f>
        <v>61105608</v>
      </c>
      <c r="L256" s="887"/>
      <c r="M256" s="63">
        <f>IF(F256="I",SUMIF('BG 2021'!B:B,Clasificaciones!C256,'BG 2021'!E:E),0)</f>
        <v>8892.5599999999977</v>
      </c>
      <c r="N256" s="887"/>
      <c r="O256" s="47">
        <f>IF(F256="I",SUMIF('BG 062021'!A:A,Clasificaciones!C256,'BG 062021'!C:C),0)</f>
        <v>2388072</v>
      </c>
      <c r="P256" s="887"/>
      <c r="Q256" s="63">
        <f>IF(F256="I",SUMIF('BG 062021'!A:A,Clasificaciones!C256,'BG 062021'!D:D),0)</f>
        <v>354.63</v>
      </c>
      <c r="R256" s="888">
        <f>+VLOOKUP(C256,'CA EFE'!A:A,1,FALSE)</f>
        <v>113010101</v>
      </c>
    </row>
    <row r="257" spans="1:18" s="888" customFormat="1" hidden="1">
      <c r="A257" s="885" t="s">
        <v>3</v>
      </c>
      <c r="B257" s="885" t="s">
        <v>17</v>
      </c>
      <c r="C257" s="889">
        <v>113010102</v>
      </c>
      <c r="D257" s="889" t="s">
        <v>1400</v>
      </c>
      <c r="E257" s="886" t="s">
        <v>186</v>
      </c>
      <c r="F257" s="886" t="s">
        <v>271</v>
      </c>
      <c r="G257" s="47">
        <f>IF(F257="I",IFERROR(VLOOKUP(C257,'BG 062022'!A:C,3,FALSE),0),0)</f>
        <v>4085508</v>
      </c>
      <c r="H257" s="885"/>
      <c r="I257" s="63">
        <f>IF(F257="I",IFERROR(VLOOKUP(C257,'BG 062022'!A:D,4,FALSE),0),0)</f>
        <v>597.48</v>
      </c>
      <c r="J257" s="887"/>
      <c r="K257" s="47">
        <f>IF(F257="I",SUMIF('BG 2021'!B:B,Clasificaciones!C257,'BG 2021'!D:D),0)</f>
        <v>11910755</v>
      </c>
      <c r="L257" s="887"/>
      <c r="M257" s="63">
        <f>IF(F257="I",SUMIF('BG 2021'!B:B,Clasificaciones!C257,'BG 2021'!E:E),0)</f>
        <v>1733.5299999999986</v>
      </c>
      <c r="N257" s="887"/>
      <c r="O257" s="47">
        <f>IF(F257="I",SUMIF('BG 062021'!A:A,Clasificaciones!C257,'BG 062021'!C:C),0)</f>
        <v>4616413</v>
      </c>
      <c r="P257" s="887"/>
      <c r="Q257" s="63">
        <f>IF(F257="I",SUMIF('BG 062021'!A:A,Clasificaciones!C257,'BG 062021'!D:D),0)</f>
        <v>685.54</v>
      </c>
      <c r="R257" s="888">
        <f>+VLOOKUP(C257,'CA EFE'!A:A,1,FALSE)</f>
        <v>113010102</v>
      </c>
    </row>
    <row r="258" spans="1:18" s="888" customFormat="1" hidden="1">
      <c r="A258" s="885" t="s">
        <v>3</v>
      </c>
      <c r="B258" s="885"/>
      <c r="C258" s="889">
        <v>1130102</v>
      </c>
      <c r="D258" s="889" t="s">
        <v>516</v>
      </c>
      <c r="E258" s="886" t="s">
        <v>6</v>
      </c>
      <c r="F258" s="886" t="s">
        <v>270</v>
      </c>
      <c r="G258" s="47">
        <f>IF(F258="I",IFERROR(VLOOKUP(C258,'BG 062022'!A:C,3,FALSE),0),0)</f>
        <v>0</v>
      </c>
      <c r="H258" s="885"/>
      <c r="I258" s="63">
        <f>IF(F258="I",IFERROR(VLOOKUP(C258,'BG 062022'!A:D,4,FALSE),0),0)</f>
        <v>0</v>
      </c>
      <c r="J258" s="887"/>
      <c r="K258" s="47">
        <f>IF(F258="I",SUMIF('BG 2021'!B:B,Clasificaciones!C258,'BG 2021'!D:D),0)</f>
        <v>0</v>
      </c>
      <c r="L258" s="887"/>
      <c r="M258" s="63">
        <f>IF(F258="I",SUMIF('BG 2021'!B:B,Clasificaciones!C258,'BG 2021'!E:E),0)</f>
        <v>0</v>
      </c>
      <c r="N258" s="887"/>
      <c r="O258" s="47">
        <f>IF(F258="I",SUMIF('BG 062021'!A:A,Clasificaciones!C258,'BG 062021'!C:C),0)</f>
        <v>0</v>
      </c>
      <c r="P258" s="887"/>
      <c r="Q258" s="63">
        <f>IF(F258="I",SUMIF('BG 062021'!A:A,Clasificaciones!C258,'BG 062021'!D:D),0)</f>
        <v>0</v>
      </c>
    </row>
    <row r="259" spans="1:18" s="888" customFormat="1" hidden="1">
      <c r="A259" s="885" t="s">
        <v>3</v>
      </c>
      <c r="B259" s="885" t="s">
        <v>86</v>
      </c>
      <c r="C259" s="889">
        <v>113010201</v>
      </c>
      <c r="D259" s="889" t="s">
        <v>1185</v>
      </c>
      <c r="E259" s="886" t="s">
        <v>6</v>
      </c>
      <c r="F259" s="886" t="s">
        <v>271</v>
      </c>
      <c r="G259" s="47">
        <f>IF(F259="I",IFERROR(VLOOKUP(C259,'BG 062022'!A:C,3,FALSE),0),0)</f>
        <v>307876</v>
      </c>
      <c r="H259" s="885"/>
      <c r="I259" s="63">
        <f>IF(F259="I",IFERROR(VLOOKUP(C259,'BG 062022'!A:D,4,FALSE),0),0)</f>
        <v>45.02</v>
      </c>
      <c r="J259" s="887"/>
      <c r="K259" s="47">
        <f>IF(F259="I",SUMIF('BG 2021'!B:B,Clasificaciones!C259,'BG 2021'!D:D),0)</f>
        <v>3975686</v>
      </c>
      <c r="L259" s="887"/>
      <c r="M259" s="63">
        <f>IF(F259="I",SUMIF('BG 2021'!B:B,Clasificaciones!C259,'BG 2021'!E:E),0)</f>
        <v>578.62999999988824</v>
      </c>
      <c r="N259" s="887"/>
      <c r="O259" s="47">
        <f>IF(F259="I",SUMIF('BG 062021'!A:A,Clasificaciones!C259,'BG 062021'!C:C),0)</f>
        <v>116020014</v>
      </c>
      <c r="P259" s="887"/>
      <c r="Q259" s="63">
        <f>IF(F259="I",SUMIF('BG 062021'!A:A,Clasificaciones!C259,'BG 062021'!D:D),0)</f>
        <v>17229.04</v>
      </c>
      <c r="R259" s="888">
        <f>+VLOOKUP(C259,'CA EFE'!A:A,1,FALSE)</f>
        <v>113010201</v>
      </c>
    </row>
    <row r="260" spans="1:18" s="888" customFormat="1" hidden="1">
      <c r="A260" s="885" t="s">
        <v>3</v>
      </c>
      <c r="B260" s="885" t="s">
        <v>86</v>
      </c>
      <c r="C260" s="889">
        <v>113010202</v>
      </c>
      <c r="D260" s="889" t="s">
        <v>1186</v>
      </c>
      <c r="E260" s="886" t="s">
        <v>186</v>
      </c>
      <c r="F260" s="886" t="s">
        <v>271</v>
      </c>
      <c r="G260" s="47">
        <f>IF(F260="I",IFERROR(VLOOKUP(C260,'BG 062022'!A:C,3,FALSE),0),0)</f>
        <v>2266969</v>
      </c>
      <c r="H260" s="885"/>
      <c r="I260" s="63">
        <f>IF(F260="I",IFERROR(VLOOKUP(C260,'BG 062022'!A:D,4,FALSE),0),0)</f>
        <v>331.53</v>
      </c>
      <c r="J260" s="887"/>
      <c r="K260" s="47">
        <f>IF(F260="I",SUMIF('BG 2021'!B:B,Clasificaciones!C260,'BG 2021'!D:D),0)</f>
        <v>2997734</v>
      </c>
      <c r="L260" s="887"/>
      <c r="M260" s="63">
        <f>IF(F260="I",SUMIF('BG 2021'!B:B,Clasificaciones!C260,'BG 2021'!E:E),0)</f>
        <v>436.29999999981374</v>
      </c>
      <c r="N260" s="887"/>
      <c r="O260" s="47">
        <f>IF(F260="I",SUMIF('BG 062021'!A:A,Clasificaciones!C260,'BG 062021'!C:C),0)</f>
        <v>25003874</v>
      </c>
      <c r="P260" s="887"/>
      <c r="Q260" s="63">
        <f>IF(F260="I",SUMIF('BG 062021'!A:A,Clasificaciones!C260,'BG 062021'!D:D),0)</f>
        <v>3713.09</v>
      </c>
      <c r="R260" s="888">
        <f>+VLOOKUP(C260,'CA EFE'!A:A,1,FALSE)</f>
        <v>113010202</v>
      </c>
    </row>
    <row r="261" spans="1:18" s="888" customFormat="1" hidden="1">
      <c r="A261" s="885" t="s">
        <v>3</v>
      </c>
      <c r="B261" s="885"/>
      <c r="C261" s="889">
        <v>11302</v>
      </c>
      <c r="D261" s="889" t="s">
        <v>688</v>
      </c>
      <c r="E261" s="886" t="s">
        <v>6</v>
      </c>
      <c r="F261" s="886" t="s">
        <v>270</v>
      </c>
      <c r="G261" s="47">
        <f>IF(F261="I",IFERROR(VLOOKUP(C261,'BG 062022'!A:C,3,FALSE),0),0)</f>
        <v>0</v>
      </c>
      <c r="H261" s="885"/>
      <c r="I261" s="63">
        <f>IF(F261="I",IFERROR(VLOOKUP(C261,'BG 062022'!A:D,4,FALSE),0),0)</f>
        <v>0</v>
      </c>
      <c r="J261" s="887"/>
      <c r="K261" s="47">
        <f>IF(F261="I",SUMIF('BG 2021'!B:B,Clasificaciones!C261,'BG 2021'!D:D),0)</f>
        <v>0</v>
      </c>
      <c r="L261" s="887"/>
      <c r="M261" s="63">
        <f>IF(F261="I",SUMIF('BG 2021'!B:B,Clasificaciones!C261,'BG 2021'!E:E),0)</f>
        <v>0</v>
      </c>
      <c r="N261" s="887"/>
      <c r="O261" s="47">
        <f>IF(F261="I",SUMIF('BG 062021'!A:A,Clasificaciones!C261,'BG 062021'!C:C),0)</f>
        <v>0</v>
      </c>
      <c r="P261" s="887"/>
      <c r="Q261" s="63">
        <f>IF(F261="I",SUMIF('BG 062021'!A:A,Clasificaciones!C261,'BG 062021'!D:D),0)</f>
        <v>0</v>
      </c>
    </row>
    <row r="262" spans="1:18" s="888" customFormat="1" hidden="1">
      <c r="A262" s="885" t="s">
        <v>3</v>
      </c>
      <c r="B262" s="885"/>
      <c r="C262" s="889">
        <v>1130201</v>
      </c>
      <c r="D262" s="889" t="s">
        <v>947</v>
      </c>
      <c r="E262" s="886" t="s">
        <v>6</v>
      </c>
      <c r="F262" s="886" t="s">
        <v>270</v>
      </c>
      <c r="G262" s="47">
        <f>IF(F262="I",IFERROR(VLOOKUP(C262,'BG 062022'!A:C,3,FALSE),0),0)</f>
        <v>0</v>
      </c>
      <c r="H262" s="885"/>
      <c r="I262" s="63">
        <f>IF(F262="I",IFERROR(VLOOKUP(C262,'BG 062022'!A:D,4,FALSE),0),0)</f>
        <v>0</v>
      </c>
      <c r="J262" s="887"/>
      <c r="K262" s="47">
        <f>IF(F262="I",SUMIF('BG 2021'!B:B,Clasificaciones!C262,'BG 2021'!D:D),0)</f>
        <v>0</v>
      </c>
      <c r="L262" s="887"/>
      <c r="M262" s="63">
        <f>IF(F262="I",SUMIF('BG 2021'!B:B,Clasificaciones!C262,'BG 2021'!E:E),0)</f>
        <v>0</v>
      </c>
      <c r="N262" s="887"/>
      <c r="O262" s="47">
        <f>IF(F262="I",SUMIF('BG 062021'!A:A,Clasificaciones!C262,'BG 062021'!C:C),0)</f>
        <v>0</v>
      </c>
      <c r="P262" s="887"/>
      <c r="Q262" s="63">
        <f>IF(F262="I",SUMIF('BG 062021'!A:A,Clasificaciones!C262,'BG 062021'!D:D),0)</f>
        <v>0</v>
      </c>
    </row>
    <row r="263" spans="1:18" s="888" customFormat="1" hidden="1">
      <c r="A263" s="885" t="s">
        <v>3</v>
      </c>
      <c r="B263" s="885"/>
      <c r="C263" s="889">
        <v>113020101</v>
      </c>
      <c r="D263" s="889" t="s">
        <v>948</v>
      </c>
      <c r="E263" s="886" t="s">
        <v>6</v>
      </c>
      <c r="F263" s="886" t="s">
        <v>271</v>
      </c>
      <c r="G263" s="47">
        <f>IF(F263="I",IFERROR(VLOOKUP(C263,'BG 062022'!A:C,3,FALSE),0),0)</f>
        <v>0</v>
      </c>
      <c r="H263" s="885"/>
      <c r="I263" s="63">
        <f>IF(F263="I",IFERROR(VLOOKUP(C263,'BG 062022'!A:D,4,FALSE),0),0)</f>
        <v>0</v>
      </c>
      <c r="J263" s="887"/>
      <c r="K263" s="47">
        <f>IF(F263="I",SUMIF('BG 2021'!B:B,Clasificaciones!C263,'BG 2021'!D:D),0)</f>
        <v>0</v>
      </c>
      <c r="L263" s="887"/>
      <c r="M263" s="63">
        <f>IF(F263="I",SUMIF('BG 2021'!B:B,Clasificaciones!C263,'BG 2021'!E:E),0)</f>
        <v>0</v>
      </c>
      <c r="N263" s="887"/>
      <c r="O263" s="47">
        <f>IF(F263="I",SUMIF('BG 062021'!A:A,Clasificaciones!C263,'BG 062021'!C:C),0)</f>
        <v>0</v>
      </c>
      <c r="P263" s="887"/>
      <c r="Q263" s="63">
        <f>IF(F263="I",SUMIF('BG 062021'!A:A,Clasificaciones!C263,'BG 062021'!D:D),0)</f>
        <v>0</v>
      </c>
    </row>
    <row r="264" spans="1:18" s="888" customFormat="1" hidden="1">
      <c r="A264" s="885" t="s">
        <v>3</v>
      </c>
      <c r="B264" s="885"/>
      <c r="C264" s="889">
        <v>113020102</v>
      </c>
      <c r="D264" s="889" t="s">
        <v>949</v>
      </c>
      <c r="E264" s="886" t="s">
        <v>6</v>
      </c>
      <c r="F264" s="886" t="s">
        <v>271</v>
      </c>
      <c r="G264" s="47">
        <f>IF(F264="I",IFERROR(VLOOKUP(C264,'BG 062022'!A:C,3,FALSE),0),0)</f>
        <v>0</v>
      </c>
      <c r="H264" s="885"/>
      <c r="I264" s="63">
        <f>IF(F264="I",IFERROR(VLOOKUP(C264,'BG 062022'!A:D,4,FALSE),0),0)</f>
        <v>0</v>
      </c>
      <c r="J264" s="887"/>
      <c r="K264" s="47">
        <f>IF(F264="I",SUMIF('BG 2021'!B:B,Clasificaciones!C264,'BG 2021'!D:D),0)</f>
        <v>0</v>
      </c>
      <c r="L264" s="887"/>
      <c r="M264" s="63">
        <f>IF(F264="I",SUMIF('BG 2021'!B:B,Clasificaciones!C264,'BG 2021'!E:E),0)</f>
        <v>0</v>
      </c>
      <c r="N264" s="887"/>
      <c r="O264" s="47">
        <f>IF(F264="I",SUMIF('BG 062021'!A:A,Clasificaciones!C264,'BG 062021'!C:C),0)</f>
        <v>0</v>
      </c>
      <c r="P264" s="887"/>
      <c r="Q264" s="63">
        <f>IF(F264="I",SUMIF('BG 062021'!A:A,Clasificaciones!C264,'BG 062021'!D:D),0)</f>
        <v>0</v>
      </c>
    </row>
    <row r="265" spans="1:18" s="888" customFormat="1" hidden="1">
      <c r="A265" s="885" t="s">
        <v>3</v>
      </c>
      <c r="B265" s="885"/>
      <c r="C265" s="889">
        <v>113020103</v>
      </c>
      <c r="D265" s="889" t="s">
        <v>950</v>
      </c>
      <c r="E265" s="886" t="s">
        <v>6</v>
      </c>
      <c r="F265" s="886" t="s">
        <v>271</v>
      </c>
      <c r="G265" s="47">
        <f>IF(F265="I",IFERROR(VLOOKUP(C265,'BG 062022'!A:C,3,FALSE),0),0)</f>
        <v>0</v>
      </c>
      <c r="H265" s="885"/>
      <c r="I265" s="63">
        <f>IF(F265="I",IFERROR(VLOOKUP(C265,'BG 062022'!A:D,4,FALSE),0),0)</f>
        <v>0</v>
      </c>
      <c r="J265" s="887"/>
      <c r="K265" s="47">
        <f>IF(F265="I",SUMIF('BG 2021'!B:B,Clasificaciones!C265,'BG 2021'!D:D),0)</f>
        <v>0</v>
      </c>
      <c r="L265" s="887"/>
      <c r="M265" s="63">
        <f>IF(F265="I",SUMIF('BG 2021'!B:B,Clasificaciones!C265,'BG 2021'!E:E),0)</f>
        <v>0</v>
      </c>
      <c r="N265" s="887"/>
      <c r="O265" s="47">
        <f>IF(F265="I",SUMIF('BG 062021'!A:A,Clasificaciones!C265,'BG 062021'!C:C),0)</f>
        <v>0</v>
      </c>
      <c r="P265" s="887"/>
      <c r="Q265" s="63">
        <f>IF(F265="I",SUMIF('BG 062021'!A:A,Clasificaciones!C265,'BG 062021'!D:D),0)</f>
        <v>0</v>
      </c>
    </row>
    <row r="266" spans="1:18" s="888" customFormat="1" hidden="1">
      <c r="A266" s="885" t="s">
        <v>3</v>
      </c>
      <c r="B266" s="885"/>
      <c r="C266" s="889">
        <v>113020104</v>
      </c>
      <c r="D266" s="889" t="s">
        <v>951</v>
      </c>
      <c r="E266" s="886" t="s">
        <v>6</v>
      </c>
      <c r="F266" s="886" t="s">
        <v>271</v>
      </c>
      <c r="G266" s="47">
        <f>IF(F266="I",IFERROR(VLOOKUP(C266,'BG 062022'!A:C,3,FALSE),0),0)</f>
        <v>0</v>
      </c>
      <c r="H266" s="885"/>
      <c r="I266" s="63">
        <f>IF(F266="I",IFERROR(VLOOKUP(C266,'BG 062022'!A:D,4,FALSE),0),0)</f>
        <v>0</v>
      </c>
      <c r="J266" s="887"/>
      <c r="K266" s="47">
        <f>IF(F266="I",SUMIF('BG 2021'!B:B,Clasificaciones!C266,'BG 2021'!D:D),0)</f>
        <v>0</v>
      </c>
      <c r="L266" s="887"/>
      <c r="M266" s="63">
        <f>IF(F266="I",SUMIF('BG 2021'!B:B,Clasificaciones!C266,'BG 2021'!E:E),0)</f>
        <v>0</v>
      </c>
      <c r="N266" s="887"/>
      <c r="O266" s="47">
        <f>IF(F266="I",SUMIF('BG 062021'!A:A,Clasificaciones!C266,'BG 062021'!C:C),0)</f>
        <v>0</v>
      </c>
      <c r="P266" s="887"/>
      <c r="Q266" s="63">
        <f>IF(F266="I",SUMIF('BG 062021'!A:A,Clasificaciones!C266,'BG 062021'!D:D),0)</f>
        <v>0</v>
      </c>
    </row>
    <row r="267" spans="1:18" s="888" customFormat="1" hidden="1">
      <c r="A267" s="885" t="s">
        <v>3</v>
      </c>
      <c r="B267" s="885"/>
      <c r="C267" s="889">
        <v>1130202</v>
      </c>
      <c r="D267" s="889" t="s">
        <v>689</v>
      </c>
      <c r="E267" s="886" t="s">
        <v>6</v>
      </c>
      <c r="F267" s="886" t="s">
        <v>270</v>
      </c>
      <c r="G267" s="47">
        <f>IF(F267="I",IFERROR(VLOOKUP(C267,'BG 062022'!A:C,3,FALSE),0),0)</f>
        <v>0</v>
      </c>
      <c r="H267" s="885"/>
      <c r="I267" s="63">
        <f>IF(F267="I",IFERROR(VLOOKUP(C267,'BG 062022'!A:D,4,FALSE),0),0)</f>
        <v>0</v>
      </c>
      <c r="J267" s="887"/>
      <c r="K267" s="47">
        <f>IF(F267="I",SUMIF('BG 2021'!B:B,Clasificaciones!C267,'BG 2021'!D:D),0)</f>
        <v>0</v>
      </c>
      <c r="L267" s="887"/>
      <c r="M267" s="63">
        <f>IF(F267="I",SUMIF('BG 2021'!B:B,Clasificaciones!C267,'BG 2021'!E:E),0)</f>
        <v>0</v>
      </c>
      <c r="N267" s="887"/>
      <c r="O267" s="47">
        <f>IF(F267="I",SUMIF('BG 062021'!A:A,Clasificaciones!C267,'BG 062021'!C:C),0)</f>
        <v>0</v>
      </c>
      <c r="P267" s="887"/>
      <c r="Q267" s="63">
        <f>IF(F267="I",SUMIF('BG 062021'!A:A,Clasificaciones!C267,'BG 062021'!D:D),0)</f>
        <v>0</v>
      </c>
    </row>
    <row r="268" spans="1:18" s="888" customFormat="1" hidden="1">
      <c r="A268" s="885" t="s">
        <v>3</v>
      </c>
      <c r="B268" s="885" t="s">
        <v>86</v>
      </c>
      <c r="C268" s="889">
        <v>113020201</v>
      </c>
      <c r="D268" s="889" t="s">
        <v>952</v>
      </c>
      <c r="E268" s="886" t="s">
        <v>6</v>
      </c>
      <c r="F268" s="886" t="s">
        <v>271</v>
      </c>
      <c r="G268" s="47">
        <f>IF(F268="I",IFERROR(VLOOKUP(C268,'BG 062022'!A:C,3,FALSE),0),0)</f>
        <v>3300000</v>
      </c>
      <c r="H268" s="885"/>
      <c r="I268" s="63">
        <f>IF(F268="I",IFERROR(VLOOKUP(C268,'BG 062022'!A:D,4,FALSE),0),0)</f>
        <v>482.6</v>
      </c>
      <c r="J268" s="887"/>
      <c r="K268" s="47">
        <f>IF(F268="I",SUMIF('BG 2021'!B:B,Clasificaciones!C268,'BG 2021'!D:D),0)</f>
        <v>3300000</v>
      </c>
      <c r="L268" s="887"/>
      <c r="M268" s="63">
        <f>IF(F268="I",SUMIF('BG 2021'!B:B,Clasificaciones!C268,'BG 2021'!E:E),0)</f>
        <v>480.28999999999996</v>
      </c>
      <c r="N268" s="887"/>
      <c r="O268" s="47">
        <f>IF(F268="I",SUMIF('BG 062021'!A:A,Clasificaciones!C268,'BG 062021'!C:C),0)</f>
        <v>3300000</v>
      </c>
      <c r="P268" s="887"/>
      <c r="Q268" s="63">
        <f>IF(F268="I",SUMIF('BG 062021'!A:A,Clasificaciones!C268,'BG 062021'!D:D),0)</f>
        <v>490.05</v>
      </c>
    </row>
    <row r="269" spans="1:18" s="888" customFormat="1" hidden="1">
      <c r="A269" s="885" t="s">
        <v>3</v>
      </c>
      <c r="B269" s="885" t="s">
        <v>17</v>
      </c>
      <c r="C269" s="889">
        <v>113020202</v>
      </c>
      <c r="D269" s="889" t="s">
        <v>690</v>
      </c>
      <c r="E269" s="886" t="s">
        <v>186</v>
      </c>
      <c r="F269" s="886" t="s">
        <v>271</v>
      </c>
      <c r="G269" s="47">
        <f>IF(F269="I",IFERROR(VLOOKUP(C269,'BG 062022'!A:C,3,FALSE),0),0)</f>
        <v>0</v>
      </c>
      <c r="H269" s="885"/>
      <c r="I269" s="63">
        <f>IF(F269="I",IFERROR(VLOOKUP(C269,'BG 062022'!A:D,4,FALSE),0),0)</f>
        <v>0</v>
      </c>
      <c r="J269" s="887"/>
      <c r="K269" s="47">
        <f>IF(F269="I",SUMIF('BG 2021'!B:B,Clasificaciones!C269,'BG 2021'!D:D),0)</f>
        <v>0</v>
      </c>
      <c r="L269" s="887"/>
      <c r="M269" s="63">
        <f>IF(F269="I",SUMIF('BG 2021'!B:B,Clasificaciones!C269,'BG 2021'!E:E),0)</f>
        <v>0</v>
      </c>
      <c r="N269" s="887"/>
      <c r="O269" s="47">
        <f>IF(F269="I",SUMIF('BG 062021'!A:A,Clasificaciones!C269,'BG 062021'!C:C),0)</f>
        <v>0</v>
      </c>
      <c r="P269" s="887"/>
      <c r="Q269" s="63">
        <f>IF(F269="I",SUMIF('BG 062021'!A:A,Clasificaciones!C269,'BG 062021'!D:D),0)</f>
        <v>0</v>
      </c>
    </row>
    <row r="270" spans="1:18" s="888" customFormat="1" hidden="1">
      <c r="A270" s="885" t="s">
        <v>3</v>
      </c>
      <c r="B270" s="885"/>
      <c r="C270" s="889">
        <v>1130203</v>
      </c>
      <c r="D270" s="889" t="s">
        <v>162</v>
      </c>
      <c r="E270" s="886" t="s">
        <v>6</v>
      </c>
      <c r="F270" s="886" t="s">
        <v>270</v>
      </c>
      <c r="G270" s="47">
        <f>IF(F270="I",IFERROR(VLOOKUP(C270,'BG 062022'!A:C,3,FALSE),0),0)</f>
        <v>0</v>
      </c>
      <c r="H270" s="885"/>
      <c r="I270" s="63">
        <f>IF(F270="I",IFERROR(VLOOKUP(C270,'BG 062022'!A:D,4,FALSE),0),0)</f>
        <v>0</v>
      </c>
      <c r="J270" s="887"/>
      <c r="K270" s="47">
        <f>IF(F270="I",SUMIF('BG 2021'!B:B,Clasificaciones!C270,'BG 2021'!D:D),0)</f>
        <v>0</v>
      </c>
      <c r="L270" s="887"/>
      <c r="M270" s="63">
        <f>IF(F270="I",SUMIF('BG 2021'!B:B,Clasificaciones!C270,'BG 2021'!E:E),0)</f>
        <v>0</v>
      </c>
      <c r="N270" s="887"/>
      <c r="O270" s="47">
        <f>IF(F270="I",SUMIF('BG 062021'!A:A,Clasificaciones!C270,'BG 062021'!C:C),0)</f>
        <v>0</v>
      </c>
      <c r="P270" s="887"/>
      <c r="Q270" s="63">
        <f>IF(F270="I",SUMIF('BG 062021'!A:A,Clasificaciones!C270,'BG 062021'!D:D),0)</f>
        <v>0</v>
      </c>
    </row>
    <row r="271" spans="1:18" s="888" customFormat="1" hidden="1">
      <c r="A271" s="885" t="s">
        <v>3</v>
      </c>
      <c r="B271" s="885" t="s">
        <v>86</v>
      </c>
      <c r="C271" s="889">
        <v>113020301</v>
      </c>
      <c r="D271" s="889" t="s">
        <v>691</v>
      </c>
      <c r="E271" s="886" t="s">
        <v>6</v>
      </c>
      <c r="F271" s="886" t="s">
        <v>271</v>
      </c>
      <c r="G271" s="47">
        <f>IF(F271="I",IFERROR(VLOOKUP(C271,'BG 062022'!A:C,3,FALSE),0),0)</f>
        <v>2264174</v>
      </c>
      <c r="H271" s="885"/>
      <c r="I271" s="63">
        <f>IF(F271="I",IFERROR(VLOOKUP(C271,'BG 062022'!A:D,4,FALSE),0),0)</f>
        <v>331.12</v>
      </c>
      <c r="J271" s="887"/>
      <c r="K271" s="47">
        <f>IF(F271="I",SUMIF('BG 2021'!B:B,Clasificaciones!C271,'BG 2021'!D:D),0)</f>
        <v>51047566</v>
      </c>
      <c r="L271" s="887"/>
      <c r="M271" s="63">
        <f>IF(F271="I",SUMIF('BG 2021'!B:B,Clasificaciones!C271,'BG 2021'!E:E),0)</f>
        <v>7429.6299999999983</v>
      </c>
      <c r="N271" s="887"/>
      <c r="O271" s="47">
        <f>IF(F271="I",SUMIF('BG 062021'!A:A,Clasificaciones!C271,'BG 062021'!C:C),0)</f>
        <v>3917198</v>
      </c>
      <c r="P271" s="887"/>
      <c r="Q271" s="63">
        <f>IF(F271="I",SUMIF('BG 062021'!A:A,Clasificaciones!C271,'BG 062021'!D:D),0)</f>
        <v>581.71</v>
      </c>
      <c r="R271" s="888">
        <f>+VLOOKUP(C271,'CA EFE'!A:A,1,FALSE)</f>
        <v>113020301</v>
      </c>
    </row>
    <row r="272" spans="1:18" s="888" customFormat="1" hidden="1">
      <c r="A272" s="885" t="s">
        <v>3</v>
      </c>
      <c r="B272" s="885" t="s">
        <v>86</v>
      </c>
      <c r="C272" s="889">
        <v>113020302</v>
      </c>
      <c r="D272" s="889" t="s">
        <v>1401</v>
      </c>
      <c r="E272" s="886" t="s">
        <v>186</v>
      </c>
      <c r="F272" s="886" t="s">
        <v>271</v>
      </c>
      <c r="G272" s="47">
        <f>IF(F272="I",IFERROR(VLOOKUP(C272,'BG 062022'!A:C,3,FALSE),0),0)</f>
        <v>0</v>
      </c>
      <c r="H272" s="885"/>
      <c r="I272" s="63">
        <f>IF(F272="I",IFERROR(VLOOKUP(C272,'BG 062022'!A:D,4,FALSE),0),0)</f>
        <v>0</v>
      </c>
      <c r="J272" s="887"/>
      <c r="K272" s="47">
        <f>IF(F272="I",SUMIF('BG 2021'!B:B,Clasificaciones!C272,'BG 2021'!D:D),0)</f>
        <v>1448246165</v>
      </c>
      <c r="L272" s="887"/>
      <c r="M272" s="63">
        <f>IF(F272="I",SUMIF('BG 2021'!B:B,Clasificaciones!C272,'BG 2021'!E:E),0)</f>
        <v>210782.44999999998</v>
      </c>
      <c r="N272" s="887"/>
      <c r="O272" s="47">
        <f>IF(F272="I",SUMIF('BG 062021'!A:A,Clasificaciones!C272,'BG 062021'!C:C),0)</f>
        <v>0</v>
      </c>
      <c r="P272" s="887"/>
      <c r="Q272" s="63">
        <f>IF(F272="I",SUMIF('BG 062021'!A:A,Clasificaciones!C272,'BG 062021'!D:D),0)</f>
        <v>0</v>
      </c>
    </row>
    <row r="273" spans="1:18" s="888" customFormat="1" hidden="1">
      <c r="A273" s="885" t="s">
        <v>3</v>
      </c>
      <c r="B273" s="885"/>
      <c r="C273" s="889">
        <v>1130204</v>
      </c>
      <c r="D273" s="889" t="s">
        <v>953</v>
      </c>
      <c r="E273" s="886" t="s">
        <v>6</v>
      </c>
      <c r="F273" s="886" t="s">
        <v>271</v>
      </c>
      <c r="G273" s="47">
        <f>IF(F273="I",IFERROR(VLOOKUP(C273,'BG 062022'!A:C,3,FALSE),0),0)</f>
        <v>0</v>
      </c>
      <c r="H273" s="885"/>
      <c r="I273" s="63">
        <f>IF(F273="I",IFERROR(VLOOKUP(C273,'BG 062022'!A:D,4,FALSE),0),0)</f>
        <v>0</v>
      </c>
      <c r="J273" s="887"/>
      <c r="K273" s="47">
        <f>IF(F273="I",SUMIF('BG 2021'!B:B,Clasificaciones!C273,'BG 2021'!D:D),0)</f>
        <v>0</v>
      </c>
      <c r="L273" s="887"/>
      <c r="M273" s="63">
        <f>IF(F273="I",SUMIF('BG 2021'!B:B,Clasificaciones!C273,'BG 2021'!E:E),0)</f>
        <v>0</v>
      </c>
      <c r="N273" s="887"/>
      <c r="O273" s="47">
        <f>IF(F273="I",SUMIF('BG 062021'!A:A,Clasificaciones!C273,'BG 062021'!C:C),0)</f>
        <v>0</v>
      </c>
      <c r="P273" s="887"/>
      <c r="Q273" s="63">
        <f>IF(F273="I",SUMIF('BG 062021'!A:A,Clasificaciones!C273,'BG 062021'!D:D),0)</f>
        <v>0</v>
      </c>
    </row>
    <row r="274" spans="1:18" s="888" customFormat="1" hidden="1">
      <c r="A274" s="885" t="s">
        <v>3</v>
      </c>
      <c r="B274" s="885"/>
      <c r="C274" s="889">
        <v>113020401</v>
      </c>
      <c r="D274" s="889" t="s">
        <v>954</v>
      </c>
      <c r="E274" s="886" t="s">
        <v>6</v>
      </c>
      <c r="F274" s="886" t="s">
        <v>271</v>
      </c>
      <c r="G274" s="47">
        <f>IF(F274="I",IFERROR(VLOOKUP(C274,'BG 062022'!A:C,3,FALSE),0),0)</f>
        <v>0</v>
      </c>
      <c r="H274" s="885"/>
      <c r="I274" s="63">
        <f>IF(F274="I",IFERROR(VLOOKUP(C274,'BG 062022'!A:D,4,FALSE),0),0)</f>
        <v>0</v>
      </c>
      <c r="J274" s="887"/>
      <c r="K274" s="47">
        <f>IF(F274="I",SUMIF('BG 2021'!B:B,Clasificaciones!C274,'BG 2021'!D:D),0)</f>
        <v>0</v>
      </c>
      <c r="L274" s="887"/>
      <c r="M274" s="63">
        <f>IF(F274="I",SUMIF('BG 2021'!B:B,Clasificaciones!C274,'BG 2021'!E:E),0)</f>
        <v>0</v>
      </c>
      <c r="N274" s="887"/>
      <c r="O274" s="47">
        <f>IF(F274="I",SUMIF('BG 062021'!A:A,Clasificaciones!C274,'BG 062021'!C:C),0)</f>
        <v>0</v>
      </c>
      <c r="P274" s="887"/>
      <c r="Q274" s="63">
        <f>IF(F274="I",SUMIF('BG 062021'!A:A,Clasificaciones!C274,'BG 062021'!D:D),0)</f>
        <v>0</v>
      </c>
    </row>
    <row r="275" spans="1:18" s="888" customFormat="1" hidden="1">
      <c r="A275" s="885" t="s">
        <v>3</v>
      </c>
      <c r="B275" s="885"/>
      <c r="C275" s="889">
        <v>113020402</v>
      </c>
      <c r="D275" s="889" t="s">
        <v>671</v>
      </c>
      <c r="E275" s="886" t="s">
        <v>6</v>
      </c>
      <c r="F275" s="886" t="s">
        <v>271</v>
      </c>
      <c r="G275" s="47">
        <f>IF(F275="I",IFERROR(VLOOKUP(C275,'BG 062022'!A:C,3,FALSE),0),0)</f>
        <v>0</v>
      </c>
      <c r="H275" s="885"/>
      <c r="I275" s="63">
        <f>IF(F275="I",IFERROR(VLOOKUP(C275,'BG 062022'!A:D,4,FALSE),0),0)</f>
        <v>0</v>
      </c>
      <c r="J275" s="887"/>
      <c r="K275" s="47">
        <f>IF(F275="I",SUMIF('BG 2021'!B:B,Clasificaciones!C275,'BG 2021'!D:D),0)</f>
        <v>0</v>
      </c>
      <c r="L275" s="887"/>
      <c r="M275" s="63">
        <f>IF(F275="I",SUMIF('BG 2021'!B:B,Clasificaciones!C275,'BG 2021'!E:E),0)</f>
        <v>0</v>
      </c>
      <c r="N275" s="887"/>
      <c r="O275" s="47">
        <f>IF(F275="I",SUMIF('BG 062021'!A:A,Clasificaciones!C275,'BG 062021'!C:C),0)</f>
        <v>0</v>
      </c>
      <c r="P275" s="887"/>
      <c r="Q275" s="63">
        <f>IF(F275="I",SUMIF('BG 062021'!A:A,Clasificaciones!C275,'BG 062021'!D:D),0)</f>
        <v>0</v>
      </c>
    </row>
    <row r="276" spans="1:18" s="888" customFormat="1" hidden="1">
      <c r="A276" s="885" t="s">
        <v>3</v>
      </c>
      <c r="B276" s="885"/>
      <c r="C276" s="889">
        <v>11303</v>
      </c>
      <c r="D276" s="889" t="s">
        <v>693</v>
      </c>
      <c r="E276" s="886" t="s">
        <v>6</v>
      </c>
      <c r="F276" s="886" t="s">
        <v>270</v>
      </c>
      <c r="G276" s="47">
        <f>IF(F276="I",IFERROR(VLOOKUP(C276,'BG 062022'!A:C,3,FALSE),0),0)</f>
        <v>0</v>
      </c>
      <c r="H276" s="885"/>
      <c r="I276" s="63">
        <f>IF(F276="I",IFERROR(VLOOKUP(C276,'BG 062022'!A:D,4,FALSE),0),0)</f>
        <v>0</v>
      </c>
      <c r="J276" s="887"/>
      <c r="K276" s="47">
        <f>IF(F276="I",SUMIF('BG 2021'!B:B,Clasificaciones!C276,'BG 2021'!D:D),0)</f>
        <v>0</v>
      </c>
      <c r="L276" s="887"/>
      <c r="M276" s="63">
        <f>IF(F276="I",SUMIF('BG 2021'!B:B,Clasificaciones!C276,'BG 2021'!E:E),0)</f>
        <v>0</v>
      </c>
      <c r="N276" s="887"/>
      <c r="O276" s="47">
        <f>IF(F276="I",SUMIF('BG 062021'!A:A,Clasificaciones!C276,'BG 062021'!C:C),0)</f>
        <v>0</v>
      </c>
      <c r="P276" s="887"/>
      <c r="Q276" s="63">
        <f>IF(F276="I",SUMIF('BG 062021'!A:A,Clasificaciones!C276,'BG 062021'!D:D),0)</f>
        <v>0</v>
      </c>
    </row>
    <row r="277" spans="1:18" s="888" customFormat="1" hidden="1">
      <c r="A277" s="885" t="s">
        <v>3</v>
      </c>
      <c r="B277" s="885"/>
      <c r="C277" s="889">
        <v>1130301</v>
      </c>
      <c r="D277" s="889" t="s">
        <v>694</v>
      </c>
      <c r="E277" s="886" t="s">
        <v>6</v>
      </c>
      <c r="F277" s="886" t="s">
        <v>270</v>
      </c>
      <c r="G277" s="47">
        <f>IF(F277="I",IFERROR(VLOOKUP(C277,'BG 062022'!A:C,3,FALSE),0),0)</f>
        <v>0</v>
      </c>
      <c r="H277" s="885"/>
      <c r="I277" s="63">
        <f>IF(F277="I",IFERROR(VLOOKUP(C277,'BG 062022'!A:D,4,FALSE),0),0)</f>
        <v>0</v>
      </c>
      <c r="J277" s="887"/>
      <c r="K277" s="47">
        <f>IF(F277="I",SUMIF('BG 2021'!B:B,Clasificaciones!C277,'BG 2021'!D:D),0)</f>
        <v>0</v>
      </c>
      <c r="L277" s="887"/>
      <c r="M277" s="63">
        <f>IF(F277="I",SUMIF('BG 2021'!B:B,Clasificaciones!C277,'BG 2021'!E:E),0)</f>
        <v>0</v>
      </c>
      <c r="N277" s="887"/>
      <c r="O277" s="47">
        <f>IF(F277="I",SUMIF('BG 062021'!A:A,Clasificaciones!C277,'BG 062021'!C:C),0)</f>
        <v>0</v>
      </c>
      <c r="P277" s="887"/>
      <c r="Q277" s="63">
        <f>IF(F277="I",SUMIF('BG 062021'!A:A,Clasificaciones!C277,'BG 062021'!D:D),0)</f>
        <v>0</v>
      </c>
    </row>
    <row r="278" spans="1:18" s="888" customFormat="1" hidden="1">
      <c r="A278" s="885" t="s">
        <v>3</v>
      </c>
      <c r="B278" s="885" t="s">
        <v>18</v>
      </c>
      <c r="C278" s="889">
        <v>113030101</v>
      </c>
      <c r="D278" s="889" t="s">
        <v>694</v>
      </c>
      <c r="E278" s="886" t="s">
        <v>6</v>
      </c>
      <c r="F278" s="886" t="s">
        <v>271</v>
      </c>
      <c r="G278" s="47">
        <f>IF(F278="I",IFERROR(VLOOKUP(C278,'BG 062022'!A:C,3,FALSE),0),0)</f>
        <v>1954392</v>
      </c>
      <c r="H278" s="885"/>
      <c r="I278" s="63">
        <f>IF(F278="I",IFERROR(VLOOKUP(C278,'BG 062022'!A:D,4,FALSE),0),0)</f>
        <v>285.82</v>
      </c>
      <c r="J278" s="887"/>
      <c r="K278" s="47">
        <f>IF(F278="I",SUMIF('BG 2021'!B:B,Clasificaciones!C278,'BG 2021'!D:D),0)</f>
        <v>0</v>
      </c>
      <c r="L278" s="887"/>
      <c r="M278" s="63">
        <f>IF(F278="I",SUMIF('BG 2021'!B:B,Clasificaciones!C278,'BG 2021'!E:E),0)</f>
        <v>0</v>
      </c>
      <c r="N278" s="887"/>
      <c r="O278" s="47">
        <f>IF(F278="I",SUMIF('BG 062021'!A:A,Clasificaciones!C278,'BG 062021'!C:C),0)</f>
        <v>129231834</v>
      </c>
      <c r="P278" s="887"/>
      <c r="Q278" s="63">
        <f>IF(F278="I",SUMIF('BG 062021'!A:A,Clasificaciones!C278,'BG 062021'!D:D),0)</f>
        <v>19191</v>
      </c>
      <c r="R278" s="888">
        <f>+VLOOKUP(C278,'CA EFE'!A:A,1,FALSE)</f>
        <v>113030101</v>
      </c>
    </row>
    <row r="279" spans="1:18" s="888" customFormat="1" hidden="1">
      <c r="A279" s="885" t="s">
        <v>3</v>
      </c>
      <c r="B279" s="885" t="s">
        <v>18</v>
      </c>
      <c r="C279" s="889">
        <v>113030102</v>
      </c>
      <c r="D279" s="889" t="s">
        <v>694</v>
      </c>
      <c r="E279" s="886" t="s">
        <v>186</v>
      </c>
      <c r="F279" s="886" t="s">
        <v>271</v>
      </c>
      <c r="G279" s="47">
        <f>IF(F279="I",IFERROR(VLOOKUP(C279,'BG 062022'!A:C,3,FALSE),0),0)</f>
        <v>11282538</v>
      </c>
      <c r="H279" s="885"/>
      <c r="I279" s="63">
        <f>IF(F279="I",IFERROR(VLOOKUP(C279,'BG 062022'!A:D,4,FALSE),0),0)</f>
        <v>1650</v>
      </c>
      <c r="J279" s="887"/>
      <c r="K279" s="47">
        <f>IF(F279="I",SUMIF('BG 2021'!B:B,Clasificaciones!C279,'BG 2021'!D:D),0)</f>
        <v>2</v>
      </c>
      <c r="L279" s="887"/>
      <c r="M279" s="63">
        <f>IF(F279="I",SUMIF('BG 2021'!B:B,Clasificaciones!C279,'BG 2021'!E:E),0)</f>
        <v>0</v>
      </c>
      <c r="N279" s="887"/>
      <c r="O279" s="47">
        <f>IF(F279="I",SUMIF('BG 062021'!A:A,Clasificaciones!C279,'BG 062021'!C:C),0)</f>
        <v>110437274</v>
      </c>
      <c r="P279" s="887"/>
      <c r="Q279" s="63">
        <f>IF(F279="I",SUMIF('BG 062021'!A:A,Clasificaciones!C279,'BG 062021'!D:D),0)</f>
        <v>16400</v>
      </c>
      <c r="R279" s="888">
        <f>+VLOOKUP(C279,'CA EFE'!A:A,1,FALSE)</f>
        <v>113030102</v>
      </c>
    </row>
    <row r="280" spans="1:18" s="888" customFormat="1" hidden="1">
      <c r="A280" s="885" t="s">
        <v>3</v>
      </c>
      <c r="B280" s="885" t="s">
        <v>18</v>
      </c>
      <c r="C280" s="889">
        <v>113030103</v>
      </c>
      <c r="D280" s="889" t="s">
        <v>695</v>
      </c>
      <c r="E280" s="886" t="s">
        <v>186</v>
      </c>
      <c r="F280" s="886" t="s">
        <v>271</v>
      </c>
      <c r="G280" s="47">
        <f>IF(F280="I",IFERROR(VLOOKUP(C280,'BG 062022'!A:C,3,FALSE),0),0)</f>
        <v>0</v>
      </c>
      <c r="H280" s="885"/>
      <c r="I280" s="63">
        <f>IF(F280="I",IFERROR(VLOOKUP(C280,'BG 062022'!A:D,4,FALSE),0),0)</f>
        <v>0</v>
      </c>
      <c r="J280" s="887"/>
      <c r="K280" s="47">
        <f>IF(F280="I",SUMIF('BG 2021'!B:B,Clasificaciones!C280,'BG 2021'!D:D),0)</f>
        <v>0</v>
      </c>
      <c r="L280" s="887"/>
      <c r="M280" s="63">
        <f>IF(F280="I",SUMIF('BG 2021'!B:B,Clasificaciones!C280,'BG 2021'!E:E),0)</f>
        <v>0</v>
      </c>
      <c r="N280" s="887"/>
      <c r="O280" s="47">
        <f>IF(F280="I",SUMIF('BG 062021'!A:A,Clasificaciones!C280,'BG 062021'!C:C),0)</f>
        <v>0</v>
      </c>
      <c r="P280" s="887"/>
      <c r="Q280" s="63">
        <f>IF(F280="I",SUMIF('BG 062021'!A:A,Clasificaciones!C280,'BG 062021'!D:D),0)</f>
        <v>0</v>
      </c>
    </row>
    <row r="281" spans="1:18" s="888" customFormat="1" hidden="1">
      <c r="A281" s="885" t="s">
        <v>3</v>
      </c>
      <c r="B281" s="885"/>
      <c r="C281" s="889">
        <v>1130302</v>
      </c>
      <c r="D281" s="889" t="s">
        <v>955</v>
      </c>
      <c r="E281" s="886" t="s">
        <v>6</v>
      </c>
      <c r="F281" s="886" t="s">
        <v>270</v>
      </c>
      <c r="G281" s="47">
        <f>IF(F281="I",IFERROR(VLOOKUP(C281,'BG 062022'!A:C,3,FALSE),0),0)</f>
        <v>0</v>
      </c>
      <c r="H281" s="885"/>
      <c r="I281" s="63">
        <f>IF(F281="I",IFERROR(VLOOKUP(C281,'BG 062022'!A:D,4,FALSE),0),0)</f>
        <v>0</v>
      </c>
      <c r="J281" s="887"/>
      <c r="K281" s="47">
        <f>IF(F281="I",SUMIF('BG 2021'!B:B,Clasificaciones!C281,'BG 2021'!D:D),0)</f>
        <v>0</v>
      </c>
      <c r="L281" s="887"/>
      <c r="M281" s="63">
        <f>IF(F281="I",SUMIF('BG 2021'!B:B,Clasificaciones!C281,'BG 2021'!E:E),0)</f>
        <v>0</v>
      </c>
      <c r="N281" s="887"/>
      <c r="O281" s="47">
        <f>IF(F281="I",SUMIF('BG 062021'!A:A,Clasificaciones!C281,'BG 062021'!C:C),0)</f>
        <v>0</v>
      </c>
      <c r="P281" s="887"/>
      <c r="Q281" s="63">
        <f>IF(F281="I",SUMIF('BG 062021'!A:A,Clasificaciones!C281,'BG 062021'!D:D),0)</f>
        <v>0</v>
      </c>
    </row>
    <row r="282" spans="1:18" s="888" customFormat="1" hidden="1">
      <c r="A282" s="885" t="s">
        <v>3</v>
      </c>
      <c r="B282" s="885"/>
      <c r="C282" s="889">
        <v>113030201</v>
      </c>
      <c r="D282" s="889" t="s">
        <v>956</v>
      </c>
      <c r="E282" s="886" t="s">
        <v>6</v>
      </c>
      <c r="F282" s="886" t="s">
        <v>271</v>
      </c>
      <c r="G282" s="47">
        <f>IF(F282="I",IFERROR(VLOOKUP(C282,'BG 062022'!A:C,3,FALSE),0),0)</f>
        <v>0</v>
      </c>
      <c r="H282" s="885"/>
      <c r="I282" s="63">
        <f>IF(F282="I",IFERROR(VLOOKUP(C282,'BG 062022'!A:D,4,FALSE),0),0)</f>
        <v>0</v>
      </c>
      <c r="J282" s="887"/>
      <c r="K282" s="47">
        <f>IF(F282="I",SUMIF('BG 2021'!B:B,Clasificaciones!C282,'BG 2021'!D:D),0)</f>
        <v>0</v>
      </c>
      <c r="L282" s="887"/>
      <c r="M282" s="63">
        <f>IF(F282="I",SUMIF('BG 2021'!B:B,Clasificaciones!C282,'BG 2021'!E:E),0)</f>
        <v>0</v>
      </c>
      <c r="N282" s="887"/>
      <c r="O282" s="47">
        <f>IF(F282="I",SUMIF('BG 062021'!A:A,Clasificaciones!C282,'BG 062021'!C:C),0)</f>
        <v>0</v>
      </c>
      <c r="P282" s="887"/>
      <c r="Q282" s="63">
        <f>IF(F282="I",SUMIF('BG 062021'!A:A,Clasificaciones!C282,'BG 062021'!D:D),0)</f>
        <v>0</v>
      </c>
    </row>
    <row r="283" spans="1:18" s="888" customFormat="1" hidden="1">
      <c r="A283" s="885" t="s">
        <v>3</v>
      </c>
      <c r="B283" s="885"/>
      <c r="C283" s="889">
        <v>1130303</v>
      </c>
      <c r="D283" s="889" t="s">
        <v>151</v>
      </c>
      <c r="E283" s="886" t="s">
        <v>6</v>
      </c>
      <c r="F283" s="886" t="s">
        <v>270</v>
      </c>
      <c r="G283" s="47">
        <f>IF(F283="I",IFERROR(VLOOKUP(C283,'BG 062022'!A:C,3,FALSE),0),0)</f>
        <v>0</v>
      </c>
      <c r="H283" s="885"/>
      <c r="I283" s="63">
        <f>IF(F283="I",IFERROR(VLOOKUP(C283,'BG 062022'!A:D,4,FALSE),0),0)</f>
        <v>0</v>
      </c>
      <c r="J283" s="887"/>
      <c r="K283" s="47">
        <f>IF(F283="I",SUMIF('BG 2021'!B:B,Clasificaciones!C283,'BG 2021'!D:D),0)</f>
        <v>0</v>
      </c>
      <c r="L283" s="887"/>
      <c r="M283" s="63">
        <f>IF(F283="I",SUMIF('BG 2021'!B:B,Clasificaciones!C283,'BG 2021'!E:E),0)</f>
        <v>0</v>
      </c>
      <c r="N283" s="887"/>
      <c r="O283" s="47">
        <f>IF(F283="I",SUMIF('BG 062021'!A:A,Clasificaciones!C283,'BG 062021'!C:C),0)</f>
        <v>0</v>
      </c>
      <c r="P283" s="887"/>
      <c r="Q283" s="63">
        <f>IF(F283="I",SUMIF('BG 062021'!A:A,Clasificaciones!C283,'BG 062021'!D:D),0)</f>
        <v>0</v>
      </c>
    </row>
    <row r="284" spans="1:18" s="888" customFormat="1" hidden="1">
      <c r="A284" s="885" t="s">
        <v>3</v>
      </c>
      <c r="B284" s="885"/>
      <c r="C284" s="889">
        <v>113030301</v>
      </c>
      <c r="D284" s="889" t="s">
        <v>957</v>
      </c>
      <c r="E284" s="886" t="s">
        <v>6</v>
      </c>
      <c r="F284" s="886" t="s">
        <v>271</v>
      </c>
      <c r="G284" s="47">
        <f>IF(F284="I",IFERROR(VLOOKUP(C284,'BG 062022'!A:C,3,FALSE),0),0)</f>
        <v>0</v>
      </c>
      <c r="H284" s="885"/>
      <c r="I284" s="63">
        <f>IF(F284="I",IFERROR(VLOOKUP(C284,'BG 062022'!A:D,4,FALSE),0),0)</f>
        <v>0</v>
      </c>
      <c r="J284" s="887"/>
      <c r="K284" s="47">
        <f>IF(F284="I",SUMIF('BG 2021'!B:B,Clasificaciones!C284,'BG 2021'!D:D),0)</f>
        <v>0</v>
      </c>
      <c r="L284" s="887"/>
      <c r="M284" s="63">
        <f>IF(F284="I",SUMIF('BG 2021'!B:B,Clasificaciones!C284,'BG 2021'!E:E),0)</f>
        <v>0</v>
      </c>
      <c r="N284" s="887"/>
      <c r="O284" s="47">
        <f>IF(F284="I",SUMIF('BG 062021'!A:A,Clasificaciones!C284,'BG 062021'!C:C),0)</f>
        <v>0</v>
      </c>
      <c r="P284" s="887"/>
      <c r="Q284" s="63">
        <f>IF(F284="I",SUMIF('BG 062021'!A:A,Clasificaciones!C284,'BG 062021'!D:D),0)</f>
        <v>0</v>
      </c>
    </row>
    <row r="285" spans="1:18" s="888" customFormat="1" hidden="1">
      <c r="A285" s="885" t="s">
        <v>3</v>
      </c>
      <c r="B285" s="885"/>
      <c r="C285" s="889">
        <v>113030302</v>
      </c>
      <c r="D285" s="889" t="s">
        <v>958</v>
      </c>
      <c r="E285" s="886" t="s">
        <v>6</v>
      </c>
      <c r="F285" s="886" t="s">
        <v>271</v>
      </c>
      <c r="G285" s="47">
        <f>IF(F285="I",IFERROR(VLOOKUP(C285,'BG 062022'!A:C,3,FALSE),0),0)</f>
        <v>0</v>
      </c>
      <c r="H285" s="885"/>
      <c r="I285" s="63">
        <f>IF(F285="I",IFERROR(VLOOKUP(C285,'BG 062022'!A:D,4,FALSE),0),0)</f>
        <v>0</v>
      </c>
      <c r="J285" s="887"/>
      <c r="K285" s="47">
        <f>IF(F285="I",SUMIF('BG 2021'!B:B,Clasificaciones!C285,'BG 2021'!D:D),0)</f>
        <v>0</v>
      </c>
      <c r="L285" s="887"/>
      <c r="M285" s="63">
        <f>IF(F285="I",SUMIF('BG 2021'!B:B,Clasificaciones!C285,'BG 2021'!E:E),0)</f>
        <v>0</v>
      </c>
      <c r="N285" s="887"/>
      <c r="O285" s="47">
        <f>IF(F285="I",SUMIF('BG 062021'!A:A,Clasificaciones!C285,'BG 062021'!C:C),0)</f>
        <v>0</v>
      </c>
      <c r="P285" s="887"/>
      <c r="Q285" s="63">
        <f>IF(F285="I",SUMIF('BG 062021'!A:A,Clasificaciones!C285,'BG 062021'!D:D),0)</f>
        <v>0</v>
      </c>
    </row>
    <row r="286" spans="1:18" s="888" customFormat="1" hidden="1">
      <c r="A286" s="885" t="s">
        <v>3</v>
      </c>
      <c r="B286" s="885"/>
      <c r="C286" s="889">
        <v>1130304</v>
      </c>
      <c r="D286" s="889" t="s">
        <v>959</v>
      </c>
      <c r="E286" s="886" t="s">
        <v>6</v>
      </c>
      <c r="F286" s="886" t="s">
        <v>270</v>
      </c>
      <c r="G286" s="47">
        <f>IF(F286="I",IFERROR(VLOOKUP(C286,'BG 062022'!A:C,3,FALSE),0),0)</f>
        <v>0</v>
      </c>
      <c r="H286" s="885"/>
      <c r="I286" s="63">
        <f>IF(F286="I",IFERROR(VLOOKUP(C286,'BG 062022'!A:D,4,FALSE),0),0)</f>
        <v>0</v>
      </c>
      <c r="J286" s="887"/>
      <c r="K286" s="47">
        <f>IF(F286="I",SUMIF('BG 2021'!B:B,Clasificaciones!C286,'BG 2021'!D:D),0)</f>
        <v>0</v>
      </c>
      <c r="L286" s="887"/>
      <c r="M286" s="63">
        <f>IF(F286="I",SUMIF('BG 2021'!B:B,Clasificaciones!C286,'BG 2021'!E:E),0)</f>
        <v>0</v>
      </c>
      <c r="N286" s="887"/>
      <c r="O286" s="47">
        <f>IF(F286="I",SUMIF('BG 062021'!A:A,Clasificaciones!C286,'BG 062021'!C:C),0)</f>
        <v>0</v>
      </c>
      <c r="P286" s="887"/>
      <c r="Q286" s="63">
        <f>IF(F286="I",SUMIF('BG 062021'!A:A,Clasificaciones!C286,'BG 062021'!D:D),0)</f>
        <v>0</v>
      </c>
    </row>
    <row r="287" spans="1:18" s="888" customFormat="1" hidden="1">
      <c r="A287" s="885" t="s">
        <v>3</v>
      </c>
      <c r="B287" s="885"/>
      <c r="C287" s="889">
        <v>11308</v>
      </c>
      <c r="D287" s="889" t="s">
        <v>696</v>
      </c>
      <c r="E287" s="886" t="s">
        <v>6</v>
      </c>
      <c r="F287" s="886" t="s">
        <v>270</v>
      </c>
      <c r="G287" s="47">
        <f>IF(F287="I",IFERROR(VLOOKUP(C287,'BG 062022'!A:C,3,FALSE),0),0)</f>
        <v>0</v>
      </c>
      <c r="H287" s="885"/>
      <c r="I287" s="63">
        <f>IF(F287="I",IFERROR(VLOOKUP(C287,'BG 062022'!A:D,4,FALSE),0),0)</f>
        <v>0</v>
      </c>
      <c r="J287" s="887"/>
      <c r="K287" s="47">
        <f>IF(F287="I",SUMIF('BG 2021'!B:B,Clasificaciones!C287,'BG 2021'!D:D),0)</f>
        <v>0</v>
      </c>
      <c r="L287" s="887"/>
      <c r="M287" s="63">
        <f>IF(F287="I",SUMIF('BG 2021'!B:B,Clasificaciones!C287,'BG 2021'!E:E),0)</f>
        <v>0</v>
      </c>
      <c r="N287" s="887"/>
      <c r="O287" s="47">
        <f>IF(F287="I",SUMIF('BG 062021'!A:A,Clasificaciones!C287,'BG 062021'!C:C),0)</f>
        <v>0</v>
      </c>
      <c r="P287" s="887"/>
      <c r="Q287" s="63">
        <f>IF(F287="I",SUMIF('BG 062021'!A:A,Clasificaciones!C287,'BG 062021'!D:D),0)</f>
        <v>0</v>
      </c>
    </row>
    <row r="288" spans="1:18" s="888" customFormat="1" hidden="1">
      <c r="A288" s="885" t="s">
        <v>3</v>
      </c>
      <c r="B288" s="885" t="s">
        <v>604</v>
      </c>
      <c r="C288" s="889">
        <v>1130801</v>
      </c>
      <c r="D288" s="889" t="s">
        <v>697</v>
      </c>
      <c r="E288" s="886" t="s">
        <v>6</v>
      </c>
      <c r="F288" s="886" t="s">
        <v>271</v>
      </c>
      <c r="G288" s="47">
        <f>IF(F288="I",IFERROR(VLOOKUP(C288,'BG 062022'!A:C,3,FALSE),0),0)</f>
        <v>121527025</v>
      </c>
      <c r="H288" s="885"/>
      <c r="I288" s="63">
        <f>IF(F288="I",IFERROR(VLOOKUP(C288,'BG 062022'!A:D,4,FALSE),0),0)</f>
        <v>17772.57</v>
      </c>
      <c r="J288" s="887"/>
      <c r="K288" s="47">
        <f>IF(F288="I",SUMIF('BG 2021'!B:B,Clasificaciones!C288,'BG 2021'!D:D),0)</f>
        <v>263473908</v>
      </c>
      <c r="L288" s="887"/>
      <c r="M288" s="63">
        <f>IF(F288="I",SUMIF('BG 2021'!B:B,Clasificaciones!C288,'BG 2021'!E:E),0)</f>
        <v>38346.850000000006</v>
      </c>
      <c r="N288" s="887"/>
      <c r="O288" s="47">
        <f>IF(F288="I",SUMIF('BG 062021'!A:A,Clasificaciones!C288,'BG 062021'!C:C),0)</f>
        <v>65868477</v>
      </c>
      <c r="P288" s="887"/>
      <c r="Q288" s="63">
        <f>IF(F288="I",SUMIF('BG 062021'!A:A,Clasificaciones!C288,'BG 062021'!D:D),0)</f>
        <v>9781.51</v>
      </c>
      <c r="R288" s="888">
        <f>+VLOOKUP(C288,'CA EFE'!A:A,1,FALSE)</f>
        <v>1130801</v>
      </c>
    </row>
    <row r="289" spans="1:18" s="888" customFormat="1" hidden="1">
      <c r="A289" s="885" t="s">
        <v>3</v>
      </c>
      <c r="B289" s="885"/>
      <c r="C289" s="889">
        <v>1130802</v>
      </c>
      <c r="D289" s="889" t="s">
        <v>744</v>
      </c>
      <c r="E289" s="886" t="s">
        <v>6</v>
      </c>
      <c r="F289" s="886" t="s">
        <v>270</v>
      </c>
      <c r="G289" s="47">
        <f>IF(F289="I",IFERROR(VLOOKUP(C289,'BG 062022'!A:C,3,FALSE),0),0)</f>
        <v>0</v>
      </c>
      <c r="H289" s="885"/>
      <c r="I289" s="63">
        <f>IF(F289="I",IFERROR(VLOOKUP(C289,'BG 062022'!A:D,4,FALSE),0),0)</f>
        <v>0</v>
      </c>
      <c r="J289" s="887"/>
      <c r="K289" s="47">
        <f>IF(F289="I",SUMIF('BG 2021'!B:B,Clasificaciones!C289,'BG 2021'!D:D),0)</f>
        <v>0</v>
      </c>
      <c r="L289" s="887"/>
      <c r="M289" s="63">
        <f>IF(F289="I",SUMIF('BG 2021'!B:B,Clasificaciones!C289,'BG 2021'!E:E),0)</f>
        <v>0</v>
      </c>
      <c r="N289" s="887"/>
      <c r="O289" s="47">
        <f>IF(F289="I",SUMIF('BG 062021'!A:A,Clasificaciones!C289,'BG 062021'!C:C),0)</f>
        <v>0</v>
      </c>
      <c r="P289" s="887"/>
      <c r="Q289" s="63">
        <f>IF(F289="I",SUMIF('BG 062021'!A:A,Clasificaciones!C289,'BG 062021'!D:D),0)</f>
        <v>0</v>
      </c>
    </row>
    <row r="290" spans="1:18" s="888" customFormat="1" hidden="1">
      <c r="A290" s="885" t="s">
        <v>3</v>
      </c>
      <c r="B290" s="885" t="s">
        <v>604</v>
      </c>
      <c r="C290" s="889">
        <v>113080201</v>
      </c>
      <c r="D290" s="889" t="s">
        <v>960</v>
      </c>
      <c r="E290" s="886" t="s">
        <v>6</v>
      </c>
      <c r="F290" s="886" t="s">
        <v>271</v>
      </c>
      <c r="G290" s="47">
        <f>IF(F290="I",IFERROR(VLOOKUP(C290,'BG 062022'!A:C,3,FALSE),0),0)</f>
        <v>0</v>
      </c>
      <c r="H290" s="885"/>
      <c r="I290" s="63">
        <f>IF(F290="I",IFERROR(VLOOKUP(C290,'BG 062022'!A:D,4,FALSE),0),0)</f>
        <v>0</v>
      </c>
      <c r="J290" s="887"/>
      <c r="K290" s="47">
        <f>IF(F290="I",SUMIF('BG 2021'!B:B,Clasificaciones!C290,'BG 2021'!D:D),0)</f>
        <v>0</v>
      </c>
      <c r="L290" s="887"/>
      <c r="M290" s="63">
        <f>IF(F290="I",SUMIF('BG 2021'!B:B,Clasificaciones!C290,'BG 2021'!E:E),0)</f>
        <v>0</v>
      </c>
      <c r="N290" s="887"/>
      <c r="O290" s="47">
        <f>IF(F290="I",SUMIF('BG 062021'!A:A,Clasificaciones!C290,'BG 062021'!C:C),0)</f>
        <v>4033748</v>
      </c>
      <c r="P290" s="887"/>
      <c r="Q290" s="63">
        <f>IF(F290="I",SUMIF('BG 062021'!A:A,Clasificaciones!C290,'BG 062021'!D:D),0)</f>
        <v>599.01</v>
      </c>
    </row>
    <row r="291" spans="1:18" s="888" customFormat="1" hidden="1">
      <c r="A291" s="885" t="s">
        <v>3</v>
      </c>
      <c r="B291" s="885"/>
      <c r="C291" s="889">
        <v>113080202</v>
      </c>
      <c r="D291" s="889" t="s">
        <v>961</v>
      </c>
      <c r="E291" s="886" t="s">
        <v>6</v>
      </c>
      <c r="F291" s="886" t="s">
        <v>271</v>
      </c>
      <c r="G291" s="47">
        <f>IF(F291="I",IFERROR(VLOOKUP(C291,'BG 062022'!A:C,3,FALSE),0),0)</f>
        <v>0</v>
      </c>
      <c r="H291" s="885"/>
      <c r="I291" s="63">
        <f>IF(F291="I",IFERROR(VLOOKUP(C291,'BG 062022'!A:D,4,FALSE),0),0)</f>
        <v>0</v>
      </c>
      <c r="J291" s="887"/>
      <c r="K291" s="47">
        <f>IF(F291="I",SUMIF('BG 2021'!B:B,Clasificaciones!C291,'BG 2021'!D:D),0)</f>
        <v>0</v>
      </c>
      <c r="L291" s="887"/>
      <c r="M291" s="63">
        <f>IF(F291="I",SUMIF('BG 2021'!B:B,Clasificaciones!C291,'BG 2021'!E:E),0)</f>
        <v>0</v>
      </c>
      <c r="N291" s="887"/>
      <c r="O291" s="47">
        <f>IF(F291="I",SUMIF('BG 062021'!A:A,Clasificaciones!C291,'BG 062021'!C:C),0)</f>
        <v>0</v>
      </c>
      <c r="P291" s="887"/>
      <c r="Q291" s="63">
        <f>IF(F291="I",SUMIF('BG 062021'!A:A,Clasificaciones!C291,'BG 062021'!D:D),0)</f>
        <v>0</v>
      </c>
    </row>
    <row r="292" spans="1:18" s="888" customFormat="1" hidden="1">
      <c r="A292" s="885" t="s">
        <v>3</v>
      </c>
      <c r="B292" s="885" t="s">
        <v>604</v>
      </c>
      <c r="C292" s="889">
        <v>1130803</v>
      </c>
      <c r="D292" s="889" t="s">
        <v>962</v>
      </c>
      <c r="E292" s="886" t="s">
        <v>6</v>
      </c>
      <c r="F292" s="886" t="s">
        <v>271</v>
      </c>
      <c r="G292" s="47">
        <f>IF(F292="I",IFERROR(VLOOKUP(C292,'BG 062022'!A:C,3,FALSE),0),0)</f>
        <v>0</v>
      </c>
      <c r="H292" s="885"/>
      <c r="I292" s="63">
        <f>IF(F292="I",IFERROR(VLOOKUP(C292,'BG 062022'!A:D,4,FALSE),0),0)</f>
        <v>0</v>
      </c>
      <c r="J292" s="887"/>
      <c r="K292" s="47">
        <f>IF(F292="I",SUMIF('BG 2021'!B:B,Clasificaciones!C292,'BG 2021'!D:D),0)</f>
        <v>0</v>
      </c>
      <c r="L292" s="887"/>
      <c r="M292" s="63">
        <f>IF(F292="I",SUMIF('BG 2021'!B:B,Clasificaciones!C292,'BG 2021'!E:E),0)</f>
        <v>0</v>
      </c>
      <c r="N292" s="887"/>
      <c r="O292" s="47">
        <f>IF(F292="I",SUMIF('BG 062021'!A:A,Clasificaciones!C292,'BG 062021'!C:C),0)</f>
        <v>781466</v>
      </c>
      <c r="P292" s="887"/>
      <c r="Q292" s="63">
        <f>IF(F292="I",SUMIF('BG 062021'!A:A,Clasificaciones!C292,'BG 062021'!D:D),0)</f>
        <v>116.05</v>
      </c>
    </row>
    <row r="293" spans="1:18" s="888" customFormat="1" hidden="1">
      <c r="A293" s="885" t="s">
        <v>3</v>
      </c>
      <c r="B293" s="885" t="s">
        <v>604</v>
      </c>
      <c r="C293" s="889">
        <v>1130804</v>
      </c>
      <c r="D293" s="889" t="s">
        <v>585</v>
      </c>
      <c r="E293" s="886" t="s">
        <v>6</v>
      </c>
      <c r="F293" s="886" t="s">
        <v>271</v>
      </c>
      <c r="G293" s="47">
        <f>IF(F293="I",IFERROR(VLOOKUP(C293,'BG 062022'!A:C,3,FALSE),0),0)</f>
        <v>43548</v>
      </c>
      <c r="H293" s="885"/>
      <c r="I293" s="63">
        <f>IF(F293="I",IFERROR(VLOOKUP(C293,'BG 062022'!A:D,4,FALSE),0),0)</f>
        <v>6.37</v>
      </c>
      <c r="J293" s="887"/>
      <c r="K293" s="47">
        <f>IF(F293="I",SUMIF('BG 2021'!B:B,Clasificaciones!C293,'BG 2021'!D:D),0)</f>
        <v>0</v>
      </c>
      <c r="L293" s="887"/>
      <c r="M293" s="63">
        <f>IF(F293="I",SUMIF('BG 2021'!B:B,Clasificaciones!C293,'BG 2021'!E:E),0)</f>
        <v>0</v>
      </c>
      <c r="N293" s="887"/>
      <c r="O293" s="47">
        <f>IF(F293="I",SUMIF('BG 062021'!A:A,Clasificaciones!C293,'BG 062021'!C:C),0)</f>
        <v>36470619</v>
      </c>
      <c r="P293" s="887"/>
      <c r="Q293" s="63">
        <f>IF(F293="I",SUMIF('BG 062021'!A:A,Clasificaciones!C293,'BG 062021'!D:D),0)</f>
        <v>5415.91</v>
      </c>
      <c r="R293" s="888">
        <f>+VLOOKUP(C293,'CA EFE'!A:A,1,FALSE)</f>
        <v>1130804</v>
      </c>
    </row>
    <row r="294" spans="1:18" s="888" customFormat="1" hidden="1">
      <c r="A294" s="885" t="s">
        <v>3</v>
      </c>
      <c r="B294" s="885" t="s">
        <v>604</v>
      </c>
      <c r="C294" s="889">
        <v>1130805</v>
      </c>
      <c r="D294" s="889" t="s">
        <v>698</v>
      </c>
      <c r="E294" s="886" t="s">
        <v>6</v>
      </c>
      <c r="F294" s="886" t="s">
        <v>271</v>
      </c>
      <c r="G294" s="47">
        <f>IF(F294="I",IFERROR(VLOOKUP(C294,'BG 062022'!A:C,3,FALSE),0),0)</f>
        <v>0</v>
      </c>
      <c r="H294" s="885"/>
      <c r="I294" s="63">
        <f>IF(F294="I",IFERROR(VLOOKUP(C294,'BG 062022'!A:D,4,FALSE),0),0)</f>
        <v>0</v>
      </c>
      <c r="J294" s="887"/>
      <c r="K294" s="47">
        <f>IF(F294="I",SUMIF('BG 2021'!B:B,Clasificaciones!C294,'BG 2021'!D:D),0)</f>
        <v>129477</v>
      </c>
      <c r="L294" s="887"/>
      <c r="M294" s="63">
        <f>IF(F294="I",SUMIF('BG 2021'!B:B,Clasificaciones!C294,'BG 2021'!E:E),0)</f>
        <v>18.840000000000003</v>
      </c>
      <c r="N294" s="887"/>
      <c r="O294" s="47">
        <f>IF(F294="I",SUMIF('BG 062021'!A:A,Clasificaciones!C294,'BG 062021'!C:C),0)</f>
        <v>129477</v>
      </c>
      <c r="P294" s="887"/>
      <c r="Q294" s="63">
        <f>IF(F294="I",SUMIF('BG 062021'!A:A,Clasificaciones!C294,'BG 062021'!D:D),0)</f>
        <v>19.23</v>
      </c>
      <c r="R294" s="888">
        <f>+VLOOKUP(C294,'CA EFE'!A:A,1,FALSE)</f>
        <v>1130805</v>
      </c>
    </row>
    <row r="295" spans="1:18" s="888" customFormat="1" hidden="1">
      <c r="A295" s="885" t="s">
        <v>3</v>
      </c>
      <c r="B295" s="885"/>
      <c r="C295" s="889">
        <v>1130806</v>
      </c>
      <c r="D295" s="889" t="s">
        <v>963</v>
      </c>
      <c r="E295" s="886" t="s">
        <v>6</v>
      </c>
      <c r="F295" s="886" t="s">
        <v>271</v>
      </c>
      <c r="G295" s="47">
        <f>IF(F295="I",IFERROR(VLOOKUP(C295,'BG 062022'!A:C,3,FALSE),0),0)</f>
        <v>0</v>
      </c>
      <c r="H295" s="885"/>
      <c r="I295" s="63">
        <f>IF(F295="I",IFERROR(VLOOKUP(C295,'BG 062022'!A:D,4,FALSE),0),0)</f>
        <v>0</v>
      </c>
      <c r="J295" s="887"/>
      <c r="K295" s="47">
        <f>IF(F295="I",SUMIF('BG 2021'!B:B,Clasificaciones!C295,'BG 2021'!D:D),0)</f>
        <v>0</v>
      </c>
      <c r="L295" s="887"/>
      <c r="M295" s="63">
        <f>IF(F295="I",SUMIF('BG 2021'!B:B,Clasificaciones!C295,'BG 2021'!E:E),0)</f>
        <v>0</v>
      </c>
      <c r="N295" s="887"/>
      <c r="O295" s="47">
        <f>IF(F295="I",SUMIF('BG 062021'!A:A,Clasificaciones!C295,'BG 062021'!C:C),0)</f>
        <v>0</v>
      </c>
      <c r="P295" s="887"/>
      <c r="Q295" s="63">
        <f>IF(F295="I",SUMIF('BG 062021'!A:A,Clasificaciones!C295,'BG 062021'!D:D),0)</f>
        <v>0</v>
      </c>
    </row>
    <row r="296" spans="1:18" s="888" customFormat="1" hidden="1">
      <c r="A296" s="885" t="s">
        <v>3</v>
      </c>
      <c r="B296" s="885" t="s">
        <v>604</v>
      </c>
      <c r="C296" s="889">
        <v>1130807</v>
      </c>
      <c r="D296" s="889" t="s">
        <v>1560</v>
      </c>
      <c r="E296" s="886" t="s">
        <v>6</v>
      </c>
      <c r="F296" s="886" t="s">
        <v>271</v>
      </c>
      <c r="G296" s="47">
        <f>IF(F296="I",IFERROR(VLOOKUP(C296,'BG 062022'!A:C,3,FALSE),0),0)</f>
        <v>99961674</v>
      </c>
      <c r="H296" s="885"/>
      <c r="I296" s="63">
        <f>IF(F296="I",IFERROR(VLOOKUP(C296,'BG 062022'!A:D,4,FALSE),0),0)</f>
        <v>14618.77</v>
      </c>
      <c r="J296" s="887"/>
      <c r="K296" s="47">
        <f>IF(F296="I",SUMIF('BG 2021'!B:B,Clasificaciones!C296,'BG 2021'!D:D),0)</f>
        <v>0</v>
      </c>
      <c r="L296" s="887"/>
      <c r="M296" s="63">
        <f>IF(F296="I",SUMIF('BG 2021'!B:B,Clasificaciones!C296,'BG 2021'!E:E),0)</f>
        <v>0</v>
      </c>
      <c r="N296" s="887"/>
      <c r="O296" s="47">
        <f>IF(F296="I",SUMIF('BG 062021'!A:A,Clasificaciones!C296,'BG 062021'!C:C),0)</f>
        <v>0</v>
      </c>
      <c r="P296" s="887"/>
      <c r="Q296" s="63">
        <f>IF(F296="I",SUMIF('BG 062021'!A:A,Clasificaciones!C296,'BG 062021'!D:D),0)</f>
        <v>0</v>
      </c>
    </row>
    <row r="297" spans="1:18" s="888" customFormat="1" hidden="1">
      <c r="A297" s="885" t="s">
        <v>3</v>
      </c>
      <c r="B297" s="885"/>
      <c r="C297" s="889">
        <v>11309</v>
      </c>
      <c r="D297" s="889" t="s">
        <v>699</v>
      </c>
      <c r="E297" s="886" t="s">
        <v>6</v>
      </c>
      <c r="F297" s="886" t="s">
        <v>270</v>
      </c>
      <c r="G297" s="47">
        <f>IF(F297="I",IFERROR(VLOOKUP(C297,'BG 062022'!A:C,3,FALSE),0),0)</f>
        <v>0</v>
      </c>
      <c r="H297" s="885"/>
      <c r="I297" s="63">
        <f>IF(F297="I",IFERROR(VLOOKUP(C297,'BG 062022'!A:D,4,FALSE),0),0)</f>
        <v>0</v>
      </c>
      <c r="J297" s="887"/>
      <c r="K297" s="47">
        <f>IF(F297="I",SUMIF('BG 2021'!B:B,Clasificaciones!C297,'BG 2021'!D:D),0)</f>
        <v>0</v>
      </c>
      <c r="L297" s="887"/>
      <c r="M297" s="63">
        <f>IF(F297="I",SUMIF('BG 2021'!B:B,Clasificaciones!C297,'BG 2021'!E:E),0)</f>
        <v>0</v>
      </c>
      <c r="N297" s="887"/>
      <c r="O297" s="47">
        <f>IF(F297="I",SUMIF('BG 062021'!A:A,Clasificaciones!C297,'BG 062021'!C:C),0)</f>
        <v>0</v>
      </c>
      <c r="P297" s="887"/>
      <c r="Q297" s="63">
        <f>IF(F297="I",SUMIF('BG 062021'!A:A,Clasificaciones!C297,'BG 062021'!D:D),0)</f>
        <v>0</v>
      </c>
    </row>
    <row r="298" spans="1:18" s="888" customFormat="1" hidden="1">
      <c r="A298" s="885" t="s">
        <v>3</v>
      </c>
      <c r="B298" s="885"/>
      <c r="C298" s="889">
        <v>1130901</v>
      </c>
      <c r="D298" s="889" t="s">
        <v>964</v>
      </c>
      <c r="E298" s="886" t="s">
        <v>6</v>
      </c>
      <c r="F298" s="886" t="s">
        <v>270</v>
      </c>
      <c r="G298" s="47">
        <f>IF(F298="I",IFERROR(VLOOKUP(C298,'BG 062022'!A:C,3,FALSE),0),0)</f>
        <v>0</v>
      </c>
      <c r="H298" s="885"/>
      <c r="I298" s="63">
        <f>IF(F298="I",IFERROR(VLOOKUP(C298,'BG 062022'!A:D,4,FALSE),0),0)</f>
        <v>0</v>
      </c>
      <c r="J298" s="887"/>
      <c r="K298" s="47">
        <f>IF(F298="I",SUMIF('BG 2021'!B:B,Clasificaciones!C298,'BG 2021'!D:D),0)</f>
        <v>0</v>
      </c>
      <c r="L298" s="887"/>
      <c r="M298" s="63">
        <f>IF(F298="I",SUMIF('BG 2021'!B:B,Clasificaciones!C298,'BG 2021'!E:E),0)</f>
        <v>0</v>
      </c>
      <c r="N298" s="887"/>
      <c r="O298" s="47">
        <f>IF(F298="I",SUMIF('BG 062021'!A:A,Clasificaciones!C298,'BG 062021'!C:C),0)</f>
        <v>0</v>
      </c>
      <c r="P298" s="887"/>
      <c r="Q298" s="63">
        <f>IF(F298="I",SUMIF('BG 062021'!A:A,Clasificaciones!C298,'BG 062021'!D:D),0)</f>
        <v>0</v>
      </c>
    </row>
    <row r="299" spans="1:18" s="888" customFormat="1" hidden="1">
      <c r="A299" s="885" t="s">
        <v>3</v>
      </c>
      <c r="B299" s="885" t="s">
        <v>604</v>
      </c>
      <c r="C299" s="889">
        <v>113090101</v>
      </c>
      <c r="D299" s="889" t="s">
        <v>267</v>
      </c>
      <c r="E299" s="886" t="s">
        <v>6</v>
      </c>
      <c r="F299" s="886" t="s">
        <v>271</v>
      </c>
      <c r="G299" s="47">
        <f>IF(F299="I",IFERROR(VLOOKUP(C299,'BG 062022'!A:C,3,FALSE),0),0)</f>
        <v>0</v>
      </c>
      <c r="H299" s="885"/>
      <c r="I299" s="63">
        <f>IF(F299="I",IFERROR(VLOOKUP(C299,'BG 062022'!A:D,4,FALSE),0),0)</f>
        <v>0</v>
      </c>
      <c r="J299" s="887"/>
      <c r="K299" s="47">
        <f>IF(F299="I",SUMIF('BG 2021'!B:B,Clasificaciones!C299,'BG 2021'!D:D),0)</f>
        <v>0</v>
      </c>
      <c r="L299" s="887"/>
      <c r="M299" s="63">
        <f>IF(F299="I",SUMIF('BG 2021'!B:B,Clasificaciones!C299,'BG 2021'!E:E),0)</f>
        <v>0</v>
      </c>
      <c r="N299" s="887"/>
      <c r="O299" s="47">
        <f>IF(F299="I",SUMIF('BG 062021'!A:A,Clasificaciones!C299,'BG 062021'!C:C),0)</f>
        <v>640238</v>
      </c>
      <c r="P299" s="887"/>
      <c r="Q299" s="63">
        <f>IF(F299="I",SUMIF('BG 062021'!A:A,Clasificaciones!C299,'BG 062021'!D:D),0)</f>
        <v>95.08</v>
      </c>
      <c r="R299" s="888">
        <f>+VLOOKUP(C299,'CA EFE'!A:A,1,FALSE)</f>
        <v>113090101</v>
      </c>
    </row>
    <row r="300" spans="1:18" s="888" customFormat="1" hidden="1">
      <c r="A300" s="885" t="s">
        <v>3</v>
      </c>
      <c r="B300" s="885" t="s">
        <v>604</v>
      </c>
      <c r="C300" s="889">
        <v>113090102</v>
      </c>
      <c r="D300" s="889" t="s">
        <v>965</v>
      </c>
      <c r="E300" s="886" t="s">
        <v>186</v>
      </c>
      <c r="F300" s="886" t="s">
        <v>271</v>
      </c>
      <c r="G300" s="47">
        <f>IF(F300="I",IFERROR(VLOOKUP(C300,'BG 062022'!A:C,3,FALSE),0),0)</f>
        <v>0</v>
      </c>
      <c r="H300" s="885"/>
      <c r="I300" s="63">
        <f>IF(F300="I",IFERROR(VLOOKUP(C300,'BG 062022'!A:D,4,FALSE),0),0)</f>
        <v>0</v>
      </c>
      <c r="J300" s="887"/>
      <c r="K300" s="47">
        <f>IF(F300="I",SUMIF('BG 2021'!B:B,Clasificaciones!C300,'BG 2021'!D:D),0)</f>
        <v>0</v>
      </c>
      <c r="L300" s="887"/>
      <c r="M300" s="63">
        <f>IF(F300="I",SUMIF('BG 2021'!B:B,Clasificaciones!C300,'BG 2021'!E:E),0)</f>
        <v>0</v>
      </c>
      <c r="N300" s="887"/>
      <c r="O300" s="47">
        <f>IF(F300="I",SUMIF('BG 062021'!A:A,Clasificaciones!C300,'BG 062021'!C:C),0)</f>
        <v>222221</v>
      </c>
      <c r="P300" s="887"/>
      <c r="Q300" s="63">
        <f>IF(F300="I",SUMIF('BG 062021'!A:A,Clasificaciones!C300,'BG 062021'!D:D),0)</f>
        <v>33</v>
      </c>
      <c r="R300" s="888">
        <f>+VLOOKUP(C300,'CA EFE'!A:A,1,FALSE)</f>
        <v>113090102</v>
      </c>
    </row>
    <row r="301" spans="1:18" s="888" customFormat="1" hidden="1">
      <c r="A301" s="885" t="s">
        <v>3</v>
      </c>
      <c r="B301" s="885"/>
      <c r="C301" s="889">
        <v>1130902</v>
      </c>
      <c r="D301" s="889" t="s">
        <v>700</v>
      </c>
      <c r="E301" s="886" t="s">
        <v>6</v>
      </c>
      <c r="F301" s="886" t="s">
        <v>270</v>
      </c>
      <c r="G301" s="47">
        <f>IF(F301="I",IFERROR(VLOOKUP(C301,'BG 062022'!A:C,3,FALSE),0),0)</f>
        <v>0</v>
      </c>
      <c r="H301" s="885"/>
      <c r="I301" s="63">
        <f>IF(F301="I",IFERROR(VLOOKUP(C301,'BG 062022'!A:D,4,FALSE),0),0)</f>
        <v>0</v>
      </c>
      <c r="J301" s="887"/>
      <c r="K301" s="47">
        <f>IF(F301="I",SUMIF('BG 2021'!B:B,Clasificaciones!C301,'BG 2021'!D:D),0)</f>
        <v>0</v>
      </c>
      <c r="L301" s="887"/>
      <c r="M301" s="63">
        <f>IF(F301="I",SUMIF('BG 2021'!B:B,Clasificaciones!C301,'BG 2021'!E:E),0)</f>
        <v>0</v>
      </c>
      <c r="N301" s="887"/>
      <c r="O301" s="47">
        <f>IF(F301="I",SUMIF('BG 062021'!A:A,Clasificaciones!C301,'BG 062021'!C:C),0)</f>
        <v>0</v>
      </c>
      <c r="P301" s="887"/>
      <c r="Q301" s="63">
        <f>IF(F301="I",SUMIF('BG 062021'!A:A,Clasificaciones!C301,'BG 062021'!D:D),0)</f>
        <v>0</v>
      </c>
    </row>
    <row r="302" spans="1:18" s="888" customFormat="1" hidden="1">
      <c r="A302" s="885" t="s">
        <v>3</v>
      </c>
      <c r="B302" s="885" t="s">
        <v>18</v>
      </c>
      <c r="C302" s="889">
        <v>113090201</v>
      </c>
      <c r="D302" s="889" t="s">
        <v>701</v>
      </c>
      <c r="E302" s="886" t="s">
        <v>6</v>
      </c>
      <c r="F302" s="886" t="s">
        <v>271</v>
      </c>
      <c r="G302" s="47">
        <f>IF(F302="I",IFERROR(VLOOKUP(C302,'BG 062022'!A:C,3,FALSE),0),0)</f>
        <v>0</v>
      </c>
      <c r="H302" s="885"/>
      <c r="I302" s="63">
        <f>IF(F302="I",IFERROR(VLOOKUP(C302,'BG 062022'!A:D,4,FALSE),0),0)</f>
        <v>0</v>
      </c>
      <c r="J302" s="887"/>
      <c r="K302" s="47">
        <f>IF(F302="I",SUMIF('BG 2021'!B:B,Clasificaciones!C302,'BG 2021'!D:D),0)</f>
        <v>2276738</v>
      </c>
      <c r="L302" s="887"/>
      <c r="M302" s="63">
        <f>IF(F302="I",SUMIF('BG 2021'!B:B,Clasificaciones!C302,'BG 2021'!E:E),0)</f>
        <v>334.83000000000004</v>
      </c>
      <c r="N302" s="887"/>
      <c r="O302" s="47">
        <f>IF(F302="I",SUMIF('BG 062021'!A:A,Clasificaciones!C302,'BG 062021'!C:C),0)</f>
        <v>5126738</v>
      </c>
      <c r="P302" s="887"/>
      <c r="Q302" s="63">
        <f>IF(F302="I",SUMIF('BG 062021'!A:A,Clasificaciones!C302,'BG 062021'!D:D),0)</f>
        <v>761.32</v>
      </c>
      <c r="R302" s="888">
        <f>+VLOOKUP(C302,'CA EFE'!A:A,1,FALSE)</f>
        <v>113090201</v>
      </c>
    </row>
    <row r="303" spans="1:18" s="888" customFormat="1" hidden="1">
      <c r="A303" s="885" t="s">
        <v>3</v>
      </c>
      <c r="B303" s="885"/>
      <c r="C303" s="889">
        <v>113090202</v>
      </c>
      <c r="D303" s="889" t="s">
        <v>966</v>
      </c>
      <c r="E303" s="886" t="s">
        <v>186</v>
      </c>
      <c r="F303" s="886" t="s">
        <v>271</v>
      </c>
      <c r="G303" s="47">
        <f>IF(F303="I",IFERROR(VLOOKUP(C303,'BG 062022'!A:C,3,FALSE),0),0)</f>
        <v>0</v>
      </c>
      <c r="H303" s="885"/>
      <c r="I303" s="63">
        <f>IF(F303="I",IFERROR(VLOOKUP(C303,'BG 062022'!A:D,4,FALSE),0),0)</f>
        <v>0</v>
      </c>
      <c r="J303" s="887"/>
      <c r="K303" s="47">
        <f>IF(F303="I",SUMIF('BG 2021'!B:B,Clasificaciones!C303,'BG 2021'!D:D),0)</f>
        <v>0</v>
      </c>
      <c r="L303" s="887"/>
      <c r="M303" s="63">
        <f>IF(F303="I",SUMIF('BG 2021'!B:B,Clasificaciones!C303,'BG 2021'!E:E),0)</f>
        <v>0</v>
      </c>
      <c r="N303" s="887"/>
      <c r="O303" s="47">
        <f>IF(F303="I",SUMIF('BG 062021'!A:A,Clasificaciones!C303,'BG 062021'!C:C),0)</f>
        <v>0</v>
      </c>
      <c r="P303" s="887"/>
      <c r="Q303" s="63">
        <f>IF(F303="I",SUMIF('BG 062021'!A:A,Clasificaciones!C303,'BG 062021'!D:D),0)</f>
        <v>0</v>
      </c>
    </row>
    <row r="304" spans="1:18" s="888" customFormat="1" hidden="1">
      <c r="A304" s="885" t="s">
        <v>3</v>
      </c>
      <c r="B304" s="885"/>
      <c r="C304" s="889">
        <v>1130903</v>
      </c>
      <c r="D304" s="889" t="s">
        <v>967</v>
      </c>
      <c r="E304" s="886" t="s">
        <v>6</v>
      </c>
      <c r="F304" s="886" t="s">
        <v>270</v>
      </c>
      <c r="G304" s="47">
        <f>IF(F304="I",IFERROR(VLOOKUP(C304,'BG 062022'!A:C,3,FALSE),0),0)</f>
        <v>0</v>
      </c>
      <c r="H304" s="885"/>
      <c r="I304" s="63">
        <f>IF(F304="I",IFERROR(VLOOKUP(C304,'BG 062022'!A:D,4,FALSE),0),0)</f>
        <v>0</v>
      </c>
      <c r="J304" s="887"/>
      <c r="K304" s="47">
        <f>IF(F304="I",SUMIF('BG 2021'!B:B,Clasificaciones!C304,'BG 2021'!D:D),0)</f>
        <v>0</v>
      </c>
      <c r="L304" s="887"/>
      <c r="M304" s="63">
        <f>IF(F304="I",SUMIF('BG 2021'!B:B,Clasificaciones!C304,'BG 2021'!E:E),0)</f>
        <v>0</v>
      </c>
      <c r="N304" s="887"/>
      <c r="O304" s="47">
        <f>IF(F304="I",SUMIF('BG 062021'!A:A,Clasificaciones!C304,'BG 062021'!C:C),0)</f>
        <v>0</v>
      </c>
      <c r="P304" s="887"/>
      <c r="Q304" s="63">
        <f>IF(F304="I",SUMIF('BG 062021'!A:A,Clasificaciones!C304,'BG 062021'!D:D),0)</f>
        <v>0</v>
      </c>
    </row>
    <row r="305" spans="1:18" s="888" customFormat="1" hidden="1">
      <c r="A305" s="885" t="s">
        <v>3</v>
      </c>
      <c r="B305" s="885"/>
      <c r="C305" s="889">
        <v>113090301</v>
      </c>
      <c r="D305" s="889" t="s">
        <v>968</v>
      </c>
      <c r="E305" s="886" t="s">
        <v>6</v>
      </c>
      <c r="F305" s="886" t="s">
        <v>271</v>
      </c>
      <c r="G305" s="47">
        <f>IF(F305="I",IFERROR(VLOOKUP(C305,'BG 062022'!A:C,3,FALSE),0),0)</f>
        <v>0</v>
      </c>
      <c r="H305" s="885"/>
      <c r="I305" s="63">
        <f>IF(F305="I",IFERROR(VLOOKUP(C305,'BG 062022'!A:D,4,FALSE),0),0)</f>
        <v>0</v>
      </c>
      <c r="J305" s="887"/>
      <c r="K305" s="47">
        <f>IF(F305="I",SUMIF('BG 2021'!B:B,Clasificaciones!C305,'BG 2021'!D:D),0)</f>
        <v>0</v>
      </c>
      <c r="L305" s="887"/>
      <c r="M305" s="63">
        <f>IF(F305="I",SUMIF('BG 2021'!B:B,Clasificaciones!C305,'BG 2021'!E:E),0)</f>
        <v>0</v>
      </c>
      <c r="N305" s="887"/>
      <c r="O305" s="47">
        <f>IF(F305="I",SUMIF('BG 062021'!A:A,Clasificaciones!C305,'BG 062021'!C:C),0)</f>
        <v>0</v>
      </c>
      <c r="P305" s="887"/>
      <c r="Q305" s="63">
        <f>IF(F305="I",SUMIF('BG 062021'!A:A,Clasificaciones!C305,'BG 062021'!D:D),0)</f>
        <v>0</v>
      </c>
    </row>
    <row r="306" spans="1:18" s="888" customFormat="1" hidden="1">
      <c r="A306" s="885" t="s">
        <v>3</v>
      </c>
      <c r="B306" s="885"/>
      <c r="C306" s="889">
        <v>113090302</v>
      </c>
      <c r="D306" s="889" t="s">
        <v>969</v>
      </c>
      <c r="E306" s="886" t="s">
        <v>6</v>
      </c>
      <c r="F306" s="886" t="s">
        <v>271</v>
      </c>
      <c r="G306" s="47">
        <f>IF(F306="I",IFERROR(VLOOKUP(C306,'BG 062022'!A:C,3,FALSE),0),0)</f>
        <v>0</v>
      </c>
      <c r="H306" s="885"/>
      <c r="I306" s="63">
        <f>IF(F306="I",IFERROR(VLOOKUP(C306,'BG 062022'!A:D,4,FALSE),0),0)</f>
        <v>0</v>
      </c>
      <c r="J306" s="887"/>
      <c r="K306" s="47">
        <f>IF(F306="I",SUMIF('BG 2021'!B:B,Clasificaciones!C306,'BG 2021'!D:D),0)</f>
        <v>0</v>
      </c>
      <c r="L306" s="887"/>
      <c r="M306" s="63">
        <f>IF(F306="I",SUMIF('BG 2021'!B:B,Clasificaciones!C306,'BG 2021'!E:E),0)</f>
        <v>0</v>
      </c>
      <c r="N306" s="887"/>
      <c r="O306" s="47">
        <f>IF(F306="I",SUMIF('BG 062021'!A:A,Clasificaciones!C306,'BG 062021'!C:C),0)</f>
        <v>0</v>
      </c>
      <c r="P306" s="887"/>
      <c r="Q306" s="63">
        <f>IF(F306="I",SUMIF('BG 062021'!A:A,Clasificaciones!C306,'BG 062021'!D:D),0)</f>
        <v>0</v>
      </c>
    </row>
    <row r="307" spans="1:18" s="888" customFormat="1" hidden="1">
      <c r="A307" s="885" t="s">
        <v>3</v>
      </c>
      <c r="B307" s="885"/>
      <c r="C307" s="889">
        <v>114</v>
      </c>
      <c r="D307" s="889" t="s">
        <v>970</v>
      </c>
      <c r="E307" s="886" t="s">
        <v>6</v>
      </c>
      <c r="F307" s="886" t="s">
        <v>270</v>
      </c>
      <c r="G307" s="47">
        <f>IF(F307="I",IFERROR(VLOOKUP(C307,'BG 062022'!A:C,3,FALSE),0),0)</f>
        <v>0</v>
      </c>
      <c r="H307" s="885"/>
      <c r="I307" s="63">
        <f>IF(F307="I",IFERROR(VLOOKUP(C307,'BG 062022'!A:D,4,FALSE),0),0)</f>
        <v>0</v>
      </c>
      <c r="J307" s="887"/>
      <c r="K307" s="47">
        <f>IF(F307="I",SUMIF('BG 2021'!B:B,Clasificaciones!C307,'BG 2021'!D:D),0)</f>
        <v>0</v>
      </c>
      <c r="L307" s="887"/>
      <c r="M307" s="63">
        <f>IF(F307="I",SUMIF('BG 2021'!B:B,Clasificaciones!C307,'BG 2021'!E:E),0)</f>
        <v>0</v>
      </c>
      <c r="N307" s="887"/>
      <c r="O307" s="47">
        <f>IF(F307="I",SUMIF('BG 062021'!A:A,Clasificaciones!C307,'BG 062021'!C:C),0)</f>
        <v>0</v>
      </c>
      <c r="P307" s="887"/>
      <c r="Q307" s="63">
        <f>IF(F307="I",SUMIF('BG 062021'!A:A,Clasificaciones!C307,'BG 062021'!D:D),0)</f>
        <v>0</v>
      </c>
    </row>
    <row r="308" spans="1:18" s="888" customFormat="1" hidden="1">
      <c r="A308" s="885" t="s">
        <v>3</v>
      </c>
      <c r="B308" s="885"/>
      <c r="C308" s="889">
        <v>11401</v>
      </c>
      <c r="D308" s="889" t="s">
        <v>335</v>
      </c>
      <c r="E308" s="886" t="s">
        <v>6</v>
      </c>
      <c r="F308" s="886" t="s">
        <v>270</v>
      </c>
      <c r="G308" s="47">
        <f>IF(F308="I",IFERROR(VLOOKUP(C308,'BG 062022'!A:C,3,FALSE),0),0)</f>
        <v>0</v>
      </c>
      <c r="H308" s="885"/>
      <c r="I308" s="63">
        <f>IF(F308="I",IFERROR(VLOOKUP(C308,'BG 062022'!A:D,4,FALSE),0),0)</f>
        <v>0</v>
      </c>
      <c r="J308" s="887"/>
      <c r="K308" s="47">
        <f>IF(F308="I",SUMIF('BG 2021'!B:B,Clasificaciones!C308,'BG 2021'!D:D),0)</f>
        <v>0</v>
      </c>
      <c r="L308" s="887"/>
      <c r="M308" s="63">
        <f>IF(F308="I",SUMIF('BG 2021'!B:B,Clasificaciones!C308,'BG 2021'!E:E),0)</f>
        <v>0</v>
      </c>
      <c r="N308" s="887"/>
      <c r="O308" s="47">
        <f>IF(F308="I",SUMIF('BG 062021'!A:A,Clasificaciones!C308,'BG 062021'!C:C),0)</f>
        <v>0</v>
      </c>
      <c r="P308" s="887"/>
      <c r="Q308" s="63">
        <f>IF(F308="I",SUMIF('BG 062021'!A:A,Clasificaciones!C308,'BG 062021'!D:D),0)</f>
        <v>0</v>
      </c>
    </row>
    <row r="309" spans="1:18" s="888" customFormat="1" hidden="1">
      <c r="A309" s="885" t="s">
        <v>3</v>
      </c>
      <c r="B309" s="885"/>
      <c r="C309" s="889">
        <v>115</v>
      </c>
      <c r="D309" s="889" t="s">
        <v>292</v>
      </c>
      <c r="E309" s="886" t="s">
        <v>6</v>
      </c>
      <c r="F309" s="886" t="s">
        <v>270</v>
      </c>
      <c r="G309" s="47">
        <f>IF(F309="I",IFERROR(VLOOKUP(C309,'BG 062022'!A:C,3,FALSE),0),0)</f>
        <v>0</v>
      </c>
      <c r="H309" s="885"/>
      <c r="I309" s="63">
        <f>IF(F309="I",IFERROR(VLOOKUP(C309,'BG 062022'!A:D,4,FALSE),0),0)</f>
        <v>0</v>
      </c>
      <c r="J309" s="887"/>
      <c r="K309" s="47">
        <f>IF(F309="I",SUMIF('BG 2021'!B:B,Clasificaciones!C309,'BG 2021'!D:D),0)</f>
        <v>0</v>
      </c>
      <c r="L309" s="887"/>
      <c r="M309" s="63">
        <f>IF(F309="I",SUMIF('BG 2021'!B:B,Clasificaciones!C309,'BG 2021'!E:E),0)</f>
        <v>0</v>
      </c>
      <c r="N309" s="887"/>
      <c r="O309" s="47">
        <f>IF(F309="I",SUMIF('BG 062021'!A:A,Clasificaciones!C309,'BG 062021'!C:C),0)</f>
        <v>0</v>
      </c>
      <c r="P309" s="887"/>
      <c r="Q309" s="63">
        <f>IF(F309="I",SUMIF('BG 062021'!A:A,Clasificaciones!C309,'BG 062021'!D:D),0)</f>
        <v>0</v>
      </c>
    </row>
    <row r="310" spans="1:18" s="888" customFormat="1" hidden="1">
      <c r="A310" s="885" t="s">
        <v>3</v>
      </c>
      <c r="B310" s="885"/>
      <c r="C310" s="889">
        <v>11501</v>
      </c>
      <c r="D310" s="889" t="s">
        <v>262</v>
      </c>
      <c r="E310" s="886" t="s">
        <v>6</v>
      </c>
      <c r="F310" s="886" t="s">
        <v>270</v>
      </c>
      <c r="G310" s="47">
        <f>IF(F310="I",IFERROR(VLOOKUP(C310,'BG 062022'!A:C,3,FALSE),0),0)</f>
        <v>0</v>
      </c>
      <c r="H310" s="885"/>
      <c r="I310" s="63">
        <f>IF(F310="I",IFERROR(VLOOKUP(C310,'BG 062022'!A:D,4,FALSE),0),0)</f>
        <v>0</v>
      </c>
      <c r="J310" s="887"/>
      <c r="K310" s="47">
        <f>IF(F310="I",SUMIF('BG 2021'!B:B,Clasificaciones!C310,'BG 2021'!D:D),0)</f>
        <v>0</v>
      </c>
      <c r="L310" s="887"/>
      <c r="M310" s="63">
        <f>IF(F310="I",SUMIF('BG 2021'!B:B,Clasificaciones!C310,'BG 2021'!E:E),0)</f>
        <v>0</v>
      </c>
      <c r="N310" s="887"/>
      <c r="O310" s="47">
        <f>IF(F310="I",SUMIF('BG 062021'!A:A,Clasificaciones!C310,'BG 062021'!C:C),0)</f>
        <v>0</v>
      </c>
      <c r="P310" s="887"/>
      <c r="Q310" s="63">
        <f>IF(F310="I",SUMIF('BG 062021'!A:A,Clasificaciones!C310,'BG 062021'!D:D),0)</f>
        <v>0</v>
      </c>
    </row>
    <row r="311" spans="1:18" s="888" customFormat="1" hidden="1">
      <c r="A311" s="885" t="s">
        <v>3</v>
      </c>
      <c r="B311" s="885" t="s">
        <v>604</v>
      </c>
      <c r="C311" s="889">
        <v>1150101</v>
      </c>
      <c r="D311" s="889" t="s">
        <v>702</v>
      </c>
      <c r="E311" s="886" t="s">
        <v>6</v>
      </c>
      <c r="F311" s="886" t="s">
        <v>271</v>
      </c>
      <c r="G311" s="47">
        <f>IF(F311="I",IFERROR(VLOOKUP(C311,'BG 062022'!A:C,3,FALSE),0),0)</f>
        <v>0</v>
      </c>
      <c r="H311" s="885"/>
      <c r="I311" s="63">
        <f>IF(F311="I",IFERROR(VLOOKUP(C311,'BG 062022'!A:D,4,FALSE),0),0)</f>
        <v>0</v>
      </c>
      <c r="J311" s="887"/>
      <c r="K311" s="47">
        <f>IF(F311="I",SUMIF('BG 2021'!B:B,Clasificaciones!C311,'BG 2021'!D:D),0)</f>
        <v>0</v>
      </c>
      <c r="L311" s="887"/>
      <c r="M311" s="63">
        <f>IF(F311="I",SUMIF('BG 2021'!B:B,Clasificaciones!C311,'BG 2021'!E:E),0)</f>
        <v>0</v>
      </c>
      <c r="N311" s="887"/>
      <c r="O311" s="47">
        <f>IF(F311="I",SUMIF('BG 062021'!A:A,Clasificaciones!C311,'BG 062021'!C:C),0)</f>
        <v>1217100</v>
      </c>
      <c r="P311" s="887"/>
      <c r="Q311" s="63">
        <f>IF(F311="I",SUMIF('BG 062021'!A:A,Clasificaciones!C311,'BG 062021'!D:D),0)</f>
        <v>180.74</v>
      </c>
    </row>
    <row r="312" spans="1:18" s="888" customFormat="1" hidden="1">
      <c r="A312" s="885" t="s">
        <v>3</v>
      </c>
      <c r="B312" s="885" t="s">
        <v>604</v>
      </c>
      <c r="C312" s="889">
        <v>1150102</v>
      </c>
      <c r="D312" s="889" t="s">
        <v>170</v>
      </c>
      <c r="E312" s="886" t="s">
        <v>186</v>
      </c>
      <c r="F312" s="886" t="s">
        <v>271</v>
      </c>
      <c r="G312" s="47">
        <f>IF(F312="I",IFERROR(VLOOKUP(C312,'BG 062022'!A:C,3,FALSE),0),0)</f>
        <v>41324400</v>
      </c>
      <c r="H312" s="885"/>
      <c r="I312" s="63">
        <f>IF(F312="I",IFERROR(VLOOKUP(C312,'BG 062022'!A:D,4,FALSE),0),0)</f>
        <v>6000</v>
      </c>
      <c r="J312" s="887"/>
      <c r="K312" s="47">
        <f>IF(F312="I",SUMIF('BG 2021'!B:B,Clasificaciones!C312,'BG 2021'!D:D),0)</f>
        <v>0</v>
      </c>
      <c r="L312" s="887"/>
      <c r="M312" s="63">
        <f>IF(F312="I",SUMIF('BG 2021'!B:B,Clasificaciones!C312,'BG 2021'!E:E),0)</f>
        <v>0</v>
      </c>
      <c r="N312" s="887"/>
      <c r="O312" s="47">
        <f>IF(F312="I",SUMIF('BG 062021'!A:A,Clasificaciones!C312,'BG 062021'!C:C),0)</f>
        <v>40403880</v>
      </c>
      <c r="P312" s="887"/>
      <c r="Q312" s="63">
        <f>IF(F312="I",SUMIF('BG 062021'!A:A,Clasificaciones!C312,'BG 062021'!D:D),0)</f>
        <v>6000</v>
      </c>
      <c r="R312" s="888">
        <f>+VLOOKUP(C312,'CA EFE'!A:A,1,FALSE)</f>
        <v>1150102</v>
      </c>
    </row>
    <row r="313" spans="1:18" s="888" customFormat="1" hidden="1">
      <c r="A313" s="885" t="s">
        <v>3</v>
      </c>
      <c r="B313" s="885" t="s">
        <v>604</v>
      </c>
      <c r="C313" s="889">
        <v>1150103</v>
      </c>
      <c r="D313" s="889" t="s">
        <v>971</v>
      </c>
      <c r="E313" s="886" t="s">
        <v>186</v>
      </c>
      <c r="F313" s="886" t="s">
        <v>271</v>
      </c>
      <c r="G313" s="47">
        <f>IF(F313="I",IFERROR(VLOOKUP(C313,'BG 062022'!A:C,3,FALSE),0),0)</f>
        <v>4355833</v>
      </c>
      <c r="H313" s="885"/>
      <c r="I313" s="63">
        <f>IF(F313="I",IFERROR(VLOOKUP(C313,'BG 062022'!A:D,4,FALSE),0),0)</f>
        <v>637.52</v>
      </c>
      <c r="J313" s="887"/>
      <c r="K313" s="47">
        <f>IF(F313="I",SUMIF('BG 2021'!B:B,Clasificaciones!C313,'BG 2021'!D:D),0)</f>
        <v>2472234</v>
      </c>
      <c r="L313" s="887"/>
      <c r="M313" s="63">
        <f>IF(F313="I",SUMIF('BG 2021'!B:B,Clasificaciones!C313,'BG 2021'!E:E),0)</f>
        <v>363.64</v>
      </c>
      <c r="N313" s="887"/>
      <c r="O313" s="47">
        <f>IF(F313="I",SUMIF('BG 062021'!A:A,Clasificaciones!C313,'BG 062021'!C:C),0)</f>
        <v>2938440</v>
      </c>
      <c r="P313" s="887"/>
      <c r="Q313" s="63">
        <f>IF(F313="I",SUMIF('BG 062021'!A:A,Clasificaciones!C313,'BG 062021'!D:D),0)</f>
        <v>436.36</v>
      </c>
      <c r="R313" s="888">
        <f>+VLOOKUP(C313,'CA EFE'!A:A,1,FALSE)</f>
        <v>1150103</v>
      </c>
    </row>
    <row r="314" spans="1:18" s="888" customFormat="1" hidden="1">
      <c r="A314" s="885" t="s">
        <v>3</v>
      </c>
      <c r="B314" s="885" t="s">
        <v>604</v>
      </c>
      <c r="C314" s="889">
        <v>1150104</v>
      </c>
      <c r="D314" s="889" t="s">
        <v>703</v>
      </c>
      <c r="E314" s="886" t="s">
        <v>186</v>
      </c>
      <c r="F314" s="886" t="s">
        <v>271</v>
      </c>
      <c r="G314" s="47">
        <f>IF(F314="I",IFERROR(VLOOKUP(C314,'BG 062022'!A:C,3,FALSE),0),0)</f>
        <v>52333572</v>
      </c>
      <c r="H314" s="885"/>
      <c r="I314" s="63">
        <f>IF(F314="I",IFERROR(VLOOKUP(C314,'BG 062022'!A:D,4,FALSE),0),0)</f>
        <v>7500</v>
      </c>
      <c r="J314" s="887"/>
      <c r="K314" s="47">
        <f>IF(F314="I",SUMIF('BG 2021'!B:B,Clasificaciones!C314,'BG 2021'!D:D),0)</f>
        <v>0</v>
      </c>
      <c r="L314" s="887"/>
      <c r="M314" s="63">
        <f>IF(F314="I",SUMIF('BG 2021'!B:B,Clasificaciones!C314,'BG 2021'!E:E),0)</f>
        <v>0</v>
      </c>
      <c r="N314" s="887"/>
      <c r="O314" s="47">
        <f>IF(F314="I",SUMIF('BG 062021'!A:A,Clasificaciones!C314,'BG 062021'!C:C),0)</f>
        <v>50504850</v>
      </c>
      <c r="P314" s="887"/>
      <c r="Q314" s="63">
        <f>IF(F314="I",SUMIF('BG 062021'!A:A,Clasificaciones!C314,'BG 062021'!D:D),0)</f>
        <v>7500</v>
      </c>
      <c r="R314" s="888">
        <f>+VLOOKUP(C314,'CA EFE'!A:A,1,FALSE)</f>
        <v>1150104</v>
      </c>
    </row>
    <row r="315" spans="1:18" s="888" customFormat="1" hidden="1">
      <c r="A315" s="885" t="s">
        <v>3</v>
      </c>
      <c r="B315" s="885" t="s">
        <v>604</v>
      </c>
      <c r="C315" s="889">
        <v>1150105</v>
      </c>
      <c r="D315" s="889" t="s">
        <v>1231</v>
      </c>
      <c r="E315" s="886" t="s">
        <v>186</v>
      </c>
      <c r="F315" s="886" t="s">
        <v>271</v>
      </c>
      <c r="G315" s="47">
        <f>IF(F315="I",IFERROR(VLOOKUP(C315,'BG 062022'!A:C,3,FALSE),0),0)</f>
        <v>1801930</v>
      </c>
      <c r="H315" s="885"/>
      <c r="I315" s="63">
        <f>IF(F315="I",IFERROR(VLOOKUP(C315,'BG 062022'!A:D,4,FALSE),0),0)</f>
        <v>260</v>
      </c>
      <c r="J315" s="887"/>
      <c r="K315" s="47">
        <f>IF(F315="I",SUMIF('BG 2021'!B:B,Clasificaciones!C315,'BG 2021'!D:D),0)</f>
        <v>12613510</v>
      </c>
      <c r="L315" s="887"/>
      <c r="M315" s="63">
        <f>IF(F315="I",SUMIF('BG 2021'!B:B,Clasificaciones!C315,'BG 2021'!E:E),0)</f>
        <v>1820</v>
      </c>
      <c r="N315" s="887"/>
      <c r="O315" s="47">
        <f>IF(F315="I",SUMIF('BG 062021'!A:A,Clasificaciones!C315,'BG 062021'!C:C),0)</f>
        <v>0</v>
      </c>
      <c r="P315" s="887"/>
      <c r="Q315" s="63">
        <f>IF(F315="I",SUMIF('BG 062021'!A:A,Clasificaciones!C315,'BG 062021'!D:D),0)</f>
        <v>0</v>
      </c>
      <c r="R315" s="888">
        <f>+VLOOKUP(C315,'CA EFE'!A:A,1,FALSE)</f>
        <v>1150105</v>
      </c>
    </row>
    <row r="316" spans="1:18" s="888" customFormat="1" hidden="1">
      <c r="A316" s="885" t="s">
        <v>3</v>
      </c>
      <c r="B316" s="885" t="s">
        <v>604</v>
      </c>
      <c r="C316" s="889">
        <v>1150106</v>
      </c>
      <c r="D316" s="889" t="s">
        <v>1232</v>
      </c>
      <c r="E316" s="886" t="s">
        <v>186</v>
      </c>
      <c r="F316" s="886" t="s">
        <v>271</v>
      </c>
      <c r="G316" s="47">
        <f>IF(F316="I",IFERROR(VLOOKUP(C316,'BG 062022'!A:C,3,FALSE),0),0)</f>
        <v>1366824</v>
      </c>
      <c r="H316" s="885"/>
      <c r="I316" s="63">
        <f>IF(F316="I",IFERROR(VLOOKUP(C316,'BG 062022'!A:D,4,FALSE),0),0)</f>
        <v>200</v>
      </c>
      <c r="J316" s="887"/>
      <c r="K316" s="47">
        <f>IF(F316="I",SUMIF('BG 2021'!B:B,Clasificaciones!C316,'BG 2021'!D:D),0)</f>
        <v>1360304</v>
      </c>
      <c r="L316" s="887"/>
      <c r="M316" s="63">
        <f>IF(F316="I",SUMIF('BG 2021'!B:B,Clasificaciones!C316,'BG 2021'!E:E),0)</f>
        <v>200</v>
      </c>
      <c r="N316" s="887"/>
      <c r="O316" s="47">
        <f>IF(F316="I",SUMIF('BG 062021'!A:A,Clasificaciones!C316,'BG 062021'!C:C),0)</f>
        <v>0</v>
      </c>
      <c r="P316" s="887"/>
      <c r="Q316" s="63">
        <f>IF(F316="I",SUMIF('BG 062021'!A:A,Clasificaciones!C316,'BG 062021'!D:D),0)</f>
        <v>0</v>
      </c>
      <c r="R316" s="888">
        <f>+VLOOKUP(C316,'CA EFE'!A:A,1,FALSE)</f>
        <v>1150106</v>
      </c>
    </row>
    <row r="317" spans="1:18" s="888" customFormat="1" hidden="1">
      <c r="A317" s="885" t="s">
        <v>3</v>
      </c>
      <c r="B317" s="885" t="s">
        <v>604</v>
      </c>
      <c r="C317" s="889">
        <v>1150107</v>
      </c>
      <c r="D317" s="889" t="s">
        <v>1249</v>
      </c>
      <c r="E317" s="886" t="s">
        <v>186</v>
      </c>
      <c r="F317" s="886" t="s">
        <v>271</v>
      </c>
      <c r="G317" s="47">
        <f>IF(F317="I",IFERROR(VLOOKUP(C317,'BG 062022'!A:C,3,FALSE),0),0)</f>
        <v>0</v>
      </c>
      <c r="H317" s="885"/>
      <c r="I317" s="63">
        <f>IF(F317="I",IFERROR(VLOOKUP(C317,'BG 062022'!A:D,4,FALSE),0),0)</f>
        <v>0</v>
      </c>
      <c r="J317" s="887"/>
      <c r="K317" s="47">
        <f>IF(F317="I",SUMIF('BG 2021'!B:B,Clasificaciones!C317,'BG 2021'!D:D),0)</f>
        <v>5866855</v>
      </c>
      <c r="L317" s="887"/>
      <c r="M317" s="63">
        <f>IF(F317="I",SUMIF('BG 2021'!B:B,Clasificaciones!C317,'BG 2021'!E:E),0)</f>
        <v>862.58</v>
      </c>
      <c r="N317" s="887"/>
      <c r="O317" s="47">
        <f>IF(F317="I",SUMIF('BG 062021'!A:A,Clasificaciones!C317,'BG 062021'!C:C),0)</f>
        <v>0</v>
      </c>
      <c r="P317" s="887"/>
      <c r="Q317" s="63">
        <f>IF(F317="I",SUMIF('BG 062021'!A:A,Clasificaciones!C317,'BG 062021'!D:D),0)</f>
        <v>0</v>
      </c>
    </row>
    <row r="318" spans="1:18" s="888" customFormat="1" hidden="1">
      <c r="A318" s="885" t="s">
        <v>3</v>
      </c>
      <c r="B318" s="885"/>
      <c r="C318" s="889">
        <v>11502</v>
      </c>
      <c r="D318" s="889" t="s">
        <v>704</v>
      </c>
      <c r="E318" s="886" t="s">
        <v>6</v>
      </c>
      <c r="F318" s="886" t="s">
        <v>270</v>
      </c>
      <c r="G318" s="47">
        <f>IF(F318="I",IFERROR(VLOOKUP(C318,'BG 062022'!A:C,3,FALSE),0),0)</f>
        <v>0</v>
      </c>
      <c r="H318" s="885"/>
      <c r="I318" s="63">
        <f>IF(F318="I",IFERROR(VLOOKUP(C318,'BG 062022'!A:D,4,FALSE),0),0)</f>
        <v>0</v>
      </c>
      <c r="J318" s="887"/>
      <c r="K318" s="47">
        <f>IF(F318="I",SUMIF('BG 2021'!B:B,Clasificaciones!C318,'BG 2021'!D:D),0)</f>
        <v>0</v>
      </c>
      <c r="L318" s="887"/>
      <c r="M318" s="63">
        <f>IF(F318="I",SUMIF('BG 2021'!B:B,Clasificaciones!C318,'BG 2021'!E:E),0)</f>
        <v>0</v>
      </c>
      <c r="N318" s="887"/>
      <c r="O318" s="47">
        <f>IF(F318="I",SUMIF('BG 062021'!A:A,Clasificaciones!C318,'BG 062021'!C:C),0)</f>
        <v>0</v>
      </c>
      <c r="P318" s="887"/>
      <c r="Q318" s="63">
        <f>IF(F318="I",SUMIF('BG 062021'!A:A,Clasificaciones!C318,'BG 062021'!D:D),0)</f>
        <v>0</v>
      </c>
    </row>
    <row r="319" spans="1:18" s="888" customFormat="1" hidden="1">
      <c r="A319" s="885" t="s">
        <v>3</v>
      </c>
      <c r="B319" s="885"/>
      <c r="C319" s="889">
        <v>1150201</v>
      </c>
      <c r="D319" s="889" t="s">
        <v>972</v>
      </c>
      <c r="E319" s="886" t="s">
        <v>6</v>
      </c>
      <c r="F319" s="886" t="s">
        <v>271</v>
      </c>
      <c r="G319" s="47">
        <f>IF(F319="I",IFERROR(VLOOKUP(C319,'BG 062022'!A:C,3,FALSE),0),0)</f>
        <v>0</v>
      </c>
      <c r="H319" s="885"/>
      <c r="I319" s="63">
        <f>IF(F319="I",IFERROR(VLOOKUP(C319,'BG 062022'!A:D,4,FALSE),0),0)</f>
        <v>0</v>
      </c>
      <c r="J319" s="887"/>
      <c r="K319" s="47">
        <f>IF(F319="I",SUMIF('BG 2021'!B:B,Clasificaciones!C319,'BG 2021'!D:D),0)</f>
        <v>0</v>
      </c>
      <c r="L319" s="887"/>
      <c r="M319" s="63">
        <f>IF(F319="I",SUMIF('BG 2021'!B:B,Clasificaciones!C319,'BG 2021'!E:E),0)</f>
        <v>0</v>
      </c>
      <c r="N319" s="887"/>
      <c r="O319" s="47">
        <f>IF(F319="I",SUMIF('BG 062021'!A:A,Clasificaciones!C319,'BG 062021'!C:C),0)</f>
        <v>0</v>
      </c>
      <c r="P319" s="887"/>
      <c r="Q319" s="63">
        <f>IF(F319="I",SUMIF('BG 062021'!A:A,Clasificaciones!C319,'BG 062021'!D:D),0)</f>
        <v>0</v>
      </c>
    </row>
    <row r="320" spans="1:18" s="888" customFormat="1" hidden="1">
      <c r="A320" s="885" t="s">
        <v>3</v>
      </c>
      <c r="B320" s="885"/>
      <c r="C320" s="889">
        <v>1150202</v>
      </c>
      <c r="D320" s="889" t="s">
        <v>973</v>
      </c>
      <c r="E320" s="886" t="s">
        <v>6</v>
      </c>
      <c r="F320" s="886" t="s">
        <v>271</v>
      </c>
      <c r="G320" s="47">
        <f>IF(F320="I",IFERROR(VLOOKUP(C320,'BG 062022'!A:C,3,FALSE),0),0)</f>
        <v>0</v>
      </c>
      <c r="H320" s="885"/>
      <c r="I320" s="63">
        <f>IF(F320="I",IFERROR(VLOOKUP(C320,'BG 062022'!A:D,4,FALSE),0),0)</f>
        <v>0</v>
      </c>
      <c r="J320" s="887"/>
      <c r="K320" s="47">
        <f>IF(F320="I",SUMIF('BG 2021'!B:B,Clasificaciones!C320,'BG 2021'!D:D),0)</f>
        <v>0</v>
      </c>
      <c r="L320" s="887"/>
      <c r="M320" s="63">
        <f>IF(F320="I",SUMIF('BG 2021'!B:B,Clasificaciones!C320,'BG 2021'!E:E),0)</f>
        <v>0</v>
      </c>
      <c r="N320" s="887"/>
      <c r="O320" s="47">
        <f>IF(F320="I",SUMIF('BG 062021'!A:A,Clasificaciones!C320,'BG 062021'!C:C),0)</f>
        <v>0</v>
      </c>
      <c r="P320" s="887"/>
      <c r="Q320" s="63">
        <f>IF(F320="I",SUMIF('BG 062021'!A:A,Clasificaciones!C320,'BG 062021'!D:D),0)</f>
        <v>0</v>
      </c>
    </row>
    <row r="321" spans="1:18" s="888" customFormat="1" hidden="1">
      <c r="A321" s="885" t="s">
        <v>3</v>
      </c>
      <c r="B321" s="885"/>
      <c r="C321" s="889">
        <v>1150203</v>
      </c>
      <c r="D321" s="889" t="s">
        <v>974</v>
      </c>
      <c r="E321" s="886" t="s">
        <v>6</v>
      </c>
      <c r="F321" s="886" t="s">
        <v>271</v>
      </c>
      <c r="G321" s="47">
        <f>IF(F321="I",IFERROR(VLOOKUP(C321,'BG 062022'!A:C,3,FALSE),0),0)</f>
        <v>0</v>
      </c>
      <c r="H321" s="885"/>
      <c r="I321" s="63">
        <f>IF(F321="I",IFERROR(VLOOKUP(C321,'BG 062022'!A:D,4,FALSE),0),0)</f>
        <v>0</v>
      </c>
      <c r="J321" s="887"/>
      <c r="K321" s="47">
        <f>IF(F321="I",SUMIF('BG 2021'!B:B,Clasificaciones!C321,'BG 2021'!D:D),0)</f>
        <v>0</v>
      </c>
      <c r="L321" s="887"/>
      <c r="M321" s="63">
        <f>IF(F321="I",SUMIF('BG 2021'!B:B,Clasificaciones!C321,'BG 2021'!E:E),0)</f>
        <v>0</v>
      </c>
      <c r="N321" s="887"/>
      <c r="O321" s="47">
        <f>IF(F321="I",SUMIF('BG 062021'!A:A,Clasificaciones!C321,'BG 062021'!C:C),0)</f>
        <v>0</v>
      </c>
      <c r="P321" s="887"/>
      <c r="Q321" s="63">
        <f>IF(F321="I",SUMIF('BG 062021'!A:A,Clasificaciones!C321,'BG 062021'!D:D),0)</f>
        <v>0</v>
      </c>
    </row>
    <row r="322" spans="1:18" s="888" customFormat="1" hidden="1">
      <c r="A322" s="885" t="s">
        <v>3</v>
      </c>
      <c r="B322" s="885"/>
      <c r="C322" s="889">
        <v>1150204</v>
      </c>
      <c r="D322" s="889" t="s">
        <v>975</v>
      </c>
      <c r="E322" s="886" t="s">
        <v>186</v>
      </c>
      <c r="F322" s="886" t="s">
        <v>271</v>
      </c>
      <c r="G322" s="47">
        <f>IF(F322="I",IFERROR(VLOOKUP(C322,'BG 062022'!A:C,3,FALSE),0),0)</f>
        <v>0</v>
      </c>
      <c r="H322" s="885"/>
      <c r="I322" s="63">
        <f>IF(F322="I",IFERROR(VLOOKUP(C322,'BG 062022'!A:D,4,FALSE),0),0)</f>
        <v>0</v>
      </c>
      <c r="J322" s="887"/>
      <c r="K322" s="47">
        <f>IF(F322="I",SUMIF('BG 2021'!B:B,Clasificaciones!C322,'BG 2021'!D:D),0)</f>
        <v>0</v>
      </c>
      <c r="L322" s="887"/>
      <c r="M322" s="63">
        <f>IF(F322="I",SUMIF('BG 2021'!B:B,Clasificaciones!C322,'BG 2021'!E:E),0)</f>
        <v>0</v>
      </c>
      <c r="N322" s="887"/>
      <c r="O322" s="47">
        <f>IF(F322="I",SUMIF('BG 062021'!A:A,Clasificaciones!C322,'BG 062021'!C:C),0)</f>
        <v>0</v>
      </c>
      <c r="P322" s="887"/>
      <c r="Q322" s="63">
        <f>IF(F322="I",SUMIF('BG 062021'!A:A,Clasificaciones!C322,'BG 062021'!D:D),0)</f>
        <v>0</v>
      </c>
    </row>
    <row r="323" spans="1:18" s="888" customFormat="1" hidden="1">
      <c r="A323" s="885" t="s">
        <v>3</v>
      </c>
      <c r="B323" s="885" t="s">
        <v>604</v>
      </c>
      <c r="C323" s="889">
        <v>1150205</v>
      </c>
      <c r="D323" s="889" t="s">
        <v>1216</v>
      </c>
      <c r="E323" s="886" t="s">
        <v>6</v>
      </c>
      <c r="F323" s="886" t="s">
        <v>271</v>
      </c>
      <c r="G323" s="47">
        <f>IF(F323="I",IFERROR(VLOOKUP(C323,'BG 062022'!A:C,3,FALSE),0),0)</f>
        <v>2776611</v>
      </c>
      <c r="H323" s="885"/>
      <c r="I323" s="63">
        <f>IF(F323="I",IFERROR(VLOOKUP(C323,'BG 062022'!A:D,4,FALSE),0),0)</f>
        <v>403.47</v>
      </c>
      <c r="J323" s="887"/>
      <c r="K323" s="47">
        <f>IF(F323="I",SUMIF('BG 2021'!B:B,Clasificaciones!C323,'BG 2021'!D:D),0)</f>
        <v>6444980</v>
      </c>
      <c r="L323" s="887"/>
      <c r="M323" s="63">
        <f>IF(F323="I",SUMIF('BG 2021'!B:B,Clasificaciones!C323,'BG 2021'!E:E),0)</f>
        <v>936.52</v>
      </c>
      <c r="N323" s="887"/>
      <c r="O323" s="47">
        <f>IF(F323="I",SUMIF('BG 062021'!A:A,Clasificaciones!C323,'BG 062021'!C:C),0)</f>
        <v>2658537</v>
      </c>
      <c r="P323" s="887"/>
      <c r="Q323" s="63">
        <f>IF(F323="I",SUMIF('BG 062021'!A:A,Clasificaciones!C323,'BG 062021'!D:D),0)</f>
        <v>394.79</v>
      </c>
      <c r="R323" s="888">
        <f>+VLOOKUP(C323,'CA EFE'!A:A,1,FALSE)</f>
        <v>1150205</v>
      </c>
    </row>
    <row r="324" spans="1:18" s="888" customFormat="1" hidden="1">
      <c r="A324" s="885" t="s">
        <v>3</v>
      </c>
      <c r="B324" s="885"/>
      <c r="C324" s="889">
        <v>1150206</v>
      </c>
      <c r="D324" s="889" t="s">
        <v>976</v>
      </c>
      <c r="E324" s="886" t="s">
        <v>6</v>
      </c>
      <c r="F324" s="886" t="s">
        <v>271</v>
      </c>
      <c r="G324" s="47">
        <f>IF(F324="I",IFERROR(VLOOKUP(C324,'BG 062022'!A:C,3,FALSE),0),0)</f>
        <v>0</v>
      </c>
      <c r="H324" s="885"/>
      <c r="I324" s="63">
        <f>IF(F324="I",IFERROR(VLOOKUP(C324,'BG 062022'!A:D,4,FALSE),0),0)</f>
        <v>0</v>
      </c>
      <c r="J324" s="887"/>
      <c r="K324" s="47">
        <f>IF(F324="I",SUMIF('BG 2021'!B:B,Clasificaciones!C324,'BG 2021'!D:D),0)</f>
        <v>0</v>
      </c>
      <c r="L324" s="887"/>
      <c r="M324" s="63">
        <f>IF(F324="I",SUMIF('BG 2021'!B:B,Clasificaciones!C324,'BG 2021'!E:E),0)</f>
        <v>0</v>
      </c>
      <c r="N324" s="887"/>
      <c r="O324" s="47">
        <f>IF(F324="I",SUMIF('BG 062021'!A:A,Clasificaciones!C324,'BG 062021'!C:C),0)</f>
        <v>0</v>
      </c>
      <c r="P324" s="887"/>
      <c r="Q324" s="63">
        <f>IF(F324="I",SUMIF('BG 062021'!A:A,Clasificaciones!C324,'BG 062021'!D:D),0)</f>
        <v>0</v>
      </c>
    </row>
    <row r="325" spans="1:18" s="888" customFormat="1" hidden="1">
      <c r="A325" s="885" t="s">
        <v>3</v>
      </c>
      <c r="B325" s="885"/>
      <c r="C325" s="889">
        <v>12</v>
      </c>
      <c r="D325" s="889" t="s">
        <v>7</v>
      </c>
      <c r="E325" s="886" t="s">
        <v>6</v>
      </c>
      <c r="F325" s="886" t="s">
        <v>270</v>
      </c>
      <c r="G325" s="47">
        <f>IF(F325="I",IFERROR(VLOOKUP(C325,'BG 062022'!A:C,3,FALSE),0),0)</f>
        <v>0</v>
      </c>
      <c r="H325" s="885"/>
      <c r="I325" s="63">
        <f>IF(F325="I",IFERROR(VLOOKUP(C325,'BG 062022'!A:D,4,FALSE),0),0)</f>
        <v>0</v>
      </c>
      <c r="J325" s="887"/>
      <c r="K325" s="47">
        <f>IF(F325="I",SUMIF('BG 2021'!B:B,Clasificaciones!C325,'BG 2021'!D:D),0)</f>
        <v>0</v>
      </c>
      <c r="L325" s="887"/>
      <c r="M325" s="63">
        <f>IF(F325="I",SUMIF('BG 2021'!B:B,Clasificaciones!C325,'BG 2021'!E:E),0)</f>
        <v>0</v>
      </c>
      <c r="N325" s="887"/>
      <c r="O325" s="47">
        <f>IF(F325="I",SUMIF('BG 062021'!A:A,Clasificaciones!C325,'BG 062021'!C:C),0)</f>
        <v>0</v>
      </c>
      <c r="P325" s="887"/>
      <c r="Q325" s="63">
        <f>IF(F325="I",SUMIF('BG 062021'!A:A,Clasificaciones!C325,'BG 062021'!D:D),0)</f>
        <v>0</v>
      </c>
    </row>
    <row r="326" spans="1:18" s="888" customFormat="1" hidden="1">
      <c r="A326" s="885" t="s">
        <v>3</v>
      </c>
      <c r="B326" s="885"/>
      <c r="C326" s="889">
        <v>121</v>
      </c>
      <c r="D326" s="889" t="s">
        <v>152</v>
      </c>
      <c r="E326" s="886" t="s">
        <v>6</v>
      </c>
      <c r="F326" s="886" t="s">
        <v>270</v>
      </c>
      <c r="G326" s="47">
        <f>IF(F326="I",IFERROR(VLOOKUP(C326,'BG 062022'!A:C,3,FALSE),0),0)</f>
        <v>0</v>
      </c>
      <c r="H326" s="885"/>
      <c r="I326" s="63">
        <f>IF(F326="I",IFERROR(VLOOKUP(C326,'BG 062022'!A:D,4,FALSE),0),0)</f>
        <v>0</v>
      </c>
      <c r="J326" s="887"/>
      <c r="K326" s="47">
        <f>IF(F326="I",SUMIF('BG 2021'!B:B,Clasificaciones!C326,'BG 2021'!D:D),0)</f>
        <v>0</v>
      </c>
      <c r="L326" s="887"/>
      <c r="M326" s="63">
        <f>IF(F326="I",SUMIF('BG 2021'!B:B,Clasificaciones!C326,'BG 2021'!E:E),0)</f>
        <v>0</v>
      </c>
      <c r="N326" s="887"/>
      <c r="O326" s="47">
        <f>IF(F326="I",SUMIF('BG 062021'!A:A,Clasificaciones!C326,'BG 062021'!C:C),0)</f>
        <v>0</v>
      </c>
      <c r="P326" s="887"/>
      <c r="Q326" s="63">
        <f>IF(F326="I",SUMIF('BG 062021'!A:A,Clasificaciones!C326,'BG 062021'!D:D),0)</f>
        <v>0</v>
      </c>
    </row>
    <row r="327" spans="1:18" s="888" customFormat="1" hidden="1">
      <c r="A327" s="885" t="s">
        <v>3</v>
      </c>
      <c r="B327" s="885"/>
      <c r="C327" s="889">
        <v>12101</v>
      </c>
      <c r="D327" s="889" t="s">
        <v>705</v>
      </c>
      <c r="E327" s="886" t="s">
        <v>6</v>
      </c>
      <c r="F327" s="886" t="s">
        <v>270</v>
      </c>
      <c r="G327" s="47">
        <f>IF(F327="I",IFERROR(VLOOKUP(C327,'BG 062022'!A:C,3,FALSE),0),0)</f>
        <v>0</v>
      </c>
      <c r="H327" s="885"/>
      <c r="I327" s="63">
        <f>IF(F327="I",IFERROR(VLOOKUP(C327,'BG 062022'!A:D,4,FALSE),0),0)</f>
        <v>0</v>
      </c>
      <c r="J327" s="887"/>
      <c r="K327" s="47">
        <f>IF(F327="I",SUMIF('BG 2021'!B:B,Clasificaciones!C327,'BG 2021'!D:D),0)</f>
        <v>0</v>
      </c>
      <c r="L327" s="887"/>
      <c r="M327" s="63">
        <f>IF(F327="I",SUMIF('BG 2021'!B:B,Clasificaciones!C327,'BG 2021'!E:E),0)</f>
        <v>0</v>
      </c>
      <c r="N327" s="887"/>
      <c r="O327" s="47">
        <f>IF(F327="I",SUMIF('BG 062021'!A:A,Clasificaciones!C327,'BG 062021'!C:C),0)</f>
        <v>0</v>
      </c>
      <c r="P327" s="887"/>
      <c r="Q327" s="63">
        <f>IF(F327="I",SUMIF('BG 062021'!A:A,Clasificaciones!C327,'BG 062021'!D:D),0)</f>
        <v>0</v>
      </c>
    </row>
    <row r="328" spans="1:18" s="888" customFormat="1" hidden="1">
      <c r="A328" s="885" t="s">
        <v>3</v>
      </c>
      <c r="B328" s="885"/>
      <c r="C328" s="889">
        <v>121011</v>
      </c>
      <c r="D328" s="889" t="s">
        <v>706</v>
      </c>
      <c r="E328" s="886" t="s">
        <v>6</v>
      </c>
      <c r="F328" s="886" t="s">
        <v>270</v>
      </c>
      <c r="G328" s="47">
        <f>IF(F328="I",IFERROR(VLOOKUP(C328,'BG 062022'!A:C,3,FALSE),0),0)</f>
        <v>0</v>
      </c>
      <c r="H328" s="885"/>
      <c r="I328" s="63">
        <f>IF(F328="I",IFERROR(VLOOKUP(C328,'BG 062022'!A:D,4,FALSE),0),0)</f>
        <v>0</v>
      </c>
      <c r="J328" s="887"/>
      <c r="K328" s="47">
        <f>IF(F328="I",SUMIF('BG 2021'!B:B,Clasificaciones!C328,'BG 2021'!D:D),0)</f>
        <v>0</v>
      </c>
      <c r="L328" s="887"/>
      <c r="M328" s="63">
        <f>IF(F328="I",SUMIF('BG 2021'!B:B,Clasificaciones!C328,'BG 2021'!E:E),0)</f>
        <v>0</v>
      </c>
      <c r="N328" s="887"/>
      <c r="O328" s="47">
        <f>IF(F328="I",SUMIF('BG 062021'!A:A,Clasificaciones!C328,'BG 062021'!C:C),0)</f>
        <v>0</v>
      </c>
      <c r="P328" s="887"/>
      <c r="Q328" s="63">
        <f>IF(F328="I",SUMIF('BG 062021'!A:A,Clasificaciones!C328,'BG 062021'!D:D),0)</f>
        <v>0</v>
      </c>
    </row>
    <row r="329" spans="1:18" s="888" customFormat="1" hidden="1">
      <c r="A329" s="885" t="s">
        <v>3</v>
      </c>
      <c r="B329" s="885"/>
      <c r="C329" s="889">
        <v>12101101</v>
      </c>
      <c r="D329" s="889" t="s">
        <v>650</v>
      </c>
      <c r="E329" s="886" t="s">
        <v>6</v>
      </c>
      <c r="F329" s="886" t="s">
        <v>270</v>
      </c>
      <c r="G329" s="47">
        <f>IF(F329="I",IFERROR(VLOOKUP(C329,'BG 062022'!A:C,3,FALSE),0),0)</f>
        <v>0</v>
      </c>
      <c r="H329" s="885"/>
      <c r="I329" s="63">
        <f>IF(F329="I",IFERROR(VLOOKUP(C329,'BG 062022'!A:D,4,FALSE),0),0)</f>
        <v>0</v>
      </c>
      <c r="J329" s="887"/>
      <c r="K329" s="47">
        <f>IF(F329="I",SUMIF('BG 2021'!B:B,Clasificaciones!C329,'BG 2021'!D:D),0)</f>
        <v>0</v>
      </c>
      <c r="L329" s="887"/>
      <c r="M329" s="63">
        <f>IF(F329="I",SUMIF('BG 2021'!B:B,Clasificaciones!C329,'BG 2021'!E:E),0)</f>
        <v>0</v>
      </c>
      <c r="N329" s="887"/>
      <c r="O329" s="47">
        <f>IF(F329="I",SUMIF('BG 062021'!A:A,Clasificaciones!C329,'BG 062021'!C:C),0)</f>
        <v>0</v>
      </c>
      <c r="P329" s="887"/>
      <c r="Q329" s="63">
        <f>IF(F329="I",SUMIF('BG 062021'!A:A,Clasificaciones!C329,'BG 062021'!D:D),0)</f>
        <v>0</v>
      </c>
    </row>
    <row r="330" spans="1:18" s="888" customFormat="1" hidden="1">
      <c r="A330" s="885" t="s">
        <v>3</v>
      </c>
      <c r="B330" s="885"/>
      <c r="C330" s="889">
        <v>12101102</v>
      </c>
      <c r="D330" s="889" t="s">
        <v>654</v>
      </c>
      <c r="E330" s="886" t="s">
        <v>6</v>
      </c>
      <c r="F330" s="886" t="s">
        <v>270</v>
      </c>
      <c r="G330" s="47">
        <f>IF(F330="I",IFERROR(VLOOKUP(C330,'BG 062022'!A:C,3,FALSE),0),0)</f>
        <v>0</v>
      </c>
      <c r="H330" s="885"/>
      <c r="I330" s="63">
        <f>IF(F330="I",IFERROR(VLOOKUP(C330,'BG 062022'!A:D,4,FALSE),0),0)</f>
        <v>0</v>
      </c>
      <c r="J330" s="887"/>
      <c r="K330" s="47">
        <f>IF(F330="I",SUMIF('BG 2021'!B:B,Clasificaciones!C330,'BG 2021'!D:D),0)</f>
        <v>0</v>
      </c>
      <c r="L330" s="887"/>
      <c r="M330" s="63">
        <f>IF(F330="I",SUMIF('BG 2021'!B:B,Clasificaciones!C330,'BG 2021'!E:E),0)</f>
        <v>0</v>
      </c>
      <c r="N330" s="887"/>
      <c r="O330" s="47">
        <f>IF(F330="I",SUMIF('BG 062021'!A:A,Clasificaciones!C330,'BG 062021'!C:C),0)</f>
        <v>0</v>
      </c>
      <c r="P330" s="887"/>
      <c r="Q330" s="63">
        <f>IF(F330="I",SUMIF('BG 062021'!A:A,Clasificaciones!C330,'BG 062021'!D:D),0)</f>
        <v>0</v>
      </c>
    </row>
    <row r="331" spans="1:18" s="888" customFormat="1" hidden="1">
      <c r="A331" s="885" t="s">
        <v>3</v>
      </c>
      <c r="B331" s="885"/>
      <c r="C331" s="889">
        <v>12101103</v>
      </c>
      <c r="D331" s="889" t="s">
        <v>659</v>
      </c>
      <c r="E331" s="886" t="s">
        <v>6</v>
      </c>
      <c r="F331" s="886" t="s">
        <v>270</v>
      </c>
      <c r="G331" s="47">
        <f>IF(F331="I",IFERROR(VLOOKUP(C331,'BG 062022'!A:C,3,FALSE),0),0)</f>
        <v>0</v>
      </c>
      <c r="H331" s="885"/>
      <c r="I331" s="63">
        <f>IF(F331="I",IFERROR(VLOOKUP(C331,'BG 062022'!A:D,4,FALSE),0),0)</f>
        <v>0</v>
      </c>
      <c r="J331" s="887"/>
      <c r="K331" s="47">
        <f>IF(F331="I",SUMIF('BG 2021'!B:B,Clasificaciones!C331,'BG 2021'!D:D),0)</f>
        <v>0</v>
      </c>
      <c r="L331" s="887"/>
      <c r="M331" s="63">
        <f>IF(F331="I",SUMIF('BG 2021'!B:B,Clasificaciones!C331,'BG 2021'!E:E),0)</f>
        <v>0</v>
      </c>
      <c r="N331" s="887"/>
      <c r="O331" s="47">
        <f>IF(F331="I",SUMIF('BG 062021'!A:A,Clasificaciones!C331,'BG 062021'!C:C),0)</f>
        <v>0</v>
      </c>
      <c r="P331" s="887"/>
      <c r="Q331" s="63">
        <f>IF(F331="I",SUMIF('BG 062021'!A:A,Clasificaciones!C331,'BG 062021'!D:D),0)</f>
        <v>0</v>
      </c>
    </row>
    <row r="332" spans="1:18" s="888" customFormat="1" hidden="1">
      <c r="A332" s="885" t="s">
        <v>3</v>
      </c>
      <c r="B332" s="885" t="s">
        <v>524</v>
      </c>
      <c r="C332" s="889">
        <v>1210110301</v>
      </c>
      <c r="D332" s="889" t="s">
        <v>401</v>
      </c>
      <c r="E332" s="886" t="s">
        <v>6</v>
      </c>
      <c r="F332" s="886" t="s">
        <v>271</v>
      </c>
      <c r="G332" s="47">
        <f>IF(F332="I",IFERROR(VLOOKUP(C332,'BG 062022'!A:C,3,FALSE),0),0)</f>
        <v>4999000000</v>
      </c>
      <c r="H332" s="885"/>
      <c r="I332" s="63">
        <f>IF(F332="I",IFERROR(VLOOKUP(C332,'BG 062022'!A:D,4,FALSE),0),0)</f>
        <v>763725.42</v>
      </c>
      <c r="J332" s="887"/>
      <c r="K332" s="47">
        <f>IF(F332="I",SUMIF('BG 2021'!B:B,Clasificaciones!C332,'BG 2021'!D:D),0)</f>
        <v>4999000000</v>
      </c>
      <c r="L332" s="887"/>
      <c r="M332" s="63">
        <f>IF(F332="I",SUMIF('BG 2021'!B:B,Clasificaciones!C332,'BG 2021'!E:E),0)</f>
        <v>763725.42</v>
      </c>
      <c r="N332" s="887"/>
      <c r="O332" s="47">
        <f>IF(F332="I",SUMIF('BG 062021'!A:A,Clasificaciones!C332,'BG 062021'!C:C),0)</f>
        <v>3500000000</v>
      </c>
      <c r="P332" s="887"/>
      <c r="Q332" s="63">
        <f>IF(F332="I",SUMIF('BG 062021'!A:A,Clasificaciones!C332,'BG 062021'!D:D),0)</f>
        <v>543281.69999999995</v>
      </c>
      <c r="R332" s="888">
        <f>+VLOOKUP(C332,'CA EFE'!A:A,1,FALSE)</f>
        <v>1210110301</v>
      </c>
    </row>
    <row r="333" spans="1:18" s="888" customFormat="1" hidden="1">
      <c r="A333" s="885" t="s">
        <v>3</v>
      </c>
      <c r="B333" s="885"/>
      <c r="C333" s="889">
        <v>12101104</v>
      </c>
      <c r="D333" s="889" t="s">
        <v>890</v>
      </c>
      <c r="E333" s="886" t="s">
        <v>6</v>
      </c>
      <c r="F333" s="886" t="s">
        <v>270</v>
      </c>
      <c r="G333" s="47">
        <f>IF(F333="I",IFERROR(VLOOKUP(C333,'BG 062022'!A:C,3,FALSE),0),0)</f>
        <v>0</v>
      </c>
      <c r="H333" s="885"/>
      <c r="I333" s="63">
        <f>IF(F333="I",IFERROR(VLOOKUP(C333,'BG 062022'!A:D,4,FALSE),0),0)</f>
        <v>0</v>
      </c>
      <c r="J333" s="887"/>
      <c r="K333" s="47">
        <f>IF(F333="I",SUMIF('BG 2021'!B:B,Clasificaciones!C333,'BG 2021'!D:D),0)</f>
        <v>0</v>
      </c>
      <c r="L333" s="887"/>
      <c r="M333" s="63">
        <f>IF(F333="I",SUMIF('BG 2021'!B:B,Clasificaciones!C333,'BG 2021'!E:E),0)</f>
        <v>0</v>
      </c>
      <c r="N333" s="887"/>
      <c r="O333" s="47">
        <f>IF(F333="I",SUMIF('BG 062021'!A:A,Clasificaciones!C333,'BG 062021'!C:C),0)</f>
        <v>0</v>
      </c>
      <c r="P333" s="887"/>
      <c r="Q333" s="63">
        <f>IF(F333="I",SUMIF('BG 062021'!A:A,Clasificaciones!C333,'BG 062021'!D:D),0)</f>
        <v>0</v>
      </c>
    </row>
    <row r="334" spans="1:18" s="888" customFormat="1" hidden="1">
      <c r="A334" s="885" t="s">
        <v>3</v>
      </c>
      <c r="B334" s="885"/>
      <c r="C334" s="889">
        <v>12101105</v>
      </c>
      <c r="D334" s="889" t="s">
        <v>977</v>
      </c>
      <c r="E334" s="886" t="s">
        <v>6</v>
      </c>
      <c r="F334" s="886" t="s">
        <v>270</v>
      </c>
      <c r="G334" s="47">
        <f>IF(F334="I",IFERROR(VLOOKUP(C334,'BG 062022'!A:C,3,FALSE),0),0)</f>
        <v>0</v>
      </c>
      <c r="H334" s="885"/>
      <c r="I334" s="63">
        <f>IF(F334="I",IFERROR(VLOOKUP(C334,'BG 062022'!A:D,4,FALSE),0),0)</f>
        <v>0</v>
      </c>
      <c r="J334" s="887"/>
      <c r="K334" s="47">
        <f>IF(F334="I",SUMIF('BG 2021'!B:B,Clasificaciones!C334,'BG 2021'!D:D),0)</f>
        <v>0</v>
      </c>
      <c r="L334" s="887"/>
      <c r="M334" s="63">
        <f>IF(F334="I",SUMIF('BG 2021'!B:B,Clasificaciones!C334,'BG 2021'!E:E),0)</f>
        <v>0</v>
      </c>
      <c r="N334" s="887"/>
      <c r="O334" s="47">
        <f>IF(F334="I",SUMIF('BG 062021'!A:A,Clasificaciones!C334,'BG 062021'!C:C),0)</f>
        <v>0</v>
      </c>
      <c r="P334" s="887"/>
      <c r="Q334" s="63">
        <f>IF(F334="I",SUMIF('BG 062021'!A:A,Clasificaciones!C334,'BG 062021'!D:D),0)</f>
        <v>0</v>
      </c>
    </row>
    <row r="335" spans="1:18" s="888" customFormat="1" hidden="1">
      <c r="A335" s="885" t="s">
        <v>3</v>
      </c>
      <c r="B335" s="885"/>
      <c r="C335" s="889">
        <v>12101106</v>
      </c>
      <c r="D335" s="889" t="s">
        <v>978</v>
      </c>
      <c r="E335" s="886" t="s">
        <v>6</v>
      </c>
      <c r="F335" s="886" t="s">
        <v>270</v>
      </c>
      <c r="G335" s="47">
        <f>IF(F335="I",IFERROR(VLOOKUP(C335,'BG 062022'!A:C,3,FALSE),0),0)</f>
        <v>0</v>
      </c>
      <c r="H335" s="885"/>
      <c r="I335" s="63">
        <f>IF(F335="I",IFERROR(VLOOKUP(C335,'BG 062022'!A:D,4,FALSE),0),0)</f>
        <v>0</v>
      </c>
      <c r="J335" s="887"/>
      <c r="K335" s="47">
        <f>IF(F335="I",SUMIF('BG 2021'!B:B,Clasificaciones!C335,'BG 2021'!D:D),0)</f>
        <v>0</v>
      </c>
      <c r="L335" s="887"/>
      <c r="M335" s="63">
        <f>IF(F335="I",SUMIF('BG 2021'!B:B,Clasificaciones!C335,'BG 2021'!E:E),0)</f>
        <v>0</v>
      </c>
      <c r="N335" s="887"/>
      <c r="O335" s="47">
        <f>IF(F335="I",SUMIF('BG 062021'!A:A,Clasificaciones!C335,'BG 062021'!C:C),0)</f>
        <v>0</v>
      </c>
      <c r="P335" s="887"/>
      <c r="Q335" s="63">
        <f>IF(F335="I",SUMIF('BG 062021'!A:A,Clasificaciones!C335,'BG 062021'!D:D),0)</f>
        <v>0</v>
      </c>
    </row>
    <row r="336" spans="1:18" s="888" customFormat="1" hidden="1">
      <c r="A336" s="885" t="s">
        <v>3</v>
      </c>
      <c r="B336" s="885"/>
      <c r="C336" s="889">
        <v>12101107</v>
      </c>
      <c r="D336" s="889" t="s">
        <v>979</v>
      </c>
      <c r="E336" s="886" t="s">
        <v>6</v>
      </c>
      <c r="F336" s="886" t="s">
        <v>270</v>
      </c>
      <c r="G336" s="47">
        <f>IF(F336="I",IFERROR(VLOOKUP(C336,'BG 062022'!A:C,3,FALSE),0),0)</f>
        <v>0</v>
      </c>
      <c r="H336" s="885"/>
      <c r="I336" s="63">
        <f>IF(F336="I",IFERROR(VLOOKUP(C336,'BG 062022'!A:D,4,FALSE),0),0)</f>
        <v>0</v>
      </c>
      <c r="J336" s="887"/>
      <c r="K336" s="47">
        <f>IF(F336="I",SUMIF('BG 2021'!B:B,Clasificaciones!C336,'BG 2021'!D:D),0)</f>
        <v>0</v>
      </c>
      <c r="L336" s="887"/>
      <c r="M336" s="63">
        <f>IF(F336="I",SUMIF('BG 2021'!B:B,Clasificaciones!C336,'BG 2021'!E:E),0)</f>
        <v>0</v>
      </c>
      <c r="N336" s="887"/>
      <c r="O336" s="47">
        <f>IF(F336="I",SUMIF('BG 062021'!A:A,Clasificaciones!C336,'BG 062021'!C:C),0)</f>
        <v>0</v>
      </c>
      <c r="P336" s="887"/>
      <c r="Q336" s="63">
        <f>IF(F336="I",SUMIF('BG 062021'!A:A,Clasificaciones!C336,'BG 062021'!D:D),0)</f>
        <v>0</v>
      </c>
    </row>
    <row r="337" spans="1:18" s="888" customFormat="1" hidden="1">
      <c r="A337" s="885" t="s">
        <v>3</v>
      </c>
      <c r="B337" s="885"/>
      <c r="C337" s="889">
        <v>12101108</v>
      </c>
      <c r="D337" s="889" t="s">
        <v>505</v>
      </c>
      <c r="E337" s="886" t="s">
        <v>6</v>
      </c>
      <c r="F337" s="886" t="s">
        <v>270</v>
      </c>
      <c r="G337" s="47">
        <f>IF(F337="I",IFERROR(VLOOKUP(C337,'BG 062022'!A:C,3,FALSE),0),0)</f>
        <v>0</v>
      </c>
      <c r="H337" s="885"/>
      <c r="I337" s="63">
        <f>IF(F337="I",IFERROR(VLOOKUP(C337,'BG 062022'!A:D,4,FALSE),0),0)</f>
        <v>0</v>
      </c>
      <c r="J337" s="887"/>
      <c r="K337" s="47">
        <f>IF(F337="I",SUMIF('BG 2021'!B:B,Clasificaciones!C337,'BG 2021'!D:D),0)</f>
        <v>0</v>
      </c>
      <c r="L337" s="887"/>
      <c r="M337" s="63">
        <f>IF(F337="I",SUMIF('BG 2021'!B:B,Clasificaciones!C337,'BG 2021'!E:E),0)</f>
        <v>0</v>
      </c>
      <c r="N337" s="887"/>
      <c r="O337" s="47">
        <f>IF(F337="I",SUMIF('BG 062021'!A:A,Clasificaciones!C337,'BG 062021'!C:C),0)</f>
        <v>0</v>
      </c>
      <c r="P337" s="887"/>
      <c r="Q337" s="63">
        <f>IF(F337="I",SUMIF('BG 062021'!A:A,Clasificaciones!C337,'BG 062021'!D:D),0)</f>
        <v>0</v>
      </c>
    </row>
    <row r="338" spans="1:18" s="888" customFormat="1" hidden="1">
      <c r="A338" s="885" t="s">
        <v>3</v>
      </c>
      <c r="B338" s="885" t="s">
        <v>524</v>
      </c>
      <c r="C338" s="889">
        <v>1210110801</v>
      </c>
      <c r="D338" s="889" t="s">
        <v>382</v>
      </c>
      <c r="E338" s="886" t="s">
        <v>6</v>
      </c>
      <c r="F338" s="886" t="s">
        <v>271</v>
      </c>
      <c r="G338" s="47">
        <f>IF(F338="I",IFERROR(VLOOKUP(C338,'BG 062022'!A:C,3,FALSE),0),0)</f>
        <v>3454158107</v>
      </c>
      <c r="H338" s="885"/>
      <c r="I338" s="63">
        <f>IF(F338="I",IFERROR(VLOOKUP(C338,'BG 062022'!A:D,4,FALSE),0),0)</f>
        <v>507581.48</v>
      </c>
      <c r="J338" s="887"/>
      <c r="K338" s="47">
        <f>IF(F338="I",SUMIF('BG 2021'!B:B,Clasificaciones!C338,'BG 2021'!D:D),0)</f>
        <v>2047406868</v>
      </c>
      <c r="L338" s="887"/>
      <c r="M338" s="63">
        <f>IF(F338="I",SUMIF('BG 2021'!B:B,Clasificaciones!C338,'BG 2021'!E:E),0)</f>
        <v>304631.93</v>
      </c>
      <c r="N338" s="887"/>
      <c r="O338" s="47">
        <f>IF(F338="I",SUMIF('BG 062021'!A:A,Clasificaciones!C338,'BG 062021'!C:C),0)</f>
        <v>947599895</v>
      </c>
      <c r="P338" s="887"/>
      <c r="Q338" s="63">
        <f>IF(F338="I",SUMIF('BG 062021'!A:A,Clasificaciones!C338,'BG 062021'!D:D),0)</f>
        <v>145019.95000000001</v>
      </c>
      <c r="R338" s="888">
        <f>+VLOOKUP(C338,'CA EFE'!A:A,1,FALSE)</f>
        <v>1210110801</v>
      </c>
    </row>
    <row r="339" spans="1:18" s="888" customFormat="1" hidden="1">
      <c r="A339" s="885" t="s">
        <v>3</v>
      </c>
      <c r="B339" s="151"/>
      <c r="C339" s="889">
        <v>12101109</v>
      </c>
      <c r="D339" s="889" t="s">
        <v>980</v>
      </c>
      <c r="E339" s="886" t="s">
        <v>6</v>
      </c>
      <c r="F339" s="886" t="s">
        <v>270</v>
      </c>
      <c r="G339" s="47">
        <f>IF(F339="I",IFERROR(VLOOKUP(C339,'BG 062022'!A:C,3,FALSE),0),0)</f>
        <v>0</v>
      </c>
      <c r="H339" s="151"/>
      <c r="I339" s="63">
        <f>IF(F339="I",IFERROR(VLOOKUP(C339,'BG 062022'!A:D,4,FALSE),0),0)</f>
        <v>0</v>
      </c>
      <c r="J339" s="887"/>
      <c r="K339" s="47">
        <f>IF(F339="I",SUMIF('BG 2021'!B:B,Clasificaciones!C339,'BG 2021'!D:D),0)</f>
        <v>0</v>
      </c>
      <c r="L339" s="887"/>
      <c r="M339" s="63">
        <f>IF(F339="I",SUMIF('BG 2021'!B:B,Clasificaciones!C339,'BG 2021'!E:E),0)</f>
        <v>0</v>
      </c>
      <c r="N339" s="887"/>
      <c r="O339" s="47">
        <f>IF(F339="I",SUMIF('BG 062021'!A:A,Clasificaciones!C339,'BG 062021'!C:C),0)</f>
        <v>0</v>
      </c>
      <c r="P339" s="887"/>
      <c r="Q339" s="63">
        <f>IF(F339="I",SUMIF('BG 062021'!A:A,Clasificaciones!C339,'BG 062021'!D:D),0)</f>
        <v>0</v>
      </c>
    </row>
    <row r="340" spans="1:18" s="888" customFormat="1" hidden="1">
      <c r="A340" s="885" t="s">
        <v>3</v>
      </c>
      <c r="B340" s="885"/>
      <c r="C340" s="889">
        <v>121012</v>
      </c>
      <c r="D340" s="889" t="s">
        <v>981</v>
      </c>
      <c r="E340" s="886" t="s">
        <v>6</v>
      </c>
      <c r="F340" s="886" t="s">
        <v>270</v>
      </c>
      <c r="G340" s="47">
        <f>IF(F340="I",IFERROR(VLOOKUP(C340,'BG 062022'!A:C,3,FALSE),0),0)</f>
        <v>0</v>
      </c>
      <c r="H340" s="885"/>
      <c r="I340" s="63">
        <f>IF(F340="I",IFERROR(VLOOKUP(C340,'BG 062022'!A:D,4,FALSE),0),0)</f>
        <v>0</v>
      </c>
      <c r="J340" s="887"/>
      <c r="K340" s="47">
        <f>IF(F340="I",SUMIF('BG 2021'!B:B,Clasificaciones!C340,'BG 2021'!D:D),0)</f>
        <v>0</v>
      </c>
      <c r="L340" s="887"/>
      <c r="M340" s="63">
        <f>IF(F340="I",SUMIF('BG 2021'!B:B,Clasificaciones!C340,'BG 2021'!E:E),0)</f>
        <v>0</v>
      </c>
      <c r="N340" s="887"/>
      <c r="O340" s="47">
        <f>IF(F340="I",SUMIF('BG 062021'!A:A,Clasificaciones!C340,'BG 062021'!C:C),0)</f>
        <v>0</v>
      </c>
      <c r="P340" s="887"/>
      <c r="Q340" s="63">
        <f>IF(F340="I",SUMIF('BG 062021'!A:A,Clasificaciones!C340,'BG 062021'!D:D),0)</f>
        <v>0</v>
      </c>
    </row>
    <row r="341" spans="1:18" s="888" customFormat="1" hidden="1">
      <c r="A341" s="885" t="s">
        <v>3</v>
      </c>
      <c r="B341" s="885"/>
      <c r="C341" s="889">
        <v>12101201</v>
      </c>
      <c r="D341" s="889" t="s">
        <v>650</v>
      </c>
      <c r="E341" s="886" t="s">
        <v>6</v>
      </c>
      <c r="F341" s="886" t="s">
        <v>270</v>
      </c>
      <c r="G341" s="47">
        <f>IF(F341="I",IFERROR(VLOOKUP(C341,'BG 062022'!A:C,3,FALSE),0),0)</f>
        <v>0</v>
      </c>
      <c r="H341" s="885"/>
      <c r="I341" s="63">
        <f>IF(F341="I",IFERROR(VLOOKUP(C341,'BG 062022'!A:D,4,FALSE),0),0)</f>
        <v>0</v>
      </c>
      <c r="J341" s="887"/>
      <c r="K341" s="47">
        <f>IF(F341="I",SUMIF('BG 2021'!B:B,Clasificaciones!C341,'BG 2021'!D:D),0)</f>
        <v>0</v>
      </c>
      <c r="L341" s="887"/>
      <c r="M341" s="63">
        <f>IF(F341="I",SUMIF('BG 2021'!B:B,Clasificaciones!C341,'BG 2021'!E:E),0)</f>
        <v>0</v>
      </c>
      <c r="N341" s="887"/>
      <c r="O341" s="47">
        <f>IF(F341="I",SUMIF('BG 062021'!A:A,Clasificaciones!C341,'BG 062021'!C:C),0)</f>
        <v>0</v>
      </c>
      <c r="P341" s="887"/>
      <c r="Q341" s="63">
        <f>IF(F341="I",SUMIF('BG 062021'!A:A,Clasificaciones!C341,'BG 062021'!D:D),0)</f>
        <v>0</v>
      </c>
    </row>
    <row r="342" spans="1:18" s="888" customFormat="1" hidden="1">
      <c r="A342" s="885" t="s">
        <v>3</v>
      </c>
      <c r="B342" s="885"/>
      <c r="C342" s="889">
        <v>12101202</v>
      </c>
      <c r="D342" s="889" t="s">
        <v>654</v>
      </c>
      <c r="E342" s="886" t="s">
        <v>6</v>
      </c>
      <c r="F342" s="886" t="s">
        <v>270</v>
      </c>
      <c r="G342" s="47">
        <f>IF(F342="I",IFERROR(VLOOKUP(C342,'BG 062022'!A:C,3,FALSE),0),0)</f>
        <v>0</v>
      </c>
      <c r="H342" s="885"/>
      <c r="I342" s="63">
        <f>IF(F342="I",IFERROR(VLOOKUP(C342,'BG 062022'!A:D,4,FALSE),0),0)</f>
        <v>0</v>
      </c>
      <c r="J342" s="887"/>
      <c r="K342" s="47">
        <f>IF(F342="I",SUMIF('BG 2021'!B:B,Clasificaciones!C342,'BG 2021'!D:D),0)</f>
        <v>0</v>
      </c>
      <c r="L342" s="887"/>
      <c r="M342" s="63">
        <f>IF(F342="I",SUMIF('BG 2021'!B:B,Clasificaciones!C342,'BG 2021'!E:E),0)</f>
        <v>0</v>
      </c>
      <c r="N342" s="887"/>
      <c r="O342" s="47">
        <f>IF(F342="I",SUMIF('BG 062021'!A:A,Clasificaciones!C342,'BG 062021'!C:C),0)</f>
        <v>0</v>
      </c>
      <c r="P342" s="887"/>
      <c r="Q342" s="63">
        <f>IF(F342="I",SUMIF('BG 062021'!A:A,Clasificaciones!C342,'BG 062021'!D:D),0)</f>
        <v>0</v>
      </c>
    </row>
    <row r="343" spans="1:18" s="888" customFormat="1" hidden="1">
      <c r="A343" s="885" t="s">
        <v>3</v>
      </c>
      <c r="B343" s="885"/>
      <c r="C343" s="889">
        <v>12101203</v>
      </c>
      <c r="D343" s="889" t="s">
        <v>659</v>
      </c>
      <c r="E343" s="886" t="s">
        <v>6</v>
      </c>
      <c r="F343" s="886" t="s">
        <v>270</v>
      </c>
      <c r="G343" s="47">
        <f>IF(F343="I",IFERROR(VLOOKUP(C343,'BG 062022'!A:C,3,FALSE),0),0)</f>
        <v>0</v>
      </c>
      <c r="H343" s="885"/>
      <c r="I343" s="63">
        <f>IF(F343="I",IFERROR(VLOOKUP(C343,'BG 062022'!A:D,4,FALSE),0),0)</f>
        <v>0</v>
      </c>
      <c r="J343" s="887"/>
      <c r="K343" s="47">
        <f>IF(F343="I",SUMIF('BG 2021'!B:B,Clasificaciones!C343,'BG 2021'!D:D),0)</f>
        <v>0</v>
      </c>
      <c r="L343" s="887"/>
      <c r="M343" s="63">
        <f>IF(F343="I",SUMIF('BG 2021'!B:B,Clasificaciones!C343,'BG 2021'!E:E),0)</f>
        <v>0</v>
      </c>
      <c r="N343" s="887"/>
      <c r="O343" s="47">
        <f>IF(F343="I",SUMIF('BG 062021'!A:A,Clasificaciones!C343,'BG 062021'!C:C),0)</f>
        <v>0</v>
      </c>
      <c r="P343" s="887"/>
      <c r="Q343" s="63">
        <f>IF(F343="I",SUMIF('BG 062021'!A:A,Clasificaciones!C343,'BG 062021'!D:D),0)</f>
        <v>0</v>
      </c>
    </row>
    <row r="344" spans="1:18" s="888" customFormat="1" hidden="1">
      <c r="A344" s="885" t="s">
        <v>3</v>
      </c>
      <c r="B344" s="885"/>
      <c r="C344" s="889">
        <v>12101204</v>
      </c>
      <c r="D344" s="889" t="s">
        <v>890</v>
      </c>
      <c r="E344" s="886" t="s">
        <v>6</v>
      </c>
      <c r="F344" s="886" t="s">
        <v>270</v>
      </c>
      <c r="G344" s="47">
        <f>IF(F344="I",IFERROR(VLOOKUP(C344,'BG 062022'!A:C,3,FALSE),0),0)</f>
        <v>0</v>
      </c>
      <c r="H344" s="885"/>
      <c r="I344" s="63">
        <f>IF(F344="I",IFERROR(VLOOKUP(C344,'BG 062022'!A:D,4,FALSE),0),0)</f>
        <v>0</v>
      </c>
      <c r="J344" s="887"/>
      <c r="K344" s="47">
        <f>IF(F344="I",SUMIF('BG 2021'!B:B,Clasificaciones!C344,'BG 2021'!D:D),0)</f>
        <v>0</v>
      </c>
      <c r="L344" s="887"/>
      <c r="M344" s="63">
        <f>IF(F344="I",SUMIF('BG 2021'!B:B,Clasificaciones!C344,'BG 2021'!E:E),0)</f>
        <v>0</v>
      </c>
      <c r="N344" s="887"/>
      <c r="O344" s="47">
        <f>IF(F344="I",SUMIF('BG 062021'!A:A,Clasificaciones!C344,'BG 062021'!C:C),0)</f>
        <v>0</v>
      </c>
      <c r="P344" s="887"/>
      <c r="Q344" s="63">
        <f>IF(F344="I",SUMIF('BG 062021'!A:A,Clasificaciones!C344,'BG 062021'!D:D),0)</f>
        <v>0</v>
      </c>
    </row>
    <row r="345" spans="1:18" s="888" customFormat="1" hidden="1">
      <c r="A345" s="885" t="s">
        <v>3</v>
      </c>
      <c r="B345" s="885"/>
      <c r="C345" s="889">
        <v>12101205</v>
      </c>
      <c r="D345" s="889" t="s">
        <v>937</v>
      </c>
      <c r="E345" s="886" t="s">
        <v>6</v>
      </c>
      <c r="F345" s="886" t="s">
        <v>270</v>
      </c>
      <c r="G345" s="47">
        <f>IF(F345="I",IFERROR(VLOOKUP(C345,'BG 062022'!A:C,3,FALSE),0),0)</f>
        <v>0</v>
      </c>
      <c r="H345" s="885"/>
      <c r="I345" s="63">
        <f>IF(F345="I",IFERROR(VLOOKUP(C345,'BG 062022'!A:D,4,FALSE),0),0)</f>
        <v>0</v>
      </c>
      <c r="J345" s="887"/>
      <c r="K345" s="47">
        <f>IF(F345="I",SUMIF('BG 2021'!B:B,Clasificaciones!C345,'BG 2021'!D:D),0)</f>
        <v>0</v>
      </c>
      <c r="L345" s="887"/>
      <c r="M345" s="63">
        <f>IF(F345="I",SUMIF('BG 2021'!B:B,Clasificaciones!C345,'BG 2021'!E:E),0)</f>
        <v>0</v>
      </c>
      <c r="N345" s="887"/>
      <c r="O345" s="47">
        <f>IF(F345="I",SUMIF('BG 062021'!A:A,Clasificaciones!C345,'BG 062021'!C:C),0)</f>
        <v>0</v>
      </c>
      <c r="P345" s="887"/>
      <c r="Q345" s="63">
        <f>IF(F345="I",SUMIF('BG 062021'!A:A,Clasificaciones!C345,'BG 062021'!D:D),0)</f>
        <v>0</v>
      </c>
    </row>
    <row r="346" spans="1:18" s="888" customFormat="1" hidden="1">
      <c r="A346" s="885" t="s">
        <v>3</v>
      </c>
      <c r="B346" s="885"/>
      <c r="C346" s="889">
        <v>12101206</v>
      </c>
      <c r="D346" s="889" t="s">
        <v>982</v>
      </c>
      <c r="E346" s="886" t="s">
        <v>6</v>
      </c>
      <c r="F346" s="886" t="s">
        <v>270</v>
      </c>
      <c r="G346" s="47">
        <f>IF(F346="I",IFERROR(VLOOKUP(C346,'BG 062022'!A:C,3,FALSE),0),0)</f>
        <v>0</v>
      </c>
      <c r="H346" s="885"/>
      <c r="I346" s="63">
        <f>IF(F346="I",IFERROR(VLOOKUP(C346,'BG 062022'!A:D,4,FALSE),0),0)</f>
        <v>0</v>
      </c>
      <c r="J346" s="887"/>
      <c r="K346" s="47">
        <f>IF(F346="I",SUMIF('BG 2021'!B:B,Clasificaciones!C346,'BG 2021'!D:D),0)</f>
        <v>0</v>
      </c>
      <c r="L346" s="887"/>
      <c r="M346" s="63">
        <f>IF(F346="I",SUMIF('BG 2021'!B:B,Clasificaciones!C346,'BG 2021'!E:E),0)</f>
        <v>0</v>
      </c>
      <c r="N346" s="887"/>
      <c r="O346" s="47">
        <f>IF(F346="I",SUMIF('BG 062021'!A:A,Clasificaciones!C346,'BG 062021'!C:C),0)</f>
        <v>0</v>
      </c>
      <c r="P346" s="887"/>
      <c r="Q346" s="63">
        <f>IF(F346="I",SUMIF('BG 062021'!A:A,Clasificaciones!C346,'BG 062021'!D:D),0)</f>
        <v>0</v>
      </c>
    </row>
    <row r="347" spans="1:18" s="888" customFormat="1" hidden="1">
      <c r="A347" s="885" t="s">
        <v>3</v>
      </c>
      <c r="B347" s="885"/>
      <c r="C347" s="889">
        <v>12102</v>
      </c>
      <c r="D347" s="889" t="s">
        <v>983</v>
      </c>
      <c r="E347" s="886" t="s">
        <v>6</v>
      </c>
      <c r="F347" s="886" t="s">
        <v>270</v>
      </c>
      <c r="G347" s="47">
        <f>IF(F347="I",IFERROR(VLOOKUP(C347,'BG 062022'!A:C,3,FALSE),0),0)</f>
        <v>0</v>
      </c>
      <c r="H347" s="885"/>
      <c r="I347" s="63">
        <f>IF(F347="I",IFERROR(VLOOKUP(C347,'BG 062022'!A:D,4,FALSE),0),0)</f>
        <v>0</v>
      </c>
      <c r="J347" s="887"/>
      <c r="K347" s="47">
        <f>IF(F347="I",SUMIF('BG 2021'!B:B,Clasificaciones!C347,'BG 2021'!D:D),0)</f>
        <v>0</v>
      </c>
      <c r="L347" s="887"/>
      <c r="M347" s="63">
        <f>IF(F347="I",SUMIF('BG 2021'!B:B,Clasificaciones!C347,'BG 2021'!E:E),0)</f>
        <v>0</v>
      </c>
      <c r="N347" s="887"/>
      <c r="O347" s="47">
        <f>IF(F347="I",SUMIF('BG 062021'!A:A,Clasificaciones!C347,'BG 062021'!C:C),0)</f>
        <v>0</v>
      </c>
      <c r="P347" s="887"/>
      <c r="Q347" s="63">
        <f>IF(F347="I",SUMIF('BG 062021'!A:A,Clasificaciones!C347,'BG 062021'!D:D),0)</f>
        <v>0</v>
      </c>
    </row>
    <row r="348" spans="1:18" s="888" customFormat="1" hidden="1">
      <c r="A348" s="885" t="s">
        <v>3</v>
      </c>
      <c r="B348" s="885"/>
      <c r="C348" s="889">
        <v>121021</v>
      </c>
      <c r="D348" s="889" t="s">
        <v>984</v>
      </c>
      <c r="E348" s="886" t="s">
        <v>6</v>
      </c>
      <c r="F348" s="886" t="s">
        <v>270</v>
      </c>
      <c r="G348" s="47">
        <f>IF(F348="I",IFERROR(VLOOKUP(C348,'BG 062022'!A:C,3,FALSE),0),0)</f>
        <v>0</v>
      </c>
      <c r="H348" s="885"/>
      <c r="I348" s="63">
        <f>IF(F348="I",IFERROR(VLOOKUP(C348,'BG 062022'!A:D,4,FALSE),0),0)</f>
        <v>0</v>
      </c>
      <c r="J348" s="887"/>
      <c r="K348" s="47">
        <f>IF(F348="I",SUMIF('BG 2021'!B:B,Clasificaciones!C348,'BG 2021'!D:D),0)</f>
        <v>0</v>
      </c>
      <c r="L348" s="887"/>
      <c r="M348" s="63">
        <f>IF(F348="I",SUMIF('BG 2021'!B:B,Clasificaciones!C348,'BG 2021'!E:E),0)</f>
        <v>0</v>
      </c>
      <c r="N348" s="887"/>
      <c r="O348" s="47">
        <f>IF(F348="I",SUMIF('BG 062021'!A:A,Clasificaciones!C348,'BG 062021'!C:C),0)</f>
        <v>0</v>
      </c>
      <c r="P348" s="887"/>
      <c r="Q348" s="63">
        <f>IF(F348="I",SUMIF('BG 062021'!A:A,Clasificaciones!C348,'BG 062021'!D:D),0)</f>
        <v>0</v>
      </c>
    </row>
    <row r="349" spans="1:18" s="888" customFormat="1" hidden="1">
      <c r="A349" s="885" t="s">
        <v>3</v>
      </c>
      <c r="B349" s="151"/>
      <c r="C349" s="889">
        <v>1210211</v>
      </c>
      <c r="D349" s="889" t="s">
        <v>647</v>
      </c>
      <c r="E349" s="886" t="s">
        <v>6</v>
      </c>
      <c r="F349" s="886" t="s">
        <v>270</v>
      </c>
      <c r="G349" s="47">
        <f>IF(F349="I",IFERROR(VLOOKUP(C349,'BG 062022'!A:C,3,FALSE),0),0)</f>
        <v>0</v>
      </c>
      <c r="H349" s="151"/>
      <c r="I349" s="63">
        <f>IF(F349="I",IFERROR(VLOOKUP(C349,'BG 062022'!A:D,4,FALSE),0),0)</f>
        <v>0</v>
      </c>
      <c r="J349" s="887"/>
      <c r="K349" s="47">
        <f>IF(F349="I",SUMIF('BG 2021'!B:B,Clasificaciones!C349,'BG 2021'!D:D),0)</f>
        <v>0</v>
      </c>
      <c r="L349" s="887"/>
      <c r="M349" s="63">
        <f>IF(F349="I",SUMIF('BG 2021'!B:B,Clasificaciones!C349,'BG 2021'!E:E),0)</f>
        <v>0</v>
      </c>
      <c r="N349" s="887"/>
      <c r="O349" s="47">
        <f>IF(F349="I",SUMIF('BG 062021'!A:A,Clasificaciones!C349,'BG 062021'!C:C),0)</f>
        <v>0</v>
      </c>
      <c r="P349" s="887"/>
      <c r="Q349" s="63">
        <f>IF(F349="I",SUMIF('BG 062021'!A:A,Clasificaciones!C349,'BG 062021'!D:D),0)</f>
        <v>0</v>
      </c>
    </row>
    <row r="350" spans="1:18" s="888" customFormat="1" hidden="1">
      <c r="A350" s="885" t="s">
        <v>3</v>
      </c>
      <c r="B350" s="885"/>
      <c r="C350" s="889">
        <v>1210212</v>
      </c>
      <c r="D350" s="889" t="s">
        <v>650</v>
      </c>
      <c r="E350" s="886" t="s">
        <v>6</v>
      </c>
      <c r="F350" s="886" t="s">
        <v>270</v>
      </c>
      <c r="G350" s="47">
        <f>IF(F350="I",IFERROR(VLOOKUP(C350,'BG 062022'!A:C,3,FALSE),0),0)</f>
        <v>0</v>
      </c>
      <c r="H350" s="885"/>
      <c r="I350" s="63">
        <f>IF(F350="I",IFERROR(VLOOKUP(C350,'BG 062022'!A:D,4,FALSE),0),0)</f>
        <v>0</v>
      </c>
      <c r="J350" s="887"/>
      <c r="K350" s="47">
        <f>IF(F350="I",SUMIF('BG 2021'!B:B,Clasificaciones!C350,'BG 2021'!D:D),0)</f>
        <v>0</v>
      </c>
      <c r="L350" s="887"/>
      <c r="M350" s="63">
        <f>IF(F350="I",SUMIF('BG 2021'!B:B,Clasificaciones!C350,'BG 2021'!E:E),0)</f>
        <v>0</v>
      </c>
      <c r="N350" s="887"/>
      <c r="O350" s="47">
        <f>IF(F350="I",SUMIF('BG 062021'!A:A,Clasificaciones!C350,'BG 062021'!C:C),0)</f>
        <v>0</v>
      </c>
      <c r="P350" s="887"/>
      <c r="Q350" s="63">
        <f>IF(F350="I",SUMIF('BG 062021'!A:A,Clasificaciones!C350,'BG 062021'!D:D),0)</f>
        <v>0</v>
      </c>
    </row>
    <row r="351" spans="1:18" s="888" customFormat="1" hidden="1">
      <c r="A351" s="885" t="s">
        <v>3</v>
      </c>
      <c r="B351" s="885"/>
      <c r="C351" s="889">
        <v>1210213</v>
      </c>
      <c r="D351" s="889" t="s">
        <v>654</v>
      </c>
      <c r="E351" s="886" t="s">
        <v>6</v>
      </c>
      <c r="F351" s="886" t="s">
        <v>270</v>
      </c>
      <c r="G351" s="47">
        <f>IF(F351="I",IFERROR(VLOOKUP(C351,'BG 062022'!A:C,3,FALSE),0),0)</f>
        <v>0</v>
      </c>
      <c r="H351" s="885"/>
      <c r="I351" s="63">
        <f>IF(F351="I",IFERROR(VLOOKUP(C351,'BG 062022'!A:D,4,FALSE),0),0)</f>
        <v>0</v>
      </c>
      <c r="J351" s="887"/>
      <c r="K351" s="47">
        <f>IF(F351="I",SUMIF('BG 2021'!B:B,Clasificaciones!C351,'BG 2021'!D:D),0)</f>
        <v>0</v>
      </c>
      <c r="L351" s="887"/>
      <c r="M351" s="63">
        <f>IF(F351="I",SUMIF('BG 2021'!B:B,Clasificaciones!C351,'BG 2021'!E:E),0)</f>
        <v>0</v>
      </c>
      <c r="N351" s="887"/>
      <c r="O351" s="47">
        <f>IF(F351="I",SUMIF('BG 062021'!A:A,Clasificaciones!C351,'BG 062021'!C:C),0)</f>
        <v>0</v>
      </c>
      <c r="P351" s="887"/>
      <c r="Q351" s="63">
        <f>IF(F351="I",SUMIF('BG 062021'!A:A,Clasificaciones!C351,'BG 062021'!D:D),0)</f>
        <v>0</v>
      </c>
    </row>
    <row r="352" spans="1:18" s="888" customFormat="1" hidden="1">
      <c r="A352" s="885" t="s">
        <v>3</v>
      </c>
      <c r="B352" s="885"/>
      <c r="C352" s="889">
        <v>1210214</v>
      </c>
      <c r="D352" s="889" t="s">
        <v>659</v>
      </c>
      <c r="E352" s="886" t="s">
        <v>6</v>
      </c>
      <c r="F352" s="886" t="s">
        <v>270</v>
      </c>
      <c r="G352" s="47">
        <f>IF(F352="I",IFERROR(VLOOKUP(C352,'BG 062022'!A:C,3,FALSE),0),0)</f>
        <v>0</v>
      </c>
      <c r="H352" s="885"/>
      <c r="I352" s="63">
        <f>IF(F352="I",IFERROR(VLOOKUP(C352,'BG 062022'!A:D,4,FALSE),0),0)</f>
        <v>0</v>
      </c>
      <c r="J352" s="887"/>
      <c r="K352" s="47">
        <f>IF(F352="I",SUMIF('BG 2021'!B:B,Clasificaciones!C352,'BG 2021'!D:D),0)</f>
        <v>0</v>
      </c>
      <c r="L352" s="887"/>
      <c r="M352" s="63">
        <f>IF(F352="I",SUMIF('BG 2021'!B:B,Clasificaciones!C352,'BG 2021'!E:E),0)</f>
        <v>0</v>
      </c>
      <c r="N352" s="887"/>
      <c r="O352" s="47">
        <f>IF(F352="I",SUMIF('BG 062021'!A:A,Clasificaciones!C352,'BG 062021'!C:C),0)</f>
        <v>0</v>
      </c>
      <c r="P352" s="887"/>
      <c r="Q352" s="63">
        <f>IF(F352="I",SUMIF('BG 062021'!A:A,Clasificaciones!C352,'BG 062021'!D:D),0)</f>
        <v>0</v>
      </c>
    </row>
    <row r="353" spans="1:17" s="888" customFormat="1" hidden="1">
      <c r="A353" s="885" t="s">
        <v>3</v>
      </c>
      <c r="B353" s="885"/>
      <c r="C353" s="889">
        <v>1210215</v>
      </c>
      <c r="D353" s="889" t="s">
        <v>887</v>
      </c>
      <c r="E353" s="886" t="s">
        <v>6</v>
      </c>
      <c r="F353" s="886" t="s">
        <v>270</v>
      </c>
      <c r="G353" s="47">
        <f>IF(F353="I",IFERROR(VLOOKUP(C353,'BG 062022'!A:C,3,FALSE),0),0)</f>
        <v>0</v>
      </c>
      <c r="H353" s="885"/>
      <c r="I353" s="63">
        <f>IF(F353="I",IFERROR(VLOOKUP(C353,'BG 062022'!A:D,4,FALSE),0),0)</f>
        <v>0</v>
      </c>
      <c r="J353" s="887"/>
      <c r="K353" s="47">
        <f>IF(F353="I",SUMIF('BG 2021'!B:B,Clasificaciones!C353,'BG 2021'!D:D),0)</f>
        <v>0</v>
      </c>
      <c r="L353" s="887"/>
      <c r="M353" s="63">
        <f>IF(F353="I",SUMIF('BG 2021'!B:B,Clasificaciones!C353,'BG 2021'!E:E),0)</f>
        <v>0</v>
      </c>
      <c r="N353" s="887"/>
      <c r="O353" s="47">
        <f>IF(F353="I",SUMIF('BG 062021'!A:A,Clasificaciones!C353,'BG 062021'!C:C),0)</f>
        <v>0</v>
      </c>
      <c r="P353" s="887"/>
      <c r="Q353" s="63">
        <f>IF(F353="I",SUMIF('BG 062021'!A:A,Clasificaciones!C353,'BG 062021'!D:D),0)</f>
        <v>0</v>
      </c>
    </row>
    <row r="354" spans="1:17" s="888" customFormat="1" hidden="1">
      <c r="A354" s="885" t="s">
        <v>3</v>
      </c>
      <c r="B354" s="885"/>
      <c r="C354" s="889">
        <v>1210216</v>
      </c>
      <c r="D354" s="889" t="s">
        <v>890</v>
      </c>
      <c r="E354" s="886" t="s">
        <v>6</v>
      </c>
      <c r="F354" s="886" t="s">
        <v>270</v>
      </c>
      <c r="G354" s="47">
        <f>IF(F354="I",IFERROR(VLOOKUP(C354,'BG 062022'!A:C,3,FALSE),0),0)</f>
        <v>0</v>
      </c>
      <c r="H354" s="885"/>
      <c r="I354" s="63">
        <f>IF(F354="I",IFERROR(VLOOKUP(C354,'BG 062022'!A:D,4,FALSE),0),0)</f>
        <v>0</v>
      </c>
      <c r="J354" s="887"/>
      <c r="K354" s="47">
        <f>IF(F354="I",SUMIF('BG 2021'!B:B,Clasificaciones!C354,'BG 2021'!D:D),0)</f>
        <v>0</v>
      </c>
      <c r="L354" s="887"/>
      <c r="M354" s="63">
        <f>IF(F354="I",SUMIF('BG 2021'!B:B,Clasificaciones!C354,'BG 2021'!E:E),0)</f>
        <v>0</v>
      </c>
      <c r="N354" s="887"/>
      <c r="O354" s="47">
        <f>IF(F354="I",SUMIF('BG 062021'!A:A,Clasificaciones!C354,'BG 062021'!C:C),0)</f>
        <v>0</v>
      </c>
      <c r="P354" s="887"/>
      <c r="Q354" s="63">
        <f>IF(F354="I",SUMIF('BG 062021'!A:A,Clasificaciones!C354,'BG 062021'!D:D),0)</f>
        <v>0</v>
      </c>
    </row>
    <row r="355" spans="1:17" s="888" customFormat="1" hidden="1">
      <c r="A355" s="885" t="s">
        <v>3</v>
      </c>
      <c r="B355" s="885"/>
      <c r="C355" s="889">
        <v>1210218</v>
      </c>
      <c r="D355" s="889" t="s">
        <v>661</v>
      </c>
      <c r="E355" s="886" t="s">
        <v>6</v>
      </c>
      <c r="F355" s="886" t="s">
        <v>270</v>
      </c>
      <c r="G355" s="47">
        <f>IF(F355="I",IFERROR(VLOOKUP(C355,'BG 062022'!A:C,3,FALSE),0),0)</f>
        <v>0</v>
      </c>
      <c r="H355" s="885"/>
      <c r="I355" s="63">
        <f>IF(F355="I",IFERROR(VLOOKUP(C355,'BG 062022'!A:D,4,FALSE),0),0)</f>
        <v>0</v>
      </c>
      <c r="J355" s="887"/>
      <c r="K355" s="47">
        <f>IF(F355="I",SUMIF('BG 2021'!B:B,Clasificaciones!C355,'BG 2021'!D:D),0)</f>
        <v>0</v>
      </c>
      <c r="L355" s="887"/>
      <c r="M355" s="63">
        <f>IF(F355="I",SUMIF('BG 2021'!B:B,Clasificaciones!C355,'BG 2021'!E:E),0)</f>
        <v>0</v>
      </c>
      <c r="N355" s="887"/>
      <c r="O355" s="47">
        <f>IF(F355="I",SUMIF('BG 062021'!A:A,Clasificaciones!C355,'BG 062021'!C:C),0)</f>
        <v>0</v>
      </c>
      <c r="P355" s="887"/>
      <c r="Q355" s="63">
        <f>IF(F355="I",SUMIF('BG 062021'!A:A,Clasificaciones!C355,'BG 062021'!D:D),0)</f>
        <v>0</v>
      </c>
    </row>
    <row r="356" spans="1:17" s="888" customFormat="1" hidden="1">
      <c r="A356" s="885" t="s">
        <v>3</v>
      </c>
      <c r="B356" s="885"/>
      <c r="C356" s="889">
        <v>12102181</v>
      </c>
      <c r="D356" s="889" t="s">
        <v>662</v>
      </c>
      <c r="E356" s="886" t="s">
        <v>6</v>
      </c>
      <c r="F356" s="886" t="s">
        <v>270</v>
      </c>
      <c r="G356" s="47">
        <f>IF(F356="I",IFERROR(VLOOKUP(C356,'BG 062022'!A:C,3,FALSE),0),0)</f>
        <v>0</v>
      </c>
      <c r="H356" s="885"/>
      <c r="I356" s="63">
        <f>IF(F356="I",IFERROR(VLOOKUP(C356,'BG 062022'!A:D,4,FALSE),0),0)</f>
        <v>0</v>
      </c>
      <c r="J356" s="887"/>
      <c r="K356" s="47">
        <f>IF(F356="I",SUMIF('BG 2021'!B:B,Clasificaciones!C356,'BG 2021'!D:D),0)</f>
        <v>0</v>
      </c>
      <c r="L356" s="887"/>
      <c r="M356" s="63">
        <f>IF(F356="I",SUMIF('BG 2021'!B:B,Clasificaciones!C356,'BG 2021'!E:E),0)</f>
        <v>0</v>
      </c>
      <c r="N356" s="887"/>
      <c r="O356" s="47">
        <f>IF(F356="I",SUMIF('BG 062021'!A:A,Clasificaciones!C356,'BG 062021'!C:C),0)</f>
        <v>0</v>
      </c>
      <c r="P356" s="887"/>
      <c r="Q356" s="63">
        <f>IF(F356="I",SUMIF('BG 062021'!A:A,Clasificaciones!C356,'BG 062021'!D:D),0)</f>
        <v>0</v>
      </c>
    </row>
    <row r="357" spans="1:17" s="888" customFormat="1" hidden="1">
      <c r="A357" s="885" t="s">
        <v>3</v>
      </c>
      <c r="B357" s="885"/>
      <c r="C357" s="889">
        <v>12102182</v>
      </c>
      <c r="D357" s="889" t="s">
        <v>671</v>
      </c>
      <c r="E357" s="886" t="s">
        <v>6</v>
      </c>
      <c r="F357" s="886" t="s">
        <v>270</v>
      </c>
      <c r="G357" s="47">
        <f>IF(F357="I",IFERROR(VLOOKUP(C357,'BG 062022'!A:C,3,FALSE),0),0)</f>
        <v>0</v>
      </c>
      <c r="H357" s="885"/>
      <c r="I357" s="63">
        <f>IF(F357="I",IFERROR(VLOOKUP(C357,'BG 062022'!A:D,4,FALSE),0),0)</f>
        <v>0</v>
      </c>
      <c r="J357" s="887"/>
      <c r="K357" s="47">
        <f>IF(F357="I",SUMIF('BG 2021'!B:B,Clasificaciones!C357,'BG 2021'!D:D),0)</f>
        <v>0</v>
      </c>
      <c r="L357" s="887"/>
      <c r="M357" s="63">
        <f>IF(F357="I",SUMIF('BG 2021'!B:B,Clasificaciones!C357,'BG 2021'!E:E),0)</f>
        <v>0</v>
      </c>
      <c r="N357" s="887"/>
      <c r="O357" s="47">
        <f>IF(F357="I",SUMIF('BG 062021'!A:A,Clasificaciones!C357,'BG 062021'!C:C),0)</f>
        <v>0</v>
      </c>
      <c r="P357" s="887"/>
      <c r="Q357" s="63">
        <f>IF(F357="I",SUMIF('BG 062021'!A:A,Clasificaciones!C357,'BG 062021'!D:D),0)</f>
        <v>0</v>
      </c>
    </row>
    <row r="358" spans="1:17" s="888" customFormat="1" hidden="1">
      <c r="A358" s="885" t="s">
        <v>3</v>
      </c>
      <c r="B358" s="885"/>
      <c r="C358" s="889">
        <v>1210219</v>
      </c>
      <c r="D358" s="889" t="s">
        <v>982</v>
      </c>
      <c r="E358" s="886" t="s">
        <v>6</v>
      </c>
      <c r="F358" s="886" t="s">
        <v>270</v>
      </c>
      <c r="G358" s="47">
        <f>IF(F358="I",IFERROR(VLOOKUP(C358,'BG 062022'!A:C,3,FALSE),0),0)</f>
        <v>0</v>
      </c>
      <c r="H358" s="885"/>
      <c r="I358" s="63">
        <f>IF(F358="I",IFERROR(VLOOKUP(C358,'BG 062022'!A:D,4,FALSE),0),0)</f>
        <v>0</v>
      </c>
      <c r="J358" s="887"/>
      <c r="K358" s="47">
        <f>IF(F358="I",SUMIF('BG 2021'!B:B,Clasificaciones!C358,'BG 2021'!D:D),0)</f>
        <v>0</v>
      </c>
      <c r="L358" s="887"/>
      <c r="M358" s="63">
        <f>IF(F358="I",SUMIF('BG 2021'!B:B,Clasificaciones!C358,'BG 2021'!E:E),0)</f>
        <v>0</v>
      </c>
      <c r="N358" s="887"/>
      <c r="O358" s="47">
        <f>IF(F358="I",SUMIF('BG 062021'!A:A,Clasificaciones!C358,'BG 062021'!C:C),0)</f>
        <v>0</v>
      </c>
      <c r="P358" s="887"/>
      <c r="Q358" s="63">
        <f>IF(F358="I",SUMIF('BG 062021'!A:A,Clasificaciones!C358,'BG 062021'!D:D),0)</f>
        <v>0</v>
      </c>
    </row>
    <row r="359" spans="1:17" s="888" customFormat="1" hidden="1">
      <c r="A359" s="885" t="s">
        <v>3</v>
      </c>
      <c r="B359" s="885"/>
      <c r="C359" s="889">
        <v>121022</v>
      </c>
      <c r="D359" s="889" t="s">
        <v>932</v>
      </c>
      <c r="E359" s="886" t="s">
        <v>6</v>
      </c>
      <c r="F359" s="886" t="s">
        <v>270</v>
      </c>
      <c r="G359" s="47">
        <f>IF(F359="I",IFERROR(VLOOKUP(C359,'BG 062022'!A:C,3,FALSE),0),0)</f>
        <v>0</v>
      </c>
      <c r="H359" s="885"/>
      <c r="I359" s="63">
        <f>IF(F359="I",IFERROR(VLOOKUP(C359,'BG 062022'!A:D,4,FALSE),0),0)</f>
        <v>0</v>
      </c>
      <c r="J359" s="887"/>
      <c r="K359" s="47">
        <f>IF(F359="I",SUMIF('BG 2021'!B:B,Clasificaciones!C359,'BG 2021'!D:D),0)</f>
        <v>0</v>
      </c>
      <c r="L359" s="887"/>
      <c r="M359" s="63">
        <f>IF(F359="I",SUMIF('BG 2021'!B:B,Clasificaciones!C359,'BG 2021'!E:E),0)</f>
        <v>0</v>
      </c>
      <c r="N359" s="887"/>
      <c r="O359" s="47">
        <f>IF(F359="I",SUMIF('BG 062021'!A:A,Clasificaciones!C359,'BG 062021'!C:C),0)</f>
        <v>0</v>
      </c>
      <c r="P359" s="887"/>
      <c r="Q359" s="63">
        <f>IF(F359="I",SUMIF('BG 062021'!A:A,Clasificaciones!C359,'BG 062021'!D:D),0)</f>
        <v>0</v>
      </c>
    </row>
    <row r="360" spans="1:17" s="888" customFormat="1" hidden="1">
      <c r="A360" s="885" t="s">
        <v>3</v>
      </c>
      <c r="B360" s="885"/>
      <c r="C360" s="889">
        <v>1210221</v>
      </c>
      <c r="D360" s="889" t="s">
        <v>647</v>
      </c>
      <c r="E360" s="886" t="s">
        <v>6</v>
      </c>
      <c r="F360" s="886" t="s">
        <v>270</v>
      </c>
      <c r="G360" s="47">
        <f>IF(F360="I",IFERROR(VLOOKUP(C360,'BG 062022'!A:C,3,FALSE),0),0)</f>
        <v>0</v>
      </c>
      <c r="H360" s="885"/>
      <c r="I360" s="63">
        <f>IF(F360="I",IFERROR(VLOOKUP(C360,'BG 062022'!A:D,4,FALSE),0),0)</f>
        <v>0</v>
      </c>
      <c r="J360" s="887"/>
      <c r="K360" s="47">
        <f>IF(F360="I",SUMIF('BG 2021'!B:B,Clasificaciones!C360,'BG 2021'!D:D),0)</f>
        <v>0</v>
      </c>
      <c r="L360" s="887"/>
      <c r="M360" s="63">
        <f>IF(F360="I",SUMIF('BG 2021'!B:B,Clasificaciones!C360,'BG 2021'!E:E),0)</f>
        <v>0</v>
      </c>
      <c r="N360" s="887"/>
      <c r="O360" s="47">
        <f>IF(F360="I",SUMIF('BG 062021'!A:A,Clasificaciones!C360,'BG 062021'!C:C),0)</f>
        <v>0</v>
      </c>
      <c r="P360" s="887"/>
      <c r="Q360" s="63">
        <f>IF(F360="I",SUMIF('BG 062021'!A:A,Clasificaciones!C360,'BG 062021'!D:D),0)</f>
        <v>0</v>
      </c>
    </row>
    <row r="361" spans="1:17" s="888" customFormat="1" hidden="1">
      <c r="A361" s="885" t="s">
        <v>3</v>
      </c>
      <c r="B361" s="885"/>
      <c r="C361" s="889">
        <v>1210222</v>
      </c>
      <c r="D361" s="889" t="s">
        <v>650</v>
      </c>
      <c r="E361" s="886" t="s">
        <v>6</v>
      </c>
      <c r="F361" s="886" t="s">
        <v>270</v>
      </c>
      <c r="G361" s="47">
        <f>IF(F361="I",IFERROR(VLOOKUP(C361,'BG 062022'!A:C,3,FALSE),0),0)</f>
        <v>0</v>
      </c>
      <c r="H361" s="885"/>
      <c r="I361" s="63">
        <f>IF(F361="I",IFERROR(VLOOKUP(C361,'BG 062022'!A:D,4,FALSE),0),0)</f>
        <v>0</v>
      </c>
      <c r="J361" s="887"/>
      <c r="K361" s="47">
        <f>IF(F361="I",SUMIF('BG 2021'!B:B,Clasificaciones!C361,'BG 2021'!D:D),0)</f>
        <v>0</v>
      </c>
      <c r="L361" s="887"/>
      <c r="M361" s="63">
        <f>IF(F361="I",SUMIF('BG 2021'!B:B,Clasificaciones!C361,'BG 2021'!E:E),0)</f>
        <v>0</v>
      </c>
      <c r="N361" s="887"/>
      <c r="O361" s="47">
        <f>IF(F361="I",SUMIF('BG 062021'!A:A,Clasificaciones!C361,'BG 062021'!C:C),0)</f>
        <v>0</v>
      </c>
      <c r="P361" s="887"/>
      <c r="Q361" s="63">
        <f>IF(F361="I",SUMIF('BG 062021'!A:A,Clasificaciones!C361,'BG 062021'!D:D),0)</f>
        <v>0</v>
      </c>
    </row>
    <row r="362" spans="1:17" s="888" customFormat="1" hidden="1">
      <c r="A362" s="885" t="s">
        <v>3</v>
      </c>
      <c r="B362" s="885"/>
      <c r="C362" s="889">
        <v>1210223</v>
      </c>
      <c r="D362" s="889" t="s">
        <v>654</v>
      </c>
      <c r="E362" s="886" t="s">
        <v>6</v>
      </c>
      <c r="F362" s="886" t="s">
        <v>270</v>
      </c>
      <c r="G362" s="47">
        <f>IF(F362="I",IFERROR(VLOOKUP(C362,'BG 062022'!A:C,3,FALSE),0),0)</f>
        <v>0</v>
      </c>
      <c r="H362" s="885"/>
      <c r="I362" s="63">
        <f>IF(F362="I",IFERROR(VLOOKUP(C362,'BG 062022'!A:D,4,FALSE),0),0)</f>
        <v>0</v>
      </c>
      <c r="J362" s="887"/>
      <c r="K362" s="47">
        <f>IF(F362="I",SUMIF('BG 2021'!B:B,Clasificaciones!C362,'BG 2021'!D:D),0)</f>
        <v>0</v>
      </c>
      <c r="L362" s="887"/>
      <c r="M362" s="63">
        <f>IF(F362="I",SUMIF('BG 2021'!B:B,Clasificaciones!C362,'BG 2021'!E:E),0)</f>
        <v>0</v>
      </c>
      <c r="N362" s="887"/>
      <c r="O362" s="47">
        <f>IF(F362="I",SUMIF('BG 062021'!A:A,Clasificaciones!C362,'BG 062021'!C:C),0)</f>
        <v>0</v>
      </c>
      <c r="P362" s="887"/>
      <c r="Q362" s="63">
        <f>IF(F362="I",SUMIF('BG 062021'!A:A,Clasificaciones!C362,'BG 062021'!D:D),0)</f>
        <v>0</v>
      </c>
    </row>
    <row r="363" spans="1:17" s="888" customFormat="1" hidden="1">
      <c r="A363" s="885" t="s">
        <v>3</v>
      </c>
      <c r="B363" s="885"/>
      <c r="C363" s="889">
        <v>1210224</v>
      </c>
      <c r="D363" s="889" t="s">
        <v>659</v>
      </c>
      <c r="E363" s="886" t="s">
        <v>6</v>
      </c>
      <c r="F363" s="886" t="s">
        <v>270</v>
      </c>
      <c r="G363" s="47">
        <f>IF(F363="I",IFERROR(VLOOKUP(C363,'BG 062022'!A:C,3,FALSE),0),0)</f>
        <v>0</v>
      </c>
      <c r="H363" s="885"/>
      <c r="I363" s="63">
        <f>IF(F363="I",IFERROR(VLOOKUP(C363,'BG 062022'!A:D,4,FALSE),0),0)</f>
        <v>0</v>
      </c>
      <c r="J363" s="887"/>
      <c r="K363" s="47">
        <f>IF(F363="I",SUMIF('BG 2021'!B:B,Clasificaciones!C363,'BG 2021'!D:D),0)</f>
        <v>0</v>
      </c>
      <c r="L363" s="887"/>
      <c r="M363" s="63">
        <f>IF(F363="I",SUMIF('BG 2021'!B:B,Clasificaciones!C363,'BG 2021'!E:E),0)</f>
        <v>0</v>
      </c>
      <c r="N363" s="887"/>
      <c r="O363" s="47">
        <f>IF(F363="I",SUMIF('BG 062021'!A:A,Clasificaciones!C363,'BG 062021'!C:C),0)</f>
        <v>0</v>
      </c>
      <c r="P363" s="887"/>
      <c r="Q363" s="63">
        <f>IF(F363="I",SUMIF('BG 062021'!A:A,Clasificaciones!C363,'BG 062021'!D:D),0)</f>
        <v>0</v>
      </c>
    </row>
    <row r="364" spans="1:17" s="888" customFormat="1" hidden="1">
      <c r="A364" s="885" t="s">
        <v>3</v>
      </c>
      <c r="B364" s="885"/>
      <c r="C364" s="889">
        <v>1210225</v>
      </c>
      <c r="D364" s="889" t="s">
        <v>890</v>
      </c>
      <c r="E364" s="886" t="s">
        <v>6</v>
      </c>
      <c r="F364" s="886" t="s">
        <v>270</v>
      </c>
      <c r="G364" s="47">
        <f>IF(F364="I",IFERROR(VLOOKUP(C364,'BG 062022'!A:C,3,FALSE),0),0)</f>
        <v>0</v>
      </c>
      <c r="H364" s="885"/>
      <c r="I364" s="63">
        <f>IF(F364="I",IFERROR(VLOOKUP(C364,'BG 062022'!A:D,4,FALSE),0),0)</f>
        <v>0</v>
      </c>
      <c r="J364" s="887"/>
      <c r="K364" s="47">
        <f>IF(F364="I",SUMIF('BG 2021'!B:B,Clasificaciones!C364,'BG 2021'!D:D),0)</f>
        <v>0</v>
      </c>
      <c r="L364" s="887"/>
      <c r="M364" s="63">
        <f>IF(F364="I",SUMIF('BG 2021'!B:B,Clasificaciones!C364,'BG 2021'!E:E),0)</f>
        <v>0</v>
      </c>
      <c r="N364" s="887"/>
      <c r="O364" s="47">
        <f>IF(F364="I",SUMIF('BG 062021'!A:A,Clasificaciones!C364,'BG 062021'!C:C),0)</f>
        <v>0</v>
      </c>
      <c r="P364" s="887"/>
      <c r="Q364" s="63">
        <f>IF(F364="I",SUMIF('BG 062021'!A:A,Clasificaciones!C364,'BG 062021'!D:D),0)</f>
        <v>0</v>
      </c>
    </row>
    <row r="365" spans="1:17" s="888" customFormat="1" hidden="1">
      <c r="A365" s="885" t="s">
        <v>3</v>
      </c>
      <c r="B365" s="885"/>
      <c r="C365" s="889">
        <v>1210226</v>
      </c>
      <c r="D365" s="889" t="s">
        <v>985</v>
      </c>
      <c r="E365" s="886" t="s">
        <v>6</v>
      </c>
      <c r="F365" s="886" t="s">
        <v>270</v>
      </c>
      <c r="G365" s="47">
        <f>IF(F365="I",IFERROR(VLOOKUP(C365,'BG 062022'!A:C,3,FALSE),0),0)</f>
        <v>0</v>
      </c>
      <c r="H365" s="885"/>
      <c r="I365" s="63">
        <f>IF(F365="I",IFERROR(VLOOKUP(C365,'BG 062022'!A:D,4,FALSE),0),0)</f>
        <v>0</v>
      </c>
      <c r="J365" s="887"/>
      <c r="K365" s="47">
        <f>IF(F365="I",SUMIF('BG 2021'!B:B,Clasificaciones!C365,'BG 2021'!D:D),0)</f>
        <v>0</v>
      </c>
      <c r="L365" s="887"/>
      <c r="M365" s="63">
        <f>IF(F365="I",SUMIF('BG 2021'!B:B,Clasificaciones!C365,'BG 2021'!E:E),0)</f>
        <v>0</v>
      </c>
      <c r="N365" s="887"/>
      <c r="O365" s="47">
        <f>IF(F365="I",SUMIF('BG 062021'!A:A,Clasificaciones!C365,'BG 062021'!C:C),0)</f>
        <v>0</v>
      </c>
      <c r="P365" s="887"/>
      <c r="Q365" s="63">
        <f>IF(F365="I",SUMIF('BG 062021'!A:A,Clasificaciones!C365,'BG 062021'!D:D),0)</f>
        <v>0</v>
      </c>
    </row>
    <row r="366" spans="1:17" s="888" customFormat="1" hidden="1">
      <c r="A366" s="885" t="s">
        <v>3</v>
      </c>
      <c r="B366" s="885"/>
      <c r="C366" s="889">
        <v>1210227</v>
      </c>
      <c r="D366" s="889" t="s">
        <v>661</v>
      </c>
      <c r="E366" s="886" t="s">
        <v>6</v>
      </c>
      <c r="F366" s="886" t="s">
        <v>270</v>
      </c>
      <c r="G366" s="47">
        <f>IF(F366="I",IFERROR(VLOOKUP(C366,'BG 062022'!A:C,3,FALSE),0),0)</f>
        <v>0</v>
      </c>
      <c r="H366" s="885"/>
      <c r="I366" s="63">
        <f>IF(F366="I",IFERROR(VLOOKUP(C366,'BG 062022'!A:D,4,FALSE),0),0)</f>
        <v>0</v>
      </c>
      <c r="J366" s="887"/>
      <c r="K366" s="47">
        <f>IF(F366="I",SUMIF('BG 2021'!B:B,Clasificaciones!C366,'BG 2021'!D:D),0)</f>
        <v>0</v>
      </c>
      <c r="L366" s="887"/>
      <c r="M366" s="63">
        <f>IF(F366="I",SUMIF('BG 2021'!B:B,Clasificaciones!C366,'BG 2021'!E:E),0)</f>
        <v>0</v>
      </c>
      <c r="N366" s="887"/>
      <c r="O366" s="47">
        <f>IF(F366="I",SUMIF('BG 062021'!A:A,Clasificaciones!C366,'BG 062021'!C:C),0)</f>
        <v>0</v>
      </c>
      <c r="P366" s="887"/>
      <c r="Q366" s="63">
        <f>IF(F366="I",SUMIF('BG 062021'!A:A,Clasificaciones!C366,'BG 062021'!D:D),0)</f>
        <v>0</v>
      </c>
    </row>
    <row r="367" spans="1:17" s="888" customFormat="1" hidden="1">
      <c r="A367" s="885" t="s">
        <v>3</v>
      </c>
      <c r="B367" s="885"/>
      <c r="C367" s="889">
        <v>12102271</v>
      </c>
      <c r="D367" s="889" t="s">
        <v>662</v>
      </c>
      <c r="E367" s="886" t="s">
        <v>6</v>
      </c>
      <c r="F367" s="886" t="s">
        <v>270</v>
      </c>
      <c r="G367" s="47">
        <f>IF(F367="I",IFERROR(VLOOKUP(C367,'BG 062022'!A:C,3,FALSE),0),0)</f>
        <v>0</v>
      </c>
      <c r="H367" s="885"/>
      <c r="I367" s="63">
        <f>IF(F367="I",IFERROR(VLOOKUP(C367,'BG 062022'!A:D,4,FALSE),0),0)</f>
        <v>0</v>
      </c>
      <c r="J367" s="887"/>
      <c r="K367" s="47">
        <f>IF(F367="I",SUMIF('BG 2021'!B:B,Clasificaciones!C367,'BG 2021'!D:D),0)</f>
        <v>0</v>
      </c>
      <c r="L367" s="887"/>
      <c r="M367" s="63">
        <f>IF(F367="I",SUMIF('BG 2021'!B:B,Clasificaciones!C367,'BG 2021'!E:E),0)</f>
        <v>0</v>
      </c>
      <c r="N367" s="887"/>
      <c r="O367" s="47">
        <f>IF(F367="I",SUMIF('BG 062021'!A:A,Clasificaciones!C367,'BG 062021'!C:C),0)</f>
        <v>0</v>
      </c>
      <c r="P367" s="887"/>
      <c r="Q367" s="63">
        <f>IF(F367="I",SUMIF('BG 062021'!A:A,Clasificaciones!C367,'BG 062021'!D:D),0)</f>
        <v>0</v>
      </c>
    </row>
    <row r="368" spans="1:17" s="888" customFormat="1" hidden="1">
      <c r="A368" s="885" t="s">
        <v>3</v>
      </c>
      <c r="B368" s="885"/>
      <c r="C368" s="889">
        <v>12102272</v>
      </c>
      <c r="D368" s="889" t="s">
        <v>671</v>
      </c>
      <c r="E368" s="886" t="s">
        <v>6</v>
      </c>
      <c r="F368" s="886" t="s">
        <v>270</v>
      </c>
      <c r="G368" s="47">
        <f>IF(F368="I",IFERROR(VLOOKUP(C368,'BG 062022'!A:C,3,FALSE),0),0)</f>
        <v>0</v>
      </c>
      <c r="H368" s="885"/>
      <c r="I368" s="63">
        <f>IF(F368="I",IFERROR(VLOOKUP(C368,'BG 062022'!A:D,4,FALSE),0),0)</f>
        <v>0</v>
      </c>
      <c r="J368" s="887"/>
      <c r="K368" s="47">
        <f>IF(F368="I",SUMIF('BG 2021'!B:B,Clasificaciones!C368,'BG 2021'!D:D),0)</f>
        <v>0</v>
      </c>
      <c r="L368" s="887"/>
      <c r="M368" s="63">
        <f>IF(F368="I",SUMIF('BG 2021'!B:B,Clasificaciones!C368,'BG 2021'!E:E),0)</f>
        <v>0</v>
      </c>
      <c r="N368" s="887"/>
      <c r="O368" s="47">
        <f>IF(F368="I",SUMIF('BG 062021'!A:A,Clasificaciones!C368,'BG 062021'!C:C),0)</f>
        <v>0</v>
      </c>
      <c r="P368" s="887"/>
      <c r="Q368" s="63">
        <f>IF(F368="I",SUMIF('BG 062021'!A:A,Clasificaciones!C368,'BG 062021'!D:D),0)</f>
        <v>0</v>
      </c>
    </row>
    <row r="369" spans="1:18" s="888" customFormat="1" hidden="1">
      <c r="A369" s="885" t="s">
        <v>3</v>
      </c>
      <c r="B369" s="885"/>
      <c r="C369" s="889">
        <v>1210228</v>
      </c>
      <c r="D369" s="889" t="s">
        <v>982</v>
      </c>
      <c r="E369" s="886" t="s">
        <v>6</v>
      </c>
      <c r="F369" s="886" t="s">
        <v>270</v>
      </c>
      <c r="G369" s="47">
        <f>IF(F369="I",IFERROR(VLOOKUP(C369,'BG 062022'!A:C,3,FALSE),0),0)</f>
        <v>0</v>
      </c>
      <c r="H369" s="885"/>
      <c r="I369" s="63">
        <f>IF(F369="I",IFERROR(VLOOKUP(C369,'BG 062022'!A:D,4,FALSE),0),0)</f>
        <v>0</v>
      </c>
      <c r="J369" s="887"/>
      <c r="K369" s="47">
        <f>IF(F369="I",SUMIF('BG 2021'!B:B,Clasificaciones!C369,'BG 2021'!D:D),0)</f>
        <v>0</v>
      </c>
      <c r="L369" s="887"/>
      <c r="M369" s="63">
        <f>IF(F369="I",SUMIF('BG 2021'!B:B,Clasificaciones!C369,'BG 2021'!E:E),0)</f>
        <v>0</v>
      </c>
      <c r="N369" s="887"/>
      <c r="O369" s="47">
        <f>IF(F369="I",SUMIF('BG 062021'!A:A,Clasificaciones!C369,'BG 062021'!C:C),0)</f>
        <v>0</v>
      </c>
      <c r="P369" s="887"/>
      <c r="Q369" s="63">
        <f>IF(F369="I",SUMIF('BG 062021'!A:A,Clasificaciones!C369,'BG 062021'!D:D),0)</f>
        <v>0</v>
      </c>
    </row>
    <row r="370" spans="1:18" s="888" customFormat="1" hidden="1">
      <c r="A370" s="885" t="s">
        <v>3</v>
      </c>
      <c r="B370" s="885"/>
      <c r="C370" s="889">
        <v>12103</v>
      </c>
      <c r="D370" s="889" t="s">
        <v>707</v>
      </c>
      <c r="E370" s="886" t="s">
        <v>6</v>
      </c>
      <c r="F370" s="886" t="s">
        <v>270</v>
      </c>
      <c r="G370" s="47">
        <f>IF(F370="I",IFERROR(VLOOKUP(C370,'BG 062022'!A:C,3,FALSE),0),0)</f>
        <v>0</v>
      </c>
      <c r="H370" s="885"/>
      <c r="I370" s="63">
        <f>IF(F370="I",IFERROR(VLOOKUP(C370,'BG 062022'!A:D,4,FALSE),0),0)</f>
        <v>0</v>
      </c>
      <c r="J370" s="887"/>
      <c r="K370" s="47">
        <f>IF(F370="I",SUMIF('BG 2021'!B:B,Clasificaciones!C370,'BG 2021'!D:D),0)</f>
        <v>0</v>
      </c>
      <c r="L370" s="887"/>
      <c r="M370" s="63">
        <f>IF(F370="I",SUMIF('BG 2021'!B:B,Clasificaciones!C370,'BG 2021'!E:E),0)</f>
        <v>0</v>
      </c>
      <c r="N370" s="887"/>
      <c r="O370" s="47">
        <f>IF(F370="I",SUMIF('BG 062021'!A:A,Clasificaciones!C370,'BG 062021'!C:C),0)</f>
        <v>0</v>
      </c>
      <c r="P370" s="887"/>
      <c r="Q370" s="63">
        <f>IF(F370="I",SUMIF('BG 062021'!A:A,Clasificaciones!C370,'BG 062021'!D:D),0)</f>
        <v>0</v>
      </c>
    </row>
    <row r="371" spans="1:18" s="888" customFormat="1" hidden="1">
      <c r="A371" s="885" t="s">
        <v>3</v>
      </c>
      <c r="B371" s="885" t="s">
        <v>73</v>
      </c>
      <c r="C371" s="889">
        <v>1210301</v>
      </c>
      <c r="D371" s="889" t="s">
        <v>708</v>
      </c>
      <c r="E371" s="886" t="s">
        <v>6</v>
      </c>
      <c r="F371" s="886" t="s">
        <v>271</v>
      </c>
      <c r="G371" s="47">
        <f>IF(F371="I",IFERROR(VLOOKUP(C371,'BG 062022'!A:C,3,FALSE),0),0)</f>
        <v>900000000</v>
      </c>
      <c r="H371" s="885"/>
      <c r="I371" s="63">
        <f>IF(F371="I",IFERROR(VLOOKUP(C371,'BG 062022'!A:D,4,FALSE),0),0)</f>
        <v>131619.35999999999</v>
      </c>
      <c r="J371" s="887"/>
      <c r="K371" s="47">
        <f>IF(F371="I",SUMIF('BG 2021'!B:B,Clasificaciones!C371,'BG 2021'!D:D),0)</f>
        <v>900000000</v>
      </c>
      <c r="L371" s="887"/>
      <c r="M371" s="63">
        <f>IF(F371="I",SUMIF('BG 2021'!B:B,Clasificaciones!C371,'BG 2021'!E:E),0)</f>
        <v>130988.91999999998</v>
      </c>
      <c r="N371" s="887"/>
      <c r="O371" s="47">
        <f>IF(F371="I",SUMIF('BG 062021'!A:A,Clasificaciones!C371,'BG 062021'!C:C),0)</f>
        <v>900000000</v>
      </c>
      <c r="P371" s="887"/>
      <c r="Q371" s="63">
        <f>IF(F371="I",SUMIF('BG 062021'!A:A,Clasificaciones!C371,'BG 062021'!D:D),0)</f>
        <v>133650.53</v>
      </c>
      <c r="R371" s="888">
        <f>+VLOOKUP(C371,'CA EFE'!A:A,1,FALSE)</f>
        <v>1210301</v>
      </c>
    </row>
    <row r="372" spans="1:18" s="888" customFormat="1" hidden="1">
      <c r="A372" s="885" t="s">
        <v>3</v>
      </c>
      <c r="B372" s="885"/>
      <c r="C372" s="889">
        <v>127</v>
      </c>
      <c r="D372" s="889" t="s">
        <v>709</v>
      </c>
      <c r="E372" s="886" t="s">
        <v>6</v>
      </c>
      <c r="F372" s="886" t="s">
        <v>270</v>
      </c>
      <c r="G372" s="47">
        <f>IF(F372="I",IFERROR(VLOOKUP(C372,'BG 062022'!A:C,3,FALSE),0),0)</f>
        <v>0</v>
      </c>
      <c r="H372" s="885"/>
      <c r="I372" s="63">
        <f>IF(F372="I",IFERROR(VLOOKUP(C372,'BG 062022'!A:D,4,FALSE),0),0)</f>
        <v>0</v>
      </c>
      <c r="J372" s="887"/>
      <c r="K372" s="47">
        <f>IF(F372="I",SUMIF('BG 2021'!B:B,Clasificaciones!C372,'BG 2021'!D:D),0)</f>
        <v>0</v>
      </c>
      <c r="L372" s="887"/>
      <c r="M372" s="63">
        <f>IF(F372="I",SUMIF('BG 2021'!B:B,Clasificaciones!C372,'BG 2021'!E:E),0)</f>
        <v>0</v>
      </c>
      <c r="N372" s="887"/>
      <c r="O372" s="47">
        <f>IF(F372="I",SUMIF('BG 062021'!A:A,Clasificaciones!C372,'BG 062021'!C:C),0)</f>
        <v>0</v>
      </c>
      <c r="P372" s="887"/>
      <c r="Q372" s="63">
        <f>IF(F372="I",SUMIF('BG 062021'!A:A,Clasificaciones!C372,'BG 062021'!D:D),0)</f>
        <v>0</v>
      </c>
    </row>
    <row r="373" spans="1:18" s="888" customFormat="1" hidden="1">
      <c r="A373" s="885" t="s">
        <v>3</v>
      </c>
      <c r="B373" s="885"/>
      <c r="C373" s="889">
        <v>12701</v>
      </c>
      <c r="D373" s="889" t="s">
        <v>710</v>
      </c>
      <c r="E373" s="886" t="s">
        <v>6</v>
      </c>
      <c r="F373" s="886" t="s">
        <v>270</v>
      </c>
      <c r="G373" s="47">
        <f>IF(F373="I",IFERROR(VLOOKUP(C373,'BG 062022'!A:C,3,FALSE),0),0)</f>
        <v>0</v>
      </c>
      <c r="H373" s="885"/>
      <c r="I373" s="63">
        <f>IF(F373="I",IFERROR(VLOOKUP(C373,'BG 062022'!A:D,4,FALSE),0),0)</f>
        <v>0</v>
      </c>
      <c r="J373" s="887"/>
      <c r="K373" s="47">
        <f>IF(F373="I",SUMIF('BG 2021'!B:B,Clasificaciones!C373,'BG 2021'!D:D),0)</f>
        <v>0</v>
      </c>
      <c r="L373" s="887"/>
      <c r="M373" s="63">
        <f>IF(F373="I",SUMIF('BG 2021'!B:B,Clasificaciones!C373,'BG 2021'!E:E),0)</f>
        <v>0</v>
      </c>
      <c r="N373" s="887"/>
      <c r="O373" s="47">
        <f>IF(F373="I",SUMIF('BG 062021'!A:A,Clasificaciones!C373,'BG 062021'!C:C),0)</f>
        <v>0</v>
      </c>
      <c r="P373" s="887"/>
      <c r="Q373" s="63">
        <f>IF(F373="I",SUMIF('BG 062021'!A:A,Clasificaciones!C373,'BG 062021'!D:D),0)</f>
        <v>0</v>
      </c>
    </row>
    <row r="374" spans="1:18" s="888" customFormat="1" hidden="1">
      <c r="A374" s="885" t="s">
        <v>3</v>
      </c>
      <c r="B374" s="885"/>
      <c r="C374" s="889">
        <v>1270101</v>
      </c>
      <c r="D374" s="889" t="s">
        <v>986</v>
      </c>
      <c r="E374" s="886" t="s">
        <v>6</v>
      </c>
      <c r="F374" s="886" t="s">
        <v>271</v>
      </c>
      <c r="G374" s="47">
        <f>IF(F374="I",IFERROR(VLOOKUP(C374,'BG 062022'!A:C,3,FALSE),0),0)</f>
        <v>0</v>
      </c>
      <c r="H374" s="885"/>
      <c r="I374" s="63">
        <f>IF(F374="I",IFERROR(VLOOKUP(C374,'BG 062022'!A:D,4,FALSE),0),0)</f>
        <v>0</v>
      </c>
      <c r="J374" s="887"/>
      <c r="K374" s="47">
        <f>IF(F374="I",SUMIF('BG 2021'!B:B,Clasificaciones!C374,'BG 2021'!D:D),0)</f>
        <v>0</v>
      </c>
      <c r="L374" s="887"/>
      <c r="M374" s="63">
        <f>IF(F374="I",SUMIF('BG 2021'!B:B,Clasificaciones!C374,'BG 2021'!E:E),0)</f>
        <v>0</v>
      </c>
      <c r="N374" s="887"/>
      <c r="O374" s="47">
        <f>IF(F374="I",SUMIF('BG 062021'!A:A,Clasificaciones!C374,'BG 062021'!C:C),0)</f>
        <v>0</v>
      </c>
      <c r="P374" s="887"/>
      <c r="Q374" s="63">
        <f>IF(F374="I",SUMIF('BG 062021'!A:A,Clasificaciones!C374,'BG 062021'!D:D),0)</f>
        <v>0</v>
      </c>
    </row>
    <row r="375" spans="1:18" s="888" customFormat="1" hidden="1">
      <c r="A375" s="885" t="s">
        <v>3</v>
      </c>
      <c r="B375" s="885" t="s">
        <v>1270</v>
      </c>
      <c r="C375" s="889">
        <v>1270102</v>
      </c>
      <c r="D375" s="889" t="s">
        <v>153</v>
      </c>
      <c r="E375" s="886" t="s">
        <v>6</v>
      </c>
      <c r="F375" s="886" t="s">
        <v>271</v>
      </c>
      <c r="G375" s="47">
        <f>IF(F375="I",IFERROR(VLOOKUP(C375,'BG 062022'!A:C,3,FALSE),0),0)</f>
        <v>122540485</v>
      </c>
      <c r="H375" s="885"/>
      <c r="I375" s="63">
        <f>IF(F375="I",IFERROR(VLOOKUP(C375,'BG 062022'!A:D,4,FALSE),0),0)</f>
        <v>18105.099999999999</v>
      </c>
      <c r="J375" s="887"/>
      <c r="K375" s="47">
        <f>IF(F375="I",SUMIF('BG 2021'!B:B,Clasificaciones!C375,'BG 2021'!D:D),0)</f>
        <v>122540485</v>
      </c>
      <c r="L375" s="887"/>
      <c r="M375" s="63">
        <f>IF(F375="I",SUMIF('BG 2021'!B:B,Clasificaciones!C375,'BG 2021'!E:E),0)</f>
        <v>18105.099999999999</v>
      </c>
      <c r="N375" s="887"/>
      <c r="O375" s="47">
        <f>IF(F375="I",SUMIF('BG 062021'!A:A,Clasificaciones!C375,'BG 062021'!C:C),0)</f>
        <v>118579522</v>
      </c>
      <c r="P375" s="887"/>
      <c r="Q375" s="63">
        <f>IF(F375="I",SUMIF('BG 062021'!A:A,Clasificaciones!C375,'BG 062021'!D:D),0)</f>
        <v>17529.849999999999</v>
      </c>
      <c r="R375" s="888">
        <f>+VLOOKUP(C375,'CA EFE'!A:A,1,FALSE)</f>
        <v>1270102</v>
      </c>
    </row>
    <row r="376" spans="1:18" s="888" customFormat="1" hidden="1">
      <c r="A376" s="885" t="s">
        <v>3</v>
      </c>
      <c r="B376" s="885" t="s">
        <v>1270</v>
      </c>
      <c r="C376" s="889">
        <v>1270103</v>
      </c>
      <c r="D376" s="889" t="s">
        <v>711</v>
      </c>
      <c r="E376" s="886" t="s">
        <v>6</v>
      </c>
      <c r="F376" s="886" t="s">
        <v>271</v>
      </c>
      <c r="G376" s="47">
        <f>IF(F376="I",IFERROR(VLOOKUP(C376,'BG 062022'!A:C,3,FALSE),0),0)</f>
        <v>250626991</v>
      </c>
      <c r="H376" s="885"/>
      <c r="I376" s="63">
        <f>IF(F376="I",IFERROR(VLOOKUP(C376,'BG 062022'!A:D,4,FALSE),0),0)</f>
        <v>37054.620000000003</v>
      </c>
      <c r="J376" s="887"/>
      <c r="K376" s="47">
        <f>IF(F376="I",SUMIF('BG 2021'!B:B,Clasificaciones!C376,'BG 2021'!D:D),0)</f>
        <v>249008778</v>
      </c>
      <c r="L376" s="887"/>
      <c r="M376" s="63">
        <f>IF(F376="I",SUMIF('BG 2021'!B:B,Clasificaciones!C376,'BG 2021'!E:E),0)</f>
        <v>36822.800000000003</v>
      </c>
      <c r="N376" s="887"/>
      <c r="O376" s="47">
        <f>IF(F376="I",SUMIF('BG 062021'!A:A,Clasificaciones!C376,'BG 062021'!C:C),0)</f>
        <v>241690596</v>
      </c>
      <c r="P376" s="887"/>
      <c r="Q376" s="63">
        <f>IF(F376="I",SUMIF('BG 062021'!A:A,Clasificaciones!C376,'BG 062021'!D:D),0)</f>
        <v>35763.35</v>
      </c>
      <c r="R376" s="888">
        <f>+VLOOKUP(C376,'CA EFE'!A:A,1,FALSE)</f>
        <v>1270103</v>
      </c>
    </row>
    <row r="377" spans="1:18" s="888" customFormat="1" hidden="1">
      <c r="A377" s="885" t="s">
        <v>3</v>
      </c>
      <c r="B377" s="885" t="s">
        <v>1270</v>
      </c>
      <c r="C377" s="889">
        <v>1270104</v>
      </c>
      <c r="D377" s="889" t="s">
        <v>712</v>
      </c>
      <c r="E377" s="886" t="s">
        <v>6</v>
      </c>
      <c r="F377" s="886" t="s">
        <v>271</v>
      </c>
      <c r="G377" s="47">
        <f>IF(F377="I",IFERROR(VLOOKUP(C377,'BG 062022'!A:C,3,FALSE),0),0)</f>
        <v>468274422</v>
      </c>
      <c r="H377" s="885"/>
      <c r="I377" s="63">
        <f>IF(F377="I",IFERROR(VLOOKUP(C377,'BG 062022'!A:D,4,FALSE),0),0)</f>
        <v>68604.149999999994</v>
      </c>
      <c r="J377" s="887"/>
      <c r="K377" s="47">
        <f>IF(F377="I",SUMIF('BG 2021'!B:B,Clasificaciones!C377,'BG 2021'!D:D),0)</f>
        <v>357508232</v>
      </c>
      <c r="L377" s="887"/>
      <c r="M377" s="63">
        <f>IF(F377="I",SUMIF('BG 2021'!B:B,Clasificaciones!C377,'BG 2021'!E:E),0)</f>
        <v>52550.51</v>
      </c>
      <c r="N377" s="887"/>
      <c r="O377" s="47">
        <f>IF(F377="I",SUMIF('BG 062021'!A:A,Clasificaciones!C377,'BG 062021'!C:C),0)</f>
        <v>291105376</v>
      </c>
      <c r="P377" s="887"/>
      <c r="Q377" s="63">
        <f>IF(F377="I",SUMIF('BG 062021'!A:A,Clasificaciones!C377,'BG 062021'!D:D),0)</f>
        <v>42711.33</v>
      </c>
      <c r="R377" s="888">
        <f>+VLOOKUP(C377,'CA EFE'!A:A,1,FALSE)</f>
        <v>1270104</v>
      </c>
    </row>
    <row r="378" spans="1:18" s="888" customFormat="1" hidden="1">
      <c r="A378" s="885" t="s">
        <v>3</v>
      </c>
      <c r="B378" s="885"/>
      <c r="C378" s="889">
        <v>1270105</v>
      </c>
      <c r="D378" s="889" t="s">
        <v>987</v>
      </c>
      <c r="E378" s="886" t="s">
        <v>6</v>
      </c>
      <c r="F378" s="886" t="s">
        <v>271</v>
      </c>
      <c r="G378" s="47">
        <f>IF(F378="I",IFERROR(VLOOKUP(C378,'BG 062022'!A:C,3,FALSE),0),0)</f>
        <v>0</v>
      </c>
      <c r="H378" s="885"/>
      <c r="I378" s="63">
        <f>IF(F378="I",IFERROR(VLOOKUP(C378,'BG 062022'!A:D,4,FALSE),0),0)</f>
        <v>0</v>
      </c>
      <c r="J378" s="887"/>
      <c r="K378" s="47">
        <f>IF(F378="I",SUMIF('BG 2021'!B:B,Clasificaciones!C378,'BG 2021'!D:D),0)</f>
        <v>0</v>
      </c>
      <c r="L378" s="887"/>
      <c r="M378" s="63">
        <f>IF(F378="I",SUMIF('BG 2021'!B:B,Clasificaciones!C378,'BG 2021'!E:E),0)</f>
        <v>0</v>
      </c>
      <c r="N378" s="887"/>
      <c r="O378" s="47">
        <f>IF(F378="I",SUMIF('BG 062021'!A:A,Clasificaciones!C378,'BG 062021'!C:C),0)</f>
        <v>0</v>
      </c>
      <c r="P378" s="887"/>
      <c r="Q378" s="63">
        <f>IF(F378="I",SUMIF('BG 062021'!A:A,Clasificaciones!C378,'BG 062021'!D:D),0)</f>
        <v>0</v>
      </c>
    </row>
    <row r="379" spans="1:18" s="888" customFormat="1" hidden="1">
      <c r="A379" s="885" t="s">
        <v>3</v>
      </c>
      <c r="B379" s="885"/>
      <c r="C379" s="889">
        <v>1270106</v>
      </c>
      <c r="D379" s="889" t="s">
        <v>988</v>
      </c>
      <c r="E379" s="886" t="s">
        <v>6</v>
      </c>
      <c r="F379" s="886" t="s">
        <v>271</v>
      </c>
      <c r="G379" s="47">
        <f>IF(F379="I",IFERROR(VLOOKUP(C379,'BG 062022'!A:C,3,FALSE),0),0)</f>
        <v>0</v>
      </c>
      <c r="H379" s="885"/>
      <c r="I379" s="63">
        <f>IF(F379="I",IFERROR(VLOOKUP(C379,'BG 062022'!A:D,4,FALSE),0),0)</f>
        <v>0</v>
      </c>
      <c r="J379" s="887"/>
      <c r="K379" s="47">
        <f>IF(F379="I",SUMIF('BG 2021'!B:B,Clasificaciones!C379,'BG 2021'!D:D),0)</f>
        <v>0</v>
      </c>
      <c r="L379" s="887"/>
      <c r="M379" s="63">
        <f>IF(F379="I",SUMIF('BG 2021'!B:B,Clasificaciones!C379,'BG 2021'!E:E),0)</f>
        <v>0</v>
      </c>
      <c r="N379" s="887"/>
      <c r="O379" s="47">
        <f>IF(F379="I",SUMIF('BG 062021'!A:A,Clasificaciones!C379,'BG 062021'!C:C),0)</f>
        <v>0</v>
      </c>
      <c r="P379" s="887"/>
      <c r="Q379" s="63">
        <f>IF(F379="I",SUMIF('BG 062021'!A:A,Clasificaciones!C379,'BG 062021'!D:D),0)</f>
        <v>0</v>
      </c>
    </row>
    <row r="380" spans="1:18" s="888" customFormat="1" hidden="1">
      <c r="A380" s="885" t="s">
        <v>3</v>
      </c>
      <c r="B380" s="885" t="s">
        <v>1270</v>
      </c>
      <c r="C380" s="889">
        <v>1270107</v>
      </c>
      <c r="D380" s="889" t="s">
        <v>997</v>
      </c>
      <c r="E380" s="886" t="s">
        <v>6</v>
      </c>
      <c r="F380" s="886" t="s">
        <v>271</v>
      </c>
      <c r="G380" s="47">
        <f>IF(F380="I",IFERROR(VLOOKUP(C380,'BG 062022'!A:C,3,FALSE),0),0)</f>
        <v>316522493</v>
      </c>
      <c r="H380" s="885"/>
      <c r="I380" s="63">
        <f>IF(F380="I",IFERROR(VLOOKUP(C380,'BG 062022'!A:D,4,FALSE),0),0)</f>
        <v>47288.01</v>
      </c>
      <c r="J380" s="887"/>
      <c r="K380" s="47">
        <f>IF(F380="I",SUMIF('BG 2021'!B:B,Clasificaciones!C380,'BG 2021'!D:D),0)</f>
        <v>316522493</v>
      </c>
      <c r="L380" s="887"/>
      <c r="M380" s="63">
        <f>IF(F380="I",SUMIF('BG 2021'!B:B,Clasificaciones!C380,'BG 2021'!E:E),0)</f>
        <v>47288.01</v>
      </c>
      <c r="N380" s="887"/>
      <c r="O380" s="47">
        <f>IF(F380="I",SUMIF('BG 062021'!A:A,Clasificaciones!C380,'BG 062021'!C:C),0)</f>
        <v>316522493</v>
      </c>
      <c r="P380" s="887"/>
      <c r="Q380" s="63">
        <f>IF(F380="I",SUMIF('BG 062021'!A:A,Clasificaciones!C380,'BG 062021'!D:D),0)</f>
        <v>47288.01</v>
      </c>
      <c r="R380" s="888">
        <f>+VLOOKUP(C380,'CA EFE'!A:A,1,FALSE)</f>
        <v>1270107</v>
      </c>
    </row>
    <row r="381" spans="1:18" s="888" customFormat="1" hidden="1">
      <c r="A381" s="885" t="s">
        <v>3</v>
      </c>
      <c r="B381" s="885"/>
      <c r="C381" s="889">
        <v>1270120</v>
      </c>
      <c r="D381" s="889" t="s">
        <v>713</v>
      </c>
      <c r="E381" s="886" t="s">
        <v>6</v>
      </c>
      <c r="F381" s="886" t="s">
        <v>270</v>
      </c>
      <c r="G381" s="47">
        <f>IF(F381="I",IFERROR(VLOOKUP(C381,'BG 062022'!A:C,3,FALSE),0),0)</f>
        <v>0</v>
      </c>
      <c r="H381" s="885"/>
      <c r="I381" s="63">
        <f>IF(F381="I",IFERROR(VLOOKUP(C381,'BG 062022'!A:D,4,FALSE),0),0)</f>
        <v>0</v>
      </c>
      <c r="J381" s="887"/>
      <c r="K381" s="47">
        <f>IF(F381="I",SUMIF('BG 2021'!B:B,Clasificaciones!C381,'BG 2021'!D:D),0)</f>
        <v>0</v>
      </c>
      <c r="L381" s="887"/>
      <c r="M381" s="63">
        <f>IF(F381="I",SUMIF('BG 2021'!B:B,Clasificaciones!C381,'BG 2021'!E:E),0)</f>
        <v>0</v>
      </c>
      <c r="N381" s="887"/>
      <c r="O381" s="47">
        <f>IF(F381="I",SUMIF('BG 062021'!A:A,Clasificaciones!C381,'BG 062021'!C:C),0)</f>
        <v>0</v>
      </c>
      <c r="P381" s="887"/>
      <c r="Q381" s="63">
        <f>IF(F381="I",SUMIF('BG 062021'!A:A,Clasificaciones!C381,'BG 062021'!D:D),0)</f>
        <v>0</v>
      </c>
    </row>
    <row r="382" spans="1:18" s="888" customFormat="1" hidden="1">
      <c r="A382" s="885" t="s">
        <v>3</v>
      </c>
      <c r="B382" s="885"/>
      <c r="C382" s="889">
        <v>127012001</v>
      </c>
      <c r="D382" s="889" t="s">
        <v>989</v>
      </c>
      <c r="E382" s="886" t="s">
        <v>6</v>
      </c>
      <c r="F382" s="886" t="s">
        <v>271</v>
      </c>
      <c r="G382" s="47">
        <f>IF(F382="I",IFERROR(VLOOKUP(C382,'BG 062022'!A:C,3,FALSE),0),0)</f>
        <v>0</v>
      </c>
      <c r="H382" s="885"/>
      <c r="I382" s="63">
        <f>IF(F382="I",IFERROR(VLOOKUP(C382,'BG 062022'!A:D,4,FALSE),0),0)</f>
        <v>0</v>
      </c>
      <c r="J382" s="887"/>
      <c r="K382" s="47">
        <f>IF(F382="I",SUMIF('BG 2021'!B:B,Clasificaciones!C382,'BG 2021'!D:D),0)</f>
        <v>0</v>
      </c>
      <c r="L382" s="887"/>
      <c r="M382" s="63">
        <f>IF(F382="I",SUMIF('BG 2021'!B:B,Clasificaciones!C382,'BG 2021'!E:E),0)</f>
        <v>0</v>
      </c>
      <c r="N382" s="887"/>
      <c r="O382" s="47">
        <f>IF(F382="I",SUMIF('BG 062021'!A:A,Clasificaciones!C382,'BG 062021'!C:C),0)</f>
        <v>0</v>
      </c>
      <c r="P382" s="887"/>
      <c r="Q382" s="63">
        <f>IF(F382="I",SUMIF('BG 062021'!A:A,Clasificaciones!C382,'BG 062021'!D:D),0)</f>
        <v>0</v>
      </c>
    </row>
    <row r="383" spans="1:18" s="888" customFormat="1" hidden="1">
      <c r="A383" s="885" t="s">
        <v>3</v>
      </c>
      <c r="B383" s="885" t="s">
        <v>1271</v>
      </c>
      <c r="C383" s="889">
        <v>127012002</v>
      </c>
      <c r="D383" s="889" t="s">
        <v>990</v>
      </c>
      <c r="E383" s="886" t="s">
        <v>6</v>
      </c>
      <c r="F383" s="886" t="s">
        <v>271</v>
      </c>
      <c r="G383" s="47">
        <f>IF(F383="I",IFERROR(VLOOKUP(C383,'BG 062022'!A:C,3,FALSE),0),0)</f>
        <v>-5514324</v>
      </c>
      <c r="H383" s="885"/>
      <c r="I383" s="63">
        <f>IF(F383="I",IFERROR(VLOOKUP(C383,'BG 062022'!A:D,4,FALSE),0),0)</f>
        <v>-814.74</v>
      </c>
      <c r="J383" s="887"/>
      <c r="K383" s="47">
        <f>IF(F383="I",SUMIF('BG 2021'!B:B,Clasificaciones!C383,'BG 2021'!D:D),0)</f>
        <v>0</v>
      </c>
      <c r="L383" s="887"/>
      <c r="M383" s="63">
        <f>IF(F383="I",SUMIF('BG 2021'!B:B,Clasificaciones!C383,'BG 2021'!E:E),0)</f>
        <v>0</v>
      </c>
      <c r="N383" s="887"/>
      <c r="O383" s="47">
        <f>IF(F383="I",SUMIF('BG 062021'!A:A,Clasificaciones!C383,'BG 062021'!C:C),0)</f>
        <v>0</v>
      </c>
      <c r="P383" s="887"/>
      <c r="Q383" s="63">
        <f>IF(F383="I",SUMIF('BG 062021'!A:A,Clasificaciones!C383,'BG 062021'!D:D),0)</f>
        <v>0</v>
      </c>
      <c r="R383" s="888">
        <f>+VLOOKUP(C383,'CA EFE'!A:A,1,FALSE)</f>
        <v>127012002</v>
      </c>
    </row>
    <row r="384" spans="1:18" s="888" customFormat="1" hidden="1">
      <c r="A384" s="885" t="s">
        <v>3</v>
      </c>
      <c r="B384" s="885" t="s">
        <v>1271</v>
      </c>
      <c r="C384" s="889">
        <v>127012003</v>
      </c>
      <c r="D384" s="889" t="s">
        <v>714</v>
      </c>
      <c r="E384" s="886" t="s">
        <v>6</v>
      </c>
      <c r="F384" s="886" t="s">
        <v>271</v>
      </c>
      <c r="G384" s="47">
        <f>IF(F384="I",IFERROR(VLOOKUP(C384,'BG 062022'!A:C,3,FALSE),0),0)</f>
        <v>-37890753</v>
      </c>
      <c r="H384" s="885"/>
      <c r="I384" s="63">
        <f>IF(F384="I",IFERROR(VLOOKUP(C384,'BG 062022'!A:D,4,FALSE),0),0)</f>
        <v>-5604.2</v>
      </c>
      <c r="J384" s="887"/>
      <c r="K384" s="47">
        <f>IF(F384="I",SUMIF('BG 2021'!B:B,Clasificaciones!C384,'BG 2021'!D:D),0)</f>
        <v>-588477</v>
      </c>
      <c r="L384" s="887"/>
      <c r="M384" s="63">
        <f>IF(F384="I",SUMIF('BG 2021'!B:B,Clasificaciones!C384,'BG 2021'!E:E),0)</f>
        <v>-88.1</v>
      </c>
      <c r="N384" s="887"/>
      <c r="O384" s="47">
        <f>IF(F384="I",SUMIF('BG 062021'!A:A,Clasificaciones!C384,'BG 062021'!C:C),0)</f>
        <v>-294240</v>
      </c>
      <c r="P384" s="887"/>
      <c r="Q384" s="63">
        <f>IF(F384="I",SUMIF('BG 062021'!A:A,Clasificaciones!C384,'BG 062021'!D:D),0)</f>
        <v>-44.04</v>
      </c>
      <c r="R384" s="888">
        <f>+VLOOKUP(C384,'CA EFE'!A:A,1,FALSE)</f>
        <v>127012003</v>
      </c>
    </row>
    <row r="385" spans="1:18" s="888" customFormat="1" hidden="1">
      <c r="A385" s="885" t="s">
        <v>3</v>
      </c>
      <c r="B385" s="885" t="s">
        <v>1271</v>
      </c>
      <c r="C385" s="889">
        <v>127012004</v>
      </c>
      <c r="D385" s="889" t="s">
        <v>715</v>
      </c>
      <c r="E385" s="886" t="s">
        <v>6</v>
      </c>
      <c r="F385" s="886" t="s">
        <v>271</v>
      </c>
      <c r="G385" s="47">
        <f>IF(F385="I",IFERROR(VLOOKUP(C385,'BG 062022'!A:C,3,FALSE),0),0)</f>
        <v>-42128849</v>
      </c>
      <c r="H385" s="885"/>
      <c r="I385" s="63">
        <f>IF(F385="I",IFERROR(VLOOKUP(C385,'BG 062022'!A:D,4,FALSE),0),0)</f>
        <v>-6288.53</v>
      </c>
      <c r="J385" s="887"/>
      <c r="K385" s="47">
        <f>IF(F385="I",SUMIF('BG 2021'!B:B,Clasificaciones!C385,'BG 2021'!D:D),0)</f>
        <v>-9953111</v>
      </c>
      <c r="L385" s="887"/>
      <c r="M385" s="63">
        <f>IF(F385="I",SUMIF('BG 2021'!B:B,Clasificaciones!C385,'BG 2021'!E:E),0)</f>
        <v>-1558.98</v>
      </c>
      <c r="N385" s="887"/>
      <c r="O385" s="47">
        <f>IF(F385="I",SUMIF('BG 062021'!A:A,Clasificaciones!C385,'BG 062021'!C:C),0)</f>
        <v>-4301102</v>
      </c>
      <c r="P385" s="887"/>
      <c r="Q385" s="63">
        <f>IF(F385="I",SUMIF('BG 062021'!A:A,Clasificaciones!C385,'BG 062021'!D:D),0)</f>
        <v>-679.21</v>
      </c>
      <c r="R385" s="888">
        <f>+VLOOKUP(C385,'CA EFE'!A:A,1,FALSE)</f>
        <v>127012004</v>
      </c>
    </row>
    <row r="386" spans="1:18" s="888" customFormat="1" hidden="1">
      <c r="A386" s="885" t="s">
        <v>3</v>
      </c>
      <c r="B386" s="885"/>
      <c r="C386" s="889">
        <v>127012005</v>
      </c>
      <c r="D386" s="889" t="s">
        <v>991</v>
      </c>
      <c r="E386" s="886" t="s">
        <v>6</v>
      </c>
      <c r="F386" s="886" t="s">
        <v>271</v>
      </c>
      <c r="G386" s="47">
        <f>IF(F386="I",IFERROR(VLOOKUP(C386,'BG 062022'!A:C,3,FALSE),0),0)</f>
        <v>0</v>
      </c>
      <c r="H386" s="885"/>
      <c r="I386" s="63">
        <f>IF(F386="I",IFERROR(VLOOKUP(C386,'BG 062022'!A:D,4,FALSE),0),0)</f>
        <v>0</v>
      </c>
      <c r="J386" s="887"/>
      <c r="K386" s="47">
        <f>IF(F386="I",SUMIF('BG 2021'!B:B,Clasificaciones!C386,'BG 2021'!D:D),0)</f>
        <v>0</v>
      </c>
      <c r="L386" s="887"/>
      <c r="M386" s="63">
        <f>IF(F386="I",SUMIF('BG 2021'!B:B,Clasificaciones!C386,'BG 2021'!E:E),0)</f>
        <v>0</v>
      </c>
      <c r="N386" s="887"/>
      <c r="O386" s="47">
        <f>IF(F386="I",SUMIF('BG 062021'!A:A,Clasificaciones!C386,'BG 062021'!C:C),0)</f>
        <v>0</v>
      </c>
      <c r="P386" s="887"/>
      <c r="Q386" s="63">
        <f>IF(F386="I",SUMIF('BG 062021'!A:A,Clasificaciones!C386,'BG 062021'!D:D),0)</f>
        <v>0</v>
      </c>
    </row>
    <row r="387" spans="1:18" s="888" customFormat="1" hidden="1">
      <c r="A387" s="885" t="s">
        <v>3</v>
      </c>
      <c r="B387" s="885" t="s">
        <v>1271</v>
      </c>
      <c r="C387" s="889">
        <v>127012006</v>
      </c>
      <c r="D387" s="889" t="s">
        <v>1501</v>
      </c>
      <c r="E387" s="886" t="s">
        <v>6</v>
      </c>
      <c r="F387" s="886" t="s">
        <v>271</v>
      </c>
      <c r="G387" s="47">
        <f>IF(F387="I",IFERROR(VLOOKUP(C387,'BG 062022'!A:C,3,FALSE),0),0)</f>
        <v>-14243514</v>
      </c>
      <c r="H387" s="885"/>
      <c r="I387" s="63">
        <f>IF(F387="I",IFERROR(VLOOKUP(C387,'BG 062022'!A:D,4,FALSE),0),0)</f>
        <v>-2128.06</v>
      </c>
      <c r="J387" s="887"/>
      <c r="K387" s="47">
        <f>IF(F387="I",SUMIF('BG 2021'!B:B,Clasificaciones!C387,'BG 2021'!D:D),0)</f>
        <v>0</v>
      </c>
      <c r="L387" s="887"/>
      <c r="M387" s="63">
        <f>IF(F387="I",SUMIF('BG 2021'!B:B,Clasificaciones!C387,'BG 2021'!E:E),0)</f>
        <v>0</v>
      </c>
      <c r="N387" s="887"/>
      <c r="O387" s="47">
        <f>IF(F387="I",SUMIF('BG 062021'!A:A,Clasificaciones!C387,'BG 062021'!C:C),0)</f>
        <v>0</v>
      </c>
      <c r="P387" s="887"/>
      <c r="Q387" s="63">
        <f>IF(F387="I",SUMIF('BG 062021'!A:A,Clasificaciones!C387,'BG 062021'!D:D),0)</f>
        <v>0</v>
      </c>
      <c r="R387" s="888">
        <f>+VLOOKUP(C387,'CA EFE'!A:A,1,FALSE)</f>
        <v>127012006</v>
      </c>
    </row>
    <row r="388" spans="1:18" s="888" customFormat="1" hidden="1">
      <c r="A388" s="885" t="s">
        <v>3</v>
      </c>
      <c r="B388" s="885"/>
      <c r="C388" s="889">
        <v>12702</v>
      </c>
      <c r="D388" s="889" t="s">
        <v>992</v>
      </c>
      <c r="E388" s="886" t="s">
        <v>6</v>
      </c>
      <c r="F388" s="886" t="s">
        <v>270</v>
      </c>
      <c r="G388" s="47">
        <f>IF(F388="I",IFERROR(VLOOKUP(C388,'BG 062022'!A:C,3,FALSE),0),0)</f>
        <v>0</v>
      </c>
      <c r="H388" s="885"/>
      <c r="I388" s="63">
        <f>IF(F388="I",IFERROR(VLOOKUP(C388,'BG 062022'!A:D,4,FALSE),0),0)</f>
        <v>0</v>
      </c>
      <c r="J388" s="887"/>
      <c r="K388" s="47">
        <f>IF(F388="I",SUMIF('BG 2021'!B:B,Clasificaciones!C388,'BG 2021'!D:D),0)</f>
        <v>0</v>
      </c>
      <c r="L388" s="887"/>
      <c r="M388" s="63">
        <f>IF(F388="I",SUMIF('BG 2021'!B:B,Clasificaciones!C388,'BG 2021'!E:E),0)</f>
        <v>0</v>
      </c>
      <c r="N388" s="887"/>
      <c r="O388" s="47">
        <f>IF(F388="I",SUMIF('BG 062021'!A:A,Clasificaciones!C388,'BG 062021'!C:C),0)</f>
        <v>0</v>
      </c>
      <c r="P388" s="887"/>
      <c r="Q388" s="63">
        <f>IF(F388="I",SUMIF('BG 062021'!A:A,Clasificaciones!C388,'BG 062021'!D:D),0)</f>
        <v>0</v>
      </c>
    </row>
    <row r="389" spans="1:18" s="888" customFormat="1" hidden="1">
      <c r="A389" s="885" t="s">
        <v>3</v>
      </c>
      <c r="B389" s="885"/>
      <c r="C389" s="889">
        <v>1270201</v>
      </c>
      <c r="D389" s="889" t="s">
        <v>993</v>
      </c>
      <c r="E389" s="886" t="s">
        <v>6</v>
      </c>
      <c r="F389" s="886" t="s">
        <v>271</v>
      </c>
      <c r="G389" s="47">
        <f>IF(F389="I",IFERROR(VLOOKUP(C389,'BG 062022'!A:C,3,FALSE),0),0)</f>
        <v>0</v>
      </c>
      <c r="H389" s="885"/>
      <c r="I389" s="63">
        <f>IF(F389="I",IFERROR(VLOOKUP(C389,'BG 062022'!A:D,4,FALSE),0),0)</f>
        <v>0</v>
      </c>
      <c r="J389" s="887"/>
      <c r="K389" s="47">
        <f>IF(F389="I",SUMIF('BG 2021'!B:B,Clasificaciones!C389,'BG 2021'!D:D),0)</f>
        <v>0</v>
      </c>
      <c r="L389" s="887"/>
      <c r="M389" s="63">
        <f>IF(F389="I",SUMIF('BG 2021'!B:B,Clasificaciones!C389,'BG 2021'!E:E),0)</f>
        <v>0</v>
      </c>
      <c r="N389" s="887"/>
      <c r="O389" s="47">
        <f>IF(F389="I",SUMIF('BG 062021'!A:A,Clasificaciones!C389,'BG 062021'!C:C),0)</f>
        <v>0</v>
      </c>
      <c r="P389" s="887"/>
      <c r="Q389" s="63">
        <f>IF(F389="I",SUMIF('BG 062021'!A:A,Clasificaciones!C389,'BG 062021'!D:D),0)</f>
        <v>0</v>
      </c>
    </row>
    <row r="390" spans="1:18" s="888" customFormat="1" hidden="1">
      <c r="A390" s="885" t="s">
        <v>3</v>
      </c>
      <c r="B390" s="885"/>
      <c r="C390" s="889">
        <v>1270202</v>
      </c>
      <c r="D390" s="889" t="s">
        <v>994</v>
      </c>
      <c r="E390" s="886" t="s">
        <v>6</v>
      </c>
      <c r="F390" s="886" t="s">
        <v>271</v>
      </c>
      <c r="G390" s="47">
        <f>IF(F390="I",IFERROR(VLOOKUP(C390,'BG 062022'!A:C,3,FALSE),0),0)</f>
        <v>0</v>
      </c>
      <c r="H390" s="885"/>
      <c r="I390" s="63">
        <f>IF(F390="I",IFERROR(VLOOKUP(C390,'BG 062022'!A:D,4,FALSE),0),0)</f>
        <v>0</v>
      </c>
      <c r="J390" s="887"/>
      <c r="K390" s="47">
        <f>IF(F390="I",SUMIF('BG 2021'!B:B,Clasificaciones!C390,'BG 2021'!D:D),0)</f>
        <v>0</v>
      </c>
      <c r="L390" s="887"/>
      <c r="M390" s="63">
        <f>IF(F390="I",SUMIF('BG 2021'!B:B,Clasificaciones!C390,'BG 2021'!E:E),0)</f>
        <v>0</v>
      </c>
      <c r="N390" s="887"/>
      <c r="O390" s="47">
        <f>IF(F390="I",SUMIF('BG 062021'!A:A,Clasificaciones!C390,'BG 062021'!C:C),0)</f>
        <v>0</v>
      </c>
      <c r="P390" s="887"/>
      <c r="Q390" s="63">
        <f>IF(F390="I",SUMIF('BG 062021'!A:A,Clasificaciones!C390,'BG 062021'!D:D),0)</f>
        <v>0</v>
      </c>
    </row>
    <row r="391" spans="1:18" s="888" customFormat="1" hidden="1">
      <c r="A391" s="885" t="s">
        <v>3</v>
      </c>
      <c r="B391" s="885"/>
      <c r="C391" s="889">
        <v>1270203</v>
      </c>
      <c r="D391" s="889" t="s">
        <v>995</v>
      </c>
      <c r="E391" s="886" t="s">
        <v>6</v>
      </c>
      <c r="F391" s="886" t="s">
        <v>271</v>
      </c>
      <c r="G391" s="47">
        <f>IF(F391="I",IFERROR(VLOOKUP(C391,'BG 062022'!A:C,3,FALSE),0),0)</f>
        <v>0</v>
      </c>
      <c r="H391" s="885"/>
      <c r="I391" s="63">
        <f>IF(F391="I",IFERROR(VLOOKUP(C391,'BG 062022'!A:D,4,FALSE),0),0)</f>
        <v>0</v>
      </c>
      <c r="J391" s="887"/>
      <c r="K391" s="47">
        <f>IF(F391="I",SUMIF('BG 2021'!B:B,Clasificaciones!C391,'BG 2021'!D:D),0)</f>
        <v>0</v>
      </c>
      <c r="L391" s="887"/>
      <c r="M391" s="63">
        <f>IF(F391="I",SUMIF('BG 2021'!B:B,Clasificaciones!C391,'BG 2021'!E:E),0)</f>
        <v>0</v>
      </c>
      <c r="N391" s="887"/>
      <c r="O391" s="47">
        <f>IF(F391="I",SUMIF('BG 062021'!A:A,Clasificaciones!C391,'BG 062021'!C:C),0)</f>
        <v>0</v>
      </c>
      <c r="P391" s="887"/>
      <c r="Q391" s="63">
        <f>IF(F391="I",SUMIF('BG 062021'!A:A,Clasificaciones!C391,'BG 062021'!D:D),0)</f>
        <v>0</v>
      </c>
    </row>
    <row r="392" spans="1:18" s="888" customFormat="1" hidden="1">
      <c r="A392" s="885" t="s">
        <v>3</v>
      </c>
      <c r="B392" s="885"/>
      <c r="C392" s="889">
        <v>1270220</v>
      </c>
      <c r="D392" s="889" t="s">
        <v>713</v>
      </c>
      <c r="E392" s="886" t="s">
        <v>6</v>
      </c>
      <c r="F392" s="886" t="s">
        <v>271</v>
      </c>
      <c r="G392" s="47">
        <f>IF(F392="I",IFERROR(VLOOKUP(C392,'BG 062022'!A:C,3,FALSE),0),0)</f>
        <v>0</v>
      </c>
      <c r="H392" s="885"/>
      <c r="I392" s="63">
        <f>IF(F392="I",IFERROR(VLOOKUP(C392,'BG 062022'!A:D,4,FALSE),0),0)</f>
        <v>0</v>
      </c>
      <c r="J392" s="887"/>
      <c r="K392" s="47">
        <f>IF(F392="I",SUMIF('BG 2021'!B:B,Clasificaciones!C392,'BG 2021'!D:D),0)</f>
        <v>0</v>
      </c>
      <c r="L392" s="887"/>
      <c r="M392" s="63">
        <f>IF(F392="I",SUMIF('BG 2021'!B:B,Clasificaciones!C392,'BG 2021'!E:E),0)</f>
        <v>0</v>
      </c>
      <c r="N392" s="887"/>
      <c r="O392" s="47">
        <f>IF(F392="I",SUMIF('BG 062021'!A:A,Clasificaciones!C392,'BG 062021'!C:C),0)</f>
        <v>0</v>
      </c>
      <c r="P392" s="887"/>
      <c r="Q392" s="63">
        <f>IF(F392="I",SUMIF('BG 062021'!A:A,Clasificaciones!C392,'BG 062021'!D:D),0)</f>
        <v>0</v>
      </c>
    </row>
    <row r="393" spans="1:18" s="888" customFormat="1" hidden="1">
      <c r="A393" s="885" t="s">
        <v>3</v>
      </c>
      <c r="B393" s="885"/>
      <c r="C393" s="889">
        <v>128</v>
      </c>
      <c r="D393" s="889" t="s">
        <v>716</v>
      </c>
      <c r="E393" s="886" t="s">
        <v>6</v>
      </c>
      <c r="F393" s="886" t="s">
        <v>270</v>
      </c>
      <c r="G393" s="47">
        <f>IF(F393="I",IFERROR(VLOOKUP(C393,'BG 062022'!A:C,3,FALSE),0),0)</f>
        <v>0</v>
      </c>
      <c r="H393" s="885"/>
      <c r="I393" s="63">
        <f>IF(F393="I",IFERROR(VLOOKUP(C393,'BG 062022'!A:D,4,FALSE),0),0)</f>
        <v>0</v>
      </c>
      <c r="J393" s="887"/>
      <c r="K393" s="47">
        <f>IF(F393="I",SUMIF('BG 2021'!B:B,Clasificaciones!C393,'BG 2021'!D:D),0)</f>
        <v>0</v>
      </c>
      <c r="L393" s="887"/>
      <c r="M393" s="63">
        <f>IF(F393="I",SUMIF('BG 2021'!B:B,Clasificaciones!C393,'BG 2021'!E:E),0)</f>
        <v>0</v>
      </c>
      <c r="N393" s="887"/>
      <c r="O393" s="47">
        <f>IF(F393="I",SUMIF('BG 062021'!A:A,Clasificaciones!C393,'BG 062021'!C:C),0)</f>
        <v>0</v>
      </c>
      <c r="P393" s="887"/>
      <c r="Q393" s="63">
        <f>IF(F393="I",SUMIF('BG 062021'!A:A,Clasificaciones!C393,'BG 062021'!D:D),0)</f>
        <v>0</v>
      </c>
    </row>
    <row r="394" spans="1:18" s="888" customFormat="1" hidden="1">
      <c r="A394" s="885" t="s">
        <v>3</v>
      </c>
      <c r="B394" s="885"/>
      <c r="C394" s="889">
        <v>12801</v>
      </c>
      <c r="D394" s="889" t="s">
        <v>94</v>
      </c>
      <c r="E394" s="886" t="s">
        <v>6</v>
      </c>
      <c r="F394" s="886" t="s">
        <v>270</v>
      </c>
      <c r="G394" s="47">
        <f>IF(F394="I",IFERROR(VLOOKUP(C394,'BG 062022'!A:C,3,FALSE),0),0)</f>
        <v>0</v>
      </c>
      <c r="H394" s="885"/>
      <c r="I394" s="63">
        <f>IF(F394="I",IFERROR(VLOOKUP(C394,'BG 062022'!A:D,4,FALSE),0),0)</f>
        <v>0</v>
      </c>
      <c r="J394" s="887"/>
      <c r="K394" s="47">
        <f>IF(F394="I",SUMIF('BG 2021'!B:B,Clasificaciones!C394,'BG 2021'!D:D),0)</f>
        <v>0</v>
      </c>
      <c r="L394" s="887"/>
      <c r="M394" s="63">
        <f>IF(F394="I",SUMIF('BG 2021'!B:B,Clasificaciones!C394,'BG 2021'!E:E),0)</f>
        <v>0</v>
      </c>
      <c r="N394" s="887"/>
      <c r="O394" s="47">
        <f>IF(F394="I",SUMIF('BG 062021'!A:A,Clasificaciones!C394,'BG 062021'!C:C),0)</f>
        <v>0</v>
      </c>
      <c r="P394" s="887"/>
      <c r="Q394" s="63">
        <f>IF(F394="I",SUMIF('BG 062021'!A:A,Clasificaciones!C394,'BG 062021'!D:D),0)</f>
        <v>0</v>
      </c>
    </row>
    <row r="395" spans="1:18" s="888" customFormat="1" hidden="1">
      <c r="A395" s="885" t="s">
        <v>3</v>
      </c>
      <c r="B395" s="885"/>
      <c r="C395" s="889">
        <v>1280101</v>
      </c>
      <c r="D395" s="889" t="s">
        <v>996</v>
      </c>
      <c r="E395" s="886" t="s">
        <v>6</v>
      </c>
      <c r="F395" s="886" t="s">
        <v>271</v>
      </c>
      <c r="G395" s="47">
        <f>IF(F395="I",IFERROR(VLOOKUP(C395,'BG 062022'!A:C,3,FALSE),0),0)</f>
        <v>0</v>
      </c>
      <c r="H395" s="885"/>
      <c r="I395" s="63">
        <f>IF(F395="I",IFERROR(VLOOKUP(C395,'BG 062022'!A:D,4,FALSE),0),0)</f>
        <v>0</v>
      </c>
      <c r="J395" s="887"/>
      <c r="K395" s="47">
        <f>IF(F395="I",SUMIF('BG 2021'!B:B,Clasificaciones!C395,'BG 2021'!D:D),0)</f>
        <v>0</v>
      </c>
      <c r="L395" s="887"/>
      <c r="M395" s="63">
        <f>IF(F395="I",SUMIF('BG 2021'!B:B,Clasificaciones!C395,'BG 2021'!E:E),0)</f>
        <v>0</v>
      </c>
      <c r="N395" s="887"/>
      <c r="O395" s="47">
        <f>IF(F395="I",SUMIF('BG 062021'!A:A,Clasificaciones!C395,'BG 062021'!C:C),0)</f>
        <v>0</v>
      </c>
      <c r="P395" s="887"/>
      <c r="Q395" s="63">
        <f>IF(F395="I",SUMIF('BG 062021'!A:A,Clasificaciones!C395,'BG 062021'!D:D),0)</f>
        <v>0</v>
      </c>
    </row>
    <row r="396" spans="1:18" s="888" customFormat="1" hidden="1">
      <c r="A396" s="885" t="s">
        <v>3</v>
      </c>
      <c r="B396" s="885" t="s">
        <v>94</v>
      </c>
      <c r="C396" s="889">
        <v>1280102</v>
      </c>
      <c r="D396" s="889" t="s">
        <v>1402</v>
      </c>
      <c r="E396" s="886" t="s">
        <v>186</v>
      </c>
      <c r="F396" s="886" t="s">
        <v>271</v>
      </c>
      <c r="G396" s="47">
        <f>IF(F396="I",IFERROR(VLOOKUP(C396,'BG 062022'!A:C,3,FALSE),0),0)</f>
        <v>424253188</v>
      </c>
      <c r="H396" s="885"/>
      <c r="I396" s="63">
        <f>IF(F396="I",IFERROR(VLOOKUP(C396,'BG 062022'!A:D,4,FALSE),0),0)</f>
        <v>62078.85</v>
      </c>
      <c r="J396" s="887"/>
      <c r="K396" s="47">
        <f>IF(F396="I",SUMIF('BG 2021'!B:B,Clasificaciones!C396,'BG 2021'!D:D),0)</f>
        <v>345173952</v>
      </c>
      <c r="L396" s="887"/>
      <c r="M396" s="63">
        <f>IF(F396="I",SUMIF('BG 2021'!B:B,Clasificaciones!C396,'BG 2021'!E:E),0)</f>
        <v>50632.63</v>
      </c>
      <c r="N396" s="887"/>
      <c r="O396" s="47">
        <f>IF(F396="I",SUMIF('BG 062021'!A:A,Clasificaciones!C396,'BG 062021'!C:C),0)</f>
        <v>216415507</v>
      </c>
      <c r="P396" s="887"/>
      <c r="Q396" s="63">
        <f>IF(F396="I",SUMIF('BG 062021'!A:A,Clasificaciones!C396,'BG 062021'!D:D),0)</f>
        <v>31824.23</v>
      </c>
      <c r="R396" s="888">
        <f>+VLOOKUP(C396,'CA EFE'!A:A,1,FALSE)</f>
        <v>1280102</v>
      </c>
    </row>
    <row r="397" spans="1:18" s="888" customFormat="1" hidden="1">
      <c r="A397" s="885" t="s">
        <v>3</v>
      </c>
      <c r="B397" s="885" t="s">
        <v>721</v>
      </c>
      <c r="C397" s="889">
        <v>12802</v>
      </c>
      <c r="D397" s="889" t="s">
        <v>718</v>
      </c>
      <c r="E397" s="886" t="s">
        <v>6</v>
      </c>
      <c r="F397" s="886" t="s">
        <v>271</v>
      </c>
      <c r="G397" s="47">
        <f>IF(F397="I",IFERROR(VLOOKUP(C397,'BG 062022'!A:C,3,FALSE),0),0)</f>
        <v>697338814</v>
      </c>
      <c r="H397" s="885"/>
      <c r="I397" s="63">
        <f>IF(F397="I",IFERROR(VLOOKUP(C397,'BG 062022'!A:D,4,FALSE),0),0)</f>
        <v>112044.48</v>
      </c>
      <c r="J397" s="887"/>
      <c r="K397" s="47">
        <f>IF(F397="I",SUMIF('BG 2021'!B:B,Clasificaciones!C397,'BG 2021'!D:D),0)</f>
        <v>690611542</v>
      </c>
      <c r="L397" s="887"/>
      <c r="M397" s="63">
        <f>IF(F397="I",SUMIF('BG 2021'!B:B,Clasificaciones!C397,'BG 2021'!E:E),0)</f>
        <v>111079.05</v>
      </c>
      <c r="N397" s="887"/>
      <c r="O397" s="47">
        <f>IF(F397="I",SUMIF('BG 062021'!A:A,Clasificaciones!C397,'BG 062021'!C:C),0)</f>
        <v>664927388</v>
      </c>
      <c r="P397" s="887"/>
      <c r="Q397" s="63">
        <f>IF(F397="I",SUMIF('BG 062021'!A:A,Clasificaciones!C397,'BG 062021'!D:D),0)</f>
        <v>107531.74</v>
      </c>
      <c r="R397" s="888">
        <f>+VLOOKUP(C397,'CA EFE'!A:A,1,FALSE)</f>
        <v>12802</v>
      </c>
    </row>
    <row r="398" spans="1:18" s="888" customFormat="1" hidden="1">
      <c r="A398" s="885" t="s">
        <v>3</v>
      </c>
      <c r="B398" s="885" t="s">
        <v>95</v>
      </c>
      <c r="C398" s="889">
        <v>12803</v>
      </c>
      <c r="D398" s="889" t="s">
        <v>95</v>
      </c>
      <c r="E398" s="886" t="s">
        <v>6</v>
      </c>
      <c r="F398" s="886" t="s">
        <v>271</v>
      </c>
      <c r="G398" s="47">
        <f>IF(F398="I",IFERROR(VLOOKUP(C398,'BG 062022'!A:C,3,FALSE),0),0)</f>
        <v>8000000</v>
      </c>
      <c r="H398" s="885"/>
      <c r="I398" s="63">
        <f>IF(F398="I",IFERROR(VLOOKUP(C398,'BG 062022'!A:D,4,FALSE),0),0)</f>
        <v>1288.27</v>
      </c>
      <c r="J398" s="887"/>
      <c r="K398" s="47">
        <f>IF(F398="I",SUMIF('BG 2021'!B:B,Clasificaciones!C398,'BG 2021'!D:D),0)</f>
        <v>8000000</v>
      </c>
      <c r="L398" s="887"/>
      <c r="M398" s="63">
        <f>IF(F398="I",SUMIF('BG 2021'!B:B,Clasificaciones!C398,'BG 2021'!E:E),0)</f>
        <v>1288.27</v>
      </c>
      <c r="N398" s="887"/>
      <c r="O398" s="47">
        <f>IF(F398="I",SUMIF('BG 062021'!A:A,Clasificaciones!C398,'BG 062021'!C:C),0)</f>
        <v>8000000</v>
      </c>
      <c r="P398" s="887"/>
      <c r="Q398" s="63">
        <f>IF(F398="I",SUMIF('BG 062021'!A:A,Clasificaciones!C398,'BG 062021'!D:D),0)</f>
        <v>1288.27</v>
      </c>
      <c r="R398" s="888">
        <f>+VLOOKUP(C398,'CA EFE'!A:A,1,FALSE)</f>
        <v>12803</v>
      </c>
    </row>
    <row r="399" spans="1:18" s="888" customFormat="1" hidden="1">
      <c r="A399" s="885" t="s">
        <v>3</v>
      </c>
      <c r="B399" s="885"/>
      <c r="C399" s="889">
        <v>12804</v>
      </c>
      <c r="D399" s="889" t="s">
        <v>263</v>
      </c>
      <c r="E399" s="886" t="s">
        <v>6</v>
      </c>
      <c r="F399" s="886" t="s">
        <v>270</v>
      </c>
      <c r="G399" s="47">
        <f>IF(F399="I",IFERROR(VLOOKUP(C399,'BG 062022'!A:C,3,FALSE),0),0)</f>
        <v>0</v>
      </c>
      <c r="H399" s="885"/>
      <c r="I399" s="63">
        <f>IF(F399="I",IFERROR(VLOOKUP(C399,'BG 062022'!A:D,4,FALSE),0),0)</f>
        <v>0</v>
      </c>
      <c r="J399" s="887"/>
      <c r="K399" s="47">
        <f>IF(F399="I",SUMIF('BG 2021'!B:B,Clasificaciones!C399,'BG 2021'!D:D),0)</f>
        <v>0</v>
      </c>
      <c r="L399" s="887"/>
      <c r="M399" s="63">
        <f>IF(F399="I",SUMIF('BG 2021'!B:B,Clasificaciones!C399,'BG 2021'!E:E),0)</f>
        <v>0</v>
      </c>
      <c r="N399" s="887"/>
      <c r="O399" s="47">
        <f>IF(F399="I",SUMIF('BG 062021'!A:A,Clasificaciones!C399,'BG 062021'!C:C),0)</f>
        <v>0</v>
      </c>
      <c r="P399" s="887"/>
      <c r="Q399" s="63">
        <f>IF(F399="I",SUMIF('BG 062021'!A:A,Clasificaciones!C399,'BG 062021'!D:D),0)</f>
        <v>0</v>
      </c>
    </row>
    <row r="400" spans="1:18" s="888" customFormat="1" hidden="1">
      <c r="A400" s="885" t="s">
        <v>3</v>
      </c>
      <c r="B400" s="885" t="s">
        <v>263</v>
      </c>
      <c r="C400" s="889">
        <v>1280401</v>
      </c>
      <c r="D400" s="889" t="s">
        <v>155</v>
      </c>
      <c r="E400" s="886" t="s">
        <v>6</v>
      </c>
      <c r="F400" s="886" t="s">
        <v>271</v>
      </c>
      <c r="G400" s="47">
        <f>IF(F400="I",IFERROR(VLOOKUP(C400,'BG 062022'!A:C,3,FALSE),0),0)</f>
        <v>57764419</v>
      </c>
      <c r="H400" s="885"/>
      <c r="I400" s="63">
        <f>IF(F400="I",IFERROR(VLOOKUP(C400,'BG 062022'!A:D,4,FALSE),0),0)</f>
        <v>9621.58</v>
      </c>
      <c r="J400" s="887"/>
      <c r="K400" s="47">
        <f>IF(F400="I",SUMIF('BG 2021'!B:B,Clasificaciones!C400,'BG 2021'!D:D),0)</f>
        <v>57764419</v>
      </c>
      <c r="L400" s="887"/>
      <c r="M400" s="63">
        <f>IF(F400="I",SUMIF('BG 2021'!B:B,Clasificaciones!C400,'BG 2021'!E:E),0)</f>
        <v>9621.58</v>
      </c>
      <c r="N400" s="887"/>
      <c r="O400" s="47">
        <f>IF(F400="I",SUMIF('BG 062021'!A:A,Clasificaciones!C400,'BG 062021'!C:C),0)</f>
        <v>57764419</v>
      </c>
      <c r="P400" s="887"/>
      <c r="Q400" s="63">
        <f>IF(F400="I",SUMIF('BG 062021'!A:A,Clasificaciones!C400,'BG 062021'!D:D),0)</f>
        <v>9621.58</v>
      </c>
      <c r="R400" s="888">
        <f>+VLOOKUP(C400,'CA EFE'!A:A,1,FALSE)</f>
        <v>1280401</v>
      </c>
    </row>
    <row r="401" spans="1:18" s="888" customFormat="1" hidden="1">
      <c r="A401" s="885" t="s">
        <v>3</v>
      </c>
      <c r="B401" s="885"/>
      <c r="C401" s="889">
        <v>12805</v>
      </c>
      <c r="D401" s="889" t="s">
        <v>997</v>
      </c>
      <c r="E401" s="886" t="s">
        <v>6</v>
      </c>
      <c r="F401" s="886" t="s">
        <v>271</v>
      </c>
      <c r="G401" s="47">
        <f>IF(F401="I",IFERROR(VLOOKUP(C401,'BG 062022'!A:C,3,FALSE),0),0)</f>
        <v>0</v>
      </c>
      <c r="H401" s="885"/>
      <c r="I401" s="63">
        <f>IF(F401="I",IFERROR(VLOOKUP(C401,'BG 062022'!A:D,4,FALSE),0),0)</f>
        <v>0</v>
      </c>
      <c r="J401" s="887"/>
      <c r="K401" s="47">
        <f>IF(F401="I",SUMIF('BG 2021'!B:B,Clasificaciones!C401,'BG 2021'!D:D),0)</f>
        <v>0</v>
      </c>
      <c r="L401" s="887"/>
      <c r="M401" s="63">
        <f>IF(F401="I",SUMIF('BG 2021'!B:B,Clasificaciones!C401,'BG 2021'!E:E),0)</f>
        <v>0</v>
      </c>
      <c r="N401" s="887"/>
      <c r="O401" s="47">
        <f>IF(F401="I",SUMIF('BG 062021'!A:A,Clasificaciones!C401,'BG 062021'!C:C),0)</f>
        <v>0</v>
      </c>
      <c r="P401" s="887"/>
      <c r="Q401" s="63">
        <f>IF(F401="I",SUMIF('BG 062021'!A:A,Clasificaciones!C401,'BG 062021'!D:D),0)</f>
        <v>0</v>
      </c>
    </row>
    <row r="402" spans="1:18" s="888" customFormat="1" hidden="1">
      <c r="A402" s="885" t="s">
        <v>3</v>
      </c>
      <c r="B402" s="885"/>
      <c r="C402" s="889">
        <v>12806</v>
      </c>
      <c r="D402" s="889" t="s">
        <v>998</v>
      </c>
      <c r="E402" s="886" t="s">
        <v>6</v>
      </c>
      <c r="F402" s="886" t="s">
        <v>271</v>
      </c>
      <c r="G402" s="47">
        <f>IF(F402="I",IFERROR(VLOOKUP(C402,'BG 062022'!A:C,3,FALSE),0),0)</f>
        <v>0</v>
      </c>
      <c r="H402" s="885"/>
      <c r="I402" s="63">
        <f>IF(F402="I",IFERROR(VLOOKUP(C402,'BG 062022'!A:D,4,FALSE),0),0)</f>
        <v>0</v>
      </c>
      <c r="J402" s="887"/>
      <c r="K402" s="47">
        <f>IF(F402="I",SUMIF('BG 2021'!B:B,Clasificaciones!C402,'BG 2021'!D:D),0)</f>
        <v>0</v>
      </c>
      <c r="L402" s="887"/>
      <c r="M402" s="63">
        <f>IF(F402="I",SUMIF('BG 2021'!B:B,Clasificaciones!C402,'BG 2021'!E:E),0)</f>
        <v>0</v>
      </c>
      <c r="N402" s="887"/>
      <c r="O402" s="47">
        <f>IF(F402="I",SUMIF('BG 062021'!A:A,Clasificaciones!C402,'BG 062021'!C:C),0)</f>
        <v>0</v>
      </c>
      <c r="P402" s="887"/>
      <c r="Q402" s="63">
        <f>IF(F402="I",SUMIF('BG 062021'!A:A,Clasificaciones!C402,'BG 062021'!D:D),0)</f>
        <v>0</v>
      </c>
    </row>
    <row r="403" spans="1:18" s="888" customFormat="1" hidden="1">
      <c r="A403" s="885" t="s">
        <v>3</v>
      </c>
      <c r="B403" s="885" t="s">
        <v>18</v>
      </c>
      <c r="C403" s="889">
        <v>12807</v>
      </c>
      <c r="D403" s="889" t="s">
        <v>719</v>
      </c>
      <c r="E403" s="886" t="s">
        <v>6</v>
      </c>
      <c r="F403" s="886" t="s">
        <v>271</v>
      </c>
      <c r="G403" s="47">
        <f>IF(F403="I",IFERROR(VLOOKUP(C403,'BG 062022'!A:C,3,FALSE),0),0)</f>
        <v>0</v>
      </c>
      <c r="H403" s="885"/>
      <c r="I403" s="63">
        <f>IF(F403="I",IFERROR(VLOOKUP(C403,'BG 062022'!A:D,4,FALSE),0),0)</f>
        <v>0</v>
      </c>
      <c r="J403" s="887"/>
      <c r="K403" s="47">
        <f>IF(F403="I",SUMIF('BG 2021'!B:B,Clasificaciones!C403,'BG 2021'!D:D),0)</f>
        <v>0</v>
      </c>
      <c r="L403" s="887"/>
      <c r="M403" s="63">
        <f>IF(F403="I",SUMIF('BG 2021'!B:B,Clasificaciones!C403,'BG 2021'!E:E),0)</f>
        <v>0</v>
      </c>
      <c r="N403" s="887"/>
      <c r="O403" s="47">
        <f>IF(F403="I",SUMIF('BG 062021'!A:A,Clasificaciones!C403,'BG 062021'!C:C),0)</f>
        <v>0</v>
      </c>
      <c r="P403" s="887"/>
      <c r="Q403" s="63">
        <f>IF(F403="I",SUMIF('BG 062021'!A:A,Clasificaciones!C403,'BG 062021'!D:D),0)</f>
        <v>0</v>
      </c>
    </row>
    <row r="404" spans="1:18" s="888" customFormat="1" hidden="1">
      <c r="A404" s="885" t="s">
        <v>3</v>
      </c>
      <c r="B404" s="885" t="s">
        <v>721</v>
      </c>
      <c r="C404" s="889">
        <v>12808</v>
      </c>
      <c r="D404" s="889" t="s">
        <v>1250</v>
      </c>
      <c r="E404" s="886" t="s">
        <v>186</v>
      </c>
      <c r="F404" s="886" t="s">
        <v>271</v>
      </c>
      <c r="G404" s="47">
        <f>IF(F404="I",IFERROR(VLOOKUP(C404,'BG 062022'!A:C,3,FALSE),0),0)</f>
        <v>150232250</v>
      </c>
      <c r="H404" s="885"/>
      <c r="I404" s="63">
        <f>IF(F404="I",IFERROR(VLOOKUP(C404,'BG 062022'!A:D,4,FALSE),0),0)</f>
        <v>21818.16</v>
      </c>
      <c r="J404" s="887"/>
      <c r="K404" s="47">
        <f>IF(F404="I",SUMIF('BG 2021'!B:B,Clasificaciones!C404,'BG 2021'!D:D),0)</f>
        <v>45425205</v>
      </c>
      <c r="L404" s="887"/>
      <c r="M404" s="63">
        <f>IF(F404="I",SUMIF('BG 2021'!B:B,Clasificaciones!C404,'BG 2021'!E:E),0)</f>
        <v>6681.81</v>
      </c>
      <c r="N404" s="887"/>
      <c r="O404" s="47">
        <f>IF(F404="I",SUMIF('BG 062021'!A:A,Clasificaciones!C404,'BG 062021'!C:C),0)</f>
        <v>0</v>
      </c>
      <c r="P404" s="887"/>
      <c r="Q404" s="63">
        <f>IF(F404="I",SUMIF('BG 062021'!A:A,Clasificaciones!C404,'BG 062021'!D:D),0)</f>
        <v>0</v>
      </c>
      <c r="R404" s="888">
        <f>+VLOOKUP(C404,'CA EFE'!A:A,1,FALSE)</f>
        <v>12808</v>
      </c>
    </row>
    <row r="405" spans="1:18" s="888" customFormat="1" hidden="1">
      <c r="A405" s="885" t="s">
        <v>3</v>
      </c>
      <c r="B405" s="885"/>
      <c r="C405" s="889">
        <v>12820</v>
      </c>
      <c r="D405" s="889" t="s">
        <v>720</v>
      </c>
      <c r="E405" s="886" t="s">
        <v>6</v>
      </c>
      <c r="F405" s="886" t="s">
        <v>270</v>
      </c>
      <c r="G405" s="47">
        <f>IF(F405="I",IFERROR(VLOOKUP(C405,'BG 062022'!A:C,3,FALSE),0),0)</f>
        <v>0</v>
      </c>
      <c r="H405" s="885"/>
      <c r="I405" s="63">
        <f>IF(F405="I",IFERROR(VLOOKUP(C405,'BG 062022'!A:D,4,FALSE),0),0)</f>
        <v>0</v>
      </c>
      <c r="J405" s="887"/>
      <c r="K405" s="47">
        <f>IF(F405="I",SUMIF('BG 2021'!B:B,Clasificaciones!C405,'BG 2021'!D:D),0)</f>
        <v>0</v>
      </c>
      <c r="L405" s="887"/>
      <c r="M405" s="63">
        <f>IF(F405="I",SUMIF('BG 2021'!B:B,Clasificaciones!C405,'BG 2021'!E:E),0)</f>
        <v>0</v>
      </c>
      <c r="N405" s="887"/>
      <c r="O405" s="47">
        <f>IF(F405="I",SUMIF('BG 062021'!A:A,Clasificaciones!C405,'BG 062021'!C:C),0)</f>
        <v>0</v>
      </c>
      <c r="P405" s="887"/>
      <c r="Q405" s="63">
        <f>IF(F405="I",SUMIF('BG 062021'!A:A,Clasificaciones!C405,'BG 062021'!D:D),0)</f>
        <v>0</v>
      </c>
    </row>
    <row r="406" spans="1:18" s="888" customFormat="1" hidden="1">
      <c r="A406" s="885" t="s">
        <v>3</v>
      </c>
      <c r="B406" s="885" t="s">
        <v>1272</v>
      </c>
      <c r="C406" s="889">
        <v>1282001</v>
      </c>
      <c r="D406" s="889" t="s">
        <v>94</v>
      </c>
      <c r="E406" s="886" t="s">
        <v>6</v>
      </c>
      <c r="F406" s="886" t="s">
        <v>271</v>
      </c>
      <c r="G406" s="47">
        <f>IF(F406="I",IFERROR(VLOOKUP(C406,'BG 062022'!A:C,3,FALSE),0),0)</f>
        <v>-73550328</v>
      </c>
      <c r="H406" s="885"/>
      <c r="I406" s="63">
        <f>IF(F406="I",IFERROR(VLOOKUP(C406,'BG 062022'!A:D,4,FALSE),0),0)</f>
        <v>-10808.62</v>
      </c>
      <c r="J406" s="887"/>
      <c r="K406" s="47">
        <f>IF(F406="I",SUMIF('BG 2021'!B:B,Clasificaciones!C406,'BG 2021'!D:D),0)</f>
        <v>-39032934</v>
      </c>
      <c r="L406" s="887"/>
      <c r="M406" s="63">
        <f>IF(F406="I",SUMIF('BG 2021'!B:B,Clasificaciones!C406,'BG 2021'!E:E),0)</f>
        <v>-5745.34</v>
      </c>
      <c r="N406" s="887"/>
      <c r="O406" s="47">
        <f>IF(F406="I",SUMIF('BG 062021'!A:A,Clasificaciones!C406,'BG 062021'!C:C),0)</f>
        <v>-20013966</v>
      </c>
      <c r="P406" s="887"/>
      <c r="Q406" s="63">
        <f>IF(F406="I",SUMIF('BG 062021'!A:A,Clasificaciones!C406,'BG 062021'!D:D),0)</f>
        <v>-3061.56</v>
      </c>
      <c r="R406" s="888">
        <f>+VLOOKUP(C406,'CA EFE'!A:A,1,FALSE)</f>
        <v>1282001</v>
      </c>
    </row>
    <row r="407" spans="1:18" s="888" customFormat="1" hidden="1">
      <c r="A407" s="885" t="s">
        <v>3</v>
      </c>
      <c r="B407" s="885" t="s">
        <v>1272</v>
      </c>
      <c r="C407" s="889">
        <v>1282002</v>
      </c>
      <c r="D407" s="889" t="s">
        <v>95</v>
      </c>
      <c r="E407" s="886" t="s">
        <v>6</v>
      </c>
      <c r="F407" s="886" t="s">
        <v>271</v>
      </c>
      <c r="G407" s="47">
        <f>IF(F407="I",IFERROR(VLOOKUP(C407,'BG 062022'!A:C,3,FALSE),0),0)</f>
        <v>-4000010</v>
      </c>
      <c r="H407" s="885"/>
      <c r="I407" s="63">
        <f>IF(F407="I",IFERROR(VLOOKUP(C407,'BG 062022'!A:D,4,FALSE),0),0)</f>
        <v>-644.13</v>
      </c>
      <c r="J407" s="887"/>
      <c r="K407" s="47">
        <f>IF(F407="I",SUMIF('BG 2021'!B:B,Clasificaciones!C407,'BG 2021'!D:D),0)</f>
        <v>-3200012</v>
      </c>
      <c r="L407" s="887"/>
      <c r="M407" s="63">
        <f>IF(F407="I",SUMIF('BG 2021'!B:B,Clasificaciones!C407,'BG 2021'!E:E),0)</f>
        <v>-515.30999999999995</v>
      </c>
      <c r="N407" s="887"/>
      <c r="O407" s="47">
        <f>IF(F407="I",SUMIF('BG 062021'!A:A,Clasificaciones!C407,'BG 062021'!C:C),0)</f>
        <v>-2240010</v>
      </c>
      <c r="P407" s="887"/>
      <c r="Q407" s="63">
        <f>IF(F407="I",SUMIF('BG 062021'!A:A,Clasificaciones!C407,'BG 062021'!D:D),0)</f>
        <v>-378.72</v>
      </c>
      <c r="R407" s="888">
        <f>+VLOOKUP(C407,'CA EFE'!A:A,1,FALSE)</f>
        <v>1282002</v>
      </c>
    </row>
    <row r="408" spans="1:18" s="888" customFormat="1" hidden="1">
      <c r="A408" s="885" t="s">
        <v>3</v>
      </c>
      <c r="B408" s="885" t="s">
        <v>1272</v>
      </c>
      <c r="C408" s="889">
        <v>1282003</v>
      </c>
      <c r="D408" s="889" t="s">
        <v>155</v>
      </c>
      <c r="E408" s="886" t="s">
        <v>6</v>
      </c>
      <c r="F408" s="886" t="s">
        <v>271</v>
      </c>
      <c r="G408" s="47">
        <f>IF(F408="I",IFERROR(VLOOKUP(C408,'BG 062022'!A:C,3,FALSE),0),0)</f>
        <v>-46910660</v>
      </c>
      <c r="H408" s="885"/>
      <c r="I408" s="63">
        <f>IF(F408="I",IFERROR(VLOOKUP(C408,'BG 062022'!A:D,4,FALSE),0),0)</f>
        <v>-7833.58</v>
      </c>
      <c r="J408" s="887"/>
      <c r="K408" s="47">
        <f>IF(F408="I",SUMIF('BG 2021'!B:B,Clasificaciones!C408,'BG 2021'!D:D),0)</f>
        <v>-43292732</v>
      </c>
      <c r="L408" s="887"/>
      <c r="M408" s="63">
        <f>IF(F408="I",SUMIF('BG 2021'!B:B,Clasificaciones!C408,'BG 2021'!E:E),0)</f>
        <v>-7233.58</v>
      </c>
      <c r="N408" s="887"/>
      <c r="O408" s="47">
        <f>IF(F408="I",SUMIF('BG 062021'!A:A,Clasificaciones!C408,'BG 062021'!C:C),0)</f>
        <v>-39674804</v>
      </c>
      <c r="P408" s="887"/>
      <c r="Q408" s="63">
        <f>IF(F408="I",SUMIF('BG 062021'!A:A,Clasificaciones!C408,'BG 062021'!D:D),0)</f>
        <v>-6639.58</v>
      </c>
      <c r="R408" s="888">
        <f>+VLOOKUP(C408,'CA EFE'!A:A,1,FALSE)</f>
        <v>1282003</v>
      </c>
    </row>
    <row r="409" spans="1:18" s="888" customFormat="1" hidden="1">
      <c r="A409" s="885" t="s">
        <v>3</v>
      </c>
      <c r="B409" s="885" t="s">
        <v>1272</v>
      </c>
      <c r="C409" s="889">
        <v>1282004</v>
      </c>
      <c r="D409" s="889" t="s">
        <v>721</v>
      </c>
      <c r="E409" s="886" t="s">
        <v>6</v>
      </c>
      <c r="F409" s="886" t="s">
        <v>271</v>
      </c>
      <c r="G409" s="47">
        <f>IF(F409="I",IFERROR(VLOOKUP(C409,'BG 062022'!A:C,3,FALSE),0),0)</f>
        <v>-323613399</v>
      </c>
      <c r="H409" s="885"/>
      <c r="I409" s="63">
        <f>IF(F409="I",IFERROR(VLOOKUP(C409,'BG 062022'!A:D,4,FALSE),0),0)</f>
        <v>-52389.27</v>
      </c>
      <c r="J409" s="887"/>
      <c r="K409" s="47">
        <f>IF(F409="I",SUMIF('BG 2021'!B:B,Clasificaciones!C409,'BG 2021'!D:D),0)</f>
        <v>-254552247</v>
      </c>
      <c r="L409" s="887"/>
      <c r="M409" s="63">
        <f>IF(F409="I",SUMIF('BG 2021'!B:B,Clasificaciones!C409,'BG 2021'!E:E),0)</f>
        <v>-41281.35</v>
      </c>
      <c r="N409" s="887"/>
      <c r="O409" s="47">
        <f>IF(F409="I",SUMIF('BG 062021'!A:A,Clasificaciones!C409,'BG 062021'!C:C),0)</f>
        <v>-192715614</v>
      </c>
      <c r="P409" s="887"/>
      <c r="Q409" s="63">
        <f>IF(F409="I",SUMIF('BG 062021'!A:A,Clasificaciones!C409,'BG 062021'!D:D),0)</f>
        <v>-31405.01</v>
      </c>
      <c r="R409" s="888">
        <f>+VLOOKUP(C409,'CA EFE'!A:A,1,FALSE)</f>
        <v>1282004</v>
      </c>
    </row>
    <row r="410" spans="1:18" s="888" customFormat="1" hidden="1">
      <c r="A410" s="885" t="s">
        <v>3</v>
      </c>
      <c r="B410" s="885"/>
      <c r="C410" s="889">
        <v>1282005</v>
      </c>
      <c r="D410" s="889" t="s">
        <v>998</v>
      </c>
      <c r="E410" s="886" t="s">
        <v>6</v>
      </c>
      <c r="F410" s="886" t="s">
        <v>271</v>
      </c>
      <c r="G410" s="47">
        <f>IF(F410="I",IFERROR(VLOOKUP(C410,'BG 062022'!A:C,3,FALSE),0),0)</f>
        <v>0</v>
      </c>
      <c r="H410" s="885"/>
      <c r="I410" s="63">
        <f>IF(F410="I",IFERROR(VLOOKUP(C410,'BG 062022'!A:D,4,FALSE),0),0)</f>
        <v>0</v>
      </c>
      <c r="J410" s="887"/>
      <c r="K410" s="47">
        <f>IF(F410="I",SUMIF('BG 2021'!B:B,Clasificaciones!C410,'BG 2021'!D:D),0)</f>
        <v>0</v>
      </c>
      <c r="L410" s="887"/>
      <c r="M410" s="63">
        <f>IF(F410="I",SUMIF('BG 2021'!B:B,Clasificaciones!C410,'BG 2021'!E:E),0)</f>
        <v>0</v>
      </c>
      <c r="N410" s="887"/>
      <c r="O410" s="47">
        <f>IF(F410="I",SUMIF('BG 062021'!A:A,Clasificaciones!C410,'BG 062021'!C:C),0)</f>
        <v>0</v>
      </c>
      <c r="P410" s="887"/>
      <c r="Q410" s="63">
        <f>IF(F410="I",SUMIF('BG 062021'!A:A,Clasificaciones!C410,'BG 062021'!D:D),0)</f>
        <v>0</v>
      </c>
    </row>
    <row r="411" spans="1:18" s="888" customFormat="1" hidden="1">
      <c r="A411" s="885" t="s">
        <v>3</v>
      </c>
      <c r="B411" s="885"/>
      <c r="C411" s="889">
        <v>129</v>
      </c>
      <c r="D411" s="889" t="s">
        <v>1187</v>
      </c>
      <c r="E411" s="886" t="s">
        <v>186</v>
      </c>
      <c r="F411" s="886" t="s">
        <v>270</v>
      </c>
      <c r="G411" s="47">
        <f>IF(F411="I",IFERROR(VLOOKUP(C411,'BG 062022'!A:C,3,FALSE),0),0)</f>
        <v>0</v>
      </c>
      <c r="H411" s="885"/>
      <c r="I411" s="63">
        <f>IF(F411="I",IFERROR(VLOOKUP(C411,'BG 062022'!A:D,4,FALSE),0),0)</f>
        <v>0</v>
      </c>
      <c r="J411" s="887"/>
      <c r="K411" s="47">
        <f>IF(F411="I",SUMIF('BG 2021'!B:B,Clasificaciones!C411,'BG 2021'!D:D),0)</f>
        <v>0</v>
      </c>
      <c r="L411" s="887"/>
      <c r="M411" s="63">
        <f>IF(F411="I",SUMIF('BG 2021'!B:B,Clasificaciones!C411,'BG 2021'!E:E),0)</f>
        <v>0</v>
      </c>
      <c r="N411" s="887"/>
      <c r="O411" s="47">
        <f>IF(F411="I",SUMIF('BG 062021'!A:A,Clasificaciones!C411,'BG 062021'!C:C),0)</f>
        <v>0</v>
      </c>
      <c r="P411" s="887"/>
      <c r="Q411" s="63">
        <f>IF(F411="I",SUMIF('BG 062021'!A:A,Clasificaciones!C411,'BG 062021'!D:D),0)</f>
        <v>0</v>
      </c>
    </row>
    <row r="412" spans="1:18" s="888" customFormat="1" hidden="1">
      <c r="A412" s="885" t="s">
        <v>3</v>
      </c>
      <c r="B412" s="885" t="s">
        <v>1203</v>
      </c>
      <c r="C412" s="889">
        <v>12901</v>
      </c>
      <c r="D412" s="889" t="s">
        <v>1188</v>
      </c>
      <c r="E412" s="886" t="s">
        <v>186</v>
      </c>
      <c r="F412" s="886" t="s">
        <v>271</v>
      </c>
      <c r="G412" s="47">
        <f>IF(F412="I",IFERROR(VLOOKUP(C412,'BG 062022'!A:C,3,FALSE),0),0)</f>
        <v>12374918</v>
      </c>
      <c r="H412" s="885"/>
      <c r="I412" s="63">
        <f>IF(F412="I",IFERROR(VLOOKUP(C412,'BG 062022'!A:D,4,FALSE),0),0)</f>
        <v>1920</v>
      </c>
      <c r="J412" s="887"/>
      <c r="K412" s="47">
        <f>IF(F412="I",SUMIF('BG 2021'!B:B,Clasificaciones!C412,'BG 2021'!D:D),0)</f>
        <v>12374918</v>
      </c>
      <c r="L412" s="887"/>
      <c r="M412" s="63">
        <f>IF(F412="I",SUMIF('BG 2021'!B:B,Clasificaciones!C412,'BG 2021'!E:E),0)</f>
        <v>1920</v>
      </c>
      <c r="N412" s="887"/>
      <c r="O412" s="47">
        <f>IF(F412="I",SUMIF('BG 062021'!A:A,Clasificaciones!C412,'BG 062021'!C:C),0)</f>
        <v>12374918</v>
      </c>
      <c r="P412" s="887"/>
      <c r="Q412" s="63">
        <f>IF(F412="I",SUMIF('BG 062021'!A:A,Clasificaciones!C412,'BG 062021'!D:D),0)</f>
        <v>1920</v>
      </c>
      <c r="R412" s="888">
        <f>+VLOOKUP(C412,'CA EFE'!A:A,1,FALSE)</f>
        <v>12901</v>
      </c>
    </row>
    <row r="413" spans="1:18" s="888" customFormat="1" hidden="1">
      <c r="A413" s="885" t="s">
        <v>8</v>
      </c>
      <c r="B413" s="885"/>
      <c r="C413" s="889">
        <v>2</v>
      </c>
      <c r="D413" s="889" t="s">
        <v>8</v>
      </c>
      <c r="E413" s="886" t="s">
        <v>6</v>
      </c>
      <c r="F413" s="886" t="s">
        <v>270</v>
      </c>
      <c r="G413" s="47">
        <f>-IF(F413="I",IFERROR(VLOOKUP(C413,'BG 062022'!A:C,3,FALSE),0),0)</f>
        <v>0</v>
      </c>
      <c r="H413" s="885"/>
      <c r="I413" s="63">
        <f>-IF(F413="I",IFERROR(VLOOKUP(C413,'BG 062022'!A:D,4,FALSE),0),0)</f>
        <v>0</v>
      </c>
      <c r="J413" s="887"/>
      <c r="K413" s="47">
        <f>-IF(F413="I",SUMIF('BG 2021'!B:B,Clasificaciones!C413,'BG 2021'!D:D),0)</f>
        <v>0</v>
      </c>
      <c r="L413" s="887"/>
      <c r="M413" s="63">
        <f>-IF(F413="I",SUMIF('BG 2021'!B:B,Clasificaciones!C413,'BG 2021'!E:E),0)</f>
        <v>0</v>
      </c>
      <c r="N413" s="887"/>
      <c r="O413" s="47">
        <f>IF(F413="I",SUMIF('BG 062021'!A:A,Clasificaciones!C413,'BG 062021'!C:C),0)</f>
        <v>0</v>
      </c>
      <c r="P413" s="887"/>
      <c r="Q413" s="63">
        <f>IF(F413="I",SUMIF('BG 062021'!A:A,Clasificaciones!C413,'BG 062021'!D:D),0)</f>
        <v>0</v>
      </c>
    </row>
    <row r="414" spans="1:18" s="888" customFormat="1" hidden="1">
      <c r="A414" s="885" t="s">
        <v>8</v>
      </c>
      <c r="B414" s="885"/>
      <c r="C414" s="889">
        <v>21</v>
      </c>
      <c r="D414" s="889" t="s">
        <v>9</v>
      </c>
      <c r="E414" s="886" t="s">
        <v>6</v>
      </c>
      <c r="F414" s="886" t="s">
        <v>270</v>
      </c>
      <c r="G414" s="47">
        <f>-IF(F414="I",IFERROR(VLOOKUP(C414,'BG 062022'!A:C,3,FALSE),0),0)</f>
        <v>0</v>
      </c>
      <c r="H414" s="885"/>
      <c r="I414" s="63">
        <f>-IF(F414="I",IFERROR(VLOOKUP(C414,'BG 062022'!A:D,4,FALSE),0),0)</f>
        <v>0</v>
      </c>
      <c r="J414" s="887"/>
      <c r="K414" s="47">
        <f>-IF(F414="I",SUMIF('BG 2021'!B:B,Clasificaciones!C414,'BG 2021'!D:D),0)</f>
        <v>0</v>
      </c>
      <c r="L414" s="887"/>
      <c r="M414" s="63">
        <f>-IF(F414="I",SUMIF('BG 2021'!B:B,Clasificaciones!C414,'BG 2021'!E:E),0)</f>
        <v>0</v>
      </c>
      <c r="N414" s="887"/>
      <c r="O414" s="47">
        <f>IF(F414="I",SUMIF('BG 062021'!A:A,Clasificaciones!C414,'BG 062021'!C:C),0)</f>
        <v>0</v>
      </c>
      <c r="P414" s="887"/>
      <c r="Q414" s="63">
        <f>IF(F414="I",SUMIF('BG 062021'!A:A,Clasificaciones!C414,'BG 062021'!D:D),0)</f>
        <v>0</v>
      </c>
    </row>
    <row r="415" spans="1:18" s="888" customFormat="1" hidden="1">
      <c r="A415" s="885" t="s">
        <v>8</v>
      </c>
      <c r="B415" s="885"/>
      <c r="C415" s="889">
        <v>211</v>
      </c>
      <c r="D415" s="889" t="s">
        <v>722</v>
      </c>
      <c r="E415" s="886" t="s">
        <v>6</v>
      </c>
      <c r="F415" s="886" t="s">
        <v>270</v>
      </c>
      <c r="G415" s="47">
        <f>-IF(F415="I",IFERROR(VLOOKUP(C415,'BG 062022'!A:C,3,FALSE),0),0)</f>
        <v>0</v>
      </c>
      <c r="H415" s="885"/>
      <c r="I415" s="63">
        <f>-IF(F415="I",IFERROR(VLOOKUP(C415,'BG 062022'!A:D,4,FALSE),0),0)</f>
        <v>0</v>
      </c>
      <c r="J415" s="887"/>
      <c r="K415" s="47">
        <f>-IF(F415="I",SUMIF('BG 2021'!B:B,Clasificaciones!C415,'BG 2021'!D:D),0)</f>
        <v>0</v>
      </c>
      <c r="L415" s="887"/>
      <c r="M415" s="63">
        <f>-IF(F415="I",SUMIF('BG 2021'!B:B,Clasificaciones!C415,'BG 2021'!E:E),0)</f>
        <v>0</v>
      </c>
      <c r="N415" s="887"/>
      <c r="O415" s="47">
        <f>IF(F415="I",SUMIF('BG 062021'!A:A,Clasificaciones!C415,'BG 062021'!C:C),0)</f>
        <v>0</v>
      </c>
      <c r="P415" s="887"/>
      <c r="Q415" s="63">
        <f>IF(F415="I",SUMIF('BG 062021'!A:A,Clasificaciones!C415,'BG 062021'!D:D),0)</f>
        <v>0</v>
      </c>
    </row>
    <row r="416" spans="1:18" s="888" customFormat="1" hidden="1">
      <c r="A416" s="885" t="s">
        <v>8</v>
      </c>
      <c r="B416" s="885"/>
      <c r="C416" s="889">
        <v>21101</v>
      </c>
      <c r="D416" s="889" t="s">
        <v>723</v>
      </c>
      <c r="E416" s="886" t="s">
        <v>6</v>
      </c>
      <c r="F416" s="886" t="s">
        <v>270</v>
      </c>
      <c r="G416" s="47">
        <f>-IF(F416="I",IFERROR(VLOOKUP(C416,'BG 062022'!A:C,3,FALSE),0),0)</f>
        <v>0</v>
      </c>
      <c r="H416" s="885"/>
      <c r="I416" s="63">
        <f>-IF(F416="I",IFERROR(VLOOKUP(C416,'BG 062022'!A:D,4,FALSE),0),0)</f>
        <v>0</v>
      </c>
      <c r="J416" s="887"/>
      <c r="K416" s="47">
        <f>-IF(F416="I",SUMIF('BG 2021'!B:B,Clasificaciones!C416,'BG 2021'!D:D),0)</f>
        <v>0</v>
      </c>
      <c r="L416" s="887"/>
      <c r="M416" s="63">
        <f>-IF(F416="I",SUMIF('BG 2021'!B:B,Clasificaciones!C416,'BG 2021'!E:E),0)</f>
        <v>0</v>
      </c>
      <c r="N416" s="887"/>
      <c r="O416" s="47">
        <f>IF(F416="I",SUMIF('BG 062021'!A:A,Clasificaciones!C416,'BG 062021'!C:C),0)</f>
        <v>0</v>
      </c>
      <c r="P416" s="887"/>
      <c r="Q416" s="63">
        <f>IF(F416="I",SUMIF('BG 062021'!A:A,Clasificaciones!C416,'BG 062021'!D:D),0)</f>
        <v>0</v>
      </c>
    </row>
    <row r="417" spans="1:18" s="888" customFormat="1" hidden="1">
      <c r="A417" s="885" t="s">
        <v>8</v>
      </c>
      <c r="B417" s="885"/>
      <c r="C417" s="889">
        <v>2110101</v>
      </c>
      <c r="D417" s="889" t="s">
        <v>516</v>
      </c>
      <c r="E417" s="886" t="s">
        <v>6</v>
      </c>
      <c r="F417" s="886" t="s">
        <v>270</v>
      </c>
      <c r="G417" s="47">
        <f>-IF(F417="I",IFERROR(VLOOKUP(C417,'BG 062022'!A:C,3,FALSE),0),0)</f>
        <v>0</v>
      </c>
      <c r="H417" s="885"/>
      <c r="I417" s="63">
        <f>-IF(F417="I",IFERROR(VLOOKUP(C417,'BG 062022'!A:D,4,FALSE),0),0)</f>
        <v>0</v>
      </c>
      <c r="J417" s="887"/>
      <c r="K417" s="47">
        <f>-IF(F417="I",SUMIF('BG 2021'!B:B,Clasificaciones!C417,'BG 2021'!D:D),0)</f>
        <v>0</v>
      </c>
      <c r="L417" s="887"/>
      <c r="M417" s="63">
        <f>-IF(F417="I",SUMIF('BG 2021'!B:B,Clasificaciones!C417,'BG 2021'!E:E),0)</f>
        <v>0</v>
      </c>
      <c r="N417" s="887"/>
      <c r="O417" s="47">
        <f>IF(F417="I",SUMIF('BG 062021'!A:A,Clasificaciones!C417,'BG 062021'!C:C),0)</f>
        <v>0</v>
      </c>
      <c r="P417" s="887"/>
      <c r="Q417" s="63">
        <f>IF(F417="I",SUMIF('BG 062021'!A:A,Clasificaciones!C417,'BG 062021'!D:D),0)</f>
        <v>0</v>
      </c>
    </row>
    <row r="418" spans="1:18" s="888" customFormat="1" hidden="1">
      <c r="A418" s="885" t="s">
        <v>8</v>
      </c>
      <c r="B418" s="885" t="s">
        <v>606</v>
      </c>
      <c r="C418" s="889">
        <v>211010101</v>
      </c>
      <c r="D418" s="889" t="s">
        <v>1381</v>
      </c>
      <c r="E418" s="886" t="s">
        <v>6</v>
      </c>
      <c r="F418" s="886" t="s">
        <v>271</v>
      </c>
      <c r="G418" s="47">
        <f>-IF(F418="I",IFERROR(VLOOKUP(C418,'BG 062022'!A:C,3,FALSE),0),0)</f>
        <v>-3771166</v>
      </c>
      <c r="H418" s="885"/>
      <c r="I418" s="63">
        <f>-IF(F418="I",IFERROR(VLOOKUP(C418,'BG 062022'!A:D,4,FALSE),0),0)</f>
        <v>-550.53</v>
      </c>
      <c r="J418" s="887"/>
      <c r="K418" s="47">
        <f>-IF(F418="I",SUMIF('BG 2021'!B:B,Clasificaciones!C418,'BG 2021'!D:D),0)</f>
        <v>-121171240</v>
      </c>
      <c r="L418" s="887"/>
      <c r="M418" s="63">
        <f>-IF(F418="I",SUMIF('BG 2021'!B:B,Clasificaciones!C418,'BG 2021'!E:E),0)</f>
        <v>-17593.170000001788</v>
      </c>
      <c r="N418" s="887"/>
      <c r="O418" s="47">
        <f>IF(F418="I",SUMIF('BG 062021'!A:A,Clasificaciones!C418,'BG 062021'!C:C),0)</f>
        <v>747184</v>
      </c>
      <c r="P418" s="887"/>
      <c r="Q418" s="63">
        <f>IF(F418="I",SUMIF('BG 062021'!A:A,Clasificaciones!C418,'BG 062021'!D:D),0)</f>
        <v>110.51</v>
      </c>
      <c r="R418" s="888">
        <f>+VLOOKUP(C418,'CA EFE'!A:A,1,FALSE)</f>
        <v>211010101</v>
      </c>
    </row>
    <row r="419" spans="1:18" s="888" customFormat="1" hidden="1">
      <c r="A419" s="885" t="s">
        <v>8</v>
      </c>
      <c r="B419" s="885" t="s">
        <v>606</v>
      </c>
      <c r="C419" s="889">
        <v>211010102</v>
      </c>
      <c r="D419" s="889" t="s">
        <v>1403</v>
      </c>
      <c r="E419" s="886" t="s">
        <v>186</v>
      </c>
      <c r="F419" s="886" t="s">
        <v>271</v>
      </c>
      <c r="G419" s="47">
        <f>-IF(F419="I",IFERROR(VLOOKUP(C419,'BG 062022'!A:C,3,FALSE),0),0)</f>
        <v>-584417016</v>
      </c>
      <c r="H419" s="885"/>
      <c r="I419" s="63">
        <f>-IF(F419="I",IFERROR(VLOOKUP(C419,'BG 062022'!A:D,4,FALSE),0),0)</f>
        <v>-85315.73</v>
      </c>
      <c r="J419" s="887"/>
      <c r="K419" s="47">
        <f>-IF(F419="I",SUMIF('BG 2021'!B:B,Clasificaciones!C419,'BG 2021'!D:D),0)</f>
        <v>-1073195</v>
      </c>
      <c r="L419" s="887"/>
      <c r="M419" s="63">
        <f>-IF(F419="I",SUMIF('BG 2021'!B:B,Clasificaciones!C419,'BG 2021'!E:E),0)</f>
        <v>-155.82000000029802</v>
      </c>
      <c r="N419" s="887"/>
      <c r="O419" s="47">
        <f>IF(F419="I",SUMIF('BG 062021'!A:A,Clasificaciones!C419,'BG 062021'!C:C),0)</f>
        <v>-60852</v>
      </c>
      <c r="P419" s="887"/>
      <c r="Q419" s="63">
        <f>IF(F419="I",SUMIF('BG 062021'!A:A,Clasificaciones!C419,'BG 062021'!D:D),0)</f>
        <v>-9</v>
      </c>
      <c r="R419" s="888">
        <f>+VLOOKUP(C419,'CA EFE'!A:A,1,FALSE)</f>
        <v>211010102</v>
      </c>
    </row>
    <row r="420" spans="1:18" s="888" customFormat="1" hidden="1">
      <c r="A420" s="885" t="s">
        <v>8</v>
      </c>
      <c r="B420" s="885" t="s">
        <v>606</v>
      </c>
      <c r="C420" s="889">
        <v>211010103</v>
      </c>
      <c r="D420" s="889" t="s">
        <v>1189</v>
      </c>
      <c r="E420" s="886" t="s">
        <v>6</v>
      </c>
      <c r="F420" s="886" t="s">
        <v>271</v>
      </c>
      <c r="G420" s="47">
        <f>-IF(F420="I",IFERROR(VLOOKUP(C420,'BG 062022'!A:C,3,FALSE),0),0)</f>
        <v>-951232</v>
      </c>
      <c r="H420" s="885"/>
      <c r="I420" s="63">
        <f>-IF(F420="I",IFERROR(VLOOKUP(C420,'BG 062022'!A:D,4,FALSE),0),0)</f>
        <v>-138.86000000000001</v>
      </c>
      <c r="J420" s="887"/>
      <c r="K420" s="47">
        <f>-IF(F420="I",SUMIF('BG 2021'!B:B,Clasificaciones!C420,'BG 2021'!D:D),0)</f>
        <v>-18310822</v>
      </c>
      <c r="L420" s="887"/>
      <c r="M420" s="63">
        <f>-IF(F420="I",SUMIF('BG 2021'!B:B,Clasificaciones!C420,'BG 2021'!E:E),0)</f>
        <v>-2658.5999999999767</v>
      </c>
      <c r="N420" s="887"/>
      <c r="O420" s="47">
        <f>IF(F420="I",SUMIF('BG 062021'!A:A,Clasificaciones!C420,'BG 062021'!C:C),0)</f>
        <v>1051405032</v>
      </c>
      <c r="P420" s="887"/>
      <c r="Q420" s="63">
        <f>IF(F420="I",SUMIF('BG 062021'!A:A,Clasificaciones!C420,'BG 062021'!D:D),0)</f>
        <v>155501.76999999999</v>
      </c>
      <c r="R420" s="888">
        <f>+VLOOKUP(C420,'CA EFE'!A:A,1,FALSE)</f>
        <v>211010103</v>
      </c>
    </row>
    <row r="421" spans="1:18" s="888" customFormat="1" hidden="1">
      <c r="A421" s="885" t="s">
        <v>8</v>
      </c>
      <c r="B421" s="885" t="s">
        <v>606</v>
      </c>
      <c r="C421" s="889">
        <v>211010104</v>
      </c>
      <c r="D421" s="889" t="s">
        <v>1384</v>
      </c>
      <c r="E421" s="886" t="s">
        <v>186</v>
      </c>
      <c r="F421" s="886" t="s">
        <v>271</v>
      </c>
      <c r="G421" s="47">
        <f>-IF(F421="I",IFERROR(VLOOKUP(C421,'BG 062022'!A:C,3,FALSE),0),0)</f>
        <v>-4483084</v>
      </c>
      <c r="H421" s="885"/>
      <c r="I421" s="63">
        <f>-IF(F421="I",IFERROR(VLOOKUP(C421,'BG 062022'!A:D,4,FALSE),0),0)</f>
        <v>-654.46</v>
      </c>
      <c r="J421" s="887"/>
      <c r="K421" s="47">
        <f>-IF(F421="I",SUMIF('BG 2021'!B:B,Clasificaciones!C421,'BG 2021'!D:D),0)</f>
        <v>-4507528</v>
      </c>
      <c r="L421" s="887"/>
      <c r="M421" s="63">
        <f>-IF(F421="I",SUMIF('BG 2021'!B:B,Clasificaciones!C421,'BG 2021'!E:E),0)</f>
        <v>-654.46000000007905</v>
      </c>
      <c r="N421" s="887"/>
      <c r="O421" s="47">
        <f>IF(F421="I",SUMIF('BG 062021'!A:A,Clasificaciones!C421,'BG 062021'!C:C),0)</f>
        <v>2278172492</v>
      </c>
      <c r="P421" s="887"/>
      <c r="Q421" s="63">
        <f>IF(F421="I",SUMIF('BG 062021'!A:A,Clasificaciones!C421,'BG 062021'!D:D),0)</f>
        <v>336939.48</v>
      </c>
      <c r="R421" s="888">
        <f>+VLOOKUP(C421,'CA EFE'!A:A,1,FALSE)</f>
        <v>211010104</v>
      </c>
    </row>
    <row r="422" spans="1:18" s="888" customFormat="1" hidden="1">
      <c r="A422" s="885" t="s">
        <v>8</v>
      </c>
      <c r="B422" s="885"/>
      <c r="C422" s="889">
        <v>2110102</v>
      </c>
      <c r="D422" s="889" t="s">
        <v>999</v>
      </c>
      <c r="E422" s="886" t="s">
        <v>6</v>
      </c>
      <c r="F422" s="886" t="s">
        <v>270</v>
      </c>
      <c r="G422" s="47">
        <f>-IF(F422="I",IFERROR(VLOOKUP(C422,'BG 062022'!A:C,3,FALSE),0),0)</f>
        <v>0</v>
      </c>
      <c r="H422" s="885"/>
      <c r="I422" s="63">
        <f>-IF(F422="I",IFERROR(VLOOKUP(C422,'BG 062022'!A:D,4,FALSE),0),0)</f>
        <v>0</v>
      </c>
      <c r="J422" s="887"/>
      <c r="K422" s="47">
        <f>-IF(F422="I",SUMIF('BG 2021'!B:B,Clasificaciones!C422,'BG 2021'!D:D),0)</f>
        <v>0</v>
      </c>
      <c r="L422" s="887"/>
      <c r="M422" s="63">
        <f>-IF(F422="I",SUMIF('BG 2021'!B:B,Clasificaciones!C422,'BG 2021'!E:E),0)</f>
        <v>0</v>
      </c>
      <c r="N422" s="887"/>
      <c r="O422" s="47">
        <f>IF(F422="I",SUMIF('BG 062021'!A:A,Clasificaciones!C422,'BG 062021'!C:C),0)</f>
        <v>0</v>
      </c>
      <c r="P422" s="887"/>
      <c r="Q422" s="63">
        <f>IF(F422="I",SUMIF('BG 062021'!A:A,Clasificaciones!C422,'BG 062021'!D:D),0)</f>
        <v>0</v>
      </c>
    </row>
    <row r="423" spans="1:18" s="888" customFormat="1" hidden="1">
      <c r="A423" s="885" t="s">
        <v>8</v>
      </c>
      <c r="B423" s="885" t="s">
        <v>606</v>
      </c>
      <c r="C423" s="889">
        <v>211010201</v>
      </c>
      <c r="D423" s="889" t="s">
        <v>1000</v>
      </c>
      <c r="E423" s="886" t="s">
        <v>6</v>
      </c>
      <c r="F423" s="886" t="s">
        <v>271</v>
      </c>
      <c r="G423" s="47">
        <f>-IF(F423="I",IFERROR(VLOOKUP(C423,'BG 062022'!A:C,3,FALSE),0),0)</f>
        <v>0</v>
      </c>
      <c r="H423" s="885"/>
      <c r="I423" s="63">
        <f>-IF(F423="I",IFERROR(VLOOKUP(C423,'BG 062022'!A:D,4,FALSE),0),0)</f>
        <v>0</v>
      </c>
      <c r="J423" s="887"/>
      <c r="K423" s="47">
        <f>-IF(F423="I",SUMIF('BG 2021'!B:B,Clasificaciones!C423,'BG 2021'!D:D),0)</f>
        <v>0</v>
      </c>
      <c r="L423" s="887"/>
      <c r="M423" s="63">
        <f>-IF(F423="I",SUMIF('BG 2021'!B:B,Clasificaciones!C423,'BG 2021'!E:E),0)</f>
        <v>0</v>
      </c>
      <c r="N423" s="887"/>
      <c r="O423" s="47">
        <f>IF(F423="I",SUMIF('BG 062021'!A:A,Clasificaciones!C423,'BG 062021'!C:C),0)</f>
        <v>0</v>
      </c>
      <c r="P423" s="887"/>
      <c r="Q423" s="63">
        <f>IF(F423="I",SUMIF('BG 062021'!A:A,Clasificaciones!C423,'BG 062021'!D:D),0)</f>
        <v>0</v>
      </c>
    </row>
    <row r="424" spans="1:18" s="888" customFormat="1" hidden="1">
      <c r="A424" s="885" t="s">
        <v>8</v>
      </c>
      <c r="B424" s="885" t="s">
        <v>606</v>
      </c>
      <c r="C424" s="889">
        <v>211010202</v>
      </c>
      <c r="D424" s="889" t="s">
        <v>1001</v>
      </c>
      <c r="E424" s="886" t="s">
        <v>186</v>
      </c>
      <c r="F424" s="886" t="s">
        <v>271</v>
      </c>
      <c r="G424" s="47">
        <f>-IF(F424="I",IFERROR(VLOOKUP(C424,'BG 062022'!A:C,3,FALSE),0),0)</f>
        <v>0</v>
      </c>
      <c r="H424" s="885"/>
      <c r="I424" s="63">
        <f>-IF(F424="I",IFERROR(VLOOKUP(C424,'BG 062022'!A:D,4,FALSE),0),0)</f>
        <v>0</v>
      </c>
      <c r="J424" s="887"/>
      <c r="K424" s="47">
        <f>-IF(F424="I",SUMIF('BG 2021'!B:B,Clasificaciones!C424,'BG 2021'!D:D),0)</f>
        <v>0</v>
      </c>
      <c r="L424" s="887"/>
      <c r="M424" s="63">
        <f>-IF(F424="I",SUMIF('BG 2021'!B:B,Clasificaciones!C424,'BG 2021'!E:E),0)</f>
        <v>0</v>
      </c>
      <c r="N424" s="887"/>
      <c r="O424" s="47">
        <f>IF(F424="I",SUMIF('BG 062021'!A:A,Clasificaciones!C424,'BG 062021'!C:C),0)</f>
        <v>0</v>
      </c>
      <c r="P424" s="887"/>
      <c r="Q424" s="63">
        <f>IF(F424="I",SUMIF('BG 062021'!A:A,Clasificaciones!C424,'BG 062021'!D:D),0)</f>
        <v>0</v>
      </c>
      <c r="R424" s="888">
        <f>+VLOOKUP(C424,'CA EFE'!A:A,1,FALSE)</f>
        <v>211010202</v>
      </c>
    </row>
    <row r="425" spans="1:18" s="888" customFormat="1" hidden="1">
      <c r="A425" s="885" t="s">
        <v>8</v>
      </c>
      <c r="B425" s="885"/>
      <c r="C425" s="889">
        <v>2110103</v>
      </c>
      <c r="D425" s="889" t="s">
        <v>725</v>
      </c>
      <c r="E425" s="886" t="s">
        <v>6</v>
      </c>
      <c r="F425" s="886" t="s">
        <v>270</v>
      </c>
      <c r="G425" s="47">
        <f>-IF(F425="I",IFERROR(VLOOKUP(C425,'BG 062022'!A:C,3,FALSE),0),0)</f>
        <v>0</v>
      </c>
      <c r="H425" s="885"/>
      <c r="I425" s="63">
        <f>-IF(F425="I",IFERROR(VLOOKUP(C425,'BG 062022'!A:D,4,FALSE),0),0)</f>
        <v>0</v>
      </c>
      <c r="J425" s="887"/>
      <c r="K425" s="47">
        <f>-IF(F425="I",SUMIF('BG 2021'!B:B,Clasificaciones!C425,'BG 2021'!D:D),0)</f>
        <v>0</v>
      </c>
      <c r="L425" s="887"/>
      <c r="M425" s="63">
        <f>-IF(F425="I",SUMIF('BG 2021'!B:B,Clasificaciones!C425,'BG 2021'!E:E),0)</f>
        <v>0</v>
      </c>
      <c r="N425" s="887"/>
      <c r="O425" s="47">
        <f>IF(F425="I",SUMIF('BG 062021'!A:A,Clasificaciones!C425,'BG 062021'!C:C),0)</f>
        <v>0</v>
      </c>
      <c r="P425" s="887"/>
      <c r="Q425" s="63">
        <f>IF(F425="I",SUMIF('BG 062021'!A:A,Clasificaciones!C425,'BG 062021'!D:D),0)</f>
        <v>0</v>
      </c>
    </row>
    <row r="426" spans="1:18" s="888" customFormat="1" hidden="1">
      <c r="A426" s="885" t="s">
        <v>8</v>
      </c>
      <c r="B426" s="885" t="s">
        <v>606</v>
      </c>
      <c r="C426" s="889">
        <v>211010301</v>
      </c>
      <c r="D426" s="889" t="s">
        <v>1380</v>
      </c>
      <c r="E426" s="886" t="s">
        <v>6</v>
      </c>
      <c r="F426" s="886" t="s">
        <v>271</v>
      </c>
      <c r="G426" s="47">
        <f>-IF(F426="I",IFERROR(VLOOKUP(C426,'BG 062022'!A:C,3,FALSE),0),0)</f>
        <v>-2895175</v>
      </c>
      <c r="H426" s="885"/>
      <c r="I426" s="63">
        <f>-IF(F426="I",IFERROR(VLOOKUP(C426,'BG 062022'!A:D,4,FALSE),0),0)</f>
        <v>-423.79</v>
      </c>
      <c r="J426" s="887"/>
      <c r="K426" s="47">
        <f>-IF(F426="I",SUMIF('BG 2021'!B:B,Clasificaciones!C426,'BG 2021'!D:D),0)</f>
        <v>-2895175</v>
      </c>
      <c r="L426" s="887"/>
      <c r="M426" s="63">
        <f>-IF(F426="I",SUMIF('BG 2021'!B:B,Clasificaciones!C426,'BG 2021'!E:E),0)</f>
        <v>-423.78999999999724</v>
      </c>
      <c r="N426" s="887"/>
      <c r="O426" s="47">
        <f>IF(F426="I",SUMIF('BG 062021'!A:A,Clasificaciones!C426,'BG 062021'!C:C),0)</f>
        <v>2886977</v>
      </c>
      <c r="P426" s="887"/>
      <c r="Q426" s="63">
        <f>IF(F426="I",SUMIF('BG 062021'!A:A,Clasificaciones!C426,'BG 062021'!D:D),0)</f>
        <v>426.98</v>
      </c>
      <c r="R426" s="888">
        <f>+VLOOKUP(C426,'CA EFE'!A:A,1,FALSE)</f>
        <v>211010301</v>
      </c>
    </row>
    <row r="427" spans="1:18" s="888" customFormat="1" hidden="1">
      <c r="A427" s="885" t="s">
        <v>8</v>
      </c>
      <c r="B427" s="885" t="s">
        <v>606</v>
      </c>
      <c r="C427" s="889">
        <v>211010302</v>
      </c>
      <c r="D427" s="889" t="s">
        <v>403</v>
      </c>
      <c r="E427" s="886" t="s">
        <v>186</v>
      </c>
      <c r="F427" s="886" t="s">
        <v>271</v>
      </c>
      <c r="G427" s="47">
        <f>-IF(F427="I",IFERROR(VLOOKUP(C427,'BG 062022'!A:C,3,FALSE),0),0)</f>
        <v>0</v>
      </c>
      <c r="H427" s="885"/>
      <c r="I427" s="63">
        <f>-IF(F427="I",IFERROR(VLOOKUP(C427,'BG 062022'!A:D,4,FALSE),0),0)</f>
        <v>0</v>
      </c>
      <c r="J427" s="887"/>
      <c r="K427" s="47">
        <f>-IF(F427="I",SUMIF('BG 2021'!B:B,Clasificaciones!C427,'BG 2021'!D:D),0)</f>
        <v>0</v>
      </c>
      <c r="L427" s="887"/>
      <c r="M427" s="63">
        <f>-IF(F427="I",SUMIF('BG 2021'!B:B,Clasificaciones!C427,'BG 2021'!E:E),0)</f>
        <v>0</v>
      </c>
      <c r="N427" s="887"/>
      <c r="O427" s="47">
        <f>IF(F427="I",SUMIF('BG 062021'!A:A,Clasificaciones!C427,'BG 062021'!C:C),0)</f>
        <v>0</v>
      </c>
      <c r="P427" s="887"/>
      <c r="Q427" s="63">
        <f>IF(F427="I",SUMIF('BG 062021'!A:A,Clasificaciones!C427,'BG 062021'!D:D),0)</f>
        <v>0</v>
      </c>
    </row>
    <row r="428" spans="1:18" s="888" customFormat="1" hidden="1">
      <c r="A428" s="885" t="s">
        <v>8</v>
      </c>
      <c r="B428" s="885"/>
      <c r="C428" s="889">
        <v>2110121</v>
      </c>
      <c r="D428" s="889" t="s">
        <v>1002</v>
      </c>
      <c r="E428" s="886" t="s">
        <v>6</v>
      </c>
      <c r="F428" s="886" t="s">
        <v>270</v>
      </c>
      <c r="G428" s="47">
        <f>-IF(F428="I",IFERROR(VLOOKUP(C428,'BG 062022'!A:C,3,FALSE),0),0)</f>
        <v>0</v>
      </c>
      <c r="H428" s="885"/>
      <c r="I428" s="63">
        <f>-IF(F428="I",IFERROR(VLOOKUP(C428,'BG 062022'!A:D,4,FALSE),0),0)</f>
        <v>0</v>
      </c>
      <c r="J428" s="887"/>
      <c r="K428" s="47">
        <f>-IF(F428="I",SUMIF('BG 2021'!B:B,Clasificaciones!C428,'BG 2021'!D:D),0)</f>
        <v>0</v>
      </c>
      <c r="L428" s="887"/>
      <c r="M428" s="63">
        <f>-IF(F428="I",SUMIF('BG 2021'!B:B,Clasificaciones!C428,'BG 2021'!E:E),0)</f>
        <v>0</v>
      </c>
      <c r="N428" s="887"/>
      <c r="O428" s="47">
        <f>IF(F428="I",SUMIF('BG 062021'!A:A,Clasificaciones!C428,'BG 062021'!C:C),0)</f>
        <v>0</v>
      </c>
      <c r="P428" s="887"/>
      <c r="Q428" s="63">
        <f>IF(F428="I",SUMIF('BG 062021'!A:A,Clasificaciones!C428,'BG 062021'!D:D),0)</f>
        <v>0</v>
      </c>
    </row>
    <row r="429" spans="1:18" s="888" customFormat="1" hidden="1">
      <c r="A429" s="885" t="s">
        <v>8</v>
      </c>
      <c r="B429" s="885"/>
      <c r="C429" s="889">
        <v>21103</v>
      </c>
      <c r="D429" s="889" t="s">
        <v>1003</v>
      </c>
      <c r="E429" s="886" t="s">
        <v>6</v>
      </c>
      <c r="F429" s="886" t="s">
        <v>270</v>
      </c>
      <c r="G429" s="47">
        <f>-IF(F429="I",IFERROR(VLOOKUP(C429,'BG 062022'!A:C,3,FALSE),0),0)</f>
        <v>0</v>
      </c>
      <c r="H429" s="885"/>
      <c r="I429" s="63">
        <f>-IF(F429="I",IFERROR(VLOOKUP(C429,'BG 062022'!A:D,4,FALSE),0),0)</f>
        <v>0</v>
      </c>
      <c r="J429" s="887"/>
      <c r="K429" s="47">
        <f>-IF(F429="I",SUMIF('BG 2021'!B:B,Clasificaciones!C429,'BG 2021'!D:D),0)</f>
        <v>0</v>
      </c>
      <c r="L429" s="887"/>
      <c r="M429" s="63">
        <f>-IF(F429="I",SUMIF('BG 2021'!B:B,Clasificaciones!C429,'BG 2021'!E:E),0)</f>
        <v>0</v>
      </c>
      <c r="N429" s="887"/>
      <c r="O429" s="47">
        <f>IF(F429="I",SUMIF('BG 062021'!A:A,Clasificaciones!C429,'BG 062021'!C:C),0)</f>
        <v>0</v>
      </c>
      <c r="P429" s="887"/>
      <c r="Q429" s="63">
        <f>IF(F429="I",SUMIF('BG 062021'!A:A,Clasificaciones!C429,'BG 062021'!D:D),0)</f>
        <v>0</v>
      </c>
    </row>
    <row r="430" spans="1:18" s="888" customFormat="1" hidden="1">
      <c r="A430" s="885" t="s">
        <v>8</v>
      </c>
      <c r="B430" s="885" t="s">
        <v>1273</v>
      </c>
      <c r="C430" s="889">
        <v>211030101</v>
      </c>
      <c r="D430" s="889" t="s">
        <v>1003</v>
      </c>
      <c r="E430" s="886" t="s">
        <v>6</v>
      </c>
      <c r="F430" s="886" t="s">
        <v>271</v>
      </c>
      <c r="G430" s="47">
        <f>-IF(F430="I",IFERROR(VLOOKUP(C430,'BG 062022'!A:C,3,FALSE),0),0)</f>
        <v>-1561171</v>
      </c>
      <c r="H430" s="885"/>
      <c r="I430" s="63">
        <f>-IF(F430="I",IFERROR(VLOOKUP(C430,'BG 062022'!A:D,4,FALSE),0),0)</f>
        <v>-227.91</v>
      </c>
      <c r="J430" s="887"/>
      <c r="K430" s="47">
        <f>-IF(F430="I",SUMIF('BG 2021'!B:B,Clasificaciones!C430,'BG 2021'!D:D),0)</f>
        <v>0</v>
      </c>
      <c r="L430" s="887"/>
      <c r="M430" s="63">
        <f>-IF(F430="I",SUMIF('BG 2021'!B:B,Clasificaciones!C430,'BG 2021'!E:E),0)</f>
        <v>0</v>
      </c>
      <c r="N430" s="887"/>
      <c r="O430" s="47">
        <f>IF(F430="I",SUMIF('BG 062021'!A:A,Clasificaciones!C430,'BG 062021'!C:C),0)</f>
        <v>425720</v>
      </c>
      <c r="P430" s="887"/>
      <c r="Q430" s="63">
        <f>IF(F430="I",SUMIF('BG 062021'!A:A,Clasificaciones!C430,'BG 062021'!D:D),0)</f>
        <v>62.96</v>
      </c>
      <c r="R430" s="888">
        <f>+VLOOKUP(C430,'CA EFE'!A:A,1,FALSE)</f>
        <v>211030101</v>
      </c>
    </row>
    <row r="431" spans="1:18" s="888" customFormat="1" hidden="1">
      <c r="A431" s="885" t="s">
        <v>8</v>
      </c>
      <c r="B431" s="885"/>
      <c r="C431" s="889">
        <v>211030102</v>
      </c>
      <c r="D431" s="889" t="s">
        <v>1003</v>
      </c>
      <c r="E431" s="886" t="s">
        <v>186</v>
      </c>
      <c r="F431" s="886" t="s">
        <v>271</v>
      </c>
      <c r="G431" s="47">
        <f>-IF(F431="I",IFERROR(VLOOKUP(C431,'BG 062022'!A:C,3,FALSE),0),0)</f>
        <v>0</v>
      </c>
      <c r="H431" s="885"/>
      <c r="I431" s="63">
        <f>-IF(F431="I",IFERROR(VLOOKUP(C431,'BG 062022'!A:D,4,FALSE),0),0)</f>
        <v>0</v>
      </c>
      <c r="J431" s="887"/>
      <c r="K431" s="47">
        <f>-IF(F431="I",SUMIF('BG 2021'!B:B,Clasificaciones!C431,'BG 2021'!D:D),0)</f>
        <v>0</v>
      </c>
      <c r="L431" s="887"/>
      <c r="M431" s="63">
        <f>-IF(F431="I",SUMIF('BG 2021'!B:B,Clasificaciones!C431,'BG 2021'!E:E),0)</f>
        <v>0</v>
      </c>
      <c r="N431" s="887"/>
      <c r="O431" s="47">
        <f>IF(F431="I",SUMIF('BG 062021'!A:A,Clasificaciones!C431,'BG 062021'!C:C),0)</f>
        <v>0</v>
      </c>
      <c r="P431" s="887"/>
      <c r="Q431" s="63">
        <f>IF(F431="I",SUMIF('BG 062021'!A:A,Clasificaciones!C431,'BG 062021'!D:D),0)</f>
        <v>0</v>
      </c>
    </row>
    <row r="432" spans="1:18" s="888" customFormat="1" hidden="1">
      <c r="A432" s="885" t="s">
        <v>8</v>
      </c>
      <c r="B432" s="885" t="s">
        <v>1273</v>
      </c>
      <c r="C432" s="889">
        <v>211030103</v>
      </c>
      <c r="D432" s="889" t="s">
        <v>1234</v>
      </c>
      <c r="E432" s="886" t="s">
        <v>6</v>
      </c>
      <c r="F432" s="886" t="s">
        <v>271</v>
      </c>
      <c r="G432" s="957">
        <f>-IF(F432="I",IFERROR(VLOOKUP(C432,'BG 062022'!A:C,3,FALSE),0),0)</f>
        <v>-11379548</v>
      </c>
      <c r="H432" s="885"/>
      <c r="I432" s="63">
        <f>-IF(F432="I",IFERROR(VLOOKUP(C432,'BG 062022'!A:D,4,FALSE),0),0)</f>
        <v>-1661.24</v>
      </c>
      <c r="J432" s="887"/>
      <c r="K432" s="47">
        <f>-IF(F432="I",SUMIF('BG 2021'!B:B,Clasificaciones!C432,'BG 2021'!D:D),0)</f>
        <v>-4059103</v>
      </c>
      <c r="L432" s="887"/>
      <c r="M432" s="63">
        <f>-IF(F432="I",SUMIF('BG 2021'!B:B,Clasificaciones!C432,'BG 2021'!E:E),0)</f>
        <v>-589.35000000000036</v>
      </c>
      <c r="N432" s="887"/>
      <c r="O432" s="47">
        <f>IF(F432="I",SUMIF('BG 062021'!A:A,Clasificaciones!C432,'BG 062021'!C:C),0)</f>
        <v>0</v>
      </c>
      <c r="P432" s="887"/>
      <c r="Q432" s="63">
        <f>IF(F432="I",SUMIF('BG 062021'!A:A,Clasificaciones!C432,'BG 062021'!D:D),0)</f>
        <v>0</v>
      </c>
      <c r="R432" s="888">
        <f>+VLOOKUP(C432,'CA EFE'!A:A,1,FALSE)</f>
        <v>211030103</v>
      </c>
    </row>
    <row r="433" spans="1:18" s="888" customFormat="1" hidden="1">
      <c r="A433" s="885" t="s">
        <v>8</v>
      </c>
      <c r="B433" s="885"/>
      <c r="C433" s="889">
        <v>21104</v>
      </c>
      <c r="D433" s="889" t="s">
        <v>1004</v>
      </c>
      <c r="E433" s="886" t="s">
        <v>6</v>
      </c>
      <c r="F433" s="886" t="s">
        <v>271</v>
      </c>
      <c r="G433" s="47">
        <f>-IF(F433="I",IFERROR(VLOOKUP(C433,'BG 062022'!A:C,3,FALSE),0),0)</f>
        <v>0</v>
      </c>
      <c r="H433" s="885"/>
      <c r="I433" s="63">
        <f>-IF(F433="I",IFERROR(VLOOKUP(C433,'BG 062022'!A:D,4,FALSE),0),0)</f>
        <v>0</v>
      </c>
      <c r="J433" s="887"/>
      <c r="K433" s="47">
        <f>-IF(F433="I",SUMIF('BG 2021'!B:B,Clasificaciones!C433,'BG 2021'!D:D),0)</f>
        <v>0</v>
      </c>
      <c r="L433" s="887"/>
      <c r="M433" s="63">
        <f>-IF(F433="I",SUMIF('BG 2021'!B:B,Clasificaciones!C433,'BG 2021'!E:E),0)</f>
        <v>0</v>
      </c>
      <c r="N433" s="887"/>
      <c r="O433" s="47">
        <f>IF(F433="I",SUMIF('BG 062021'!A:A,Clasificaciones!C433,'BG 062021'!C:C),0)</f>
        <v>0</v>
      </c>
      <c r="P433" s="887"/>
      <c r="Q433" s="63">
        <f>IF(F433="I",SUMIF('BG 062021'!A:A,Clasificaciones!C433,'BG 062021'!D:D),0)</f>
        <v>0</v>
      </c>
    </row>
    <row r="434" spans="1:18" s="888" customFormat="1" hidden="1">
      <c r="A434" s="885" t="s">
        <v>8</v>
      </c>
      <c r="B434" s="885"/>
      <c r="C434" s="889">
        <v>21105</v>
      </c>
      <c r="D434" s="889" t="s">
        <v>1005</v>
      </c>
      <c r="E434" s="886" t="s">
        <v>6</v>
      </c>
      <c r="F434" s="886" t="s">
        <v>271</v>
      </c>
      <c r="G434" s="47">
        <f>-IF(F434="I",IFERROR(VLOOKUP(C434,'BG 062022'!A:C,3,FALSE),0),0)</f>
        <v>0</v>
      </c>
      <c r="H434" s="885"/>
      <c r="I434" s="63">
        <f>-IF(F434="I",IFERROR(VLOOKUP(C434,'BG 062022'!A:D,4,FALSE),0),0)</f>
        <v>0</v>
      </c>
      <c r="J434" s="887"/>
      <c r="K434" s="47">
        <f>-IF(F434="I",SUMIF('BG 2021'!B:B,Clasificaciones!C434,'BG 2021'!D:D),0)</f>
        <v>0</v>
      </c>
      <c r="L434" s="887"/>
      <c r="M434" s="63">
        <f>-IF(F434="I",SUMIF('BG 2021'!B:B,Clasificaciones!C434,'BG 2021'!E:E),0)</f>
        <v>0</v>
      </c>
      <c r="N434" s="887"/>
      <c r="O434" s="47">
        <f>IF(F434="I",SUMIF('BG 062021'!A:A,Clasificaciones!C434,'BG 062021'!C:C),0)</f>
        <v>0</v>
      </c>
      <c r="P434" s="887"/>
      <c r="Q434" s="63">
        <f>IF(F434="I",SUMIF('BG 062021'!A:A,Clasificaciones!C434,'BG 062021'!D:D),0)</f>
        <v>0</v>
      </c>
    </row>
    <row r="435" spans="1:18" s="888" customFormat="1" hidden="1">
      <c r="A435" s="885" t="s">
        <v>8</v>
      </c>
      <c r="B435" s="885"/>
      <c r="C435" s="889">
        <v>21106</v>
      </c>
      <c r="D435" s="889" t="s">
        <v>275</v>
      </c>
      <c r="E435" s="886" t="s">
        <v>6</v>
      </c>
      <c r="F435" s="886" t="s">
        <v>270</v>
      </c>
      <c r="G435" s="47">
        <f>-IF(F435="I",IFERROR(VLOOKUP(C435,'BG 062022'!A:C,3,FALSE),0),0)</f>
        <v>0</v>
      </c>
      <c r="H435" s="885"/>
      <c r="I435" s="63">
        <f>-IF(F435="I",IFERROR(VLOOKUP(C435,'BG 062022'!A:D,4,FALSE),0),0)</f>
        <v>0</v>
      </c>
      <c r="J435" s="887"/>
      <c r="K435" s="47">
        <f>-IF(F435="I",SUMIF('BG 2021'!B:B,Clasificaciones!C435,'BG 2021'!D:D),0)</f>
        <v>0</v>
      </c>
      <c r="L435" s="887"/>
      <c r="M435" s="63">
        <f>-IF(F435="I",SUMIF('BG 2021'!B:B,Clasificaciones!C435,'BG 2021'!E:E),0)</f>
        <v>0</v>
      </c>
      <c r="N435" s="887"/>
      <c r="O435" s="47">
        <f>IF(F435="I",SUMIF('BG 062021'!A:A,Clasificaciones!C435,'BG 062021'!C:C),0)</f>
        <v>0</v>
      </c>
      <c r="P435" s="887"/>
      <c r="Q435" s="63">
        <f>IF(F435="I",SUMIF('BG 062021'!A:A,Clasificaciones!C435,'BG 062021'!D:D),0)</f>
        <v>0</v>
      </c>
    </row>
    <row r="436" spans="1:18" s="888" customFormat="1" hidden="1">
      <c r="A436" s="885" t="s">
        <v>8</v>
      </c>
      <c r="B436" s="885"/>
      <c r="C436" s="889">
        <v>2110601</v>
      </c>
      <c r="D436" s="889" t="s">
        <v>1006</v>
      </c>
      <c r="E436" s="886" t="s">
        <v>6</v>
      </c>
      <c r="F436" s="886" t="s">
        <v>271</v>
      </c>
      <c r="G436" s="47">
        <f>-IF(F436="I",IFERROR(VLOOKUP(C436,'BG 062022'!A:C,3,FALSE),0),0)</f>
        <v>0</v>
      </c>
      <c r="H436" s="885"/>
      <c r="I436" s="63">
        <f>-IF(F436="I",IFERROR(VLOOKUP(C436,'BG 062022'!A:D,4,FALSE),0),0)</f>
        <v>0</v>
      </c>
      <c r="J436" s="887"/>
      <c r="K436" s="47">
        <f>-IF(F436="I",SUMIF('BG 2021'!B:B,Clasificaciones!C436,'BG 2021'!D:D),0)</f>
        <v>0</v>
      </c>
      <c r="L436" s="887"/>
      <c r="M436" s="63">
        <f>-IF(F436="I",SUMIF('BG 2021'!B:B,Clasificaciones!C436,'BG 2021'!E:E),0)</f>
        <v>0</v>
      </c>
      <c r="N436" s="887"/>
      <c r="O436" s="47">
        <f>IF(F436="I",SUMIF('BG 062021'!A:A,Clasificaciones!C436,'BG 062021'!C:C),0)</f>
        <v>0</v>
      </c>
      <c r="P436" s="887"/>
      <c r="Q436" s="63">
        <f>IF(F436="I",SUMIF('BG 062021'!A:A,Clasificaciones!C436,'BG 062021'!D:D),0)</f>
        <v>0</v>
      </c>
    </row>
    <row r="437" spans="1:18" s="888" customFormat="1" hidden="1">
      <c r="A437" s="885" t="s">
        <v>8</v>
      </c>
      <c r="B437" s="885"/>
      <c r="C437" s="889">
        <v>21107</v>
      </c>
      <c r="D437" s="889" t="s">
        <v>727</v>
      </c>
      <c r="E437" s="886" t="s">
        <v>6</v>
      </c>
      <c r="F437" s="886" t="s">
        <v>270</v>
      </c>
      <c r="G437" s="47">
        <f>-IF(F437="I",IFERROR(VLOOKUP(C437,'BG 062022'!A:C,3,FALSE),0),0)</f>
        <v>0</v>
      </c>
      <c r="H437" s="885"/>
      <c r="I437" s="63">
        <f>-IF(F437="I",IFERROR(VLOOKUP(C437,'BG 062022'!A:D,4,FALSE),0),0)</f>
        <v>0</v>
      </c>
      <c r="J437" s="887"/>
      <c r="K437" s="47">
        <f>-IF(F437="I",SUMIF('BG 2021'!B:B,Clasificaciones!C437,'BG 2021'!D:D),0)</f>
        <v>0</v>
      </c>
      <c r="L437" s="887"/>
      <c r="M437" s="63">
        <f>-IF(F437="I",SUMIF('BG 2021'!B:B,Clasificaciones!C437,'BG 2021'!E:E),0)</f>
        <v>0</v>
      </c>
      <c r="N437" s="887"/>
      <c r="O437" s="47">
        <f>IF(F437="I",SUMIF('BG 062021'!A:A,Clasificaciones!C437,'BG 062021'!C:C),0)</f>
        <v>0</v>
      </c>
      <c r="P437" s="887"/>
      <c r="Q437" s="63">
        <f>IF(F437="I",SUMIF('BG 062021'!A:A,Clasificaciones!C437,'BG 062021'!D:D),0)</f>
        <v>0</v>
      </c>
    </row>
    <row r="438" spans="1:18" s="888" customFormat="1" hidden="1">
      <c r="A438" s="885" t="s">
        <v>8</v>
      </c>
      <c r="B438" s="885" t="s">
        <v>275</v>
      </c>
      <c r="C438" s="889">
        <v>2110701</v>
      </c>
      <c r="D438" s="889" t="s">
        <v>1157</v>
      </c>
      <c r="E438" s="886" t="s">
        <v>6</v>
      </c>
      <c r="F438" s="886" t="s">
        <v>271</v>
      </c>
      <c r="G438" s="47">
        <f>-IF(F438="I",IFERROR(VLOOKUP(C438,'BG 062022'!A:C,3,FALSE),0),0)</f>
        <v>-56527969</v>
      </c>
      <c r="H438" s="885"/>
      <c r="I438" s="63">
        <f>-IF(F438="I",IFERROR(VLOOKUP(C438,'BG 062022'!A:D,4,FALSE),0),0)</f>
        <v>-8252.2099999999991</v>
      </c>
      <c r="J438" s="887"/>
      <c r="K438" s="47">
        <f>-IF(F438="I",SUMIF('BG 2021'!B:B,Clasificaciones!C438,'BG 2021'!D:D),0)</f>
        <v>-136664966</v>
      </c>
      <c r="L438" s="887"/>
      <c r="M438" s="63">
        <f>-IF(F438="I",SUMIF('BG 2021'!B:B,Clasificaciones!C438,'BG 2021'!E:E),0)</f>
        <v>-19842.75</v>
      </c>
      <c r="N438" s="887"/>
      <c r="O438" s="47">
        <f>IF(F438="I",SUMIF('BG 062021'!A:A,Clasificaciones!C438,'BG 062021'!C:C),0)</f>
        <v>86822069</v>
      </c>
      <c r="P438" s="887"/>
      <c r="Q438" s="63">
        <f>IF(F438="I",SUMIF('BG 062021'!A:A,Clasificaciones!C438,'BG 062021'!D:D),0)</f>
        <v>12840.9</v>
      </c>
      <c r="R438" s="888">
        <f>+VLOOKUP(C438,'CA EFE'!A:A,1,FALSE)</f>
        <v>2110701</v>
      </c>
    </row>
    <row r="439" spans="1:18" s="888" customFormat="1" hidden="1">
      <c r="A439" s="885" t="s">
        <v>8</v>
      </c>
      <c r="B439" s="885" t="s">
        <v>275</v>
      </c>
      <c r="C439" s="889">
        <v>2110702</v>
      </c>
      <c r="D439" s="889" t="s">
        <v>1383</v>
      </c>
      <c r="E439" s="886" t="s">
        <v>186</v>
      </c>
      <c r="F439" s="886" t="s">
        <v>271</v>
      </c>
      <c r="G439" s="47">
        <f>-IF(F439="I",IFERROR(VLOOKUP(C439,'BG 062022'!A:C,3,FALSE),0),0)</f>
        <v>-46613152</v>
      </c>
      <c r="H439" s="885"/>
      <c r="I439" s="63">
        <f>-IF(F439="I",IFERROR(VLOOKUP(C439,'BG 062022'!A:D,4,FALSE),0),0)</f>
        <v>-6804.79</v>
      </c>
      <c r="J439" s="887"/>
      <c r="K439" s="47">
        <f>-IF(F439="I",SUMIF('BG 2021'!B:B,Clasificaciones!C439,'BG 2021'!D:D),0)</f>
        <v>-18833871</v>
      </c>
      <c r="L439" s="887"/>
      <c r="M439" s="63">
        <f>-IF(F439="I",SUMIF('BG 2021'!B:B,Clasificaciones!C439,'BG 2021'!E:E),0)</f>
        <v>-2734.5400000000373</v>
      </c>
      <c r="N439" s="887"/>
      <c r="O439" s="47">
        <f>IF(F439="I",SUMIF('BG 062021'!A:A,Clasificaciones!C439,'BG 062021'!C:C),0)</f>
        <v>309874</v>
      </c>
      <c r="P439" s="887"/>
      <c r="Q439" s="63">
        <f>IF(F439="I",SUMIF('BG 062021'!A:A,Clasificaciones!C439,'BG 062021'!D:D),0)</f>
        <v>45.83</v>
      </c>
      <c r="R439" s="888">
        <f>+VLOOKUP(C439,'CA EFE'!A:A,1,FALSE)</f>
        <v>2110702</v>
      </c>
    </row>
    <row r="440" spans="1:18" s="888" customFormat="1" hidden="1">
      <c r="A440" s="885" t="s">
        <v>8</v>
      </c>
      <c r="B440" s="885" t="s">
        <v>275</v>
      </c>
      <c r="C440" s="889">
        <v>2110703</v>
      </c>
      <c r="D440" s="889" t="s">
        <v>1382</v>
      </c>
      <c r="E440" s="886" t="s">
        <v>186</v>
      </c>
      <c r="F440" s="886" t="s">
        <v>271</v>
      </c>
      <c r="G440" s="47">
        <f>-IF(F440="I",IFERROR(VLOOKUP(C440,'BG 062022'!A:C,3,FALSE),0),0)</f>
        <v>-99325725</v>
      </c>
      <c r="H440" s="885"/>
      <c r="I440" s="63">
        <f>-IF(F440="I",IFERROR(VLOOKUP(C440,'BG 062022'!A:D,4,FALSE),0),0)</f>
        <v>-14500</v>
      </c>
      <c r="J440" s="887"/>
      <c r="K440" s="47">
        <f>-IF(F440="I",SUMIF('BG 2021'!B:B,Clasificaciones!C440,'BG 2021'!D:D),0)</f>
        <v>-92979900</v>
      </c>
      <c r="L440" s="887"/>
      <c r="M440" s="63">
        <f>-IF(F440="I",SUMIF('BG 2021'!B:B,Clasificaciones!C440,'BG 2021'!E:E),0)</f>
        <v>-13500</v>
      </c>
      <c r="N440" s="887"/>
      <c r="O440" s="47">
        <f>IF(F440="I",SUMIF('BG 062021'!A:A,Clasificaciones!C440,'BG 062021'!C:C),0)</f>
        <v>91278495</v>
      </c>
      <c r="P440" s="887"/>
      <c r="Q440" s="63">
        <f>IF(F440="I",SUMIF('BG 062021'!A:A,Clasificaciones!C440,'BG 062021'!D:D),0)</f>
        <v>13500</v>
      </c>
      <c r="R440" s="888">
        <f>+VLOOKUP(C440,'CA EFE'!A:A,1,FALSE)</f>
        <v>2110703</v>
      </c>
    </row>
    <row r="441" spans="1:18" s="888" customFormat="1" hidden="1">
      <c r="A441" s="885" t="s">
        <v>8</v>
      </c>
      <c r="B441" s="885"/>
      <c r="C441" s="889">
        <v>212</v>
      </c>
      <c r="D441" s="889" t="s">
        <v>1008</v>
      </c>
      <c r="E441" s="886" t="s">
        <v>6</v>
      </c>
      <c r="F441" s="886" t="s">
        <v>270</v>
      </c>
      <c r="G441" s="47">
        <f>-IF(F441="I",IFERROR(VLOOKUP(C441,'BG 062022'!A:C,3,FALSE),0),0)</f>
        <v>0</v>
      </c>
      <c r="H441" s="885"/>
      <c r="I441" s="63">
        <f>-IF(F441="I",IFERROR(VLOOKUP(C441,'BG 062022'!A:D,4,FALSE),0),0)</f>
        <v>0</v>
      </c>
      <c r="J441" s="887"/>
      <c r="K441" s="47">
        <f>-IF(F441="I",SUMIF('BG 2021'!B:B,Clasificaciones!C441,'BG 2021'!D:D),0)</f>
        <v>0</v>
      </c>
      <c r="L441" s="887"/>
      <c r="M441" s="63">
        <f>-IF(F441="I",SUMIF('BG 2021'!B:B,Clasificaciones!C441,'BG 2021'!E:E),0)</f>
        <v>0</v>
      </c>
      <c r="N441" s="887"/>
      <c r="O441" s="47">
        <f>IF(F441="I",SUMIF('BG 062021'!A:A,Clasificaciones!C441,'BG 062021'!C:C),0)</f>
        <v>0</v>
      </c>
      <c r="P441" s="887"/>
      <c r="Q441" s="63">
        <f>IF(F441="I",SUMIF('BG 062021'!A:A,Clasificaciones!C441,'BG 062021'!D:D),0)</f>
        <v>0</v>
      </c>
    </row>
    <row r="442" spans="1:18" s="888" customFormat="1" hidden="1">
      <c r="A442" s="885" t="s">
        <v>8</v>
      </c>
      <c r="B442" s="885"/>
      <c r="C442" s="889">
        <v>21201</v>
      </c>
      <c r="D442" s="889" t="s">
        <v>1004</v>
      </c>
      <c r="E442" s="886" t="s">
        <v>6</v>
      </c>
      <c r="F442" s="886" t="s">
        <v>271</v>
      </c>
      <c r="G442" s="47">
        <f>-IF(F442="I",IFERROR(VLOOKUP(C442,'BG 062022'!A:C,3,FALSE),0),0)</f>
        <v>0</v>
      </c>
      <c r="H442" s="885"/>
      <c r="I442" s="63">
        <f>-IF(F442="I",IFERROR(VLOOKUP(C442,'BG 062022'!A:D,4,FALSE),0),0)</f>
        <v>0</v>
      </c>
      <c r="J442" s="887"/>
      <c r="K442" s="47">
        <f>-IF(F442="I",SUMIF('BG 2021'!B:B,Clasificaciones!C442,'BG 2021'!D:D),0)</f>
        <v>0</v>
      </c>
      <c r="L442" s="887"/>
      <c r="M442" s="63">
        <f>-IF(F442="I",SUMIF('BG 2021'!B:B,Clasificaciones!C442,'BG 2021'!E:E),0)</f>
        <v>0</v>
      </c>
      <c r="N442" s="887"/>
      <c r="O442" s="47">
        <f>IF(F442="I",SUMIF('BG 062021'!A:A,Clasificaciones!C442,'BG 062021'!C:C),0)</f>
        <v>0</v>
      </c>
      <c r="P442" s="887"/>
      <c r="Q442" s="63">
        <f>IF(F442="I",SUMIF('BG 062021'!A:A,Clasificaciones!C442,'BG 062021'!D:D),0)</f>
        <v>0</v>
      </c>
    </row>
    <row r="443" spans="1:18" s="888" customFormat="1" hidden="1">
      <c r="A443" s="885" t="s">
        <v>8</v>
      </c>
      <c r="B443" s="885"/>
      <c r="C443" s="889">
        <v>21202</v>
      </c>
      <c r="D443" s="889" t="s">
        <v>723</v>
      </c>
      <c r="E443" s="886" t="s">
        <v>6</v>
      </c>
      <c r="F443" s="886" t="s">
        <v>271</v>
      </c>
      <c r="G443" s="47">
        <f>-IF(F443="I",IFERROR(VLOOKUP(C443,'BG 062022'!A:C,3,FALSE),0),0)</f>
        <v>0</v>
      </c>
      <c r="H443" s="885"/>
      <c r="I443" s="63">
        <f>-IF(F443="I",IFERROR(VLOOKUP(C443,'BG 062022'!A:D,4,FALSE),0),0)</f>
        <v>0</v>
      </c>
      <c r="J443" s="887"/>
      <c r="K443" s="47">
        <f>-IF(F443="I",SUMIF('BG 2021'!B:B,Clasificaciones!C443,'BG 2021'!D:D),0)</f>
        <v>0</v>
      </c>
      <c r="L443" s="887"/>
      <c r="M443" s="63">
        <f>-IF(F443="I",SUMIF('BG 2021'!B:B,Clasificaciones!C443,'BG 2021'!E:E),0)</f>
        <v>0</v>
      </c>
      <c r="N443" s="887"/>
      <c r="O443" s="47">
        <f>IF(F443="I",SUMIF('BG 062021'!A:A,Clasificaciones!C443,'BG 062021'!C:C),0)</f>
        <v>0</v>
      </c>
      <c r="P443" s="887"/>
      <c r="Q443" s="63">
        <f>IF(F443="I",SUMIF('BG 062021'!A:A,Clasificaciones!C443,'BG 062021'!D:D),0)</f>
        <v>0</v>
      </c>
    </row>
    <row r="444" spans="1:18" s="888" customFormat="1" hidden="1">
      <c r="A444" s="885" t="s">
        <v>8</v>
      </c>
      <c r="B444" s="885"/>
      <c r="C444" s="889">
        <v>21203</v>
      </c>
      <c r="D444" s="889" t="s">
        <v>1005</v>
      </c>
      <c r="E444" s="886" t="s">
        <v>6</v>
      </c>
      <c r="F444" s="886" t="s">
        <v>271</v>
      </c>
      <c r="G444" s="47">
        <f>-IF(F444="I",IFERROR(VLOOKUP(C444,'BG 062022'!A:C,3,FALSE),0),0)</f>
        <v>0</v>
      </c>
      <c r="H444" s="885"/>
      <c r="I444" s="63">
        <f>-IF(F444="I",IFERROR(VLOOKUP(C444,'BG 062022'!A:D,4,FALSE),0),0)</f>
        <v>0</v>
      </c>
      <c r="J444" s="887"/>
      <c r="K444" s="47">
        <f>-IF(F444="I",SUMIF('BG 2021'!B:B,Clasificaciones!C444,'BG 2021'!D:D),0)</f>
        <v>0</v>
      </c>
      <c r="L444" s="887"/>
      <c r="M444" s="63">
        <f>-IF(F444="I",SUMIF('BG 2021'!B:B,Clasificaciones!C444,'BG 2021'!E:E),0)</f>
        <v>0</v>
      </c>
      <c r="N444" s="887"/>
      <c r="O444" s="47">
        <f>IF(F444="I",SUMIF('BG 062021'!A:A,Clasificaciones!C444,'BG 062021'!C:C),0)</f>
        <v>0</v>
      </c>
      <c r="P444" s="887"/>
      <c r="Q444" s="63">
        <f>IF(F444="I",SUMIF('BG 062021'!A:A,Clasificaciones!C444,'BG 062021'!D:D),0)</f>
        <v>0</v>
      </c>
    </row>
    <row r="445" spans="1:18" s="888" customFormat="1" hidden="1">
      <c r="A445" s="885" t="s">
        <v>8</v>
      </c>
      <c r="B445" s="885"/>
      <c r="C445" s="889">
        <v>21204</v>
      </c>
      <c r="D445" s="889" t="s">
        <v>1003</v>
      </c>
      <c r="E445" s="886" t="s">
        <v>6</v>
      </c>
      <c r="F445" s="886" t="s">
        <v>271</v>
      </c>
      <c r="G445" s="47">
        <f>-IF(F445="I",IFERROR(VLOOKUP(C445,'BG 062022'!A:C,3,FALSE),0),0)</f>
        <v>0</v>
      </c>
      <c r="H445" s="885"/>
      <c r="I445" s="63">
        <f>-IF(F445="I",IFERROR(VLOOKUP(C445,'BG 062022'!A:D,4,FALSE),0),0)</f>
        <v>0</v>
      </c>
      <c r="J445" s="887"/>
      <c r="K445" s="47">
        <f>-IF(F445="I",SUMIF('BG 2021'!B:B,Clasificaciones!C445,'BG 2021'!D:D),0)</f>
        <v>0</v>
      </c>
      <c r="L445" s="887"/>
      <c r="M445" s="63">
        <f>-IF(F445="I",SUMIF('BG 2021'!B:B,Clasificaciones!C445,'BG 2021'!E:E),0)</f>
        <v>0</v>
      </c>
      <c r="N445" s="887"/>
      <c r="O445" s="47">
        <f>IF(F445="I",SUMIF('BG 062021'!A:A,Clasificaciones!C445,'BG 062021'!C:C),0)</f>
        <v>0</v>
      </c>
      <c r="P445" s="887"/>
      <c r="Q445" s="63">
        <f>IF(F445="I",SUMIF('BG 062021'!A:A,Clasificaciones!C445,'BG 062021'!D:D),0)</f>
        <v>0</v>
      </c>
    </row>
    <row r="446" spans="1:18" s="888" customFormat="1" hidden="1">
      <c r="A446" s="885" t="s">
        <v>8</v>
      </c>
      <c r="B446" s="885"/>
      <c r="C446" s="889">
        <v>21205</v>
      </c>
      <c r="D446" s="889" t="s">
        <v>275</v>
      </c>
      <c r="E446" s="886" t="s">
        <v>6</v>
      </c>
      <c r="F446" s="886" t="s">
        <v>270</v>
      </c>
      <c r="G446" s="47">
        <f>-IF(F446="I",IFERROR(VLOOKUP(C446,'BG 062022'!A:C,3,FALSE),0),0)</f>
        <v>0</v>
      </c>
      <c r="H446" s="885"/>
      <c r="I446" s="63">
        <f>-IF(F446="I",IFERROR(VLOOKUP(C446,'BG 062022'!A:D,4,FALSE),0),0)</f>
        <v>0</v>
      </c>
      <c r="J446" s="887"/>
      <c r="K446" s="47">
        <f>-IF(F446="I",SUMIF('BG 2021'!B:B,Clasificaciones!C446,'BG 2021'!D:D),0)</f>
        <v>0</v>
      </c>
      <c r="L446" s="887"/>
      <c r="M446" s="63">
        <f>-IF(F446="I",SUMIF('BG 2021'!B:B,Clasificaciones!C446,'BG 2021'!E:E),0)</f>
        <v>0</v>
      </c>
      <c r="N446" s="887"/>
      <c r="O446" s="47">
        <f>IF(F446="I",SUMIF('BG 062021'!A:A,Clasificaciones!C446,'BG 062021'!C:C),0)</f>
        <v>0</v>
      </c>
      <c r="P446" s="887"/>
      <c r="Q446" s="63">
        <f>IF(F446="I",SUMIF('BG 062021'!A:A,Clasificaciones!C446,'BG 062021'!D:D),0)</f>
        <v>0</v>
      </c>
    </row>
    <row r="447" spans="1:18" s="888" customFormat="1" hidden="1">
      <c r="A447" s="885" t="s">
        <v>8</v>
      </c>
      <c r="B447" s="885"/>
      <c r="C447" s="889">
        <v>2120501</v>
      </c>
      <c r="D447" s="889" t="s">
        <v>1009</v>
      </c>
      <c r="E447" s="886" t="s">
        <v>6</v>
      </c>
      <c r="F447" s="886" t="s">
        <v>270</v>
      </c>
      <c r="G447" s="47">
        <f>-IF(F447="I",IFERROR(VLOOKUP(C447,'BG 062022'!A:C,3,FALSE),0),0)</f>
        <v>0</v>
      </c>
      <c r="H447" s="885"/>
      <c r="I447" s="63">
        <f>-IF(F447="I",IFERROR(VLOOKUP(C447,'BG 062022'!A:D,4,FALSE),0),0)</f>
        <v>0</v>
      </c>
      <c r="J447" s="887"/>
      <c r="K447" s="47">
        <f>-IF(F447="I",SUMIF('BG 2021'!B:B,Clasificaciones!C447,'BG 2021'!D:D),0)</f>
        <v>0</v>
      </c>
      <c r="L447" s="887"/>
      <c r="M447" s="63">
        <f>-IF(F447="I",SUMIF('BG 2021'!B:B,Clasificaciones!C447,'BG 2021'!E:E),0)</f>
        <v>0</v>
      </c>
      <c r="N447" s="887"/>
      <c r="O447" s="47">
        <f>IF(F447="I",SUMIF('BG 062021'!A:A,Clasificaciones!C447,'BG 062021'!C:C),0)</f>
        <v>0</v>
      </c>
      <c r="P447" s="887"/>
      <c r="Q447" s="63">
        <f>IF(F447="I",SUMIF('BG 062021'!A:A,Clasificaciones!C447,'BG 062021'!D:D),0)</f>
        <v>0</v>
      </c>
    </row>
    <row r="448" spans="1:18" s="888" customFormat="1" hidden="1">
      <c r="A448" s="885" t="s">
        <v>8</v>
      </c>
      <c r="B448" s="885"/>
      <c r="C448" s="889">
        <v>212050101</v>
      </c>
      <c r="D448" s="889" t="s">
        <v>1010</v>
      </c>
      <c r="E448" s="886" t="s">
        <v>6</v>
      </c>
      <c r="F448" s="886" t="s">
        <v>271</v>
      </c>
      <c r="G448" s="47">
        <f>-IF(F448="I",IFERROR(VLOOKUP(C448,'BG 062022'!A:C,3,FALSE),0),0)</f>
        <v>0</v>
      </c>
      <c r="H448" s="885"/>
      <c r="I448" s="63">
        <f>-IF(F448="I",IFERROR(VLOOKUP(C448,'BG 062022'!A:D,4,FALSE),0),0)</f>
        <v>0</v>
      </c>
      <c r="J448" s="887"/>
      <c r="K448" s="47">
        <f>-IF(F448="I",SUMIF('BG 2021'!B:B,Clasificaciones!C448,'BG 2021'!D:D),0)</f>
        <v>0</v>
      </c>
      <c r="L448" s="887"/>
      <c r="M448" s="63">
        <f>-IF(F448="I",SUMIF('BG 2021'!B:B,Clasificaciones!C448,'BG 2021'!E:E),0)</f>
        <v>0</v>
      </c>
      <c r="N448" s="887"/>
      <c r="O448" s="47">
        <f>IF(F448="I",SUMIF('BG 062021'!A:A,Clasificaciones!C448,'BG 062021'!C:C),0)</f>
        <v>0</v>
      </c>
      <c r="P448" s="887"/>
      <c r="Q448" s="63">
        <f>IF(F448="I",SUMIF('BG 062021'!A:A,Clasificaciones!C448,'BG 062021'!D:D),0)</f>
        <v>0</v>
      </c>
    </row>
    <row r="449" spans="1:17" s="888" customFormat="1" hidden="1">
      <c r="A449" s="885" t="s">
        <v>8</v>
      </c>
      <c r="B449" s="885"/>
      <c r="C449" s="889">
        <v>212050102</v>
      </c>
      <c r="D449" s="889" t="s">
        <v>1011</v>
      </c>
      <c r="E449" s="886" t="s">
        <v>186</v>
      </c>
      <c r="F449" s="886" t="s">
        <v>271</v>
      </c>
      <c r="G449" s="47">
        <f>-IF(F449="I",IFERROR(VLOOKUP(C449,'BG 062022'!A:C,3,FALSE),0),0)</f>
        <v>0</v>
      </c>
      <c r="H449" s="885"/>
      <c r="I449" s="63">
        <f>-IF(F449="I",IFERROR(VLOOKUP(C449,'BG 062022'!A:D,4,FALSE),0),0)</f>
        <v>0</v>
      </c>
      <c r="J449" s="887"/>
      <c r="K449" s="47">
        <f>-IF(F449="I",SUMIF('BG 2021'!B:B,Clasificaciones!C449,'BG 2021'!D:D),0)</f>
        <v>0</v>
      </c>
      <c r="L449" s="887"/>
      <c r="M449" s="63">
        <f>-IF(F449="I",SUMIF('BG 2021'!B:B,Clasificaciones!C449,'BG 2021'!E:E),0)</f>
        <v>0</v>
      </c>
      <c r="N449" s="887"/>
      <c r="O449" s="47">
        <f>IF(F449="I",SUMIF('BG 062021'!A:A,Clasificaciones!C449,'BG 062021'!C:C),0)</f>
        <v>0</v>
      </c>
      <c r="P449" s="887"/>
      <c r="Q449" s="63">
        <f>IF(F449="I",SUMIF('BG 062021'!A:A,Clasificaciones!C449,'BG 062021'!D:D),0)</f>
        <v>0</v>
      </c>
    </row>
    <row r="450" spans="1:17" s="888" customFormat="1" hidden="1">
      <c r="A450" s="885" t="s">
        <v>8</v>
      </c>
      <c r="B450" s="885"/>
      <c r="C450" s="889">
        <v>213</v>
      </c>
      <c r="D450" s="889" t="s">
        <v>730</v>
      </c>
      <c r="E450" s="886" t="s">
        <v>6</v>
      </c>
      <c r="F450" s="886" t="s">
        <v>270</v>
      </c>
      <c r="G450" s="47">
        <f>-IF(F450="I",IFERROR(VLOOKUP(C450,'BG 062022'!A:C,3,FALSE),0),0)</f>
        <v>0</v>
      </c>
      <c r="H450" s="885"/>
      <c r="I450" s="63">
        <f>-IF(F450="I",IFERROR(VLOOKUP(C450,'BG 062022'!A:D,4,FALSE),0),0)</f>
        <v>0</v>
      </c>
      <c r="J450" s="887"/>
      <c r="K450" s="47">
        <f>-IF(F450="I",SUMIF('BG 2021'!B:B,Clasificaciones!C450,'BG 2021'!D:D),0)</f>
        <v>0</v>
      </c>
      <c r="L450" s="887"/>
      <c r="M450" s="63">
        <f>-IF(F450="I",SUMIF('BG 2021'!B:B,Clasificaciones!C450,'BG 2021'!E:E),0)</f>
        <v>0</v>
      </c>
      <c r="N450" s="887"/>
      <c r="O450" s="47">
        <f>IF(F450="I",SUMIF('BG 062021'!A:A,Clasificaciones!C450,'BG 062021'!C:C),0)</f>
        <v>0</v>
      </c>
      <c r="P450" s="887"/>
      <c r="Q450" s="63">
        <f>IF(F450="I",SUMIF('BG 062021'!A:A,Clasificaciones!C450,'BG 062021'!D:D),0)</f>
        <v>0</v>
      </c>
    </row>
    <row r="451" spans="1:17" s="888" customFormat="1" hidden="1">
      <c r="A451" s="885" t="s">
        <v>8</v>
      </c>
      <c r="B451" s="885"/>
      <c r="C451" s="889">
        <v>21301</v>
      </c>
      <c r="D451" s="889" t="s">
        <v>607</v>
      </c>
      <c r="E451" s="886" t="s">
        <v>6</v>
      </c>
      <c r="F451" s="886" t="s">
        <v>270</v>
      </c>
      <c r="G451" s="47">
        <f>-IF(F451="I",IFERROR(VLOOKUP(C451,'BG 062022'!A:C,3,FALSE),0),0)</f>
        <v>0</v>
      </c>
      <c r="H451" s="885"/>
      <c r="I451" s="63">
        <f>-IF(F451="I",IFERROR(VLOOKUP(C451,'BG 062022'!A:D,4,FALSE),0),0)</f>
        <v>0</v>
      </c>
      <c r="J451" s="887"/>
      <c r="K451" s="47">
        <f>-IF(F451="I",SUMIF('BG 2021'!B:B,Clasificaciones!C451,'BG 2021'!D:D),0)</f>
        <v>0</v>
      </c>
      <c r="L451" s="887"/>
      <c r="M451" s="63">
        <f>-IF(F451="I",SUMIF('BG 2021'!B:B,Clasificaciones!C451,'BG 2021'!E:E),0)</f>
        <v>0</v>
      </c>
      <c r="N451" s="887"/>
      <c r="O451" s="47">
        <f>IF(F451="I",SUMIF('BG 062021'!A:A,Clasificaciones!C451,'BG 062021'!C:C),0)</f>
        <v>0</v>
      </c>
      <c r="P451" s="887"/>
      <c r="Q451" s="63">
        <f>IF(F451="I",SUMIF('BG 062021'!A:A,Clasificaciones!C451,'BG 062021'!D:D),0)</f>
        <v>0</v>
      </c>
    </row>
    <row r="452" spans="1:17" s="888" customFormat="1" hidden="1">
      <c r="A452" s="885" t="s">
        <v>8</v>
      </c>
      <c r="B452" s="885"/>
      <c r="C452" s="889">
        <v>2130101</v>
      </c>
      <c r="D452" s="889" t="s">
        <v>731</v>
      </c>
      <c r="E452" s="886" t="s">
        <v>6</v>
      </c>
      <c r="F452" s="886" t="s">
        <v>270</v>
      </c>
      <c r="G452" s="47">
        <f>-IF(F452="I",IFERROR(VLOOKUP(C452,'BG 062022'!A:C,3,FALSE),0),0)</f>
        <v>0</v>
      </c>
      <c r="H452" s="885"/>
      <c r="I452" s="63">
        <f>-IF(F452="I",IFERROR(VLOOKUP(C452,'BG 062022'!A:D,4,FALSE),0),0)</f>
        <v>0</v>
      </c>
      <c r="J452" s="887"/>
      <c r="K452" s="47">
        <f>-IF(F452="I",SUMIF('BG 2021'!B:B,Clasificaciones!C452,'BG 2021'!D:D),0)</f>
        <v>0</v>
      </c>
      <c r="L452" s="887"/>
      <c r="M452" s="63">
        <f>-IF(F452="I",SUMIF('BG 2021'!B:B,Clasificaciones!C452,'BG 2021'!E:E),0)</f>
        <v>0</v>
      </c>
      <c r="N452" s="887"/>
      <c r="O452" s="47">
        <f>IF(F452="I",SUMIF('BG 062021'!A:A,Clasificaciones!C452,'BG 062021'!C:C),0)</f>
        <v>0</v>
      </c>
      <c r="P452" s="887"/>
      <c r="Q452" s="63">
        <f>IF(F452="I",SUMIF('BG 062021'!A:A,Clasificaciones!C452,'BG 062021'!D:D),0)</f>
        <v>0</v>
      </c>
    </row>
    <row r="453" spans="1:17" s="888" customFormat="1" hidden="1">
      <c r="A453" s="885" t="s">
        <v>8</v>
      </c>
      <c r="B453" s="885" t="s">
        <v>607</v>
      </c>
      <c r="C453" s="889">
        <v>213010101</v>
      </c>
      <c r="D453" s="889" t="s">
        <v>732</v>
      </c>
      <c r="E453" s="886" t="s">
        <v>6</v>
      </c>
      <c r="F453" s="886" t="s">
        <v>271</v>
      </c>
      <c r="G453" s="47">
        <f>-IF(F453="I",IFERROR(VLOOKUP(C453,'BG 062022'!A:C,3,FALSE),0),0)</f>
        <v>-11871555014</v>
      </c>
      <c r="H453" s="885"/>
      <c r="I453" s="63">
        <f>-IF(F453="I",IFERROR(VLOOKUP(C453,'BG 062022'!A:D,4,FALSE),0),0)</f>
        <v>-1733061.07</v>
      </c>
      <c r="J453" s="887"/>
      <c r="K453" s="47">
        <f>-IF(F453="I",SUMIF('BG 2021'!B:B,Clasificaciones!C453,'BG 2021'!D:D),0)</f>
        <v>0</v>
      </c>
      <c r="L453" s="887"/>
      <c r="M453" s="63">
        <f>-IF(F453="I",SUMIF('BG 2021'!B:B,Clasificaciones!C453,'BG 2021'!E:E),0)</f>
        <v>0</v>
      </c>
      <c r="N453" s="887"/>
      <c r="O453" s="47">
        <f>IF(F453="I",SUMIF('BG 062021'!A:A,Clasificaciones!C453,'BG 062021'!C:C),0)</f>
        <v>71321210</v>
      </c>
      <c r="P453" s="887"/>
      <c r="Q453" s="63">
        <f>IF(F453="I",SUMIF('BG 062021'!A:A,Clasificaciones!C453,'BG 062021'!D:D),0)</f>
        <v>10548.34</v>
      </c>
    </row>
    <row r="454" spans="1:17" s="888" customFormat="1" hidden="1">
      <c r="A454" s="885" t="s">
        <v>8</v>
      </c>
      <c r="B454" s="885" t="s">
        <v>607</v>
      </c>
      <c r="C454" s="889">
        <v>213010102</v>
      </c>
      <c r="D454" s="889" t="s">
        <v>1012</v>
      </c>
      <c r="E454" s="886" t="s">
        <v>186</v>
      </c>
      <c r="F454" s="886" t="s">
        <v>271</v>
      </c>
      <c r="G454" s="47">
        <f>-IF(F454="I",IFERROR(VLOOKUP(C454,'BG 062022'!A:C,3,FALSE),0),0)</f>
        <v>0</v>
      </c>
      <c r="H454" s="885"/>
      <c r="I454" s="63">
        <f>-IF(F454="I",IFERROR(VLOOKUP(C454,'BG 062022'!A:D,4,FALSE),0),0)</f>
        <v>0</v>
      </c>
      <c r="J454" s="887"/>
      <c r="K454" s="47">
        <f>-IF(F454="I",SUMIF('BG 2021'!B:B,Clasificaciones!C454,'BG 2021'!D:D),0)</f>
        <v>0</v>
      </c>
      <c r="L454" s="887"/>
      <c r="M454" s="63">
        <f>-IF(F454="I",SUMIF('BG 2021'!B:B,Clasificaciones!C454,'BG 2021'!E:E),0)</f>
        <v>0</v>
      </c>
      <c r="N454" s="887"/>
      <c r="O454" s="47">
        <f>IF(F454="I",SUMIF('BG 062021'!A:A,Clasificaciones!C454,'BG 062021'!C:C),0)</f>
        <v>0</v>
      </c>
      <c r="P454" s="887"/>
      <c r="Q454" s="63">
        <f>IF(F454="I",SUMIF('BG 062021'!A:A,Clasificaciones!C454,'BG 062021'!D:D),0)</f>
        <v>0</v>
      </c>
    </row>
    <row r="455" spans="1:17" s="888" customFormat="1" hidden="1">
      <c r="A455" s="885" t="s">
        <v>8</v>
      </c>
      <c r="B455" s="885"/>
      <c r="C455" s="889">
        <v>2130102</v>
      </c>
      <c r="D455" s="889" t="s">
        <v>733</v>
      </c>
      <c r="E455" s="886" t="s">
        <v>186</v>
      </c>
      <c r="F455" s="886" t="s">
        <v>270</v>
      </c>
      <c r="G455" s="47">
        <f>-IF(F455="I",IFERROR(VLOOKUP(C455,'BG 062022'!A:C,3,FALSE),0),0)</f>
        <v>0</v>
      </c>
      <c r="H455" s="885"/>
      <c r="I455" s="63">
        <f>-IF(F455="I",IFERROR(VLOOKUP(C455,'BG 062022'!A:D,4,FALSE),0),0)</f>
        <v>0</v>
      </c>
      <c r="J455" s="887"/>
      <c r="K455" s="47">
        <f>-IF(F455="I",SUMIF('BG 2021'!B:B,Clasificaciones!C455,'BG 2021'!D:D),0)</f>
        <v>0</v>
      </c>
      <c r="L455" s="887"/>
      <c r="M455" s="63">
        <f>-IF(F455="I",SUMIF('BG 2021'!B:B,Clasificaciones!C455,'BG 2021'!E:E),0)</f>
        <v>0</v>
      </c>
      <c r="N455" s="887"/>
      <c r="O455" s="47">
        <f>IF(F455="I",SUMIF('BG 062021'!A:A,Clasificaciones!C455,'BG 062021'!C:C),0)</f>
        <v>0</v>
      </c>
      <c r="P455" s="887"/>
      <c r="Q455" s="63">
        <f>IF(F455="I",SUMIF('BG 062021'!A:A,Clasificaciones!C455,'BG 062021'!D:D),0)</f>
        <v>0</v>
      </c>
    </row>
    <row r="456" spans="1:17" s="888" customFormat="1" hidden="1">
      <c r="A456" s="885" t="s">
        <v>8</v>
      </c>
      <c r="B456" s="885" t="s">
        <v>607</v>
      </c>
      <c r="C456" s="889">
        <v>213010201</v>
      </c>
      <c r="D456" s="889" t="s">
        <v>734</v>
      </c>
      <c r="E456" s="886" t="s">
        <v>186</v>
      </c>
      <c r="F456" s="886" t="s">
        <v>271</v>
      </c>
      <c r="G456" s="47">
        <f>-IF(F456="I",IFERROR(VLOOKUP(C456,'BG 062022'!A:C,3,FALSE),0),0)</f>
        <v>-1565003592</v>
      </c>
      <c r="H456" s="885"/>
      <c r="I456" s="63">
        <f>-IF(F456="I",IFERROR(VLOOKUP(C456,'BG 062022'!A:D,4,FALSE),0),0)</f>
        <v>-228466.01</v>
      </c>
      <c r="J456" s="887"/>
      <c r="K456" s="47">
        <f>-IF(F456="I",SUMIF('BG 2021'!B:B,Clasificaciones!C456,'BG 2021'!D:D),0)</f>
        <v>-1848050034</v>
      </c>
      <c r="L456" s="887"/>
      <c r="M456" s="63">
        <f>-IF(F456="I",SUMIF('BG 2021'!B:B,Clasificaciones!C456,'BG 2021'!E:E),0)</f>
        <v>-268323.31999999983</v>
      </c>
      <c r="N456" s="887"/>
      <c r="O456" s="47">
        <f>IF(F456="I",SUMIF('BG 062021'!A:A,Clasificaciones!C456,'BG 062021'!C:C),0)</f>
        <v>0</v>
      </c>
      <c r="P456" s="887"/>
      <c r="Q456" s="63">
        <f>IF(F456="I",SUMIF('BG 062021'!A:A,Clasificaciones!C456,'BG 062021'!D:D),0)</f>
        <v>0</v>
      </c>
    </row>
    <row r="457" spans="1:17" s="888" customFormat="1" hidden="1">
      <c r="A457" s="885" t="s">
        <v>8</v>
      </c>
      <c r="B457" s="885"/>
      <c r="C457" s="889">
        <v>21302</v>
      </c>
      <c r="D457" s="889" t="s">
        <v>1013</v>
      </c>
      <c r="E457" s="886" t="s">
        <v>6</v>
      </c>
      <c r="F457" s="886" t="s">
        <v>270</v>
      </c>
      <c r="G457" s="47">
        <f>-IF(F457="I",IFERROR(VLOOKUP(C457,'BG 062022'!A:C,3,FALSE),0),0)</f>
        <v>0</v>
      </c>
      <c r="H457" s="885"/>
      <c r="I457" s="63">
        <f>-IF(F457="I",IFERROR(VLOOKUP(C457,'BG 062022'!A:D,4,FALSE),0),0)</f>
        <v>0</v>
      </c>
      <c r="J457" s="887"/>
      <c r="K457" s="47">
        <f>-IF(F457="I",SUMIF('BG 2021'!B:B,Clasificaciones!C457,'BG 2021'!D:D),0)</f>
        <v>0</v>
      </c>
      <c r="L457" s="887"/>
      <c r="M457" s="63">
        <f>-IF(F457="I",SUMIF('BG 2021'!B:B,Clasificaciones!C457,'BG 2021'!E:E),0)</f>
        <v>0</v>
      </c>
      <c r="N457" s="887"/>
      <c r="O457" s="47">
        <f>IF(F457="I",SUMIF('BG 062021'!A:A,Clasificaciones!C457,'BG 062021'!C:C),0)</f>
        <v>0</v>
      </c>
      <c r="P457" s="887"/>
      <c r="Q457" s="63">
        <f>IF(F457="I",SUMIF('BG 062021'!A:A,Clasificaciones!C457,'BG 062021'!D:D),0)</f>
        <v>0</v>
      </c>
    </row>
    <row r="458" spans="1:17" s="888" customFormat="1" hidden="1">
      <c r="A458" s="885" t="s">
        <v>8</v>
      </c>
      <c r="B458" s="885"/>
      <c r="C458" s="889">
        <v>2130201</v>
      </c>
      <c r="D458" s="889" t="s">
        <v>1014</v>
      </c>
      <c r="E458" s="886" t="s">
        <v>6</v>
      </c>
      <c r="F458" s="886" t="s">
        <v>270</v>
      </c>
      <c r="G458" s="47">
        <f>-IF(F458="I",IFERROR(VLOOKUP(C458,'BG 062022'!A:C,3,FALSE),0),0)</f>
        <v>0</v>
      </c>
      <c r="H458" s="885"/>
      <c r="I458" s="63">
        <f>-IF(F458="I",IFERROR(VLOOKUP(C458,'BG 062022'!A:D,4,FALSE),0),0)</f>
        <v>0</v>
      </c>
      <c r="J458" s="887"/>
      <c r="K458" s="47">
        <f>-IF(F458="I",SUMIF('BG 2021'!B:B,Clasificaciones!C458,'BG 2021'!D:D),0)</f>
        <v>0</v>
      </c>
      <c r="L458" s="887"/>
      <c r="M458" s="63">
        <f>-IF(F458="I",SUMIF('BG 2021'!B:B,Clasificaciones!C458,'BG 2021'!E:E),0)</f>
        <v>0</v>
      </c>
      <c r="N458" s="887"/>
      <c r="O458" s="47">
        <f>IF(F458="I",SUMIF('BG 062021'!A:A,Clasificaciones!C458,'BG 062021'!C:C),0)</f>
        <v>0</v>
      </c>
      <c r="P458" s="887"/>
      <c r="Q458" s="63">
        <f>IF(F458="I",SUMIF('BG 062021'!A:A,Clasificaciones!C458,'BG 062021'!D:D),0)</f>
        <v>0</v>
      </c>
    </row>
    <row r="459" spans="1:17" s="888" customFormat="1" hidden="1">
      <c r="A459" s="885" t="s">
        <v>8</v>
      </c>
      <c r="B459" s="885"/>
      <c r="C459" s="889">
        <v>213020101</v>
      </c>
      <c r="D459" s="889" t="s">
        <v>1015</v>
      </c>
      <c r="E459" s="886" t="s">
        <v>6</v>
      </c>
      <c r="F459" s="886" t="s">
        <v>270</v>
      </c>
      <c r="G459" s="47">
        <f>-IF(F459="I",IFERROR(VLOOKUP(C459,'BG 062022'!A:C,3,FALSE),0),0)</f>
        <v>0</v>
      </c>
      <c r="H459" s="885"/>
      <c r="I459" s="63">
        <f>-IF(F459="I",IFERROR(VLOOKUP(C459,'BG 062022'!A:D,4,FALSE),0),0)</f>
        <v>0</v>
      </c>
      <c r="J459" s="887"/>
      <c r="K459" s="47">
        <f>-IF(F459="I",SUMIF('BG 2021'!B:B,Clasificaciones!C459,'BG 2021'!D:D),0)</f>
        <v>0</v>
      </c>
      <c r="L459" s="887"/>
      <c r="M459" s="63">
        <f>-IF(F459="I",SUMIF('BG 2021'!B:B,Clasificaciones!C459,'BG 2021'!E:E),0)</f>
        <v>0</v>
      </c>
      <c r="N459" s="887"/>
      <c r="O459" s="47">
        <f>IF(F459="I",SUMIF('BG 062021'!A:A,Clasificaciones!C459,'BG 062021'!C:C),0)</f>
        <v>0</v>
      </c>
      <c r="P459" s="887"/>
      <c r="Q459" s="63">
        <f>IF(F459="I",SUMIF('BG 062021'!A:A,Clasificaciones!C459,'BG 062021'!D:D),0)</f>
        <v>0</v>
      </c>
    </row>
    <row r="460" spans="1:17" s="888" customFormat="1" hidden="1">
      <c r="A460" s="885" t="s">
        <v>8</v>
      </c>
      <c r="B460" s="885"/>
      <c r="C460" s="889">
        <v>21302010101</v>
      </c>
      <c r="D460" s="889" t="s">
        <v>1015</v>
      </c>
      <c r="E460" s="886" t="s">
        <v>6</v>
      </c>
      <c r="F460" s="886" t="s">
        <v>271</v>
      </c>
      <c r="G460" s="47">
        <f>-IF(F460="I",IFERROR(VLOOKUP(C460,'BG 062022'!A:C,3,FALSE),0),0)</f>
        <v>0</v>
      </c>
      <c r="H460" s="885"/>
      <c r="I460" s="63">
        <f>-IF(F460="I",IFERROR(VLOOKUP(C460,'BG 062022'!A:D,4,FALSE),0),0)</f>
        <v>0</v>
      </c>
      <c r="J460" s="887"/>
      <c r="K460" s="47">
        <f>-IF(F460="I",SUMIF('BG 2021'!B:B,Clasificaciones!C460,'BG 2021'!D:D),0)</f>
        <v>0</v>
      </c>
      <c r="L460" s="887"/>
      <c r="M460" s="63">
        <f>-IF(F460="I",SUMIF('BG 2021'!B:B,Clasificaciones!C460,'BG 2021'!E:E),0)</f>
        <v>0</v>
      </c>
      <c r="N460" s="887"/>
      <c r="O460" s="47">
        <f>IF(F460="I",SUMIF('BG 062021'!A:A,Clasificaciones!C460,'BG 062021'!C:C),0)</f>
        <v>0</v>
      </c>
      <c r="P460" s="887"/>
      <c r="Q460" s="63">
        <f>IF(F460="I",SUMIF('BG 062021'!A:A,Clasificaciones!C460,'BG 062021'!D:D),0)</f>
        <v>0</v>
      </c>
    </row>
    <row r="461" spans="1:17" s="888" customFormat="1" hidden="1">
      <c r="A461" s="885" t="s">
        <v>8</v>
      </c>
      <c r="B461" s="885"/>
      <c r="C461" s="889">
        <v>21302010102</v>
      </c>
      <c r="D461" s="889" t="s">
        <v>1015</v>
      </c>
      <c r="E461" s="886" t="s">
        <v>186</v>
      </c>
      <c r="F461" s="886" t="s">
        <v>271</v>
      </c>
      <c r="G461" s="47">
        <f>-IF(F461="I",IFERROR(VLOOKUP(C461,'BG 062022'!A:C,3,FALSE),0),0)</f>
        <v>0</v>
      </c>
      <c r="H461" s="885"/>
      <c r="I461" s="63">
        <f>-IF(F461="I",IFERROR(VLOOKUP(C461,'BG 062022'!A:D,4,FALSE),0),0)</f>
        <v>0</v>
      </c>
      <c r="J461" s="887"/>
      <c r="K461" s="47">
        <f>-IF(F461="I",SUMIF('BG 2021'!B:B,Clasificaciones!C461,'BG 2021'!D:D),0)</f>
        <v>0</v>
      </c>
      <c r="L461" s="887"/>
      <c r="M461" s="63">
        <f>-IF(F461="I",SUMIF('BG 2021'!B:B,Clasificaciones!C461,'BG 2021'!E:E),0)</f>
        <v>0</v>
      </c>
      <c r="N461" s="887"/>
      <c r="O461" s="47">
        <f>IF(F461="I",SUMIF('BG 062021'!A:A,Clasificaciones!C461,'BG 062021'!C:C),0)</f>
        <v>0</v>
      </c>
      <c r="P461" s="887"/>
      <c r="Q461" s="63">
        <f>IF(F461="I",SUMIF('BG 062021'!A:A,Clasificaciones!C461,'BG 062021'!D:D),0)</f>
        <v>0</v>
      </c>
    </row>
    <row r="462" spans="1:17" s="888" customFormat="1" hidden="1">
      <c r="A462" s="885" t="s">
        <v>8</v>
      </c>
      <c r="B462" s="885"/>
      <c r="C462" s="889">
        <v>213020102</v>
      </c>
      <c r="D462" s="889" t="s">
        <v>1016</v>
      </c>
      <c r="E462" s="886" t="s">
        <v>6</v>
      </c>
      <c r="F462" s="886" t="s">
        <v>270</v>
      </c>
      <c r="G462" s="47">
        <f>-IF(F462="I",IFERROR(VLOOKUP(C462,'BG 062022'!A:C,3,FALSE),0),0)</f>
        <v>0</v>
      </c>
      <c r="H462" s="885"/>
      <c r="I462" s="63">
        <f>-IF(F462="I",IFERROR(VLOOKUP(C462,'BG 062022'!A:D,4,FALSE),0),0)</f>
        <v>0</v>
      </c>
      <c r="J462" s="887"/>
      <c r="K462" s="47">
        <f>-IF(F462="I",SUMIF('BG 2021'!B:B,Clasificaciones!C462,'BG 2021'!D:D),0)</f>
        <v>0</v>
      </c>
      <c r="L462" s="887"/>
      <c r="M462" s="63">
        <f>-IF(F462="I",SUMIF('BG 2021'!B:B,Clasificaciones!C462,'BG 2021'!E:E),0)</f>
        <v>0</v>
      </c>
      <c r="N462" s="887"/>
      <c r="O462" s="47">
        <f>IF(F462="I",SUMIF('BG 062021'!A:A,Clasificaciones!C462,'BG 062021'!C:C),0)</f>
        <v>0</v>
      </c>
      <c r="P462" s="887"/>
      <c r="Q462" s="63">
        <f>IF(F462="I",SUMIF('BG 062021'!A:A,Clasificaciones!C462,'BG 062021'!D:D),0)</f>
        <v>0</v>
      </c>
    </row>
    <row r="463" spans="1:17" s="888" customFormat="1" hidden="1">
      <c r="A463" s="885" t="s">
        <v>8</v>
      </c>
      <c r="B463" s="885"/>
      <c r="C463" s="889">
        <v>21302010201</v>
      </c>
      <c r="D463" s="889" t="s">
        <v>1016</v>
      </c>
      <c r="E463" s="886" t="s">
        <v>6</v>
      </c>
      <c r="F463" s="886" t="s">
        <v>271</v>
      </c>
      <c r="G463" s="47">
        <f>-IF(F463="I",IFERROR(VLOOKUP(C463,'BG 062022'!A:C,3,FALSE),0),0)</f>
        <v>0</v>
      </c>
      <c r="H463" s="885"/>
      <c r="I463" s="63">
        <f>-IF(F463="I",IFERROR(VLOOKUP(C463,'BG 062022'!A:D,4,FALSE),0),0)</f>
        <v>0</v>
      </c>
      <c r="J463" s="887"/>
      <c r="K463" s="47">
        <f>-IF(F463="I",SUMIF('BG 2021'!B:B,Clasificaciones!C463,'BG 2021'!D:D),0)</f>
        <v>0</v>
      </c>
      <c r="L463" s="887"/>
      <c r="M463" s="63">
        <f>-IF(F463="I",SUMIF('BG 2021'!B:B,Clasificaciones!C463,'BG 2021'!E:E),0)</f>
        <v>0</v>
      </c>
      <c r="N463" s="887"/>
      <c r="O463" s="47">
        <f>IF(F463="I",SUMIF('BG 062021'!A:A,Clasificaciones!C463,'BG 062021'!C:C),0)</f>
        <v>0</v>
      </c>
      <c r="P463" s="887"/>
      <c r="Q463" s="63">
        <f>IF(F463="I",SUMIF('BG 062021'!A:A,Clasificaciones!C463,'BG 062021'!D:D),0)</f>
        <v>0</v>
      </c>
    </row>
    <row r="464" spans="1:17" s="888" customFormat="1" hidden="1">
      <c r="A464" s="885" t="s">
        <v>8</v>
      </c>
      <c r="B464" s="885"/>
      <c r="C464" s="889">
        <v>21302010202</v>
      </c>
      <c r="D464" s="889" t="s">
        <v>1016</v>
      </c>
      <c r="E464" s="886" t="s">
        <v>186</v>
      </c>
      <c r="F464" s="886" t="s">
        <v>271</v>
      </c>
      <c r="G464" s="47">
        <f>-IF(F464="I",IFERROR(VLOOKUP(C464,'BG 062022'!A:C,3,FALSE),0),0)</f>
        <v>0</v>
      </c>
      <c r="H464" s="885"/>
      <c r="I464" s="63">
        <f>-IF(F464="I",IFERROR(VLOOKUP(C464,'BG 062022'!A:D,4,FALSE),0),0)</f>
        <v>0</v>
      </c>
      <c r="J464" s="887"/>
      <c r="K464" s="47">
        <f>-IF(F464="I",SUMIF('BG 2021'!B:B,Clasificaciones!C464,'BG 2021'!D:D),0)</f>
        <v>0</v>
      </c>
      <c r="L464" s="887"/>
      <c r="M464" s="63">
        <f>-IF(F464="I",SUMIF('BG 2021'!B:B,Clasificaciones!C464,'BG 2021'!E:E),0)</f>
        <v>0</v>
      </c>
      <c r="N464" s="887"/>
      <c r="O464" s="47">
        <f>IF(F464="I",SUMIF('BG 062021'!A:A,Clasificaciones!C464,'BG 062021'!C:C),0)</f>
        <v>0</v>
      </c>
      <c r="P464" s="887"/>
      <c r="Q464" s="63">
        <f>IF(F464="I",SUMIF('BG 062021'!A:A,Clasificaciones!C464,'BG 062021'!D:D),0)</f>
        <v>0</v>
      </c>
    </row>
    <row r="465" spans="1:18" s="888" customFormat="1" hidden="1">
      <c r="A465" s="885" t="s">
        <v>8</v>
      </c>
      <c r="B465" s="885"/>
      <c r="C465" s="889">
        <v>21303</v>
      </c>
      <c r="D465" s="889" t="s">
        <v>735</v>
      </c>
      <c r="E465" s="886" t="s">
        <v>6</v>
      </c>
      <c r="F465" s="886" t="s">
        <v>270</v>
      </c>
      <c r="G465" s="47">
        <f>-IF(F465="I",IFERROR(VLOOKUP(C465,'BG 062022'!A:C,3,FALSE),0),0)</f>
        <v>0</v>
      </c>
      <c r="H465" s="885"/>
      <c r="I465" s="63">
        <f>-IF(F465="I",IFERROR(VLOOKUP(C465,'BG 062022'!A:D,4,FALSE),0),0)</f>
        <v>0</v>
      </c>
      <c r="J465" s="887"/>
      <c r="K465" s="47">
        <f>-IF(F465="I",SUMIF('BG 2021'!B:B,Clasificaciones!C465,'BG 2021'!D:D),0)</f>
        <v>0</v>
      </c>
      <c r="L465" s="887"/>
      <c r="M465" s="63">
        <f>-IF(F465="I",SUMIF('BG 2021'!B:B,Clasificaciones!C465,'BG 2021'!E:E),0)</f>
        <v>0</v>
      </c>
      <c r="N465" s="887"/>
      <c r="O465" s="47">
        <f>IF(F465="I",SUMIF('BG 062021'!A:A,Clasificaciones!C465,'BG 062021'!C:C),0)</f>
        <v>0</v>
      </c>
      <c r="P465" s="887"/>
      <c r="Q465" s="63">
        <f>IF(F465="I",SUMIF('BG 062021'!A:A,Clasificaciones!C465,'BG 062021'!D:D),0)</f>
        <v>0</v>
      </c>
    </row>
    <row r="466" spans="1:18" s="888" customFormat="1" hidden="1">
      <c r="A466" s="885" t="s">
        <v>8</v>
      </c>
      <c r="B466" s="885"/>
      <c r="C466" s="889">
        <v>2130301</v>
      </c>
      <c r="D466" s="889" t="s">
        <v>736</v>
      </c>
      <c r="E466" s="886" t="s">
        <v>6</v>
      </c>
      <c r="F466" s="886" t="s">
        <v>270</v>
      </c>
      <c r="G466" s="47">
        <f>-IF(F466="I",IFERROR(VLOOKUP(C466,'BG 062022'!A:C,3,FALSE),0),0)</f>
        <v>0</v>
      </c>
      <c r="H466" s="885"/>
      <c r="I466" s="63">
        <f>-IF(F466="I",IFERROR(VLOOKUP(C466,'BG 062022'!A:D,4,FALSE),0),0)</f>
        <v>0</v>
      </c>
      <c r="J466" s="887"/>
      <c r="K466" s="47">
        <f>-IF(F466="I",SUMIF('BG 2021'!B:B,Clasificaciones!C466,'BG 2021'!D:D),0)</f>
        <v>0</v>
      </c>
      <c r="L466" s="887"/>
      <c r="M466" s="63">
        <f>-IF(F466="I",SUMIF('BG 2021'!B:B,Clasificaciones!C466,'BG 2021'!E:E),0)</f>
        <v>0</v>
      </c>
      <c r="N466" s="887"/>
      <c r="O466" s="47">
        <f>IF(F466="I",SUMIF('BG 062021'!A:A,Clasificaciones!C466,'BG 062021'!C:C),0)</f>
        <v>0</v>
      </c>
      <c r="P466" s="887"/>
      <c r="Q466" s="63">
        <f>IF(F466="I",SUMIF('BG 062021'!A:A,Clasificaciones!C466,'BG 062021'!D:D),0)</f>
        <v>0</v>
      </c>
    </row>
    <row r="467" spans="1:18" s="888" customFormat="1" hidden="1">
      <c r="A467" s="885" t="s">
        <v>8</v>
      </c>
      <c r="B467" s="885" t="s">
        <v>522</v>
      </c>
      <c r="C467" s="889">
        <v>213030101</v>
      </c>
      <c r="D467" s="889" t="s">
        <v>737</v>
      </c>
      <c r="E467" s="886" t="s">
        <v>6</v>
      </c>
      <c r="F467" s="886" t="s">
        <v>271</v>
      </c>
      <c r="G467" s="47">
        <f>-IF(F467="I",IFERROR(VLOOKUP(C467,'BG 062022'!A:C,3,FALSE),0),0)</f>
        <v>-529473399</v>
      </c>
      <c r="H467" s="885"/>
      <c r="I467" s="63">
        <f>-IF(F467="I",IFERROR(VLOOKUP(C467,'BG 062022'!A:D,4,FALSE),0),0)</f>
        <v>-77294.820000000007</v>
      </c>
      <c r="J467" s="887"/>
      <c r="K467" s="47">
        <f>-IF(F467="I",SUMIF('BG 2021'!B:B,Clasificaciones!C467,'BG 2021'!D:D),0)</f>
        <v>-648860354</v>
      </c>
      <c r="L467" s="887"/>
      <c r="M467" s="63">
        <f>-IF(F467="I",SUMIF('BG 2021'!B:B,Clasificaciones!C467,'BG 2021'!E:E),0)</f>
        <v>-94209.76999999999</v>
      </c>
      <c r="N467" s="887"/>
      <c r="O467" s="47">
        <f>IF(F467="I",SUMIF('BG 062021'!A:A,Clasificaciones!C467,'BG 062021'!C:C),0)</f>
        <v>152102885</v>
      </c>
      <c r="P467" s="887"/>
      <c r="Q467" s="63">
        <f>IF(F467="I",SUMIF('BG 062021'!A:A,Clasificaciones!C467,'BG 062021'!D:D),0)</f>
        <v>22495.87</v>
      </c>
      <c r="R467" s="888">
        <f>+VLOOKUP(C467,'CA EFE'!A:A,1,FALSE)</f>
        <v>213030101</v>
      </c>
    </row>
    <row r="468" spans="1:18" s="888" customFormat="1" hidden="1">
      <c r="A468" s="885" t="s">
        <v>8</v>
      </c>
      <c r="B468" s="885" t="s">
        <v>522</v>
      </c>
      <c r="C468" s="889">
        <v>213030102</v>
      </c>
      <c r="D468" s="889" t="s">
        <v>1017</v>
      </c>
      <c r="E468" s="886" t="s">
        <v>186</v>
      </c>
      <c r="F468" s="886" t="s">
        <v>271</v>
      </c>
      <c r="G468" s="47">
        <f>-IF(F468="I",IFERROR(VLOOKUP(C468,'BG 062022'!A:C,3,FALSE),0),0)</f>
        <v>-1081490346</v>
      </c>
      <c r="H468" s="885"/>
      <c r="I468" s="63">
        <f>-IF(F468="I",IFERROR(VLOOKUP(C468,'BG 062022'!A:D,4,FALSE),0),0)</f>
        <v>-157880.65</v>
      </c>
      <c r="J468" s="887"/>
      <c r="K468" s="47">
        <f>-IF(F468="I",SUMIF('BG 2021'!B:B,Clasificaciones!C468,'BG 2021'!D:D),0)</f>
        <v>-313652678</v>
      </c>
      <c r="L468" s="887"/>
      <c r="M468" s="63">
        <f>-IF(F468="I",SUMIF('BG 2021'!B:B,Clasificaciones!C468,'BG 2021'!E:E),0)</f>
        <v>-45540.07</v>
      </c>
      <c r="N468" s="887"/>
      <c r="O468" s="47">
        <f>IF(F468="I",SUMIF('BG 062021'!A:A,Clasificaciones!C468,'BG 062021'!C:C),0)</f>
        <v>1102171</v>
      </c>
      <c r="P468" s="887"/>
      <c r="Q468" s="63">
        <f>IF(F468="I",SUMIF('BG 062021'!A:A,Clasificaciones!C468,'BG 062021'!D:D),0)</f>
        <v>163.01</v>
      </c>
      <c r="R468" s="888">
        <f>+VLOOKUP(C468,'CA EFE'!A:A,1,FALSE)</f>
        <v>213030102</v>
      </c>
    </row>
    <row r="469" spans="1:18" s="888" customFormat="1" hidden="1">
      <c r="A469" s="885" t="s">
        <v>8</v>
      </c>
      <c r="B469" s="885" t="s">
        <v>522</v>
      </c>
      <c r="C469" s="889">
        <v>213030103</v>
      </c>
      <c r="D469" s="889" t="s">
        <v>1191</v>
      </c>
      <c r="E469" s="886" t="s">
        <v>6</v>
      </c>
      <c r="F469" s="886" t="s">
        <v>271</v>
      </c>
      <c r="G469" s="957">
        <f>-IF(F469="I",IFERROR(VLOOKUP(C469,'BG 062022'!A:C,3,FALSE),0),0)</f>
        <v>-326122164</v>
      </c>
      <c r="H469" s="885"/>
      <c r="I469" s="63">
        <f>-IF(F469="I",IFERROR(VLOOKUP(C469,'BG 062022'!A:D,4,FALSE),0),0)</f>
        <v>-47608.73</v>
      </c>
      <c r="J469" s="887"/>
      <c r="K469" s="47">
        <f>-IF(F469="I",SUMIF('BG 2021'!B:B,Clasificaciones!C469,'BG 2021'!D:D),0)</f>
        <v>-222412925</v>
      </c>
      <c r="L469" s="887"/>
      <c r="M469" s="63">
        <f>-IF(F469="I",SUMIF('BG 2021'!B:B,Clasificaciones!C469,'BG 2021'!E:E),0)</f>
        <v>-32292.730000000007</v>
      </c>
      <c r="N469" s="887"/>
      <c r="O469" s="47">
        <f>IF(F469="I",SUMIF('BG 062021'!A:A,Clasificaciones!C469,'BG 062021'!C:C),0)</f>
        <v>34996839</v>
      </c>
      <c r="P469" s="887"/>
      <c r="Q469" s="63">
        <f>IF(F469="I",SUMIF('BG 062021'!A:A,Clasificaciones!C469,'BG 062021'!D:D),0)</f>
        <v>5176</v>
      </c>
      <c r="R469" s="888">
        <f>+VLOOKUP(C469,'CA EFE'!A:A,1,FALSE)</f>
        <v>213030103</v>
      </c>
    </row>
    <row r="470" spans="1:18" s="888" customFormat="1" hidden="1">
      <c r="A470" s="885" t="s">
        <v>8</v>
      </c>
      <c r="B470" s="885"/>
      <c r="C470" s="889">
        <v>2130302</v>
      </c>
      <c r="D470" s="889" t="s">
        <v>1018</v>
      </c>
      <c r="E470" s="886" t="s">
        <v>6</v>
      </c>
      <c r="F470" s="886" t="s">
        <v>270</v>
      </c>
      <c r="G470" s="47">
        <f>-IF(F470="I",IFERROR(VLOOKUP(C470,'BG 062022'!A:C,3,FALSE),0),0)</f>
        <v>0</v>
      </c>
      <c r="H470" s="885"/>
      <c r="I470" s="63">
        <f>-IF(F470="I",IFERROR(VLOOKUP(C470,'BG 062022'!A:D,4,FALSE),0),0)</f>
        <v>0</v>
      </c>
      <c r="J470" s="887"/>
      <c r="K470" s="47">
        <f>-IF(F470="I",SUMIF('BG 2021'!B:B,Clasificaciones!C470,'BG 2021'!D:D),0)</f>
        <v>0</v>
      </c>
      <c r="L470" s="887"/>
      <c r="M470" s="63">
        <f>-IF(F470="I",SUMIF('BG 2021'!B:B,Clasificaciones!C470,'BG 2021'!E:E),0)</f>
        <v>0</v>
      </c>
      <c r="N470" s="887"/>
      <c r="O470" s="47">
        <f>IF(F470="I",SUMIF('BG 062021'!A:A,Clasificaciones!C470,'BG 062021'!C:C),0)</f>
        <v>0</v>
      </c>
      <c r="P470" s="887"/>
      <c r="Q470" s="63">
        <f>IF(F470="I",SUMIF('BG 062021'!A:A,Clasificaciones!C470,'BG 062021'!D:D),0)</f>
        <v>0</v>
      </c>
    </row>
    <row r="471" spans="1:18" s="888" customFormat="1" hidden="1">
      <c r="A471" s="885" t="s">
        <v>8</v>
      </c>
      <c r="B471" s="885" t="s">
        <v>522</v>
      </c>
      <c r="C471" s="889">
        <v>213030201</v>
      </c>
      <c r="D471" s="889" t="s">
        <v>1019</v>
      </c>
      <c r="E471" s="886" t="s">
        <v>6</v>
      </c>
      <c r="F471" s="886" t="s">
        <v>271</v>
      </c>
      <c r="G471" s="47">
        <f>-IF(F471="I",IFERROR(VLOOKUP(C471,'BG 062022'!A:C,3,FALSE),0),0)</f>
        <v>391964087</v>
      </c>
      <c r="H471" s="885"/>
      <c r="I471" s="63">
        <f>-IF(F471="I",IFERROR(VLOOKUP(C471,'BG 062022'!A:D,4,FALSE),0),0)</f>
        <v>57220.62</v>
      </c>
      <c r="J471" s="887"/>
      <c r="K471" s="47">
        <f>-IF(F471="I",SUMIF('BG 2021'!B:B,Clasificaciones!C471,'BG 2021'!D:D),0)</f>
        <v>526765661</v>
      </c>
      <c r="L471" s="887"/>
      <c r="M471" s="63">
        <f>-IF(F471="I",SUMIF('BG 2021'!B:B,Clasificaciones!C471,'BG 2021'!E:E),0)</f>
        <v>76482.509999999995</v>
      </c>
      <c r="N471" s="887"/>
      <c r="O471" s="47">
        <f>IF(F471="I",SUMIF('BG 062021'!A:A,Clasificaciones!C471,'BG 062021'!C:C),0)</f>
        <v>-137136051</v>
      </c>
      <c r="P471" s="887"/>
      <c r="Q471" s="63">
        <f>IF(F471="I",SUMIF('BG 062021'!A:A,Clasificaciones!C471,'BG 062021'!D:D),0)</f>
        <v>-20282.29</v>
      </c>
      <c r="R471" s="888">
        <f>+VLOOKUP(C471,'CA EFE'!A:A,1,FALSE)</f>
        <v>213030201</v>
      </c>
    </row>
    <row r="472" spans="1:18" s="888" customFormat="1" hidden="1">
      <c r="A472" s="885" t="s">
        <v>8</v>
      </c>
      <c r="B472" s="885" t="s">
        <v>522</v>
      </c>
      <c r="C472" s="889">
        <v>213030202</v>
      </c>
      <c r="D472" s="889" t="s">
        <v>1020</v>
      </c>
      <c r="E472" s="886" t="s">
        <v>186</v>
      </c>
      <c r="F472" s="886" t="s">
        <v>271</v>
      </c>
      <c r="G472" s="47">
        <f>-IF(F472="I",IFERROR(VLOOKUP(C472,'BG 062022'!A:C,3,FALSE),0),0)</f>
        <v>940868615</v>
      </c>
      <c r="H472" s="885"/>
      <c r="I472" s="63">
        <f>-IF(F472="I",IFERROR(VLOOKUP(C472,'BG 062022'!A:D,4,FALSE),0),0)</f>
        <v>137352.07999999999</v>
      </c>
      <c r="J472" s="887"/>
      <c r="K472" s="47">
        <f>-IF(F472="I",SUMIF('BG 2021'!B:B,Clasificaciones!C472,'BG 2021'!D:D),0)</f>
        <v>253980245</v>
      </c>
      <c r="L472" s="887"/>
      <c r="M472" s="63">
        <f>-IF(F472="I",SUMIF('BG 2021'!B:B,Clasificaciones!C472,'BG 2021'!E:E),0)</f>
        <v>36876.07</v>
      </c>
      <c r="N472" s="887"/>
      <c r="O472" s="47">
        <f>IF(F472="I",SUMIF('BG 062021'!A:A,Clasificaciones!C472,'BG 062021'!C:C),0)</f>
        <v>-1102103</v>
      </c>
      <c r="P472" s="887"/>
      <c r="Q472" s="63">
        <f>IF(F472="I",SUMIF('BG 062021'!A:A,Clasificaciones!C472,'BG 062021'!D:D),0)</f>
        <v>-163</v>
      </c>
      <c r="R472" s="888">
        <f>+VLOOKUP(C472,'CA EFE'!A:A,1,FALSE)</f>
        <v>213030202</v>
      </c>
    </row>
    <row r="473" spans="1:18" s="888" customFormat="1" hidden="1">
      <c r="A473" s="885" t="s">
        <v>8</v>
      </c>
      <c r="B473" s="885" t="s">
        <v>522</v>
      </c>
      <c r="C473" s="889">
        <v>213030203</v>
      </c>
      <c r="D473" s="889" t="s">
        <v>1193</v>
      </c>
      <c r="E473" s="886" t="s">
        <v>6</v>
      </c>
      <c r="F473" s="886" t="s">
        <v>271</v>
      </c>
      <c r="G473" s="957">
        <f>-IF(F473="I",IFERROR(VLOOKUP(C473,'BG 062022'!A:C,3,FALSE),0),0)</f>
        <v>21936615</v>
      </c>
      <c r="H473" s="885"/>
      <c r="I473" s="63">
        <f>-IF(F473="I",IFERROR(VLOOKUP(C473,'BG 062022'!A:D,4,FALSE),0),0)</f>
        <v>3202.4</v>
      </c>
      <c r="J473" s="887"/>
      <c r="K473" s="47">
        <f>-IF(F473="I",SUMIF('BG 2021'!B:B,Clasificaciones!C473,'BG 2021'!D:D),0)</f>
        <v>132229054</v>
      </c>
      <c r="L473" s="887"/>
      <c r="M473" s="63">
        <f>-IF(F473="I",SUMIF('BG 2021'!B:B,Clasificaciones!C473,'BG 2021'!E:E),0)</f>
        <v>19198.690000000002</v>
      </c>
      <c r="N473" s="887"/>
      <c r="O473" s="47">
        <f>IF(F473="I",SUMIF('BG 062021'!A:A,Clasificaciones!C473,'BG 062021'!C:C),0)</f>
        <v>-19756280</v>
      </c>
      <c r="P473" s="887"/>
      <c r="Q473" s="63">
        <f>IF(F473="I",SUMIF('BG 062021'!A:A,Clasificaciones!C473,'BG 062021'!D:D),0)</f>
        <v>-2921.93</v>
      </c>
      <c r="R473" s="888">
        <f>+VLOOKUP(C473,'CA EFE'!A:A,1,FALSE)</f>
        <v>213030203</v>
      </c>
    </row>
    <row r="474" spans="1:18" s="888" customFormat="1" hidden="1">
      <c r="A474" s="885" t="s">
        <v>8</v>
      </c>
      <c r="B474" s="885"/>
      <c r="C474" s="889">
        <v>2130303</v>
      </c>
      <c r="D474" s="889" t="s">
        <v>738</v>
      </c>
      <c r="E474" s="886" t="s">
        <v>6</v>
      </c>
      <c r="F474" s="886" t="s">
        <v>270</v>
      </c>
      <c r="G474" s="47">
        <f>-IF(F474="I",IFERROR(VLOOKUP(C474,'BG 062022'!A:C,3,FALSE),0),0)</f>
        <v>0</v>
      </c>
      <c r="H474" s="885"/>
      <c r="I474" s="63">
        <f>-IF(F474="I",IFERROR(VLOOKUP(C474,'BG 062022'!A:D,4,FALSE),0),0)</f>
        <v>0</v>
      </c>
      <c r="J474" s="887"/>
      <c r="K474" s="47">
        <f>-IF(F474="I",SUMIF('BG 2021'!B:B,Clasificaciones!C474,'BG 2021'!D:D),0)</f>
        <v>0</v>
      </c>
      <c r="L474" s="887"/>
      <c r="M474" s="63">
        <f>-IF(F474="I",SUMIF('BG 2021'!B:B,Clasificaciones!C474,'BG 2021'!E:E),0)</f>
        <v>0</v>
      </c>
      <c r="N474" s="887"/>
      <c r="O474" s="47">
        <f>IF(F474="I",SUMIF('BG 062021'!A:A,Clasificaciones!C474,'BG 062021'!C:C),0)</f>
        <v>0</v>
      </c>
      <c r="P474" s="887"/>
      <c r="Q474" s="63">
        <f>IF(F474="I",SUMIF('BG 062021'!A:A,Clasificaciones!C474,'BG 062021'!D:D),0)</f>
        <v>0</v>
      </c>
    </row>
    <row r="475" spans="1:18" s="888" customFormat="1" hidden="1">
      <c r="A475" s="885" t="s">
        <v>8</v>
      </c>
      <c r="B475" s="885" t="s">
        <v>522</v>
      </c>
      <c r="C475" s="889">
        <v>213030301</v>
      </c>
      <c r="D475" s="889" t="s">
        <v>739</v>
      </c>
      <c r="E475" s="886" t="s">
        <v>6</v>
      </c>
      <c r="F475" s="886" t="s">
        <v>271</v>
      </c>
      <c r="G475" s="47">
        <f>-IF(F475="I",IFERROR(VLOOKUP(C475,'BG 062022'!A:C,3,FALSE),0),0)</f>
        <v>-39490316453</v>
      </c>
      <c r="H475" s="885"/>
      <c r="I475" s="63">
        <f>-IF(F475="I",IFERROR(VLOOKUP(C475,'BG 062022'!A:D,4,FALSE),0),0)</f>
        <v>-5764967.6200000001</v>
      </c>
      <c r="J475" s="887"/>
      <c r="K475" s="47">
        <f>-IF(F475="I",SUMIF('BG 2021'!B:B,Clasificaciones!C475,'BG 2021'!D:D),0)</f>
        <v>-41634795848</v>
      </c>
      <c r="L475" s="887"/>
      <c r="M475" s="63">
        <f>-IF(F475="I",SUMIF('BG 2021'!B:B,Clasificaciones!C475,'BG 2021'!E:E),0)</f>
        <v>-6045067.200000003</v>
      </c>
      <c r="N475" s="887"/>
      <c r="O475" s="47">
        <f>IF(F475="I",SUMIF('BG 062021'!A:A,Clasificaciones!C475,'BG 062021'!C:C),0)</f>
        <v>24664362438</v>
      </c>
      <c r="P475" s="887"/>
      <c r="Q475" s="63">
        <f>IF(F475="I",SUMIF('BG 062021'!A:A,Clasificaciones!C475,'BG 062021'!D:D),0)</f>
        <v>3647835.04</v>
      </c>
      <c r="R475" s="888">
        <f>+VLOOKUP(C475,'CA EFE'!A:A,1,FALSE)</f>
        <v>213030301</v>
      </c>
    </row>
    <row r="476" spans="1:18" s="888" customFormat="1" hidden="1">
      <c r="A476" s="885" t="s">
        <v>8</v>
      </c>
      <c r="B476" s="885" t="s">
        <v>522</v>
      </c>
      <c r="C476" s="889">
        <v>213030302</v>
      </c>
      <c r="D476" s="889" t="s">
        <v>1416</v>
      </c>
      <c r="E476" s="886" t="s">
        <v>186</v>
      </c>
      <c r="F476" s="886" t="s">
        <v>271</v>
      </c>
      <c r="G476" s="47">
        <f>-IF(F476="I",IFERROR(VLOOKUP(C476,'BG 062022'!A:C,3,FALSE),0),0)</f>
        <v>-105749085440</v>
      </c>
      <c r="H476" s="885"/>
      <c r="I476" s="63">
        <f>-IF(F476="I",IFERROR(VLOOKUP(C476,'BG 062022'!A:D,4,FALSE),0),0)</f>
        <v>-15437710.01</v>
      </c>
      <c r="J476" s="887"/>
      <c r="K476" s="47">
        <f>-IF(F476="I",SUMIF('BG 2021'!B:B,Clasificaciones!C476,'BG 2021'!D:D),0)</f>
        <v>-22910175411</v>
      </c>
      <c r="L476" s="887"/>
      <c r="M476" s="63">
        <f>-IF(F476="I",SUMIF('BG 2021'!B:B,Clasificaciones!C476,'BG 2021'!E:E),0)</f>
        <v>-3326389.5534999985</v>
      </c>
      <c r="N476" s="887"/>
      <c r="O476" s="47">
        <f>IF(F476="I",SUMIF('BG 062021'!A:A,Clasificaciones!C476,'BG 062021'!C:C),0)</f>
        <v>5747164500</v>
      </c>
      <c r="P476" s="887"/>
      <c r="Q476" s="63">
        <f>IF(F476="I",SUMIF('BG 062021'!A:A,Clasificaciones!C476,'BG 062021'!D:D),0)</f>
        <v>850000</v>
      </c>
      <c r="R476" s="888">
        <f>+VLOOKUP(C476,'CA EFE'!A:A,1,FALSE)</f>
        <v>213030302</v>
      </c>
    </row>
    <row r="477" spans="1:18" s="888" customFormat="1" hidden="1">
      <c r="A477" s="885" t="s">
        <v>8</v>
      </c>
      <c r="B477" s="885" t="s">
        <v>522</v>
      </c>
      <c r="C477" s="889">
        <v>213030303</v>
      </c>
      <c r="D477" s="889" t="s">
        <v>1194</v>
      </c>
      <c r="E477" s="886" t="s">
        <v>6</v>
      </c>
      <c r="F477" s="886" t="s">
        <v>271</v>
      </c>
      <c r="G477" s="957">
        <f>-IF(F477="I",IFERROR(VLOOKUP(C477,'BG 062022'!A:C,3,FALSE),0),0)</f>
        <v>-8718528038</v>
      </c>
      <c r="H477" s="885"/>
      <c r="I477" s="63">
        <f>-IF(F477="I",IFERROR(VLOOKUP(C477,'BG 062022'!A:D,4,FALSE),0),0)</f>
        <v>-1272768.53</v>
      </c>
      <c r="J477" s="887"/>
      <c r="K477" s="47">
        <f>-IF(F477="I",SUMIF('BG 2021'!B:B,Clasificaciones!C477,'BG 2021'!D:D),0)</f>
        <v>-3287513797</v>
      </c>
      <c r="L477" s="887"/>
      <c r="M477" s="63">
        <f>-IF(F477="I",SUMIF('BG 2021'!B:B,Clasificaciones!C477,'BG 2021'!E:E),0)</f>
        <v>-477322.91000000009</v>
      </c>
      <c r="N477" s="887"/>
      <c r="O477" s="47">
        <f>IF(F477="I",SUMIF('BG 062021'!A:A,Clasificaciones!C477,'BG 062021'!C:C),0)</f>
        <v>3251946316</v>
      </c>
      <c r="P477" s="887"/>
      <c r="Q477" s="63">
        <f>IF(F477="I",SUMIF('BG 062021'!A:A,Clasificaciones!C477,'BG 062021'!D:D),0)</f>
        <v>480959.67</v>
      </c>
      <c r="R477" s="888">
        <f>+VLOOKUP(C477,'CA EFE'!A:A,1,FALSE)</f>
        <v>213030303</v>
      </c>
    </row>
    <row r="478" spans="1:18" s="888" customFormat="1" hidden="1">
      <c r="A478" s="885" t="s">
        <v>8</v>
      </c>
      <c r="B478" s="885"/>
      <c r="C478" s="889">
        <v>2130340</v>
      </c>
      <c r="D478" s="889" t="s">
        <v>1021</v>
      </c>
      <c r="E478" s="886" t="s">
        <v>6</v>
      </c>
      <c r="F478" s="886" t="s">
        <v>270</v>
      </c>
      <c r="G478" s="47">
        <f>-IF(F478="I",IFERROR(VLOOKUP(C478,'BG 062022'!A:C,3,FALSE),0),0)</f>
        <v>0</v>
      </c>
      <c r="H478" s="885"/>
      <c r="I478" s="63">
        <f>-IF(F478="I",IFERROR(VLOOKUP(C478,'BG 062022'!A:D,4,FALSE),0),0)</f>
        <v>0</v>
      </c>
      <c r="J478" s="887"/>
      <c r="K478" s="47">
        <f>-IF(F478="I",SUMIF('BG 2021'!B:B,Clasificaciones!C478,'BG 2021'!D:D),0)</f>
        <v>0</v>
      </c>
      <c r="L478" s="887"/>
      <c r="M478" s="63">
        <f>-IF(F478="I",SUMIF('BG 2021'!B:B,Clasificaciones!C478,'BG 2021'!E:E),0)</f>
        <v>0</v>
      </c>
      <c r="N478" s="887"/>
      <c r="O478" s="47">
        <f>IF(F478="I",SUMIF('BG 062021'!A:A,Clasificaciones!C478,'BG 062021'!C:C),0)</f>
        <v>0</v>
      </c>
      <c r="P478" s="887"/>
      <c r="Q478" s="63">
        <f>IF(F478="I",SUMIF('BG 062021'!A:A,Clasificaciones!C478,'BG 062021'!D:D),0)</f>
        <v>0</v>
      </c>
    </row>
    <row r="479" spans="1:18" s="888" customFormat="1" hidden="1">
      <c r="A479" s="885" t="s">
        <v>8</v>
      </c>
      <c r="B479" s="885"/>
      <c r="C479" s="889">
        <v>213034001</v>
      </c>
      <c r="D479" s="889" t="s">
        <v>1015</v>
      </c>
      <c r="E479" s="886" t="s">
        <v>6</v>
      </c>
      <c r="F479" s="886" t="s">
        <v>270</v>
      </c>
      <c r="G479" s="47">
        <f>-IF(F479="I",IFERROR(VLOOKUP(C479,'BG 062022'!A:C,3,FALSE),0),0)</f>
        <v>0</v>
      </c>
      <c r="H479" s="885"/>
      <c r="I479" s="63">
        <f>-IF(F479="I",IFERROR(VLOOKUP(C479,'BG 062022'!A:D,4,FALSE),0),0)</f>
        <v>0</v>
      </c>
      <c r="J479" s="887"/>
      <c r="K479" s="47">
        <f>-IF(F479="I",SUMIF('BG 2021'!B:B,Clasificaciones!C479,'BG 2021'!D:D),0)</f>
        <v>0</v>
      </c>
      <c r="L479" s="887"/>
      <c r="M479" s="63">
        <f>-IF(F479="I",SUMIF('BG 2021'!B:B,Clasificaciones!C479,'BG 2021'!E:E),0)</f>
        <v>0</v>
      </c>
      <c r="N479" s="887"/>
      <c r="O479" s="47">
        <f>IF(F479="I",SUMIF('BG 062021'!A:A,Clasificaciones!C479,'BG 062021'!C:C),0)</f>
        <v>0</v>
      </c>
      <c r="P479" s="887"/>
      <c r="Q479" s="63">
        <f>IF(F479="I",SUMIF('BG 062021'!A:A,Clasificaciones!C479,'BG 062021'!D:D),0)</f>
        <v>0</v>
      </c>
    </row>
    <row r="480" spans="1:18" s="888" customFormat="1" hidden="1">
      <c r="A480" s="885" t="s">
        <v>8</v>
      </c>
      <c r="B480" s="885"/>
      <c r="C480" s="889">
        <v>21303400101</v>
      </c>
      <c r="D480" s="889" t="s">
        <v>1015</v>
      </c>
      <c r="E480" s="886" t="s">
        <v>6</v>
      </c>
      <c r="F480" s="886" t="s">
        <v>271</v>
      </c>
      <c r="G480" s="47">
        <f>-IF(F480="I",IFERROR(VLOOKUP(C480,'BG 062022'!A:C,3,FALSE),0),0)</f>
        <v>0</v>
      </c>
      <c r="H480" s="885"/>
      <c r="I480" s="63">
        <f>-IF(F480="I",IFERROR(VLOOKUP(C480,'BG 062022'!A:D,4,FALSE),0),0)</f>
        <v>0</v>
      </c>
      <c r="J480" s="887"/>
      <c r="K480" s="47">
        <f>-IF(F480="I",SUMIF('BG 2021'!B:B,Clasificaciones!C480,'BG 2021'!D:D),0)</f>
        <v>0</v>
      </c>
      <c r="L480" s="887"/>
      <c r="M480" s="63">
        <f>-IF(F480="I",SUMIF('BG 2021'!B:B,Clasificaciones!C480,'BG 2021'!E:E),0)</f>
        <v>0</v>
      </c>
      <c r="N480" s="887"/>
      <c r="O480" s="47">
        <f>IF(F480="I",SUMIF('BG 062021'!A:A,Clasificaciones!C480,'BG 062021'!C:C),0)</f>
        <v>0</v>
      </c>
      <c r="P480" s="887"/>
      <c r="Q480" s="63">
        <f>IF(F480="I",SUMIF('BG 062021'!A:A,Clasificaciones!C480,'BG 062021'!D:D),0)</f>
        <v>0</v>
      </c>
    </row>
    <row r="481" spans="1:18" s="888" customFormat="1" hidden="1">
      <c r="A481" s="885" t="s">
        <v>8</v>
      </c>
      <c r="B481" s="885"/>
      <c r="C481" s="889">
        <v>21303400102</v>
      </c>
      <c r="D481" s="889" t="s">
        <v>1015</v>
      </c>
      <c r="E481" s="886" t="s">
        <v>186</v>
      </c>
      <c r="F481" s="886" t="s">
        <v>271</v>
      </c>
      <c r="G481" s="47">
        <f>-IF(F481="I",IFERROR(VLOOKUP(C481,'BG 062022'!A:C,3,FALSE),0),0)</f>
        <v>0</v>
      </c>
      <c r="H481" s="885"/>
      <c r="I481" s="63">
        <f>-IF(F481="I",IFERROR(VLOOKUP(C481,'BG 062022'!A:D,4,FALSE),0),0)</f>
        <v>0</v>
      </c>
      <c r="J481" s="887"/>
      <c r="K481" s="47">
        <f>-IF(F481="I",SUMIF('BG 2021'!B:B,Clasificaciones!C481,'BG 2021'!D:D),0)</f>
        <v>0</v>
      </c>
      <c r="L481" s="887"/>
      <c r="M481" s="63">
        <f>-IF(F481="I",SUMIF('BG 2021'!B:B,Clasificaciones!C481,'BG 2021'!E:E),0)</f>
        <v>0</v>
      </c>
      <c r="N481" s="887"/>
      <c r="O481" s="47">
        <f>IF(F481="I",SUMIF('BG 062021'!A:A,Clasificaciones!C481,'BG 062021'!C:C),0)</f>
        <v>0</v>
      </c>
      <c r="P481" s="887"/>
      <c r="Q481" s="63">
        <f>IF(F481="I",SUMIF('BG 062021'!A:A,Clasificaciones!C481,'BG 062021'!D:D),0)</f>
        <v>0</v>
      </c>
    </row>
    <row r="482" spans="1:18" s="888" customFormat="1" hidden="1">
      <c r="A482" s="885" t="s">
        <v>8</v>
      </c>
      <c r="B482" s="885"/>
      <c r="C482" s="889">
        <v>213034002</v>
      </c>
      <c r="D482" s="889" t="s">
        <v>1016</v>
      </c>
      <c r="E482" s="886" t="s">
        <v>6</v>
      </c>
      <c r="F482" s="886" t="s">
        <v>270</v>
      </c>
      <c r="G482" s="47">
        <f>-IF(F482="I",IFERROR(VLOOKUP(C482,'BG 062022'!A:C,3,FALSE),0),0)</f>
        <v>0</v>
      </c>
      <c r="H482" s="885"/>
      <c r="I482" s="63">
        <f>-IF(F482="I",IFERROR(VLOOKUP(C482,'BG 062022'!A:D,4,FALSE),0),0)</f>
        <v>0</v>
      </c>
      <c r="J482" s="887"/>
      <c r="K482" s="47">
        <f>-IF(F482="I",SUMIF('BG 2021'!B:B,Clasificaciones!C482,'BG 2021'!D:D),0)</f>
        <v>0</v>
      </c>
      <c r="L482" s="887"/>
      <c r="M482" s="63">
        <f>-IF(F482="I",SUMIF('BG 2021'!B:B,Clasificaciones!C482,'BG 2021'!E:E),0)</f>
        <v>0</v>
      </c>
      <c r="N482" s="887"/>
      <c r="O482" s="47">
        <f>IF(F482="I",SUMIF('BG 062021'!A:A,Clasificaciones!C482,'BG 062021'!C:C),0)</f>
        <v>0</v>
      </c>
      <c r="P482" s="887"/>
      <c r="Q482" s="63">
        <f>IF(F482="I",SUMIF('BG 062021'!A:A,Clasificaciones!C482,'BG 062021'!D:D),0)</f>
        <v>0</v>
      </c>
    </row>
    <row r="483" spans="1:18" s="888" customFormat="1" hidden="1">
      <c r="A483" s="885" t="s">
        <v>8</v>
      </c>
      <c r="B483" s="885"/>
      <c r="C483" s="889">
        <v>21303400201</v>
      </c>
      <c r="D483" s="889" t="s">
        <v>1016</v>
      </c>
      <c r="E483" s="886" t="s">
        <v>6</v>
      </c>
      <c r="F483" s="886" t="s">
        <v>271</v>
      </c>
      <c r="G483" s="47">
        <f>-IF(F483="I",IFERROR(VLOOKUP(C483,'BG 062022'!A:C,3,FALSE),0),0)</f>
        <v>0</v>
      </c>
      <c r="H483" s="885"/>
      <c r="I483" s="63">
        <f>-IF(F483="I",IFERROR(VLOOKUP(C483,'BG 062022'!A:D,4,FALSE),0),0)</f>
        <v>0</v>
      </c>
      <c r="J483" s="887"/>
      <c r="K483" s="47">
        <f>-IF(F483="I",SUMIF('BG 2021'!B:B,Clasificaciones!C483,'BG 2021'!D:D),0)</f>
        <v>0</v>
      </c>
      <c r="L483" s="887"/>
      <c r="M483" s="63">
        <f>-IF(F483="I",SUMIF('BG 2021'!B:B,Clasificaciones!C483,'BG 2021'!E:E),0)</f>
        <v>0</v>
      </c>
      <c r="N483" s="887"/>
      <c r="O483" s="47">
        <f>IF(F483="I",SUMIF('BG 062021'!A:A,Clasificaciones!C483,'BG 062021'!C:C),0)</f>
        <v>0</v>
      </c>
      <c r="P483" s="887"/>
      <c r="Q483" s="63">
        <f>IF(F483="I",SUMIF('BG 062021'!A:A,Clasificaciones!C483,'BG 062021'!D:D),0)</f>
        <v>0</v>
      </c>
    </row>
    <row r="484" spans="1:18" s="888" customFormat="1" hidden="1">
      <c r="A484" s="885" t="s">
        <v>8</v>
      </c>
      <c r="B484" s="885"/>
      <c r="C484" s="889">
        <v>21303400202</v>
      </c>
      <c r="D484" s="889" t="s">
        <v>1016</v>
      </c>
      <c r="E484" s="886" t="s">
        <v>186</v>
      </c>
      <c r="F484" s="886" t="s">
        <v>271</v>
      </c>
      <c r="G484" s="47">
        <f>-IF(F484="I",IFERROR(VLOOKUP(C484,'BG 062022'!A:C,3,FALSE),0),0)</f>
        <v>0</v>
      </c>
      <c r="H484" s="885"/>
      <c r="I484" s="63">
        <f>-IF(F484="I",IFERROR(VLOOKUP(C484,'BG 062022'!A:D,4,FALSE),0),0)</f>
        <v>0</v>
      </c>
      <c r="J484" s="887"/>
      <c r="K484" s="47">
        <f>-IF(F484="I",SUMIF('BG 2021'!B:B,Clasificaciones!C484,'BG 2021'!D:D),0)</f>
        <v>0</v>
      </c>
      <c r="L484" s="887"/>
      <c r="M484" s="63">
        <f>-IF(F484="I",SUMIF('BG 2021'!B:B,Clasificaciones!C484,'BG 2021'!E:E),0)</f>
        <v>0</v>
      </c>
      <c r="N484" s="887"/>
      <c r="O484" s="47">
        <f>IF(F484="I",SUMIF('BG 062021'!A:A,Clasificaciones!C484,'BG 062021'!C:C),0)</f>
        <v>0</v>
      </c>
      <c r="P484" s="887"/>
      <c r="Q484" s="63">
        <f>IF(F484="I",SUMIF('BG 062021'!A:A,Clasificaciones!C484,'BG 062021'!D:D),0)</f>
        <v>0</v>
      </c>
    </row>
    <row r="485" spans="1:18" s="888" customFormat="1" hidden="1">
      <c r="A485" s="885" t="s">
        <v>8</v>
      </c>
      <c r="B485" s="885"/>
      <c r="C485" s="889">
        <v>214</v>
      </c>
      <c r="D485" s="889" t="s">
        <v>10</v>
      </c>
      <c r="E485" s="886" t="s">
        <v>6</v>
      </c>
      <c r="F485" s="886" t="s">
        <v>270</v>
      </c>
      <c r="G485" s="47">
        <f>-IF(F485="I",IFERROR(VLOOKUP(C485,'BG 062022'!A:C,3,FALSE),0),0)</f>
        <v>0</v>
      </c>
      <c r="H485" s="885"/>
      <c r="I485" s="63">
        <f>-IF(F485="I",IFERROR(VLOOKUP(C485,'BG 062022'!A:D,4,FALSE),0),0)</f>
        <v>0</v>
      </c>
      <c r="J485" s="887"/>
      <c r="K485" s="47">
        <f>-IF(F485="I",SUMIF('BG 2021'!B:B,Clasificaciones!C485,'BG 2021'!D:D),0)</f>
        <v>0</v>
      </c>
      <c r="L485" s="887"/>
      <c r="M485" s="63">
        <f>-IF(F485="I",SUMIF('BG 2021'!B:B,Clasificaciones!C485,'BG 2021'!E:E),0)</f>
        <v>0</v>
      </c>
      <c r="N485" s="887"/>
      <c r="O485" s="47">
        <f>IF(F485="I",SUMIF('BG 062021'!A:A,Clasificaciones!C485,'BG 062021'!C:C),0)</f>
        <v>0</v>
      </c>
      <c r="P485" s="887"/>
      <c r="Q485" s="63">
        <f>IF(F485="I",SUMIF('BG 062021'!A:A,Clasificaciones!C485,'BG 062021'!D:D),0)</f>
        <v>0</v>
      </c>
    </row>
    <row r="486" spans="1:18" s="888" customFormat="1" hidden="1">
      <c r="A486" s="885" t="s">
        <v>8</v>
      </c>
      <c r="B486" s="885"/>
      <c r="C486" s="889">
        <v>21401</v>
      </c>
      <c r="D486" s="889" t="s">
        <v>741</v>
      </c>
      <c r="E486" s="886" t="s">
        <v>6</v>
      </c>
      <c r="F486" s="886" t="s">
        <v>270</v>
      </c>
      <c r="G486" s="47">
        <f>-IF(F486="I",IFERROR(VLOOKUP(C486,'BG 062022'!A:C,3,FALSE),0),0)</f>
        <v>0</v>
      </c>
      <c r="H486" s="885"/>
      <c r="I486" s="63">
        <f>-IF(F486="I",IFERROR(VLOOKUP(C486,'BG 062022'!A:D,4,FALSE),0),0)</f>
        <v>0</v>
      </c>
      <c r="J486" s="887"/>
      <c r="K486" s="47">
        <f>-IF(F486="I",SUMIF('BG 2021'!B:B,Clasificaciones!C486,'BG 2021'!D:D),0)</f>
        <v>0</v>
      </c>
      <c r="L486" s="887"/>
      <c r="M486" s="63">
        <f>-IF(F486="I",SUMIF('BG 2021'!B:B,Clasificaciones!C486,'BG 2021'!E:E),0)</f>
        <v>0</v>
      </c>
      <c r="N486" s="887"/>
      <c r="O486" s="47">
        <f>IF(F486="I",SUMIF('BG 062021'!A:A,Clasificaciones!C486,'BG 062021'!C:C),0)</f>
        <v>0</v>
      </c>
      <c r="P486" s="887"/>
      <c r="Q486" s="63">
        <f>IF(F486="I",SUMIF('BG 062021'!A:A,Clasificaciones!C486,'BG 062021'!D:D),0)</f>
        <v>0</v>
      </c>
    </row>
    <row r="487" spans="1:18" s="888" customFormat="1" hidden="1">
      <c r="A487" s="885" t="s">
        <v>8</v>
      </c>
      <c r="B487" s="885" t="s">
        <v>608</v>
      </c>
      <c r="C487" s="889">
        <v>2140101</v>
      </c>
      <c r="D487" s="889" t="s">
        <v>1022</v>
      </c>
      <c r="E487" s="886" t="s">
        <v>186</v>
      </c>
      <c r="F487" s="886" t="s">
        <v>271</v>
      </c>
      <c r="G487" s="47">
        <f>-IF(F487="I",IFERROR(VLOOKUP(C487,'BG 062022'!A:C,3,FALSE),0),0)</f>
        <v>0</v>
      </c>
      <c r="H487" s="885"/>
      <c r="I487" s="63">
        <f>-IF(F487="I",IFERROR(VLOOKUP(C487,'BG 062022'!A:D,4,FALSE),0),0)</f>
        <v>0</v>
      </c>
      <c r="J487" s="887"/>
      <c r="K487" s="47">
        <f>-IF(F487="I",SUMIF('BG 2021'!B:B,Clasificaciones!C487,'BG 2021'!D:D),0)</f>
        <v>0</v>
      </c>
      <c r="L487" s="887"/>
      <c r="M487" s="63">
        <f>-IF(F487="I",SUMIF('BG 2021'!B:B,Clasificaciones!C487,'BG 2021'!E:E),0)</f>
        <v>0</v>
      </c>
      <c r="N487" s="887"/>
      <c r="O487" s="47">
        <f>IF(F487="I",SUMIF('BG 062021'!A:A,Clasificaciones!C487,'BG 062021'!C:C),0)</f>
        <v>21129281</v>
      </c>
      <c r="P487" s="887"/>
      <c r="Q487" s="63">
        <f>IF(F487="I",SUMIF('BG 062021'!A:A,Clasificaciones!C487,'BG 062021'!D:D),0)</f>
        <v>3125</v>
      </c>
    </row>
    <row r="488" spans="1:18" s="888" customFormat="1" hidden="1">
      <c r="A488" s="885" t="s">
        <v>8</v>
      </c>
      <c r="B488" s="885"/>
      <c r="C488" s="889">
        <v>2140102</v>
      </c>
      <c r="D488" s="889" t="s">
        <v>1023</v>
      </c>
      <c r="E488" s="886" t="s">
        <v>6</v>
      </c>
      <c r="F488" s="886" t="s">
        <v>271</v>
      </c>
      <c r="G488" s="47">
        <f>-IF(F488="I",IFERROR(VLOOKUP(C488,'BG 062022'!A:C,3,FALSE),0),0)</f>
        <v>0</v>
      </c>
      <c r="H488" s="885"/>
      <c r="I488" s="63">
        <f>-IF(F488="I",IFERROR(VLOOKUP(C488,'BG 062022'!A:D,4,FALSE),0),0)</f>
        <v>0</v>
      </c>
      <c r="J488" s="887"/>
      <c r="K488" s="47">
        <f>-IF(F488="I",SUMIF('BG 2021'!B:B,Clasificaciones!C488,'BG 2021'!D:D),0)</f>
        <v>0</v>
      </c>
      <c r="L488" s="887"/>
      <c r="M488" s="63">
        <f>-IF(F488="I",SUMIF('BG 2021'!B:B,Clasificaciones!C488,'BG 2021'!E:E),0)</f>
        <v>0</v>
      </c>
      <c r="N488" s="887"/>
      <c r="O488" s="47">
        <f>IF(F488="I",SUMIF('BG 062021'!A:A,Clasificaciones!C488,'BG 062021'!C:C),0)</f>
        <v>0</v>
      </c>
      <c r="P488" s="887"/>
      <c r="Q488" s="63">
        <f>IF(F488="I",SUMIF('BG 062021'!A:A,Clasificaciones!C488,'BG 062021'!D:D),0)</f>
        <v>0</v>
      </c>
    </row>
    <row r="489" spans="1:18" s="888" customFormat="1" hidden="1">
      <c r="A489" s="885" t="s">
        <v>8</v>
      </c>
      <c r="B489" s="885" t="s">
        <v>156</v>
      </c>
      <c r="C489" s="889">
        <v>2140103</v>
      </c>
      <c r="D489" s="889" t="s">
        <v>808</v>
      </c>
      <c r="E489" s="886" t="s">
        <v>6</v>
      </c>
      <c r="F489" s="886" t="s">
        <v>271</v>
      </c>
      <c r="G489" s="47">
        <f>-IF(F489="I",IFERROR(VLOOKUP(C489,'BG 062022'!A:C,3,FALSE),0),0)</f>
        <v>0</v>
      </c>
      <c r="H489" s="885"/>
      <c r="I489" s="63">
        <f>-IF(F489="I",IFERROR(VLOOKUP(C489,'BG 062022'!A:D,4,FALSE),0),0)</f>
        <v>0</v>
      </c>
      <c r="J489" s="887"/>
      <c r="K489" s="47">
        <f>-IF(F489="I",SUMIF('BG 2021'!B:B,Clasificaciones!C489,'BG 2021'!D:D),0)</f>
        <v>0</v>
      </c>
      <c r="L489" s="887"/>
      <c r="M489" s="63">
        <f>-IF(F489="I",SUMIF('BG 2021'!B:B,Clasificaciones!C489,'BG 2021'!E:E),0)</f>
        <v>0</v>
      </c>
      <c r="N489" s="887"/>
      <c r="O489" s="47">
        <f>IF(F489="I",SUMIF('BG 062021'!A:A,Clasificaciones!C489,'BG 062021'!C:C),0)</f>
        <v>0</v>
      </c>
      <c r="P489" s="887"/>
      <c r="Q489" s="63">
        <f>IF(F489="I",SUMIF('BG 062021'!A:A,Clasificaciones!C489,'BG 062021'!D:D),0)</f>
        <v>0</v>
      </c>
    </row>
    <row r="490" spans="1:18" s="888" customFormat="1" hidden="1">
      <c r="A490" s="885" t="s">
        <v>8</v>
      </c>
      <c r="B490" s="885" t="s">
        <v>608</v>
      </c>
      <c r="C490" s="889">
        <v>2140104</v>
      </c>
      <c r="D490" s="889" t="s">
        <v>518</v>
      </c>
      <c r="E490" s="886" t="s">
        <v>6</v>
      </c>
      <c r="F490" s="886" t="s">
        <v>271</v>
      </c>
      <c r="G490" s="47">
        <f>-IF(F490="I",IFERROR(VLOOKUP(C490,'BG 062022'!A:C,3,FALSE),0),0)</f>
        <v>-227338096</v>
      </c>
      <c r="H490" s="885"/>
      <c r="I490" s="63">
        <f>-IF(F490="I",IFERROR(VLOOKUP(C490,'BG 062022'!A:D,4,FALSE),0),0)</f>
        <v>-33187.800000000003</v>
      </c>
      <c r="J490" s="887"/>
      <c r="K490" s="47">
        <f>-IF(F490="I",SUMIF('BG 2021'!B:B,Clasificaciones!C490,'BG 2021'!D:D),0)</f>
        <v>-526231282</v>
      </c>
      <c r="L490" s="887"/>
      <c r="M490" s="63">
        <f>-IF(F490="I",SUMIF('BG 2021'!B:B,Clasificaciones!C490,'BG 2021'!E:E),0)</f>
        <v>-76404.930000000008</v>
      </c>
      <c r="N490" s="887"/>
      <c r="O490" s="47">
        <f>IF(F490="I",SUMIF('BG 062021'!A:A,Clasificaciones!C490,'BG 062021'!C:C),0)</f>
        <v>133780185</v>
      </c>
      <c r="P490" s="887"/>
      <c r="Q490" s="63">
        <f>IF(F490="I",SUMIF('BG 062021'!A:A,Clasificaciones!C490,'BG 062021'!D:D),0)</f>
        <v>19785.96</v>
      </c>
      <c r="R490" s="888">
        <f>+VLOOKUP(C490,'CA EFE'!A:A,1,FALSE)</f>
        <v>2140104</v>
      </c>
    </row>
    <row r="491" spans="1:18" s="888" customFormat="1" hidden="1">
      <c r="A491" s="885" t="s">
        <v>8</v>
      </c>
      <c r="B491" s="885" t="s">
        <v>608</v>
      </c>
      <c r="C491" s="889">
        <v>2140105</v>
      </c>
      <c r="D491" s="889" t="s">
        <v>742</v>
      </c>
      <c r="E491" s="886" t="s">
        <v>6</v>
      </c>
      <c r="F491" s="886" t="s">
        <v>271</v>
      </c>
      <c r="G491" s="47">
        <f>-IF(F491="I",IFERROR(VLOOKUP(C491,'BG 062022'!A:C,3,FALSE),0),0)</f>
        <v>-135733657</v>
      </c>
      <c r="H491" s="885"/>
      <c r="I491" s="63">
        <f>-IF(F491="I",IFERROR(VLOOKUP(C491,'BG 062022'!A:D,4,FALSE),0),0)</f>
        <v>-19814.990000000002</v>
      </c>
      <c r="J491" s="887"/>
      <c r="K491" s="47">
        <f>-IF(F491="I",SUMIF('BG 2021'!B:B,Clasificaciones!C491,'BG 2021'!D:D),0)</f>
        <v>0</v>
      </c>
      <c r="L491" s="887"/>
      <c r="M491" s="63">
        <f>-IF(F491="I",SUMIF('BG 2021'!B:B,Clasificaciones!C491,'BG 2021'!E:E),0)</f>
        <v>0</v>
      </c>
      <c r="N491" s="887"/>
      <c r="O491" s="47">
        <f>IF(F491="I",SUMIF('BG 062021'!A:A,Clasificaciones!C491,'BG 062021'!C:C),0)</f>
        <v>95013288</v>
      </c>
      <c r="P491" s="887"/>
      <c r="Q491" s="63">
        <f>IF(F491="I",SUMIF('BG 062021'!A:A,Clasificaciones!C491,'BG 062021'!D:D),0)</f>
        <v>14052.37</v>
      </c>
      <c r="R491" s="888">
        <f>+VLOOKUP(C491,'CA EFE'!A:A,1,FALSE)</f>
        <v>2140105</v>
      </c>
    </row>
    <row r="492" spans="1:18" s="888" customFormat="1" hidden="1">
      <c r="A492" s="885" t="s">
        <v>8</v>
      </c>
      <c r="B492" s="885"/>
      <c r="C492" s="889">
        <v>2140106</v>
      </c>
      <c r="D492" s="889" t="s">
        <v>1024</v>
      </c>
      <c r="E492" s="886" t="s">
        <v>6</v>
      </c>
      <c r="F492" s="886" t="s">
        <v>271</v>
      </c>
      <c r="G492" s="47">
        <f>-IF(F492="I",IFERROR(VLOOKUP(C492,'BG 062022'!A:C,3,FALSE),0),0)</f>
        <v>0</v>
      </c>
      <c r="H492" s="885"/>
      <c r="I492" s="63">
        <f>-IF(F492="I",IFERROR(VLOOKUP(C492,'BG 062022'!A:D,4,FALSE),0),0)</f>
        <v>0</v>
      </c>
      <c r="J492" s="887"/>
      <c r="K492" s="47">
        <f>-IF(F492="I",SUMIF('BG 2021'!B:B,Clasificaciones!C492,'BG 2021'!D:D),0)</f>
        <v>0</v>
      </c>
      <c r="L492" s="887"/>
      <c r="M492" s="63">
        <f>-IF(F492="I",SUMIF('BG 2021'!B:B,Clasificaciones!C492,'BG 2021'!E:E),0)</f>
        <v>0</v>
      </c>
      <c r="N492" s="887"/>
      <c r="O492" s="47">
        <f>IF(F492="I",SUMIF('BG 062021'!A:A,Clasificaciones!C492,'BG 062021'!C:C),0)</f>
        <v>0</v>
      </c>
      <c r="P492" s="887"/>
      <c r="Q492" s="63">
        <f>IF(F492="I",SUMIF('BG 062021'!A:A,Clasificaciones!C492,'BG 062021'!D:D),0)</f>
        <v>0</v>
      </c>
    </row>
    <row r="493" spans="1:18" s="888" customFormat="1" hidden="1">
      <c r="A493" s="885" t="s">
        <v>8</v>
      </c>
      <c r="B493" s="885" t="s">
        <v>156</v>
      </c>
      <c r="C493" s="889">
        <v>2140107</v>
      </c>
      <c r="D493" s="889" t="s">
        <v>156</v>
      </c>
      <c r="E493" s="886" t="s">
        <v>6</v>
      </c>
      <c r="F493" s="886" t="s">
        <v>271</v>
      </c>
      <c r="G493" s="47">
        <f>-IF(F493="I",IFERROR(VLOOKUP(C493,'BG 062022'!A:C,3,FALSE),0),0)</f>
        <v>-72413264</v>
      </c>
      <c r="H493" s="885"/>
      <c r="I493" s="63">
        <f>-IF(F493="I",IFERROR(VLOOKUP(C493,'BG 062022'!A:D,4,FALSE),0),0)</f>
        <v>-10571.2</v>
      </c>
      <c r="J493" s="887"/>
      <c r="K493" s="47">
        <f>-IF(F493="I",SUMIF('BG 2021'!B:B,Clasificaciones!C493,'BG 2021'!D:D),0)</f>
        <v>-63856962</v>
      </c>
      <c r="L493" s="887"/>
      <c r="M493" s="63">
        <f>-IF(F493="I",SUMIF('BG 2021'!B:B,Clasificaciones!C493,'BG 2021'!E:E),0)</f>
        <v>-9271.5599999999977</v>
      </c>
      <c r="N493" s="887"/>
      <c r="O493" s="47">
        <f>IF(F493="I",SUMIF('BG 062021'!A:A,Clasificaciones!C493,'BG 062021'!C:C),0)</f>
        <v>62912687</v>
      </c>
      <c r="P493" s="887"/>
      <c r="Q493" s="63">
        <f>IF(F493="I",SUMIF('BG 062021'!A:A,Clasificaciones!C493,'BG 062021'!D:D),0)</f>
        <v>9304.7199999999993</v>
      </c>
      <c r="R493" s="888">
        <f>+VLOOKUP(C493,'CA EFE'!A:A,1,FALSE)</f>
        <v>2140107</v>
      </c>
    </row>
    <row r="494" spans="1:18" s="888" customFormat="1" hidden="1">
      <c r="A494" s="885" t="s">
        <v>8</v>
      </c>
      <c r="B494" s="885" t="s">
        <v>608</v>
      </c>
      <c r="C494" s="889">
        <v>2140108</v>
      </c>
      <c r="D494" s="889" t="s">
        <v>1251</v>
      </c>
      <c r="E494" s="886" t="s">
        <v>6</v>
      </c>
      <c r="F494" s="886" t="s">
        <v>271</v>
      </c>
      <c r="G494" s="47">
        <f>-IF(F494="I",IFERROR(VLOOKUP(C494,'BG 062022'!A:C,3,FALSE),0),0)</f>
        <v>-80750000</v>
      </c>
      <c r="H494" s="885"/>
      <c r="I494" s="63">
        <f>-IF(F494="I",IFERROR(VLOOKUP(C494,'BG 062022'!A:D,4,FALSE),0),0)</f>
        <v>-11788.24</v>
      </c>
      <c r="J494" s="887"/>
      <c r="K494" s="47">
        <f>-IF(F494="I",SUMIF('BG 2021'!B:B,Clasificaciones!C494,'BG 2021'!D:D),0)</f>
        <v>-112790000</v>
      </c>
      <c r="L494" s="887"/>
      <c r="M494" s="63">
        <f>-IF(F494="I",SUMIF('BG 2021'!B:B,Clasificaciones!C494,'BG 2021'!E:E),0)</f>
        <v>-16376.28</v>
      </c>
      <c r="N494" s="887"/>
      <c r="O494" s="47">
        <f>IF(F494="I",SUMIF('BG 062021'!A:A,Clasificaciones!C494,'BG 062021'!C:C),0)</f>
        <v>0</v>
      </c>
      <c r="P494" s="887"/>
      <c r="Q494" s="63">
        <f>IF(F494="I",SUMIF('BG 062021'!A:A,Clasificaciones!C494,'BG 062021'!D:D),0)</f>
        <v>0</v>
      </c>
      <c r="R494" s="888">
        <f>+VLOOKUP(C494,'CA EFE'!A:A,1,FALSE)</f>
        <v>2140108</v>
      </c>
    </row>
    <row r="495" spans="1:18" s="888" customFormat="1" hidden="1">
      <c r="A495" s="885" t="s">
        <v>8</v>
      </c>
      <c r="B495" s="885" t="s">
        <v>608</v>
      </c>
      <c r="C495" s="889">
        <v>2140109</v>
      </c>
      <c r="D495" s="889" t="s">
        <v>1025</v>
      </c>
      <c r="E495" s="886" t="s">
        <v>6</v>
      </c>
      <c r="F495" s="886" t="s">
        <v>271</v>
      </c>
      <c r="G495" s="47">
        <f>-IF(F495="I",IFERROR(VLOOKUP(C495,'BG 062022'!A:C,3,FALSE),0),0)</f>
        <v>0</v>
      </c>
      <c r="H495" s="885"/>
      <c r="I495" s="63">
        <f>-IF(F495="I",IFERROR(VLOOKUP(C495,'BG 062022'!A:D,4,FALSE),0),0)</f>
        <v>0</v>
      </c>
      <c r="J495" s="887"/>
      <c r="K495" s="47">
        <f>-IF(F495="I",SUMIF('BG 2021'!B:B,Clasificaciones!C495,'BG 2021'!D:D),0)</f>
        <v>0</v>
      </c>
      <c r="L495" s="887"/>
      <c r="M495" s="63">
        <f>-IF(F495="I",SUMIF('BG 2021'!B:B,Clasificaciones!C495,'BG 2021'!E:E),0)</f>
        <v>0</v>
      </c>
      <c r="N495" s="887"/>
      <c r="O495" s="47">
        <f>IF(F495="I",SUMIF('BG 062021'!A:A,Clasificaciones!C495,'BG 062021'!C:C),0)</f>
        <v>0</v>
      </c>
      <c r="P495" s="887"/>
      <c r="Q495" s="63">
        <f>IF(F495="I",SUMIF('BG 062021'!A:A,Clasificaciones!C495,'BG 062021'!D:D),0)</f>
        <v>0</v>
      </c>
    </row>
    <row r="496" spans="1:18" s="888" customFormat="1" hidden="1">
      <c r="A496" s="885" t="s">
        <v>8</v>
      </c>
      <c r="B496" s="885" t="s">
        <v>608</v>
      </c>
      <c r="C496" s="889">
        <v>2140110</v>
      </c>
      <c r="D496" s="889" t="s">
        <v>1026</v>
      </c>
      <c r="E496" s="886" t="s">
        <v>6</v>
      </c>
      <c r="F496" s="886" t="s">
        <v>271</v>
      </c>
      <c r="G496" s="47">
        <f>-IF(F496="I",IFERROR(VLOOKUP(C496,'BG 062022'!A:C,3,FALSE),0),0)</f>
        <v>-1</v>
      </c>
      <c r="H496" s="885"/>
      <c r="I496" s="63">
        <f>-IF(F496="I",IFERROR(VLOOKUP(C496,'BG 062022'!A:D,4,FALSE),0),0)</f>
        <v>0</v>
      </c>
      <c r="J496" s="887"/>
      <c r="K496" s="47">
        <f>-IF(F496="I",SUMIF('BG 2021'!B:B,Clasificaciones!C496,'BG 2021'!D:D),0)</f>
        <v>0</v>
      </c>
      <c r="L496" s="887"/>
      <c r="M496" s="63">
        <f>-IF(F496="I",SUMIF('BG 2021'!B:B,Clasificaciones!C496,'BG 2021'!E:E),0)</f>
        <v>0</v>
      </c>
      <c r="N496" s="887"/>
      <c r="O496" s="47">
        <f>IF(F496="I",SUMIF('BG 062021'!A:A,Clasificaciones!C496,'BG 062021'!C:C),0)</f>
        <v>0</v>
      </c>
      <c r="P496" s="887"/>
      <c r="Q496" s="63">
        <f>IF(F496="I",SUMIF('BG 062021'!A:A,Clasificaciones!C496,'BG 062021'!D:D),0)</f>
        <v>0</v>
      </c>
    </row>
    <row r="497" spans="1:18" s="888" customFormat="1" hidden="1">
      <c r="A497" s="885" t="s">
        <v>8</v>
      </c>
      <c r="B497" s="885"/>
      <c r="C497" s="889">
        <v>21402</v>
      </c>
      <c r="D497" s="889" t="s">
        <v>743</v>
      </c>
      <c r="E497" s="886" t="s">
        <v>6</v>
      </c>
      <c r="F497" s="886" t="s">
        <v>270</v>
      </c>
      <c r="G497" s="47">
        <f>-IF(F497="I",IFERROR(VLOOKUP(C497,'BG 062022'!A:C,3,FALSE),0),0)</f>
        <v>0</v>
      </c>
      <c r="H497" s="885"/>
      <c r="I497" s="63">
        <f>-IF(F497="I",IFERROR(VLOOKUP(C497,'BG 062022'!A:D,4,FALSE),0),0)</f>
        <v>0</v>
      </c>
      <c r="J497" s="887"/>
      <c r="K497" s="47">
        <f>-IF(F497="I",SUMIF('BG 2021'!B:B,Clasificaciones!C497,'BG 2021'!D:D),0)</f>
        <v>0</v>
      </c>
      <c r="L497" s="887"/>
      <c r="M497" s="63">
        <f>-IF(F497="I",SUMIF('BG 2021'!B:B,Clasificaciones!C497,'BG 2021'!E:E),0)</f>
        <v>0</v>
      </c>
      <c r="N497" s="887"/>
      <c r="O497" s="47">
        <f>IF(F497="I",SUMIF('BG 062021'!A:A,Clasificaciones!C497,'BG 062021'!C:C),0)</f>
        <v>0</v>
      </c>
      <c r="P497" s="887"/>
      <c r="Q497" s="63">
        <f>IF(F497="I",SUMIF('BG 062021'!A:A,Clasificaciones!C497,'BG 062021'!D:D),0)</f>
        <v>0</v>
      </c>
    </row>
    <row r="498" spans="1:18" s="888" customFormat="1" hidden="1">
      <c r="A498" s="885" t="s">
        <v>8</v>
      </c>
      <c r="B498" s="885" t="s">
        <v>84</v>
      </c>
      <c r="C498" s="889">
        <v>2140201</v>
      </c>
      <c r="D498" s="889" t="s">
        <v>84</v>
      </c>
      <c r="E498" s="886" t="s">
        <v>6</v>
      </c>
      <c r="F498" s="886" t="s">
        <v>271</v>
      </c>
      <c r="G498" s="47">
        <f>-IF(F498="I",IFERROR(VLOOKUP(C498,'BG 062022'!A:C,3,FALSE),0),0)</f>
        <v>-135316207</v>
      </c>
      <c r="H498" s="885"/>
      <c r="I498" s="63">
        <f>-IF(F498="I",IFERROR(VLOOKUP(C498,'BG 062022'!A:D,4,FALSE),0),0)</f>
        <v>-19754.05</v>
      </c>
      <c r="J498" s="887"/>
      <c r="K498" s="47">
        <f>-IF(F498="I",SUMIF('BG 2021'!B:B,Clasificaciones!C498,'BG 2021'!D:D),0)</f>
        <v>-152286289</v>
      </c>
      <c r="L498" s="887"/>
      <c r="M498" s="63">
        <f>-IF(F498="I",SUMIF('BG 2021'!B:B,Clasificaciones!C498,'BG 2021'!E:E),0)</f>
        <v>-22110.849999999991</v>
      </c>
      <c r="N498" s="887"/>
      <c r="O498" s="47">
        <f>IF(F498="I",SUMIF('BG 062021'!A:A,Clasificaciones!C498,'BG 062021'!C:C),0)</f>
        <v>201614007</v>
      </c>
      <c r="P498" s="887"/>
      <c r="Q498" s="63">
        <f>IF(F498="I",SUMIF('BG 062021'!A:A,Clasificaciones!C498,'BG 062021'!D:D),0)</f>
        <v>29818.51</v>
      </c>
      <c r="R498" s="888">
        <f>+VLOOKUP(C498,'CA EFE'!A:A,1,FALSE)</f>
        <v>2140201</v>
      </c>
    </row>
    <row r="499" spans="1:18" s="888" customFormat="1" hidden="1">
      <c r="A499" s="885" t="s">
        <v>8</v>
      </c>
      <c r="B499" s="885"/>
      <c r="C499" s="889">
        <v>2140202</v>
      </c>
      <c r="D499" s="889" t="s">
        <v>744</v>
      </c>
      <c r="E499" s="886" t="s">
        <v>6</v>
      </c>
      <c r="F499" s="886" t="s">
        <v>270</v>
      </c>
      <c r="G499" s="47">
        <f>-IF(F499="I",IFERROR(VLOOKUP(C499,'BG 062022'!A:C,3,FALSE),0),0)</f>
        <v>0</v>
      </c>
      <c r="H499" s="885"/>
      <c r="I499" s="63">
        <f>-IF(F499="I",IFERROR(VLOOKUP(C499,'BG 062022'!A:D,4,FALSE),0),0)</f>
        <v>0</v>
      </c>
      <c r="J499" s="887"/>
      <c r="K499" s="47">
        <f>-IF(F499="I",SUMIF('BG 2021'!B:B,Clasificaciones!C499,'BG 2021'!D:D),0)</f>
        <v>0</v>
      </c>
      <c r="L499" s="887"/>
      <c r="M499" s="63">
        <f>-IF(F499="I",SUMIF('BG 2021'!B:B,Clasificaciones!C499,'BG 2021'!E:E),0)</f>
        <v>0</v>
      </c>
      <c r="N499" s="887"/>
      <c r="O499" s="47">
        <f>IF(F499="I",SUMIF('BG 062021'!A:A,Clasificaciones!C499,'BG 062021'!C:C),0)</f>
        <v>0</v>
      </c>
      <c r="P499" s="887"/>
      <c r="Q499" s="63">
        <f>IF(F499="I",SUMIF('BG 062021'!A:A,Clasificaciones!C499,'BG 062021'!D:D),0)</f>
        <v>0</v>
      </c>
    </row>
    <row r="500" spans="1:18" s="888" customFormat="1" hidden="1">
      <c r="A500" s="885" t="s">
        <v>8</v>
      </c>
      <c r="B500" s="885"/>
      <c r="C500" s="889">
        <v>214020201</v>
      </c>
      <c r="D500" s="889" t="s">
        <v>1027</v>
      </c>
      <c r="E500" s="886" t="s">
        <v>6</v>
      </c>
      <c r="F500" s="886" t="s">
        <v>271</v>
      </c>
      <c r="G500" s="47">
        <f>-IF(F500="I",IFERROR(VLOOKUP(C500,'BG 062022'!A:C,3,FALSE),0),0)</f>
        <v>0</v>
      </c>
      <c r="H500" s="885"/>
      <c r="I500" s="63">
        <f>-IF(F500="I",IFERROR(VLOOKUP(C500,'BG 062022'!A:D,4,FALSE),0),0)</f>
        <v>0</v>
      </c>
      <c r="J500" s="887"/>
      <c r="K500" s="47">
        <f>-IF(F500="I",SUMIF('BG 2021'!B:B,Clasificaciones!C500,'BG 2021'!D:D),0)</f>
        <v>0</v>
      </c>
      <c r="L500" s="887"/>
      <c r="M500" s="63">
        <f>-IF(F500="I",SUMIF('BG 2021'!B:B,Clasificaciones!C500,'BG 2021'!E:E),0)</f>
        <v>0</v>
      </c>
      <c r="N500" s="887"/>
      <c r="O500" s="47">
        <f>IF(F500="I",SUMIF('BG 062021'!A:A,Clasificaciones!C500,'BG 062021'!C:C),0)</f>
        <v>0</v>
      </c>
      <c r="P500" s="887"/>
      <c r="Q500" s="63">
        <f>IF(F500="I",SUMIF('BG 062021'!A:A,Clasificaciones!C500,'BG 062021'!D:D),0)</f>
        <v>0</v>
      </c>
    </row>
    <row r="501" spans="1:18" s="888" customFormat="1" hidden="1">
      <c r="A501" s="885" t="s">
        <v>8</v>
      </c>
      <c r="B501" s="885"/>
      <c r="C501" s="889">
        <v>214020202</v>
      </c>
      <c r="D501" s="889" t="s">
        <v>1028</v>
      </c>
      <c r="E501" s="886" t="s">
        <v>6</v>
      </c>
      <c r="F501" s="886" t="s">
        <v>271</v>
      </c>
      <c r="G501" s="47">
        <f>-IF(F501="I",IFERROR(VLOOKUP(C501,'BG 062022'!A:C,3,FALSE),0),0)</f>
        <v>0</v>
      </c>
      <c r="H501" s="885"/>
      <c r="I501" s="63">
        <f>-IF(F501="I",IFERROR(VLOOKUP(C501,'BG 062022'!A:D,4,FALSE),0),0)</f>
        <v>0</v>
      </c>
      <c r="J501" s="887"/>
      <c r="K501" s="47">
        <f>-IF(F501="I",SUMIF('BG 2021'!B:B,Clasificaciones!C501,'BG 2021'!D:D),0)</f>
        <v>0</v>
      </c>
      <c r="L501" s="887"/>
      <c r="M501" s="63">
        <f>-IF(F501="I",SUMIF('BG 2021'!B:B,Clasificaciones!C501,'BG 2021'!E:E),0)</f>
        <v>0</v>
      </c>
      <c r="N501" s="887"/>
      <c r="O501" s="47">
        <f>IF(F501="I",SUMIF('BG 062021'!A:A,Clasificaciones!C501,'BG 062021'!C:C),0)</f>
        <v>0</v>
      </c>
      <c r="P501" s="887"/>
      <c r="Q501" s="63">
        <f>IF(F501="I",SUMIF('BG 062021'!A:A,Clasificaciones!C501,'BG 062021'!D:D),0)</f>
        <v>0</v>
      </c>
    </row>
    <row r="502" spans="1:18" s="888" customFormat="1" hidden="1">
      <c r="A502" s="885" t="s">
        <v>8</v>
      </c>
      <c r="B502" s="885" t="s">
        <v>85</v>
      </c>
      <c r="C502" s="889">
        <v>214020203</v>
      </c>
      <c r="D502" s="889" t="s">
        <v>745</v>
      </c>
      <c r="E502" s="886" t="s">
        <v>6</v>
      </c>
      <c r="F502" s="886" t="s">
        <v>271</v>
      </c>
      <c r="G502" s="47">
        <f>-IF(F502="I",IFERROR(VLOOKUP(C502,'BG 062022'!A:C,3,FALSE),0),0)</f>
        <v>-5061518</v>
      </c>
      <c r="H502" s="885"/>
      <c r="I502" s="63">
        <f>-IF(F502="I",IFERROR(VLOOKUP(C502,'BG 062022'!A:D,4,FALSE),0),0)</f>
        <v>-738.9</v>
      </c>
      <c r="J502" s="887"/>
      <c r="K502" s="47">
        <f>-IF(F502="I",SUMIF('BG 2021'!B:B,Clasificaciones!C502,'BG 2021'!D:D),0)</f>
        <v>-9036062</v>
      </c>
      <c r="L502" s="887"/>
      <c r="M502" s="63">
        <f>-IF(F502="I",SUMIF('BG 2021'!B:B,Clasificaciones!C502,'BG 2021'!E:E),0)</f>
        <v>-1311.9599999999991</v>
      </c>
      <c r="N502" s="887"/>
      <c r="O502" s="47">
        <f>IF(F502="I",SUMIF('BG 062021'!A:A,Clasificaciones!C502,'BG 062021'!C:C),0)</f>
        <v>0</v>
      </c>
      <c r="P502" s="887"/>
      <c r="Q502" s="63">
        <f>IF(F502="I",SUMIF('BG 062021'!A:A,Clasificaciones!C502,'BG 062021'!D:D),0)</f>
        <v>0</v>
      </c>
      <c r="R502" s="888">
        <f>+VLOOKUP(C502,'CA EFE'!A:A,1,FALSE)</f>
        <v>214020203</v>
      </c>
    </row>
    <row r="503" spans="1:18" s="888" customFormat="1" hidden="1">
      <c r="A503" s="885" t="s">
        <v>8</v>
      </c>
      <c r="B503" s="885" t="s">
        <v>32</v>
      </c>
      <c r="C503" s="889">
        <v>2140203</v>
      </c>
      <c r="D503" s="889" t="s">
        <v>746</v>
      </c>
      <c r="E503" s="886" t="s">
        <v>6</v>
      </c>
      <c r="F503" s="886" t="s">
        <v>271</v>
      </c>
      <c r="G503" s="47">
        <f>-IF(F503="I",IFERROR(VLOOKUP(C503,'BG 062022'!A:C,3,FALSE),0),0)</f>
        <v>-6</v>
      </c>
      <c r="H503" s="885"/>
      <c r="I503" s="63">
        <f>-IF(F503="I",IFERROR(VLOOKUP(C503,'BG 062022'!A:D,4,FALSE),0),0)</f>
        <v>0</v>
      </c>
      <c r="J503" s="887"/>
      <c r="K503" s="47">
        <f>-IF(F503="I",SUMIF('BG 2021'!B:B,Clasificaciones!C503,'BG 2021'!D:D),0)</f>
        <v>-16334400</v>
      </c>
      <c r="L503" s="887"/>
      <c r="M503" s="63">
        <f>-IF(F503="I",SUMIF('BG 2021'!B:B,Clasificaciones!C503,'BG 2021'!E:E),0)</f>
        <v>-2371.6399999999994</v>
      </c>
      <c r="N503" s="887"/>
      <c r="O503" s="47">
        <f>IF(F503="I",SUMIF('BG 062021'!A:A,Clasificaciones!C503,'BG 062021'!C:C),0)</f>
        <v>4794630</v>
      </c>
      <c r="P503" s="887"/>
      <c r="Q503" s="63">
        <f>IF(F503="I",SUMIF('BG 062021'!A:A,Clasificaciones!C503,'BG 062021'!D:D),0)</f>
        <v>709.12</v>
      </c>
    </row>
    <row r="504" spans="1:18" s="888" customFormat="1" hidden="1">
      <c r="A504" s="885" t="s">
        <v>8</v>
      </c>
      <c r="B504" s="885" t="s">
        <v>32</v>
      </c>
      <c r="C504" s="889">
        <v>2140204</v>
      </c>
      <c r="D504" s="889" t="s">
        <v>747</v>
      </c>
      <c r="E504" s="886" t="s">
        <v>6</v>
      </c>
      <c r="F504" s="886" t="s">
        <v>271</v>
      </c>
      <c r="G504" s="47">
        <f>-IF(F504="I",IFERROR(VLOOKUP(C504,'BG 062022'!A:C,3,FALSE),0),0)</f>
        <v>0</v>
      </c>
      <c r="H504" s="885"/>
      <c r="I504" s="63">
        <f>-IF(F504="I",IFERROR(VLOOKUP(C504,'BG 062022'!A:D,4,FALSE),0),0)</f>
        <v>0</v>
      </c>
      <c r="J504" s="887"/>
      <c r="K504" s="47">
        <f>-IF(F504="I",SUMIF('BG 2021'!B:B,Clasificaciones!C504,'BG 2021'!D:D),0)</f>
        <v>0</v>
      </c>
      <c r="L504" s="887"/>
      <c r="M504" s="63">
        <f>-IF(F504="I",SUMIF('BG 2021'!B:B,Clasificaciones!C504,'BG 2021'!E:E),0)</f>
        <v>0</v>
      </c>
      <c r="N504" s="887"/>
      <c r="O504" s="47">
        <f>IF(F504="I",SUMIF('BG 062021'!A:A,Clasificaciones!C504,'BG 062021'!C:C),0)</f>
        <v>2259252</v>
      </c>
      <c r="P504" s="887"/>
      <c r="Q504" s="63">
        <f>IF(F504="I",SUMIF('BG 062021'!A:A,Clasificaciones!C504,'BG 062021'!D:D),0)</f>
        <v>334.14</v>
      </c>
    </row>
    <row r="505" spans="1:18" s="888" customFormat="1" hidden="1">
      <c r="A505" s="885" t="s">
        <v>8</v>
      </c>
      <c r="B505" s="885"/>
      <c r="C505" s="889">
        <v>2140205</v>
      </c>
      <c r="D505" s="889" t="s">
        <v>1029</v>
      </c>
      <c r="E505" s="886" t="s">
        <v>6</v>
      </c>
      <c r="F505" s="886" t="s">
        <v>271</v>
      </c>
      <c r="G505" s="47">
        <f>-IF(F505="I",IFERROR(VLOOKUP(C505,'BG 062022'!A:C,3,FALSE),0),0)</f>
        <v>0</v>
      </c>
      <c r="H505" s="885"/>
      <c r="I505" s="63">
        <f>-IF(F505="I",IFERROR(VLOOKUP(C505,'BG 062022'!A:D,4,FALSE),0),0)</f>
        <v>0</v>
      </c>
      <c r="J505" s="887"/>
      <c r="K505" s="47">
        <f>-IF(F505="I",SUMIF('BG 2021'!B:B,Clasificaciones!C505,'BG 2021'!D:D),0)</f>
        <v>0</v>
      </c>
      <c r="L505" s="887"/>
      <c r="M505" s="63">
        <f>-IF(F505="I",SUMIF('BG 2021'!B:B,Clasificaciones!C505,'BG 2021'!E:E),0)</f>
        <v>0</v>
      </c>
      <c r="N505" s="887"/>
      <c r="O505" s="47">
        <f>IF(F505="I",SUMIF('BG 062021'!A:A,Clasificaciones!C505,'BG 062021'!C:C),0)</f>
        <v>0</v>
      </c>
      <c r="P505" s="887"/>
      <c r="Q505" s="63">
        <f>IF(F505="I",SUMIF('BG 062021'!A:A,Clasificaciones!C505,'BG 062021'!D:D),0)</f>
        <v>0</v>
      </c>
    </row>
    <row r="506" spans="1:18" s="888" customFormat="1" hidden="1">
      <c r="A506" s="885" t="s">
        <v>8</v>
      </c>
      <c r="B506" s="885"/>
      <c r="C506" s="889">
        <v>2140206</v>
      </c>
      <c r="D506" s="889" t="s">
        <v>1030</v>
      </c>
      <c r="E506" s="886" t="s">
        <v>6</v>
      </c>
      <c r="F506" s="886" t="s">
        <v>271</v>
      </c>
      <c r="G506" s="47">
        <f>-IF(F506="I",IFERROR(VLOOKUP(C506,'BG 062022'!A:C,3,FALSE),0),0)</f>
        <v>0</v>
      </c>
      <c r="H506" s="885"/>
      <c r="I506" s="63">
        <f>-IF(F506="I",IFERROR(VLOOKUP(C506,'BG 062022'!A:D,4,FALSE),0),0)</f>
        <v>0</v>
      </c>
      <c r="J506" s="887"/>
      <c r="K506" s="47">
        <f>-IF(F506="I",SUMIF('BG 2021'!B:B,Clasificaciones!C506,'BG 2021'!D:D),0)</f>
        <v>0</v>
      </c>
      <c r="L506" s="887"/>
      <c r="M506" s="63">
        <f>-IF(F506="I",SUMIF('BG 2021'!B:B,Clasificaciones!C506,'BG 2021'!E:E),0)</f>
        <v>0</v>
      </c>
      <c r="N506" s="887"/>
      <c r="O506" s="47">
        <f>IF(F506="I",SUMIF('BG 062021'!A:A,Clasificaciones!C506,'BG 062021'!C:C),0)</f>
        <v>0</v>
      </c>
      <c r="P506" s="887"/>
      <c r="Q506" s="63">
        <f>IF(F506="I",SUMIF('BG 062021'!A:A,Clasificaciones!C506,'BG 062021'!D:D),0)</f>
        <v>0</v>
      </c>
    </row>
    <row r="507" spans="1:18" s="888" customFormat="1" hidden="1">
      <c r="A507" s="885" t="s">
        <v>8</v>
      </c>
      <c r="B507" s="885"/>
      <c r="C507" s="889">
        <v>21403</v>
      </c>
      <c r="D507" s="889" t="s">
        <v>1031</v>
      </c>
      <c r="E507" s="886" t="s">
        <v>6</v>
      </c>
      <c r="F507" s="886" t="s">
        <v>270</v>
      </c>
      <c r="G507" s="47">
        <f>-IF(F507="I",IFERROR(VLOOKUP(C507,'BG 062022'!A:C,3,FALSE),0),0)</f>
        <v>0</v>
      </c>
      <c r="H507" s="885"/>
      <c r="I507" s="63">
        <f>-IF(F507="I",IFERROR(VLOOKUP(C507,'BG 062022'!A:D,4,FALSE),0),0)</f>
        <v>0</v>
      </c>
      <c r="J507" s="887"/>
      <c r="K507" s="47">
        <f>-IF(F507="I",SUMIF('BG 2021'!B:B,Clasificaciones!C507,'BG 2021'!D:D),0)</f>
        <v>0</v>
      </c>
      <c r="L507" s="887"/>
      <c r="M507" s="63">
        <f>-IF(F507="I",SUMIF('BG 2021'!B:B,Clasificaciones!C507,'BG 2021'!E:E),0)</f>
        <v>0</v>
      </c>
      <c r="N507" s="887"/>
      <c r="O507" s="47">
        <f>IF(F507="I",SUMIF('BG 062021'!A:A,Clasificaciones!C507,'BG 062021'!C:C),0)</f>
        <v>0</v>
      </c>
      <c r="P507" s="887"/>
      <c r="Q507" s="63">
        <f>IF(F507="I",SUMIF('BG 062021'!A:A,Clasificaciones!C507,'BG 062021'!D:D),0)</f>
        <v>0</v>
      </c>
    </row>
    <row r="508" spans="1:18" s="888" customFormat="1" hidden="1">
      <c r="A508" s="885" t="s">
        <v>8</v>
      </c>
      <c r="B508" s="885"/>
      <c r="C508" s="889">
        <v>2140301</v>
      </c>
      <c r="D508" s="889" t="s">
        <v>1032</v>
      </c>
      <c r="E508" s="886" t="s">
        <v>6</v>
      </c>
      <c r="F508" s="886" t="s">
        <v>271</v>
      </c>
      <c r="G508" s="47">
        <f>-IF(F508="I",IFERROR(VLOOKUP(C508,'BG 062022'!A:C,3,FALSE),0),0)</f>
        <v>0</v>
      </c>
      <c r="H508" s="885"/>
      <c r="I508" s="63">
        <f>-IF(F508="I",IFERROR(VLOOKUP(C508,'BG 062022'!A:D,4,FALSE),0),0)</f>
        <v>0</v>
      </c>
      <c r="J508" s="887"/>
      <c r="K508" s="47">
        <f>-IF(F508="I",SUMIF('BG 2021'!B:B,Clasificaciones!C508,'BG 2021'!D:D),0)</f>
        <v>0</v>
      </c>
      <c r="L508" s="887"/>
      <c r="M508" s="63">
        <f>-IF(F508="I",SUMIF('BG 2021'!B:B,Clasificaciones!C508,'BG 2021'!E:E),0)</f>
        <v>0</v>
      </c>
      <c r="N508" s="887"/>
      <c r="O508" s="47">
        <f>IF(F508="I",SUMIF('BG 062021'!A:A,Clasificaciones!C508,'BG 062021'!C:C),0)</f>
        <v>0</v>
      </c>
      <c r="P508" s="887"/>
      <c r="Q508" s="63">
        <f>IF(F508="I",SUMIF('BG 062021'!A:A,Clasificaciones!C508,'BG 062021'!D:D),0)</f>
        <v>0</v>
      </c>
    </row>
    <row r="509" spans="1:18" s="888" customFormat="1" hidden="1">
      <c r="A509" s="885" t="s">
        <v>8</v>
      </c>
      <c r="B509" s="885"/>
      <c r="C509" s="889">
        <v>2140302</v>
      </c>
      <c r="D509" s="889" t="s">
        <v>1033</v>
      </c>
      <c r="E509" s="886" t="s">
        <v>6</v>
      </c>
      <c r="F509" s="886" t="s">
        <v>271</v>
      </c>
      <c r="G509" s="47">
        <f>-IF(F509="I",IFERROR(VLOOKUP(C509,'BG 062022'!A:C,3,FALSE),0),0)</f>
        <v>0</v>
      </c>
      <c r="H509" s="885"/>
      <c r="I509" s="63">
        <f>-IF(F509="I",IFERROR(VLOOKUP(C509,'BG 062022'!A:D,4,FALSE),0),0)</f>
        <v>0</v>
      </c>
      <c r="J509" s="887"/>
      <c r="K509" s="47">
        <f>-IF(F509="I",SUMIF('BG 2021'!B:B,Clasificaciones!C509,'BG 2021'!D:D),0)</f>
        <v>0</v>
      </c>
      <c r="L509" s="887"/>
      <c r="M509" s="63">
        <f>-IF(F509="I",SUMIF('BG 2021'!B:B,Clasificaciones!C509,'BG 2021'!E:E),0)</f>
        <v>0</v>
      </c>
      <c r="N509" s="887"/>
      <c r="O509" s="47">
        <f>IF(F509="I",SUMIF('BG 062021'!A:A,Clasificaciones!C509,'BG 062021'!C:C),0)</f>
        <v>0</v>
      </c>
      <c r="P509" s="887"/>
      <c r="Q509" s="63">
        <f>IF(F509="I",SUMIF('BG 062021'!A:A,Clasificaciones!C509,'BG 062021'!D:D),0)</f>
        <v>0</v>
      </c>
    </row>
    <row r="510" spans="1:18" s="888" customFormat="1" hidden="1">
      <c r="A510" s="885" t="s">
        <v>8</v>
      </c>
      <c r="B510" s="885"/>
      <c r="C510" s="889">
        <v>2140303</v>
      </c>
      <c r="D510" s="889" t="s">
        <v>1034</v>
      </c>
      <c r="E510" s="886" t="s">
        <v>6</v>
      </c>
      <c r="F510" s="886" t="s">
        <v>271</v>
      </c>
      <c r="G510" s="47">
        <f>-IF(F510="I",IFERROR(VLOOKUP(C510,'BG 062022'!A:C,3,FALSE),0),0)</f>
        <v>0</v>
      </c>
      <c r="H510" s="885"/>
      <c r="I510" s="63">
        <f>-IF(F510="I",IFERROR(VLOOKUP(C510,'BG 062022'!A:D,4,FALSE),0),0)</f>
        <v>0</v>
      </c>
      <c r="J510" s="887"/>
      <c r="K510" s="47">
        <f>-IF(F510="I",SUMIF('BG 2021'!B:B,Clasificaciones!C510,'BG 2021'!D:D),0)</f>
        <v>0</v>
      </c>
      <c r="L510" s="887"/>
      <c r="M510" s="63">
        <f>-IF(F510="I",SUMIF('BG 2021'!B:B,Clasificaciones!C510,'BG 2021'!E:E),0)</f>
        <v>0</v>
      </c>
      <c r="N510" s="887"/>
      <c r="O510" s="47">
        <f>IF(F510="I",SUMIF('BG 062021'!A:A,Clasificaciones!C510,'BG 062021'!C:C),0)</f>
        <v>0</v>
      </c>
      <c r="P510" s="887"/>
      <c r="Q510" s="63">
        <f>IF(F510="I",SUMIF('BG 062021'!A:A,Clasificaciones!C510,'BG 062021'!D:D),0)</f>
        <v>0</v>
      </c>
    </row>
    <row r="511" spans="1:18" s="888" customFormat="1" hidden="1">
      <c r="A511" s="885" t="s">
        <v>8</v>
      </c>
      <c r="B511" s="885"/>
      <c r="C511" s="889">
        <v>2140304</v>
      </c>
      <c r="D511" s="889" t="s">
        <v>1035</v>
      </c>
      <c r="E511" s="886" t="s">
        <v>6</v>
      </c>
      <c r="F511" s="886" t="s">
        <v>271</v>
      </c>
      <c r="G511" s="47">
        <f>-IF(F511="I",IFERROR(VLOOKUP(C511,'BG 062022'!A:C,3,FALSE),0),0)</f>
        <v>0</v>
      </c>
      <c r="H511" s="885"/>
      <c r="I511" s="63">
        <f>-IF(F511="I",IFERROR(VLOOKUP(C511,'BG 062022'!A:D,4,FALSE),0),0)</f>
        <v>0</v>
      </c>
      <c r="J511" s="887"/>
      <c r="K511" s="47">
        <f>-IF(F511="I",SUMIF('BG 2021'!B:B,Clasificaciones!C511,'BG 2021'!D:D),0)</f>
        <v>0</v>
      </c>
      <c r="L511" s="887"/>
      <c r="M511" s="63">
        <f>-IF(F511="I",SUMIF('BG 2021'!B:B,Clasificaciones!C511,'BG 2021'!E:E),0)</f>
        <v>0</v>
      </c>
      <c r="N511" s="887"/>
      <c r="O511" s="47">
        <f>IF(F511="I",SUMIF('BG 062021'!A:A,Clasificaciones!C511,'BG 062021'!C:C),0)</f>
        <v>0</v>
      </c>
      <c r="P511" s="887"/>
      <c r="Q511" s="63">
        <f>IF(F511="I",SUMIF('BG 062021'!A:A,Clasificaciones!C511,'BG 062021'!D:D),0)</f>
        <v>0</v>
      </c>
    </row>
    <row r="512" spans="1:18" s="888" customFormat="1" hidden="1">
      <c r="A512" s="885" t="s">
        <v>8</v>
      </c>
      <c r="B512" s="885"/>
      <c r="C512" s="889">
        <v>2140399</v>
      </c>
      <c r="D512" s="889" t="s">
        <v>1036</v>
      </c>
      <c r="E512" s="886" t="s">
        <v>6</v>
      </c>
      <c r="F512" s="886" t="s">
        <v>271</v>
      </c>
      <c r="G512" s="47">
        <f>-IF(F512="I",IFERROR(VLOOKUP(C512,'BG 062022'!A:C,3,FALSE),0),0)</f>
        <v>0</v>
      </c>
      <c r="H512" s="885"/>
      <c r="I512" s="63">
        <f>-IF(F512="I",IFERROR(VLOOKUP(C512,'BG 062022'!A:D,4,FALSE),0),0)</f>
        <v>0</v>
      </c>
      <c r="J512" s="887"/>
      <c r="K512" s="47">
        <f>-IF(F512="I",SUMIF('BG 2021'!B:B,Clasificaciones!C512,'BG 2021'!D:D),0)</f>
        <v>0</v>
      </c>
      <c r="L512" s="887"/>
      <c r="M512" s="63">
        <f>-IF(F512="I",SUMIF('BG 2021'!B:B,Clasificaciones!C512,'BG 2021'!E:E),0)</f>
        <v>0</v>
      </c>
      <c r="N512" s="887"/>
      <c r="O512" s="47">
        <f>IF(F512="I",SUMIF('BG 062021'!A:A,Clasificaciones!C512,'BG 062021'!C:C),0)</f>
        <v>0</v>
      </c>
      <c r="P512" s="887"/>
      <c r="Q512" s="63">
        <f>IF(F512="I",SUMIF('BG 062021'!A:A,Clasificaciones!C512,'BG 062021'!D:D),0)</f>
        <v>0</v>
      </c>
    </row>
    <row r="513" spans="1:18" s="888" customFormat="1" hidden="1">
      <c r="A513" s="885" t="s">
        <v>8</v>
      </c>
      <c r="B513" s="885"/>
      <c r="C513" s="889">
        <v>21404</v>
      </c>
      <c r="D513" s="889" t="s">
        <v>748</v>
      </c>
      <c r="E513" s="886" t="s">
        <v>6</v>
      </c>
      <c r="F513" s="886" t="s">
        <v>270</v>
      </c>
      <c r="G513" s="47">
        <f>-IF(F513="I",IFERROR(VLOOKUP(C513,'BG 062022'!A:C,3,FALSE),0),0)</f>
        <v>0</v>
      </c>
      <c r="H513" s="885"/>
      <c r="I513" s="63">
        <f>-IF(F513="I",IFERROR(VLOOKUP(C513,'BG 062022'!A:D,4,FALSE),0),0)</f>
        <v>0</v>
      </c>
      <c r="J513" s="887"/>
      <c r="K513" s="47">
        <f>-IF(F513="I",SUMIF('BG 2021'!B:B,Clasificaciones!C513,'BG 2021'!D:D),0)</f>
        <v>0</v>
      </c>
      <c r="L513" s="887"/>
      <c r="M513" s="63">
        <f>-IF(F513="I",SUMIF('BG 2021'!B:B,Clasificaciones!C513,'BG 2021'!E:E),0)</f>
        <v>0</v>
      </c>
      <c r="N513" s="887"/>
      <c r="O513" s="47">
        <f>IF(F513="I",SUMIF('BG 062021'!A:A,Clasificaciones!C513,'BG 062021'!C:C),0)</f>
        <v>0</v>
      </c>
      <c r="P513" s="887"/>
      <c r="Q513" s="63">
        <f>IF(F513="I",SUMIF('BG 062021'!A:A,Clasificaciones!C513,'BG 062021'!D:D),0)</f>
        <v>0</v>
      </c>
    </row>
    <row r="514" spans="1:18" s="888" customFormat="1" hidden="1">
      <c r="A514" s="885" t="s">
        <v>8</v>
      </c>
      <c r="B514" s="885"/>
      <c r="C514" s="889">
        <v>2140401</v>
      </c>
      <c r="D514" s="889" t="s">
        <v>157</v>
      </c>
      <c r="E514" s="886" t="s">
        <v>6</v>
      </c>
      <c r="F514" s="886" t="s">
        <v>271</v>
      </c>
      <c r="G514" s="47">
        <f>-IF(F514="I",IFERROR(VLOOKUP(C514,'BG 062022'!A:C,3,FALSE),0),0)</f>
        <v>0</v>
      </c>
      <c r="H514" s="885"/>
      <c r="I514" s="63">
        <f>-IF(F514="I",IFERROR(VLOOKUP(C514,'BG 062022'!A:D,4,FALSE),0),0)</f>
        <v>0</v>
      </c>
      <c r="J514" s="887"/>
      <c r="K514" s="47">
        <f>-IF(F514="I",SUMIF('BG 2021'!B:B,Clasificaciones!C514,'BG 2021'!D:D),0)</f>
        <v>0</v>
      </c>
      <c r="L514" s="887"/>
      <c r="M514" s="63">
        <f>-IF(F514="I",SUMIF('BG 2021'!B:B,Clasificaciones!C514,'BG 2021'!E:E),0)</f>
        <v>0</v>
      </c>
      <c r="N514" s="887"/>
      <c r="O514" s="47">
        <f>IF(F514="I",SUMIF('BG 062021'!A:A,Clasificaciones!C514,'BG 062021'!C:C),0)</f>
        <v>0</v>
      </c>
      <c r="P514" s="887"/>
      <c r="Q514" s="63">
        <f>IF(F514="I",SUMIF('BG 062021'!A:A,Clasificaciones!C514,'BG 062021'!D:D),0)</f>
        <v>0</v>
      </c>
    </row>
    <row r="515" spans="1:18" s="888" customFormat="1" hidden="1">
      <c r="A515" s="885" t="s">
        <v>8</v>
      </c>
      <c r="B515" s="885" t="s">
        <v>608</v>
      </c>
      <c r="C515" s="889">
        <v>2140402</v>
      </c>
      <c r="D515" s="889" t="s">
        <v>158</v>
      </c>
      <c r="E515" s="886" t="s">
        <v>6</v>
      </c>
      <c r="F515" s="886" t="s">
        <v>271</v>
      </c>
      <c r="G515" s="47">
        <f>-IF(F515="I",IFERROR(VLOOKUP(C515,'BG 062022'!A:C,3,FALSE),0),0)</f>
        <v>0</v>
      </c>
      <c r="H515" s="885"/>
      <c r="I515" s="63">
        <f>-IF(F515="I",IFERROR(VLOOKUP(C515,'BG 062022'!A:D,4,FALSE),0),0)</f>
        <v>0</v>
      </c>
      <c r="J515" s="887"/>
      <c r="K515" s="47">
        <f>-IF(F515="I",SUMIF('BG 2021'!B:B,Clasificaciones!C515,'BG 2021'!D:D),0)</f>
        <v>0</v>
      </c>
      <c r="L515" s="887"/>
      <c r="M515" s="63">
        <f>-IF(F515="I",SUMIF('BG 2021'!B:B,Clasificaciones!C515,'BG 2021'!E:E),0)</f>
        <v>0</v>
      </c>
      <c r="N515" s="887"/>
      <c r="O515" s="47">
        <f>IF(F515="I",SUMIF('BG 062021'!A:A,Clasificaciones!C515,'BG 062021'!C:C),0)</f>
        <v>2999771</v>
      </c>
      <c r="P515" s="887"/>
      <c r="Q515" s="63">
        <f>IF(F515="I",SUMIF('BG 062021'!A:A,Clasificaciones!C515,'BG 062021'!D:D),0)</f>
        <v>443.66</v>
      </c>
    </row>
    <row r="516" spans="1:18" s="888" customFormat="1" hidden="1">
      <c r="A516" s="885" t="s">
        <v>8</v>
      </c>
      <c r="B516" s="885" t="s">
        <v>608</v>
      </c>
      <c r="C516" s="889">
        <v>2140403</v>
      </c>
      <c r="D516" s="889" t="s">
        <v>159</v>
      </c>
      <c r="E516" s="886" t="s">
        <v>6</v>
      </c>
      <c r="F516" s="886" t="s">
        <v>271</v>
      </c>
      <c r="G516" s="47">
        <f>-IF(F516="I",IFERROR(VLOOKUP(C516,'BG 062022'!A:C,3,FALSE),0),0)</f>
        <v>-24539897</v>
      </c>
      <c r="H516" s="885"/>
      <c r="I516" s="63">
        <f>-IF(F516="I",IFERROR(VLOOKUP(C516,'BG 062022'!A:D,4,FALSE),0),0)</f>
        <v>-3582.44</v>
      </c>
      <c r="J516" s="887"/>
      <c r="K516" s="47">
        <f>-IF(F516="I",SUMIF('BG 2021'!B:B,Clasificaciones!C516,'BG 2021'!D:D),0)</f>
        <v>0</v>
      </c>
      <c r="L516" s="887"/>
      <c r="M516" s="63">
        <f>-IF(F516="I",SUMIF('BG 2021'!B:B,Clasificaciones!C516,'BG 2021'!E:E),0)</f>
        <v>0</v>
      </c>
      <c r="N516" s="887"/>
      <c r="O516" s="47">
        <f>IF(F516="I",SUMIF('BG 062021'!A:A,Clasificaciones!C516,'BG 062021'!C:C),0)</f>
        <v>70525362</v>
      </c>
      <c r="P516" s="887"/>
      <c r="Q516" s="63">
        <f>IF(F516="I",SUMIF('BG 062021'!A:A,Clasificaciones!C516,'BG 062021'!D:D),0)</f>
        <v>10430.629999999999</v>
      </c>
      <c r="R516" s="888">
        <f>+VLOOKUP(C516,'CA EFE'!A:A,1,FALSE)</f>
        <v>2140403</v>
      </c>
    </row>
    <row r="517" spans="1:18" s="888" customFormat="1" hidden="1">
      <c r="A517" s="885" t="s">
        <v>8</v>
      </c>
      <c r="B517" s="885" t="s">
        <v>608</v>
      </c>
      <c r="C517" s="889">
        <v>2140404</v>
      </c>
      <c r="D517" s="889" t="s">
        <v>160</v>
      </c>
      <c r="E517" s="886" t="s">
        <v>6</v>
      </c>
      <c r="F517" s="886" t="s">
        <v>271</v>
      </c>
      <c r="G517" s="47">
        <f>-IF(F517="I",IFERROR(VLOOKUP(C517,'BG 062022'!A:C,3,FALSE),0),0)</f>
        <v>-82041644</v>
      </c>
      <c r="H517" s="885"/>
      <c r="I517" s="63">
        <f>-IF(F517="I",IFERROR(VLOOKUP(C517,'BG 062022'!A:D,4,FALSE),0),0)</f>
        <v>-11976.79</v>
      </c>
      <c r="J517" s="887"/>
      <c r="K517" s="47">
        <f>-IF(F517="I",SUMIF('BG 2021'!B:B,Clasificaciones!C517,'BG 2021'!D:D),0)</f>
        <v>-70938000</v>
      </c>
      <c r="L517" s="887"/>
      <c r="M517" s="63">
        <f>-IF(F517="I",SUMIF('BG 2021'!B:B,Clasificaciones!C517,'BG 2021'!E:E),0)</f>
        <v>-10299.679999999993</v>
      </c>
      <c r="N517" s="887"/>
      <c r="O517" s="47">
        <f>IF(F517="I",SUMIF('BG 062021'!A:A,Clasificaciones!C517,'BG 062021'!C:C),0)</f>
        <v>170883821</v>
      </c>
      <c r="P517" s="887"/>
      <c r="Q517" s="63">
        <f>IF(F517="I",SUMIF('BG 062021'!A:A,Clasificaciones!C517,'BG 062021'!D:D),0)</f>
        <v>25273.55</v>
      </c>
      <c r="R517" s="888">
        <f>+VLOOKUP(C517,'CA EFE'!A:A,1,FALSE)</f>
        <v>2140404</v>
      </c>
    </row>
    <row r="518" spans="1:18" s="888" customFormat="1" hidden="1">
      <c r="A518" s="885" t="s">
        <v>8</v>
      </c>
      <c r="B518" s="885"/>
      <c r="C518" s="889">
        <v>2140405</v>
      </c>
      <c r="D518" s="889" t="s">
        <v>1037</v>
      </c>
      <c r="E518" s="886" t="s">
        <v>6</v>
      </c>
      <c r="F518" s="886" t="s">
        <v>271</v>
      </c>
      <c r="G518" s="47">
        <f>-IF(F518="I",IFERROR(VLOOKUP(C518,'BG 062022'!A:C,3,FALSE),0),0)</f>
        <v>0</v>
      </c>
      <c r="H518" s="885"/>
      <c r="I518" s="63">
        <f>-IF(F518="I",IFERROR(VLOOKUP(C518,'BG 062022'!A:D,4,FALSE),0),0)</f>
        <v>0</v>
      </c>
      <c r="J518" s="887"/>
      <c r="K518" s="47">
        <f>-IF(F518="I",SUMIF('BG 2021'!B:B,Clasificaciones!C518,'BG 2021'!D:D),0)</f>
        <v>0</v>
      </c>
      <c r="L518" s="887"/>
      <c r="M518" s="63">
        <f>-IF(F518="I",SUMIF('BG 2021'!B:B,Clasificaciones!C518,'BG 2021'!E:E),0)</f>
        <v>0</v>
      </c>
      <c r="N518" s="887"/>
      <c r="O518" s="47">
        <f>IF(F518="I",SUMIF('BG 062021'!A:A,Clasificaciones!C518,'BG 062021'!C:C),0)</f>
        <v>0</v>
      </c>
      <c r="P518" s="887"/>
      <c r="Q518" s="63">
        <f>IF(F518="I",SUMIF('BG 062021'!A:A,Clasificaciones!C518,'BG 062021'!D:D),0)</f>
        <v>0</v>
      </c>
    </row>
    <row r="519" spans="1:18" s="888" customFormat="1" hidden="1">
      <c r="A519" s="885" t="s">
        <v>8</v>
      </c>
      <c r="B519" s="885" t="s">
        <v>608</v>
      </c>
      <c r="C519" s="889">
        <v>2140406</v>
      </c>
      <c r="D519" s="889" t="s">
        <v>749</v>
      </c>
      <c r="E519" s="886" t="s">
        <v>6</v>
      </c>
      <c r="F519" s="886" t="s">
        <v>271</v>
      </c>
      <c r="G519" s="47">
        <f>-IF(F519="I",IFERROR(VLOOKUP(C519,'BG 062022'!A:C,3,FALSE),0),0)</f>
        <v>0</v>
      </c>
      <c r="H519" s="885"/>
      <c r="I519" s="63">
        <f>-IF(F519="I",IFERROR(VLOOKUP(C519,'BG 062022'!A:D,4,FALSE),0),0)</f>
        <v>0</v>
      </c>
      <c r="J519" s="887"/>
      <c r="K519" s="47">
        <f>-IF(F519="I",SUMIF('BG 2021'!B:B,Clasificaciones!C519,'BG 2021'!D:D),0)</f>
        <v>0</v>
      </c>
      <c r="L519" s="887"/>
      <c r="M519" s="63">
        <f>-IF(F519="I",SUMIF('BG 2021'!B:B,Clasificaciones!C519,'BG 2021'!E:E),0)</f>
        <v>0</v>
      </c>
      <c r="N519" s="887"/>
      <c r="O519" s="47">
        <f>IF(F519="I",SUMIF('BG 062021'!A:A,Clasificaciones!C519,'BG 062021'!C:C),0)</f>
        <v>32287007</v>
      </c>
      <c r="P519" s="887"/>
      <c r="Q519" s="63">
        <f>IF(F519="I",SUMIF('BG 062021'!A:A,Clasificaciones!C519,'BG 062021'!D:D),0)</f>
        <v>4775.22</v>
      </c>
      <c r="R519" s="888">
        <f>+VLOOKUP(C519,'CA EFE'!A:A,1,FALSE)</f>
        <v>2140406</v>
      </c>
    </row>
    <row r="520" spans="1:18" s="888" customFormat="1" hidden="1">
      <c r="A520" s="885" t="s">
        <v>8</v>
      </c>
      <c r="B520" s="885" t="s">
        <v>608</v>
      </c>
      <c r="C520" s="889">
        <v>2140407</v>
      </c>
      <c r="D520" s="889" t="s">
        <v>293</v>
      </c>
      <c r="E520" s="886" t="s">
        <v>6</v>
      </c>
      <c r="F520" s="886" t="s">
        <v>271</v>
      </c>
      <c r="G520" s="47">
        <f>-IF(F520="I",IFERROR(VLOOKUP(C520,'BG 062022'!A:C,3,FALSE),0),0)</f>
        <v>-100635995</v>
      </c>
      <c r="H520" s="885"/>
      <c r="I520" s="63">
        <f>-IF(F520="I",IFERROR(VLOOKUP(C520,'BG 062022'!A:D,4,FALSE),0),0)</f>
        <v>-14696.87</v>
      </c>
      <c r="J520" s="887"/>
      <c r="K520" s="47">
        <f>-IF(F520="I",SUMIF('BG 2021'!B:B,Clasificaciones!C520,'BG 2021'!D:D),0)</f>
        <v>0</v>
      </c>
      <c r="L520" s="887"/>
      <c r="M520" s="63">
        <f>-IF(F520="I",SUMIF('BG 2021'!B:B,Clasificaciones!C520,'BG 2021'!E:E),0)</f>
        <v>0</v>
      </c>
      <c r="N520" s="887"/>
      <c r="O520" s="47">
        <f>IF(F520="I",SUMIF('BG 062021'!A:A,Clasificaciones!C520,'BG 062021'!C:C),0)</f>
        <v>128833960</v>
      </c>
      <c r="P520" s="887"/>
      <c r="Q520" s="63">
        <f>IF(F520="I",SUMIF('BG 062021'!A:A,Clasificaciones!C520,'BG 062021'!D:D),0)</f>
        <v>19054.419999999998</v>
      </c>
      <c r="R520" s="888">
        <f>+VLOOKUP(C520,'CA EFE'!A:A,1,FALSE)</f>
        <v>2140407</v>
      </c>
    </row>
    <row r="521" spans="1:18" s="888" customFormat="1" hidden="1">
      <c r="A521" s="885" t="s">
        <v>8</v>
      </c>
      <c r="B521" s="885" t="s">
        <v>608</v>
      </c>
      <c r="C521" s="889">
        <v>2140408</v>
      </c>
      <c r="D521" s="889" t="s">
        <v>294</v>
      </c>
      <c r="E521" s="886" t="s">
        <v>6</v>
      </c>
      <c r="F521" s="886" t="s">
        <v>271</v>
      </c>
      <c r="G521" s="47">
        <f>-IF(F521="I",IFERROR(VLOOKUP(C521,'BG 062022'!A:C,3,FALSE),0),0)</f>
        <v>-4056686</v>
      </c>
      <c r="H521" s="885"/>
      <c r="I521" s="63">
        <f>-IF(F521="I",IFERROR(VLOOKUP(C521,'BG 062022'!A:D,4,FALSE),0),0)</f>
        <v>-592.21</v>
      </c>
      <c r="J521" s="887"/>
      <c r="K521" s="47">
        <f>-IF(F521="I",SUMIF('BG 2021'!B:B,Clasificaciones!C521,'BG 2021'!D:D),0)</f>
        <v>0</v>
      </c>
      <c r="L521" s="887"/>
      <c r="M521" s="63">
        <f>-IF(F521="I",SUMIF('BG 2021'!B:B,Clasificaciones!C521,'BG 2021'!E:E),0)</f>
        <v>0</v>
      </c>
      <c r="N521" s="887"/>
      <c r="O521" s="47">
        <f>IF(F521="I",SUMIF('BG 062021'!A:A,Clasificaciones!C521,'BG 062021'!C:C),0)</f>
        <v>10779465</v>
      </c>
      <c r="P521" s="887"/>
      <c r="Q521" s="63">
        <f>IF(F521="I",SUMIF('BG 062021'!A:A,Clasificaciones!C521,'BG 062021'!D:D),0)</f>
        <v>1594.27</v>
      </c>
      <c r="R521" s="888">
        <f>+VLOOKUP(C521,'CA EFE'!A:A,1,FALSE)</f>
        <v>2140408</v>
      </c>
    </row>
    <row r="522" spans="1:18" s="888" customFormat="1" hidden="1">
      <c r="A522" s="885" t="s">
        <v>8</v>
      </c>
      <c r="B522" s="885"/>
      <c r="C522" s="889">
        <v>2140409</v>
      </c>
      <c r="D522" s="889" t="s">
        <v>295</v>
      </c>
      <c r="E522" s="886" t="s">
        <v>6</v>
      </c>
      <c r="F522" s="886" t="s">
        <v>271</v>
      </c>
      <c r="G522" s="47">
        <f>-IF(F522="I",IFERROR(VLOOKUP(C522,'BG 062022'!A:C,3,FALSE),0),0)</f>
        <v>0</v>
      </c>
      <c r="H522" s="885"/>
      <c r="I522" s="63">
        <f>-IF(F522="I",IFERROR(VLOOKUP(C522,'BG 062022'!A:D,4,FALSE),0),0)</f>
        <v>0</v>
      </c>
      <c r="J522" s="887"/>
      <c r="K522" s="47">
        <f>-IF(F522="I",SUMIF('BG 2021'!B:B,Clasificaciones!C522,'BG 2021'!D:D),0)</f>
        <v>0</v>
      </c>
      <c r="L522" s="887"/>
      <c r="M522" s="63">
        <f>-IF(F522="I",SUMIF('BG 2021'!B:B,Clasificaciones!C522,'BG 2021'!E:E),0)</f>
        <v>0</v>
      </c>
      <c r="N522" s="887"/>
      <c r="O522" s="47">
        <f>IF(F522="I",SUMIF('BG 062021'!A:A,Clasificaciones!C522,'BG 062021'!C:C),0)</f>
        <v>0</v>
      </c>
      <c r="P522" s="887"/>
      <c r="Q522" s="63">
        <f>IF(F522="I",SUMIF('BG 062021'!A:A,Clasificaciones!C522,'BG 062021'!D:D),0)</f>
        <v>0</v>
      </c>
    </row>
    <row r="523" spans="1:18" s="888" customFormat="1" hidden="1">
      <c r="A523" s="885" t="s">
        <v>8</v>
      </c>
      <c r="B523" s="885" t="s">
        <v>608</v>
      </c>
      <c r="C523" s="889">
        <v>2140410</v>
      </c>
      <c r="D523" s="889" t="s">
        <v>296</v>
      </c>
      <c r="E523" s="886" t="s">
        <v>6</v>
      </c>
      <c r="F523" s="886" t="s">
        <v>271</v>
      </c>
      <c r="G523" s="47">
        <f>-IF(F523="I",IFERROR(VLOOKUP(C523,'BG 062022'!A:C,3,FALSE),0),0)</f>
        <v>-2500000</v>
      </c>
      <c r="H523" s="885"/>
      <c r="I523" s="63">
        <f>-IF(F523="I",IFERROR(VLOOKUP(C523,'BG 062022'!A:D,4,FALSE),0),0)</f>
        <v>-364.96</v>
      </c>
      <c r="J523" s="887"/>
      <c r="K523" s="47">
        <f>-IF(F523="I",SUMIF('BG 2021'!B:B,Clasificaciones!C523,'BG 2021'!D:D),0)</f>
        <v>0</v>
      </c>
      <c r="L523" s="887"/>
      <c r="M523" s="63">
        <f>-IF(F523="I",SUMIF('BG 2021'!B:B,Clasificaciones!C523,'BG 2021'!E:E),0)</f>
        <v>0</v>
      </c>
      <c r="N523" s="887"/>
      <c r="O523" s="47">
        <f>IF(F523="I",SUMIF('BG 062021'!A:A,Clasificaciones!C523,'BG 062021'!C:C),0)</f>
        <v>90000000</v>
      </c>
      <c r="P523" s="887"/>
      <c r="Q523" s="63">
        <f>IF(F523="I",SUMIF('BG 062021'!A:A,Clasificaciones!C523,'BG 062021'!D:D),0)</f>
        <v>13310.91</v>
      </c>
      <c r="R523" s="888">
        <f>+VLOOKUP(C523,'CA EFE'!A:A,1,FALSE)</f>
        <v>2140410</v>
      </c>
    </row>
    <row r="524" spans="1:18" s="888" customFormat="1" hidden="1">
      <c r="A524" s="885" t="s">
        <v>8</v>
      </c>
      <c r="B524" s="885" t="s">
        <v>608</v>
      </c>
      <c r="C524" s="889">
        <v>2140411</v>
      </c>
      <c r="D524" s="889" t="s">
        <v>297</v>
      </c>
      <c r="E524" s="886" t="s">
        <v>6</v>
      </c>
      <c r="F524" s="886" t="s">
        <v>271</v>
      </c>
      <c r="G524" s="47">
        <f>-IF(F524="I",IFERROR(VLOOKUP(C524,'BG 062022'!A:C,3,FALSE),0),0)</f>
        <v>-6363636</v>
      </c>
      <c r="H524" s="885"/>
      <c r="I524" s="63">
        <f>-IF(F524="I",IFERROR(VLOOKUP(C524,'BG 062022'!A:D,4,FALSE),0),0)</f>
        <v>-928.99</v>
      </c>
      <c r="J524" s="887"/>
      <c r="K524" s="47">
        <f>-IF(F524="I",SUMIF('BG 2021'!B:B,Clasificaciones!C524,'BG 2021'!D:D),0)</f>
        <v>0</v>
      </c>
      <c r="L524" s="887"/>
      <c r="M524" s="63">
        <f>-IF(F524="I",SUMIF('BG 2021'!B:B,Clasificaciones!C524,'BG 2021'!E:E),0)</f>
        <v>0</v>
      </c>
      <c r="N524" s="887"/>
      <c r="O524" s="47">
        <f>IF(F524="I",SUMIF('BG 062021'!A:A,Clasificaciones!C524,'BG 062021'!C:C),0)</f>
        <v>0</v>
      </c>
      <c r="P524" s="887"/>
      <c r="Q524" s="63">
        <f>IF(F524="I",SUMIF('BG 062021'!A:A,Clasificaciones!C524,'BG 062021'!D:D),0)</f>
        <v>0</v>
      </c>
      <c r="R524" s="888">
        <f>+VLOOKUP(C524,'CA EFE'!A:A,1,FALSE)</f>
        <v>2140411</v>
      </c>
    </row>
    <row r="525" spans="1:18" s="888" customFormat="1" hidden="1">
      <c r="A525" s="885" t="s">
        <v>8</v>
      </c>
      <c r="B525" s="885" t="s">
        <v>608</v>
      </c>
      <c r="C525" s="889">
        <v>2140412</v>
      </c>
      <c r="D525" s="889" t="s">
        <v>295</v>
      </c>
      <c r="E525" s="886" t="s">
        <v>6</v>
      </c>
      <c r="F525" s="886" t="s">
        <v>271</v>
      </c>
      <c r="G525" s="47">
        <f>-IF(F525="I",IFERROR(VLOOKUP(C525,'BG 062022'!A:C,3,FALSE),0),0)</f>
        <v>-41666665</v>
      </c>
      <c r="H525" s="885"/>
      <c r="I525" s="63">
        <f>-IF(F525="I",IFERROR(VLOOKUP(C525,'BG 062022'!A:D,4,FALSE),0),0)</f>
        <v>-6082.68</v>
      </c>
      <c r="J525" s="887"/>
      <c r="K525" s="47">
        <f>-IF(F525="I",SUMIF('BG 2021'!B:B,Clasificaciones!C525,'BG 2021'!D:D),0)</f>
        <v>0</v>
      </c>
      <c r="L525" s="887"/>
      <c r="M525" s="63">
        <f>-IF(F525="I",SUMIF('BG 2021'!B:B,Clasificaciones!C525,'BG 2021'!E:E),0)</f>
        <v>0</v>
      </c>
      <c r="N525" s="887"/>
      <c r="O525" s="47">
        <f>IF(F525="I",SUMIF('BG 062021'!A:A,Clasificaciones!C525,'BG 062021'!C:C),0)</f>
        <v>253163206</v>
      </c>
      <c r="P525" s="887"/>
      <c r="Q525" s="63">
        <f>IF(F525="I",SUMIF('BG 062021'!A:A,Clasificaciones!C525,'BG 062021'!D:D),0)</f>
        <v>37442.589999999997</v>
      </c>
      <c r="R525" s="888">
        <f>+VLOOKUP(C525,'CA EFE'!A:A,1,FALSE)</f>
        <v>2140412</v>
      </c>
    </row>
    <row r="526" spans="1:18" s="888" customFormat="1" hidden="1">
      <c r="A526" s="885" t="s">
        <v>8</v>
      </c>
      <c r="B526" s="885" t="s">
        <v>608</v>
      </c>
      <c r="C526" s="889">
        <v>2140413</v>
      </c>
      <c r="D526" s="889" t="s">
        <v>1423</v>
      </c>
      <c r="E526" s="886" t="s">
        <v>6</v>
      </c>
      <c r="F526" s="886" t="s">
        <v>271</v>
      </c>
      <c r="G526" s="47">
        <f>-IF(F526="I",IFERROR(VLOOKUP(C526,'BG 062022'!A:C,3,FALSE),0),0)</f>
        <v>-1024520</v>
      </c>
      <c r="H526" s="885"/>
      <c r="I526" s="63">
        <f>-IF(F526="I",IFERROR(VLOOKUP(C526,'BG 062022'!A:D,4,FALSE),0),0)</f>
        <v>-149.56</v>
      </c>
      <c r="J526" s="887"/>
      <c r="K526" s="47">
        <f>-IF(F526="I",SUMIF('BG 2021'!B:B,Clasificaciones!C526,'BG 2021'!D:D),0)</f>
        <v>-6780241</v>
      </c>
      <c r="L526" s="887"/>
      <c r="M526" s="63">
        <f>-IF(F526="I",SUMIF('BG 2021'!B:B,Clasificaciones!C526,'BG 2021'!E:E),0)</f>
        <v>-984.4399999999996</v>
      </c>
      <c r="N526" s="887"/>
      <c r="O526" s="47">
        <f>IF(F526="I",SUMIF('BG 062021'!A:A,Clasificaciones!C526,'BG 062021'!C:C),0)</f>
        <v>9114606</v>
      </c>
      <c r="P526" s="887"/>
      <c r="Q526" s="63">
        <f>IF(F526="I",SUMIF('BG 062021'!A:A,Clasificaciones!C526,'BG 062021'!D:D),0)</f>
        <v>1348.04</v>
      </c>
      <c r="R526" s="888">
        <f>+VLOOKUP(C526,'CA EFE'!A:A,1,FALSE)</f>
        <v>2140413</v>
      </c>
    </row>
    <row r="527" spans="1:18" s="888" customFormat="1" hidden="1">
      <c r="A527" s="885" t="s">
        <v>8</v>
      </c>
      <c r="B527" s="885" t="s">
        <v>608</v>
      </c>
      <c r="C527" s="889">
        <v>2140414</v>
      </c>
      <c r="D527" s="889" t="s">
        <v>1424</v>
      </c>
      <c r="E527" s="886" t="s">
        <v>186</v>
      </c>
      <c r="F527" s="886" t="s">
        <v>271</v>
      </c>
      <c r="G527" s="47">
        <f>-IF(F527="I",IFERROR(VLOOKUP(C527,'BG 062022'!A:C,3,FALSE),0),0)</f>
        <v>-170635</v>
      </c>
      <c r="H527" s="885"/>
      <c r="I527" s="63">
        <f>-IF(F527="I",IFERROR(VLOOKUP(C527,'BG 062022'!A:D,4,FALSE),0),0)</f>
        <v>-24.91</v>
      </c>
      <c r="J527" s="887"/>
      <c r="K527" s="47">
        <f>-IF(F527="I",SUMIF('BG 2021'!B:B,Clasificaciones!C527,'BG 2021'!D:D),0)</f>
        <v>-686536</v>
      </c>
      <c r="L527" s="887"/>
      <c r="M527" s="63">
        <f>-IF(F527="I",SUMIF('BG 2021'!B:B,Clasificaciones!C527,'BG 2021'!E:E),0)</f>
        <v>-99.680000000000064</v>
      </c>
      <c r="N527" s="887"/>
      <c r="O527" s="47">
        <f>IF(F527="I",SUMIF('BG 062021'!A:A,Clasificaciones!C527,'BG 062021'!C:C),0)</f>
        <v>1770465</v>
      </c>
      <c r="P527" s="887"/>
      <c r="Q527" s="63">
        <f>IF(F527="I",SUMIF('BG 062021'!A:A,Clasificaciones!C527,'BG 062021'!D:D),0)</f>
        <v>261.85000000000002</v>
      </c>
      <c r="R527" s="888">
        <f>+VLOOKUP(C527,'CA EFE'!A:A,1,FALSE)</f>
        <v>2140414</v>
      </c>
    </row>
    <row r="528" spans="1:18" s="888" customFormat="1" hidden="1">
      <c r="A528" s="885" t="s">
        <v>8</v>
      </c>
      <c r="B528" s="885" t="s">
        <v>608</v>
      </c>
      <c r="C528" s="889">
        <v>2140415</v>
      </c>
      <c r="D528" s="889" t="s">
        <v>1235</v>
      </c>
      <c r="E528" s="886" t="s">
        <v>6</v>
      </c>
      <c r="F528" s="886" t="s">
        <v>271</v>
      </c>
      <c r="G528" s="47">
        <f>-IF(F528="I",IFERROR(VLOOKUP(C528,'BG 062022'!A:C,3,FALSE),0),0)</f>
        <v>-50000000</v>
      </c>
      <c r="H528" s="885"/>
      <c r="I528" s="63">
        <f>-IF(F528="I",IFERROR(VLOOKUP(C528,'BG 062022'!A:D,4,FALSE),0),0)</f>
        <v>-7299.22</v>
      </c>
      <c r="J528" s="887"/>
      <c r="K528" s="47">
        <f>-IF(F528="I",SUMIF('BG 2021'!B:B,Clasificaciones!C528,'BG 2021'!D:D),0)</f>
        <v>-50000000</v>
      </c>
      <c r="L528" s="887"/>
      <c r="M528" s="63">
        <f>-IF(F528="I",SUMIF('BG 2021'!B:B,Clasificaciones!C528,'BG 2021'!E:E),0)</f>
        <v>-7259.64</v>
      </c>
      <c r="N528" s="887"/>
      <c r="O528" s="47">
        <f>IF(F528="I",SUMIF('BG 062021'!A:A,Clasificaciones!C528,'BG 062021'!C:C),0)</f>
        <v>0</v>
      </c>
      <c r="P528" s="887"/>
      <c r="Q528" s="63">
        <f>IF(F528="I",SUMIF('BG 062021'!A:A,Clasificaciones!C528,'BG 062021'!D:D),0)</f>
        <v>0</v>
      </c>
      <c r="R528" s="888">
        <f>+VLOOKUP(C528,'CA EFE'!A:A,1,FALSE)</f>
        <v>2140415</v>
      </c>
    </row>
    <row r="529" spans="1:18" s="888" customFormat="1" hidden="1">
      <c r="A529" s="885" t="s">
        <v>8</v>
      </c>
      <c r="B529" s="885" t="s">
        <v>608</v>
      </c>
      <c r="C529" s="889">
        <v>2140416</v>
      </c>
      <c r="D529" s="889" t="s">
        <v>1196</v>
      </c>
      <c r="E529" s="886" t="s">
        <v>6</v>
      </c>
      <c r="F529" s="886" t="s">
        <v>271</v>
      </c>
      <c r="G529" s="47">
        <f>-IF(F529="I",IFERROR(VLOOKUP(C529,'BG 062022'!A:C,3,FALSE),0),0)</f>
        <v>0</v>
      </c>
      <c r="H529" s="885"/>
      <c r="I529" s="63">
        <f>-IF(F529="I",IFERROR(VLOOKUP(C529,'BG 062022'!A:D,4,FALSE),0),0)</f>
        <v>0</v>
      </c>
      <c r="J529" s="887"/>
      <c r="K529" s="47">
        <f>-IF(F529="I",SUMIF('BG 2021'!B:B,Clasificaciones!C529,'BG 2021'!D:D),0)</f>
        <v>0</v>
      </c>
      <c r="L529" s="887"/>
      <c r="M529" s="63">
        <f>-IF(F529="I",SUMIF('BG 2021'!B:B,Clasificaciones!C529,'BG 2021'!E:E),0)</f>
        <v>0</v>
      </c>
      <c r="N529" s="887"/>
      <c r="O529" s="47">
        <f>IF(F529="I",SUMIF('BG 062021'!A:A,Clasificaciones!C529,'BG 062021'!C:C),0)</f>
        <v>170000000</v>
      </c>
      <c r="P529" s="887"/>
      <c r="Q529" s="63">
        <f>IF(F529="I",SUMIF('BG 062021'!A:A,Clasificaciones!C529,'BG 062021'!D:D),0)</f>
        <v>25142.83</v>
      </c>
    </row>
    <row r="530" spans="1:18" s="888" customFormat="1" hidden="1">
      <c r="A530" s="885" t="s">
        <v>8</v>
      </c>
      <c r="B530" s="885" t="s">
        <v>608</v>
      </c>
      <c r="C530" s="889">
        <v>2140417</v>
      </c>
      <c r="D530" s="889" t="s">
        <v>1425</v>
      </c>
      <c r="E530" s="886" t="s">
        <v>6</v>
      </c>
      <c r="F530" s="886" t="s">
        <v>271</v>
      </c>
      <c r="G530" s="47">
        <f>-IF(F530="I",IFERROR(VLOOKUP(C530,'BG 062022'!A:C,3,FALSE),0),0)</f>
        <v>0</v>
      </c>
      <c r="H530" s="885"/>
      <c r="I530" s="63">
        <f>-IF(F530="I",IFERROR(VLOOKUP(C530,'BG 062022'!A:D,4,FALSE),0),0)</f>
        <v>0</v>
      </c>
      <c r="J530" s="887"/>
      <c r="K530" s="47">
        <f>-IF(F530="I",SUMIF('BG 2021'!B:B,Clasificaciones!C530,'BG 2021'!D:D),0)</f>
        <v>-2899473</v>
      </c>
      <c r="L530" s="887"/>
      <c r="M530" s="63">
        <f>-IF(F530="I",SUMIF('BG 2021'!B:B,Clasificaciones!C530,'BG 2021'!E:E),0)</f>
        <v>-420.98</v>
      </c>
      <c r="N530" s="887"/>
      <c r="O530" s="47">
        <f>IF(F530="I",SUMIF('BG 062021'!A:A,Clasificaciones!C530,'BG 062021'!C:C),0)</f>
        <v>0</v>
      </c>
      <c r="P530" s="887"/>
      <c r="Q530" s="63">
        <f>IF(F530="I",SUMIF('BG 062021'!A:A,Clasificaciones!C530,'BG 062021'!D:D),0)</f>
        <v>0</v>
      </c>
    </row>
    <row r="531" spans="1:18" s="888" customFormat="1" hidden="1">
      <c r="A531" s="885" t="s">
        <v>8</v>
      </c>
      <c r="B531" s="885" t="s">
        <v>608</v>
      </c>
      <c r="C531" s="889">
        <v>2140418</v>
      </c>
      <c r="D531" s="889" t="s">
        <v>1253</v>
      </c>
      <c r="E531" s="886" t="s">
        <v>6</v>
      </c>
      <c r="F531" s="886" t="s">
        <v>271</v>
      </c>
      <c r="G531" s="47">
        <f>-IF(F531="I",IFERROR(VLOOKUP(C531,'BG 062022'!A:C,3,FALSE),0),0)</f>
        <v>0</v>
      </c>
      <c r="H531" s="885"/>
      <c r="I531" s="63">
        <f>-IF(F531="I",IFERROR(VLOOKUP(C531,'BG 062022'!A:D,4,FALSE),0),0)</f>
        <v>0</v>
      </c>
      <c r="J531" s="887"/>
      <c r="K531" s="47">
        <f>-IF(F531="I",SUMIF('BG 2021'!B:B,Clasificaciones!C531,'BG 2021'!D:D),0)</f>
        <v>-1599181</v>
      </c>
      <c r="L531" s="887"/>
      <c r="M531" s="63">
        <f>-IF(F531="I",SUMIF('BG 2021'!B:B,Clasificaciones!C531,'BG 2021'!E:E),0)</f>
        <v>-232.19</v>
      </c>
      <c r="N531" s="887"/>
      <c r="O531" s="47">
        <f>IF(F531="I",SUMIF('BG 062021'!A:A,Clasificaciones!C531,'BG 062021'!C:C),0)</f>
        <v>0</v>
      </c>
      <c r="P531" s="887"/>
      <c r="Q531" s="63">
        <f>IF(F531="I",SUMIF('BG 062021'!A:A,Clasificaciones!C531,'BG 062021'!D:D),0)</f>
        <v>0</v>
      </c>
    </row>
    <row r="532" spans="1:18" s="888" customFormat="1" hidden="1">
      <c r="A532" s="885" t="s">
        <v>8</v>
      </c>
      <c r="B532" s="885" t="s">
        <v>608</v>
      </c>
      <c r="C532" s="889">
        <v>2140419</v>
      </c>
      <c r="D532" s="889" t="s">
        <v>1426</v>
      </c>
      <c r="E532" s="886" t="s">
        <v>6</v>
      </c>
      <c r="F532" s="886" t="s">
        <v>271</v>
      </c>
      <c r="G532" s="47">
        <f>-IF(F532="I",IFERROR(VLOOKUP(C532,'BG 062022'!A:C,3,FALSE),0),0)</f>
        <v>-61635560</v>
      </c>
      <c r="H532" s="885"/>
      <c r="I532" s="63">
        <f>-IF(F532="I",IFERROR(VLOOKUP(C532,'BG 062022'!A:D,4,FALSE),0),0)</f>
        <v>-8997.83</v>
      </c>
      <c r="J532" s="887"/>
      <c r="K532" s="47">
        <f>-IF(F532="I",SUMIF('BG 2021'!B:B,Clasificaciones!C532,'BG 2021'!D:D),0)</f>
        <v>-80000000</v>
      </c>
      <c r="L532" s="887"/>
      <c r="M532" s="63">
        <f>-IF(F532="I",SUMIF('BG 2021'!B:B,Clasificaciones!C532,'BG 2021'!E:E),0)</f>
        <v>-11615.41</v>
      </c>
      <c r="N532" s="887"/>
      <c r="O532" s="47">
        <f>IF(F532="I",SUMIF('BG 062021'!A:A,Clasificaciones!C532,'BG 062021'!C:C),0)</f>
        <v>0</v>
      </c>
      <c r="P532" s="887"/>
      <c r="Q532" s="63">
        <f>IF(F532="I",SUMIF('BG 062021'!A:A,Clasificaciones!C532,'BG 062021'!D:D),0)</f>
        <v>0</v>
      </c>
      <c r="R532" s="888">
        <f>+VLOOKUP(C532,'CA EFE'!A:A,1,FALSE)</f>
        <v>2140419</v>
      </c>
    </row>
    <row r="533" spans="1:18" s="888" customFormat="1" hidden="1">
      <c r="A533" s="885" t="s">
        <v>8</v>
      </c>
      <c r="B533" s="885" t="s">
        <v>608</v>
      </c>
      <c r="C533" s="889">
        <v>2140420</v>
      </c>
      <c r="D533" s="889" t="s">
        <v>1255</v>
      </c>
      <c r="E533" s="886" t="s">
        <v>186</v>
      </c>
      <c r="F533" s="886" t="s">
        <v>271</v>
      </c>
      <c r="G533" s="47">
        <f>-IF(F533="I",IFERROR(VLOOKUP(C533,'BG 062022'!A:C,3,FALSE),0),0)</f>
        <v>0</v>
      </c>
      <c r="H533" s="885"/>
      <c r="I533" s="63">
        <f>-IF(F533="I",IFERROR(VLOOKUP(C533,'BG 062022'!A:D,4,FALSE),0),0)</f>
        <v>0</v>
      </c>
      <c r="J533" s="887"/>
      <c r="K533" s="47">
        <f>-IF(F533="I",SUMIF('BG 2021'!B:B,Clasificaciones!C533,'BG 2021'!D:D),0)</f>
        <v>-2672862</v>
      </c>
      <c r="L533" s="887"/>
      <c r="M533" s="63">
        <f>-IF(F533="I",SUMIF('BG 2021'!B:B,Clasificaciones!C533,'BG 2021'!E:E),0)</f>
        <v>-388.08</v>
      </c>
      <c r="N533" s="887"/>
      <c r="O533" s="47">
        <f>IF(F533="I",SUMIF('BG 062021'!A:A,Clasificaciones!C533,'BG 062021'!C:C),0)</f>
        <v>0</v>
      </c>
      <c r="P533" s="887"/>
      <c r="Q533" s="63">
        <f>IF(F533="I",SUMIF('BG 062021'!A:A,Clasificaciones!C533,'BG 062021'!D:D),0)</f>
        <v>0</v>
      </c>
    </row>
    <row r="534" spans="1:18" s="888" customFormat="1" hidden="1">
      <c r="A534" s="885" t="s">
        <v>8</v>
      </c>
      <c r="B534" s="885"/>
      <c r="C534" s="889">
        <v>218</v>
      </c>
      <c r="D534" s="889" t="s">
        <v>1038</v>
      </c>
      <c r="E534" s="886" t="s">
        <v>6</v>
      </c>
      <c r="F534" s="886" t="s">
        <v>270</v>
      </c>
      <c r="G534" s="47">
        <f>-IF(F534="I",IFERROR(VLOOKUP(C534,'BG 062022'!A:C,3,FALSE),0),0)</f>
        <v>0</v>
      </c>
      <c r="H534" s="885"/>
      <c r="I534" s="63">
        <f>-IF(F534="I",IFERROR(VLOOKUP(C534,'BG 062022'!A:D,4,FALSE),0),0)</f>
        <v>0</v>
      </c>
      <c r="J534" s="887"/>
      <c r="K534" s="47">
        <f>-IF(F534="I",SUMIF('BG 2021'!B:B,Clasificaciones!C534,'BG 2021'!D:D),0)</f>
        <v>0</v>
      </c>
      <c r="L534" s="887"/>
      <c r="M534" s="63">
        <f>-IF(F534="I",SUMIF('BG 2021'!B:B,Clasificaciones!C534,'BG 2021'!E:E),0)</f>
        <v>0</v>
      </c>
      <c r="N534" s="887"/>
      <c r="O534" s="47">
        <f>IF(F534="I",SUMIF('BG 062021'!A:A,Clasificaciones!C534,'BG 062021'!C:C),0)</f>
        <v>0</v>
      </c>
      <c r="P534" s="887"/>
      <c r="Q534" s="63">
        <f>IF(F534="I",SUMIF('BG 062021'!A:A,Clasificaciones!C534,'BG 062021'!D:D),0)</f>
        <v>0</v>
      </c>
    </row>
    <row r="535" spans="1:18" s="888" customFormat="1" hidden="1">
      <c r="A535" s="885" t="s">
        <v>8</v>
      </c>
      <c r="B535" s="885"/>
      <c r="C535" s="889">
        <v>2181</v>
      </c>
      <c r="D535" s="889" t="s">
        <v>1039</v>
      </c>
      <c r="E535" s="886" t="s">
        <v>6</v>
      </c>
      <c r="F535" s="886" t="s">
        <v>270</v>
      </c>
      <c r="G535" s="47">
        <f>-IF(F535="I",IFERROR(VLOOKUP(C535,'BG 062022'!A:C,3,FALSE),0),0)</f>
        <v>0</v>
      </c>
      <c r="H535" s="885"/>
      <c r="I535" s="63">
        <f>-IF(F535="I",IFERROR(VLOOKUP(C535,'BG 062022'!A:D,4,FALSE),0),0)</f>
        <v>0</v>
      </c>
      <c r="J535" s="887"/>
      <c r="K535" s="47">
        <f>-IF(F535="I",SUMIF('BG 2021'!B:B,Clasificaciones!C535,'BG 2021'!D:D),0)</f>
        <v>0</v>
      </c>
      <c r="L535" s="887"/>
      <c r="M535" s="63">
        <f>-IF(F535="I",SUMIF('BG 2021'!B:B,Clasificaciones!C535,'BG 2021'!E:E),0)</f>
        <v>0</v>
      </c>
      <c r="N535" s="887"/>
      <c r="O535" s="47">
        <f>IF(F535="I",SUMIF('BG 062021'!A:A,Clasificaciones!C535,'BG 062021'!C:C),0)</f>
        <v>0</v>
      </c>
      <c r="P535" s="887"/>
      <c r="Q535" s="63">
        <f>IF(F535="I",SUMIF('BG 062021'!A:A,Clasificaciones!C535,'BG 062021'!D:D),0)</f>
        <v>0</v>
      </c>
    </row>
    <row r="536" spans="1:18" s="888" customFormat="1" hidden="1">
      <c r="A536" s="885" t="s">
        <v>8</v>
      </c>
      <c r="B536" s="885"/>
      <c r="C536" s="889">
        <v>218101</v>
      </c>
      <c r="D536" s="889" t="s">
        <v>1040</v>
      </c>
      <c r="E536" s="886" t="s">
        <v>6</v>
      </c>
      <c r="F536" s="886" t="s">
        <v>270</v>
      </c>
      <c r="G536" s="47">
        <f>-IF(F536="I",IFERROR(VLOOKUP(C536,'BG 062022'!A:C,3,FALSE),0),0)</f>
        <v>0</v>
      </c>
      <c r="H536" s="885"/>
      <c r="I536" s="63">
        <f>-IF(F536="I",IFERROR(VLOOKUP(C536,'BG 062022'!A:D,4,FALSE),0),0)</f>
        <v>0</v>
      </c>
      <c r="J536" s="887"/>
      <c r="K536" s="47">
        <f>-IF(F536="I",SUMIF('BG 2021'!B:B,Clasificaciones!C536,'BG 2021'!D:D),0)</f>
        <v>0</v>
      </c>
      <c r="L536" s="887"/>
      <c r="M536" s="63">
        <f>-IF(F536="I",SUMIF('BG 2021'!B:B,Clasificaciones!C536,'BG 2021'!E:E),0)</f>
        <v>0</v>
      </c>
      <c r="N536" s="887"/>
      <c r="O536" s="47">
        <f>IF(F536="I",SUMIF('BG 062021'!A:A,Clasificaciones!C536,'BG 062021'!C:C),0)</f>
        <v>0</v>
      </c>
      <c r="P536" s="887"/>
      <c r="Q536" s="63">
        <f>IF(F536="I",SUMIF('BG 062021'!A:A,Clasificaciones!C536,'BG 062021'!D:D),0)</f>
        <v>0</v>
      </c>
    </row>
    <row r="537" spans="1:18" s="888" customFormat="1" hidden="1">
      <c r="A537" s="885" t="s">
        <v>8</v>
      </c>
      <c r="B537" s="885"/>
      <c r="C537" s="889">
        <v>21810101</v>
      </c>
      <c r="D537" s="889" t="s">
        <v>1041</v>
      </c>
      <c r="E537" s="886" t="s">
        <v>6</v>
      </c>
      <c r="F537" s="886" t="s">
        <v>271</v>
      </c>
      <c r="G537" s="47">
        <f>-IF(F537="I",IFERROR(VLOOKUP(C537,'BG 062022'!A:C,3,FALSE),0),0)</f>
        <v>0</v>
      </c>
      <c r="H537" s="885"/>
      <c r="I537" s="63">
        <f>-IF(F537="I",IFERROR(VLOOKUP(C537,'BG 062022'!A:D,4,FALSE),0),0)</f>
        <v>0</v>
      </c>
      <c r="J537" s="887"/>
      <c r="K537" s="47">
        <f>-IF(F537="I",SUMIF('BG 2021'!B:B,Clasificaciones!C537,'BG 2021'!D:D),0)</f>
        <v>0</v>
      </c>
      <c r="L537" s="887"/>
      <c r="M537" s="63">
        <f>-IF(F537="I",SUMIF('BG 2021'!B:B,Clasificaciones!C537,'BG 2021'!E:E),0)</f>
        <v>0</v>
      </c>
      <c r="N537" s="887"/>
      <c r="O537" s="47">
        <f>IF(F537="I",SUMIF('BG 062021'!A:A,Clasificaciones!C537,'BG 062021'!C:C),0)</f>
        <v>0</v>
      </c>
      <c r="P537" s="887"/>
      <c r="Q537" s="63">
        <f>IF(F537="I",SUMIF('BG 062021'!A:A,Clasificaciones!C537,'BG 062021'!D:D),0)</f>
        <v>0</v>
      </c>
    </row>
    <row r="538" spans="1:18" s="888" customFormat="1" hidden="1">
      <c r="A538" s="885" t="s">
        <v>8</v>
      </c>
      <c r="B538" s="885"/>
      <c r="C538" s="889">
        <v>21810102</v>
      </c>
      <c r="D538" s="889" t="s">
        <v>1042</v>
      </c>
      <c r="E538" s="886" t="s">
        <v>6</v>
      </c>
      <c r="F538" s="886" t="s">
        <v>271</v>
      </c>
      <c r="G538" s="47">
        <f>-IF(F538="I",IFERROR(VLOOKUP(C538,'BG 062022'!A:C,3,FALSE),0),0)</f>
        <v>0</v>
      </c>
      <c r="H538" s="885"/>
      <c r="I538" s="63">
        <f>-IF(F538="I",IFERROR(VLOOKUP(C538,'BG 062022'!A:D,4,FALSE),0),0)</f>
        <v>0</v>
      </c>
      <c r="J538" s="887"/>
      <c r="K538" s="47">
        <f>-IF(F538="I",SUMIF('BG 2021'!B:B,Clasificaciones!C538,'BG 2021'!D:D),0)</f>
        <v>0</v>
      </c>
      <c r="L538" s="887"/>
      <c r="M538" s="63">
        <f>-IF(F538="I",SUMIF('BG 2021'!B:B,Clasificaciones!C538,'BG 2021'!E:E),0)</f>
        <v>0</v>
      </c>
      <c r="N538" s="887"/>
      <c r="O538" s="47">
        <f>IF(F538="I",SUMIF('BG 062021'!A:A,Clasificaciones!C538,'BG 062021'!C:C),0)</f>
        <v>0</v>
      </c>
      <c r="P538" s="887"/>
      <c r="Q538" s="63">
        <f>IF(F538="I",SUMIF('BG 062021'!A:A,Clasificaciones!C538,'BG 062021'!D:D),0)</f>
        <v>0</v>
      </c>
    </row>
    <row r="539" spans="1:18" s="888" customFormat="1" hidden="1">
      <c r="A539" s="885" t="s">
        <v>8</v>
      </c>
      <c r="B539" s="885"/>
      <c r="C539" s="889">
        <v>21810103</v>
      </c>
      <c r="D539" s="889" t="s">
        <v>161</v>
      </c>
      <c r="E539" s="886" t="s">
        <v>6</v>
      </c>
      <c r="F539" s="886" t="s">
        <v>271</v>
      </c>
      <c r="G539" s="47">
        <f>-IF(F539="I",IFERROR(VLOOKUP(C539,'BG 062022'!A:C,3,FALSE),0),0)</f>
        <v>0</v>
      </c>
      <c r="H539" s="885"/>
      <c r="I539" s="63">
        <f>-IF(F539="I",IFERROR(VLOOKUP(C539,'BG 062022'!A:D,4,FALSE),0),0)</f>
        <v>0</v>
      </c>
      <c r="J539" s="887"/>
      <c r="K539" s="47">
        <f>-IF(F539="I",SUMIF('BG 2021'!B:B,Clasificaciones!C539,'BG 2021'!D:D),0)</f>
        <v>0</v>
      </c>
      <c r="L539" s="887"/>
      <c r="M539" s="63">
        <f>-IF(F539="I",SUMIF('BG 2021'!B:B,Clasificaciones!C539,'BG 2021'!E:E),0)</f>
        <v>0</v>
      </c>
      <c r="N539" s="887"/>
      <c r="O539" s="47">
        <f>IF(F539="I",SUMIF('BG 062021'!A:A,Clasificaciones!C539,'BG 062021'!C:C),0)</f>
        <v>0</v>
      </c>
      <c r="P539" s="887"/>
      <c r="Q539" s="63">
        <f>IF(F539="I",SUMIF('BG 062021'!A:A,Clasificaciones!C539,'BG 062021'!D:D),0)</f>
        <v>0</v>
      </c>
    </row>
    <row r="540" spans="1:18" s="888" customFormat="1" hidden="1">
      <c r="A540" s="885" t="s">
        <v>20</v>
      </c>
      <c r="B540" s="885"/>
      <c r="C540" s="889">
        <v>3</v>
      </c>
      <c r="D540" s="889" t="s">
        <v>22</v>
      </c>
      <c r="E540" s="886" t="s">
        <v>6</v>
      </c>
      <c r="F540" s="886" t="s">
        <v>270</v>
      </c>
      <c r="G540" s="47">
        <f>-IF(F540="I",IFERROR(VLOOKUP(C540,'BG 062022'!A:C,3,FALSE),0),0)</f>
        <v>0</v>
      </c>
      <c r="H540" s="885"/>
      <c r="I540" s="63">
        <f>-IF(F540="I",IFERROR(VLOOKUP(C540,'BG 062022'!A:D,4,FALSE),0),0)</f>
        <v>0</v>
      </c>
      <c r="J540" s="887"/>
      <c r="K540" s="47">
        <f>-IF(F540="I",SUMIF('BG 2021'!B:B,Clasificaciones!C540,'BG 2021'!D:D),0)</f>
        <v>0</v>
      </c>
      <c r="L540" s="887"/>
      <c r="M540" s="63">
        <f>-IF(F540="I",SUMIF('BG 2021'!B:B,Clasificaciones!C540,'BG 2021'!E:E),0)</f>
        <v>0</v>
      </c>
      <c r="N540" s="887"/>
      <c r="O540" s="47">
        <f>IF(F540="I",SUMIF('BG 062021'!A:A,Clasificaciones!C540,'BG 062021'!C:C),0)</f>
        <v>0</v>
      </c>
      <c r="P540" s="887"/>
      <c r="Q540" s="63">
        <f>IF(F540="I",SUMIF('BG 062021'!A:A,Clasificaciones!C540,'BG 062021'!D:D),0)</f>
        <v>0</v>
      </c>
    </row>
    <row r="541" spans="1:18" s="888" customFormat="1" hidden="1">
      <c r="A541" s="885" t="s">
        <v>20</v>
      </c>
      <c r="B541" s="885"/>
      <c r="C541" s="889">
        <v>310</v>
      </c>
      <c r="D541" s="889" t="s">
        <v>163</v>
      </c>
      <c r="E541" s="886" t="s">
        <v>6</v>
      </c>
      <c r="F541" s="886" t="s">
        <v>270</v>
      </c>
      <c r="G541" s="47">
        <f>-IF(F541="I",IFERROR(VLOOKUP(C541,'BG 062022'!A:C,3,FALSE),0),0)</f>
        <v>0</v>
      </c>
      <c r="H541" s="885"/>
      <c r="I541" s="63">
        <f>-IF(F541="I",IFERROR(VLOOKUP(C541,'BG 062022'!A:D,4,FALSE),0),0)</f>
        <v>0</v>
      </c>
      <c r="J541" s="887"/>
      <c r="K541" s="47">
        <f>-IF(F541="I",SUMIF('BG 2021'!B:B,Clasificaciones!C541,'BG 2021'!D:D),0)</f>
        <v>0</v>
      </c>
      <c r="L541" s="887"/>
      <c r="M541" s="63">
        <f>-IF(F541="I",SUMIF('BG 2021'!B:B,Clasificaciones!C541,'BG 2021'!E:E),0)</f>
        <v>0</v>
      </c>
      <c r="N541" s="887"/>
      <c r="O541" s="47">
        <f>IF(F541="I",SUMIF('BG 062021'!A:A,Clasificaciones!C541,'BG 062021'!C:C),0)</f>
        <v>0</v>
      </c>
      <c r="P541" s="887"/>
      <c r="Q541" s="63">
        <f>IF(F541="I",SUMIF('BG 062021'!A:A,Clasificaciones!C541,'BG 062021'!D:D),0)</f>
        <v>0</v>
      </c>
    </row>
    <row r="542" spans="1:18" s="888" customFormat="1" hidden="1">
      <c r="A542" s="885" t="s">
        <v>20</v>
      </c>
      <c r="B542" s="885"/>
      <c r="C542" s="889">
        <v>310101</v>
      </c>
      <c r="D542" s="889" t="s">
        <v>453</v>
      </c>
      <c r="E542" s="886" t="s">
        <v>6</v>
      </c>
      <c r="F542" s="886" t="s">
        <v>270</v>
      </c>
      <c r="G542" s="47">
        <f>-IF(F542="I",IFERROR(VLOOKUP(C542,'BG 062022'!A:C,3,FALSE),0),0)</f>
        <v>0</v>
      </c>
      <c r="H542" s="885"/>
      <c r="I542" s="63">
        <f>-IF(F542="I",IFERROR(VLOOKUP(C542,'BG 062022'!A:D,4,FALSE),0),0)</f>
        <v>0</v>
      </c>
      <c r="J542" s="887"/>
      <c r="K542" s="47">
        <f>-IF(F542="I",SUMIF('BG 2021'!B:B,Clasificaciones!C542,'BG 2021'!D:D),0)</f>
        <v>0</v>
      </c>
      <c r="L542" s="887"/>
      <c r="M542" s="63">
        <f>-IF(F542="I",SUMIF('BG 2021'!B:B,Clasificaciones!C542,'BG 2021'!E:E),0)</f>
        <v>0</v>
      </c>
      <c r="N542" s="887"/>
      <c r="O542" s="47">
        <f>IF(F542="I",SUMIF('BG 062021'!A:A,Clasificaciones!C542,'BG 062021'!C:C),0)</f>
        <v>0</v>
      </c>
      <c r="P542" s="887"/>
      <c r="Q542" s="63">
        <f>IF(F542="I",SUMIF('BG 062021'!A:A,Clasificaciones!C542,'BG 062021'!D:D),0)</f>
        <v>0</v>
      </c>
    </row>
    <row r="543" spans="1:18" s="888" customFormat="1" hidden="1">
      <c r="A543" s="885" t="s">
        <v>20</v>
      </c>
      <c r="B543" s="885"/>
      <c r="C543" s="889">
        <v>31010101</v>
      </c>
      <c r="D543" s="889" t="s">
        <v>475</v>
      </c>
      <c r="E543" s="886" t="s">
        <v>6</v>
      </c>
      <c r="F543" s="886" t="s">
        <v>271</v>
      </c>
      <c r="G543" s="47">
        <f>-IF(F543="I",IFERROR(VLOOKUP(C543,'BG 062022'!A:C,3,FALSE),0),0)</f>
        <v>-30000000000</v>
      </c>
      <c r="H543" s="885"/>
      <c r="I543" s="63">
        <f>-IF(F543="I",IFERROR(VLOOKUP(C543,'BG 062022'!A:D,4,FALSE),0),0)</f>
        <v>-4694966</v>
      </c>
      <c r="J543" s="887"/>
      <c r="K543" s="47">
        <f>-IF(F543="I",SUMIF('BG 2021'!B:B,Clasificaciones!C543,'BG 2021'!D:D),0)</f>
        <v>-30000000000</v>
      </c>
      <c r="L543" s="887"/>
      <c r="M543" s="63">
        <f>-IF(F543="I",SUMIF('BG 2021'!B:B,Clasificaciones!C543,'BG 2021'!E:E),0)</f>
        <v>-4694965.97</v>
      </c>
      <c r="N543" s="887"/>
      <c r="O543" s="47">
        <f>IF(F543="I",SUMIF('BG 062021'!A:A,Clasificaciones!C543,'BG 062021'!C:C),0)</f>
        <v>30000000000</v>
      </c>
      <c r="P543" s="887"/>
      <c r="Q543" s="63">
        <f>IF(F543="I",SUMIF('BG 062021'!A:A,Clasificaciones!C543,'BG 062021'!D:D),0)</f>
        <v>4694965.97</v>
      </c>
      <c r="R543" s="888">
        <f>+VLOOKUP(C543,'CA EFE'!A:A,1,FALSE)</f>
        <v>31010101</v>
      </c>
    </row>
    <row r="544" spans="1:18" s="888" customFormat="1" hidden="1">
      <c r="A544" s="885" t="s">
        <v>20</v>
      </c>
      <c r="B544" s="885"/>
      <c r="C544" s="889">
        <v>31010102</v>
      </c>
      <c r="D544" s="889" t="s">
        <v>478</v>
      </c>
      <c r="E544" s="886" t="s">
        <v>6</v>
      </c>
      <c r="F544" s="886" t="s">
        <v>271</v>
      </c>
      <c r="G544" s="47">
        <f>-IF(F544="I",IFERROR(VLOOKUP(C544,'BG 062022'!A:C,3,FALSE),0),0)</f>
        <v>5000000000</v>
      </c>
      <c r="H544" s="885"/>
      <c r="I544" s="63">
        <f>-IF(F544="I",IFERROR(VLOOKUP(C544,'BG 062022'!A:D,4,FALSE),0),0)</f>
        <v>873811</v>
      </c>
      <c r="J544" s="887"/>
      <c r="K544" s="47">
        <f>-IF(F544="I",SUMIF('BG 2021'!B:B,Clasificaciones!C544,'BG 2021'!D:D),0)</f>
        <v>5000000000</v>
      </c>
      <c r="L544" s="887"/>
      <c r="M544" s="63">
        <f>-IF(F544="I",SUMIF('BG 2021'!B:B,Clasificaciones!C544,'BG 2021'!E:E),0)</f>
        <v>873810.64000000013</v>
      </c>
      <c r="N544" s="887"/>
      <c r="O544" s="47">
        <f>IF(F544="I",SUMIF('BG 062021'!A:A,Clasificaciones!C544,'BG 062021'!C:C),0)</f>
        <v>-15000000000</v>
      </c>
      <c r="P544" s="887"/>
      <c r="Q544" s="63">
        <f>IF(F544="I",SUMIF('BG 062021'!A:A,Clasificaciones!C544,'BG 062021'!D:D),0)</f>
        <v>-2330536.42</v>
      </c>
      <c r="R544" s="888">
        <f>+VLOOKUP(C544,'CA EFE'!A:A,1,FALSE)</f>
        <v>31010102</v>
      </c>
    </row>
    <row r="545" spans="1:18" s="888" customFormat="1" hidden="1">
      <c r="A545" s="885" t="s">
        <v>20</v>
      </c>
      <c r="B545" s="885"/>
      <c r="C545" s="889">
        <v>310102</v>
      </c>
      <c r="D545" s="889" t="s">
        <v>243</v>
      </c>
      <c r="E545" s="886" t="s">
        <v>6</v>
      </c>
      <c r="F545" s="886" t="s">
        <v>270</v>
      </c>
      <c r="G545" s="47">
        <f>-IF(F545="I",IFERROR(VLOOKUP(C545,'BG 062022'!A:C,3,FALSE),0),0)</f>
        <v>0</v>
      </c>
      <c r="H545" s="885"/>
      <c r="I545" s="63">
        <f>-IF(F545="I",IFERROR(VLOOKUP(C545,'BG 062022'!A:D,4,FALSE),0),0)</f>
        <v>0</v>
      </c>
      <c r="J545" s="887"/>
      <c r="K545" s="47">
        <f>-IF(F545="I",SUMIF('BG 2021'!B:B,Clasificaciones!C545,'BG 2021'!D:D),0)</f>
        <v>0</v>
      </c>
      <c r="L545" s="887"/>
      <c r="M545" s="63">
        <f>-IF(F545="I",SUMIF('BG 2021'!B:B,Clasificaciones!C545,'BG 2021'!E:E),0)</f>
        <v>0</v>
      </c>
      <c r="N545" s="887"/>
      <c r="O545" s="47">
        <f>IF(F545="I",SUMIF('BG 062021'!A:A,Clasificaciones!C545,'BG 062021'!C:C),0)</f>
        <v>0</v>
      </c>
      <c r="P545" s="887"/>
      <c r="Q545" s="63">
        <f>IF(F545="I",SUMIF('BG 062021'!A:A,Clasificaciones!C545,'BG 062021'!D:D),0)</f>
        <v>0</v>
      </c>
    </row>
    <row r="546" spans="1:18" s="888" customFormat="1" hidden="1">
      <c r="A546" s="885" t="s">
        <v>20</v>
      </c>
      <c r="B546" s="885"/>
      <c r="C546" s="889">
        <v>31010201</v>
      </c>
      <c r="D546" s="889" t="s">
        <v>404</v>
      </c>
      <c r="E546" s="886" t="s">
        <v>6</v>
      </c>
      <c r="F546" s="886" t="s">
        <v>271</v>
      </c>
      <c r="G546" s="47">
        <f>-IF(F546="I",IFERROR(VLOOKUP(C546,'BG 062022'!A:C,3,FALSE),0),0)</f>
        <v>-4932000000</v>
      </c>
      <c r="H546" s="885"/>
      <c r="I546" s="63">
        <f>-IF(F546="I",IFERROR(VLOOKUP(C546,'BG 062022'!A:D,4,FALSE),0),0)</f>
        <v>-618388.25</v>
      </c>
      <c r="J546" s="887"/>
      <c r="K546" s="47">
        <f>-IF(F546="I",SUMIF('BG 2021'!B:B,Clasificaciones!C546,'BG 2021'!D:D),0)</f>
        <v>-2560000000</v>
      </c>
      <c r="L546" s="887"/>
      <c r="M546" s="63">
        <f>-IF(F546="I",SUMIF('BG 2021'!B:B,Clasificaciones!C546,'BG 2021'!E:E),0)</f>
        <v>-301673.93</v>
      </c>
      <c r="N546" s="887"/>
      <c r="O546" s="47">
        <f>IF(F546="I",SUMIF('BG 062021'!A:A,Clasificaciones!C546,'BG 062021'!C:C),0)</f>
        <v>2560000000</v>
      </c>
      <c r="P546" s="887"/>
      <c r="Q546" s="63">
        <f>IF(F546="I",SUMIF('BG 062021'!A:A,Clasificaciones!C546,'BG 062021'!D:D),0)</f>
        <v>301673.93</v>
      </c>
      <c r="R546" s="888">
        <f>+VLOOKUP(C546,'CA EFE'!A:A,1,FALSE)</f>
        <v>31010201</v>
      </c>
    </row>
    <row r="547" spans="1:18" s="888" customFormat="1" hidden="1">
      <c r="A547" s="885" t="s">
        <v>20</v>
      </c>
      <c r="B547" s="885"/>
      <c r="C547" s="889">
        <v>31010202</v>
      </c>
      <c r="D547" s="889" t="s">
        <v>479</v>
      </c>
      <c r="E547" s="886" t="s">
        <v>6</v>
      </c>
      <c r="F547" s="886" t="s">
        <v>271</v>
      </c>
      <c r="G547" s="47">
        <f>-IF(F547="I",IFERROR(VLOOKUP(C547,'BG 062022'!A:C,3,FALSE),0),0)</f>
        <v>-150000000</v>
      </c>
      <c r="H547" s="885"/>
      <c r="I547" s="63">
        <f>-IF(F547="I",IFERROR(VLOOKUP(C547,'BG 062022'!A:D,4,FALSE),0),0)</f>
        <v>-21645.82</v>
      </c>
      <c r="J547" s="887"/>
      <c r="K547" s="47">
        <f>-IF(F547="I",SUMIF('BG 2021'!B:B,Clasificaciones!C547,'BG 2021'!D:D),0)</f>
        <v>-150000000</v>
      </c>
      <c r="L547" s="887"/>
      <c r="M547" s="63">
        <f>-IF(F547="I",SUMIF('BG 2021'!B:B,Clasificaciones!C547,'BG 2021'!E:E),0)</f>
        <v>-21645.82</v>
      </c>
      <c r="N547" s="887"/>
      <c r="O547" s="47">
        <f>IF(F547="I",SUMIF('BG 062021'!A:A,Clasificaciones!C547,'BG 062021'!C:C),0)</f>
        <v>150000000</v>
      </c>
      <c r="P547" s="887"/>
      <c r="Q547" s="63">
        <f>IF(F547="I",SUMIF('BG 062021'!A:A,Clasificaciones!C547,'BG 062021'!D:D),0)</f>
        <v>21645.82</v>
      </c>
      <c r="R547" s="888">
        <f>+VLOOKUP(C547,'CA EFE'!A:A,1,FALSE)</f>
        <v>31010202</v>
      </c>
    </row>
    <row r="548" spans="1:18" s="888" customFormat="1" hidden="1">
      <c r="A548" s="885" t="s">
        <v>20</v>
      </c>
      <c r="B548" s="885"/>
      <c r="C548" s="889">
        <v>315</v>
      </c>
      <c r="D548" s="889" t="s">
        <v>12</v>
      </c>
      <c r="E548" s="886" t="s">
        <v>6</v>
      </c>
      <c r="F548" s="886" t="s">
        <v>270</v>
      </c>
      <c r="G548" s="47">
        <f>-IF(F548="I",IFERROR(VLOOKUP(C548,'BG 062022'!A:C,3,FALSE),0),0)</f>
        <v>0</v>
      </c>
      <c r="H548" s="885"/>
      <c r="I548" s="63">
        <f>-IF(F548="I",IFERROR(VLOOKUP(C548,'BG 062022'!A:D,4,FALSE),0),0)</f>
        <v>0</v>
      </c>
      <c r="J548" s="887"/>
      <c r="K548" s="47">
        <f>-IF(F548="I",SUMIF('BG 2021'!B:B,Clasificaciones!C548,'BG 2021'!D:D),0)</f>
        <v>0</v>
      </c>
      <c r="L548" s="887"/>
      <c r="M548" s="63">
        <f>-IF(F548="I",SUMIF('BG 2021'!B:B,Clasificaciones!C548,'BG 2021'!E:E),0)</f>
        <v>0</v>
      </c>
      <c r="N548" s="887"/>
      <c r="O548" s="47">
        <f>IF(F548="I",SUMIF('BG 062021'!A:A,Clasificaciones!C548,'BG 062021'!C:C),0)</f>
        <v>0</v>
      </c>
      <c r="P548" s="887"/>
      <c r="Q548" s="63">
        <f>IF(F548="I",SUMIF('BG 062021'!A:A,Clasificaciones!C548,'BG 062021'!D:D),0)</f>
        <v>0</v>
      </c>
    </row>
    <row r="549" spans="1:18" s="888" customFormat="1" hidden="1">
      <c r="A549" s="885" t="s">
        <v>20</v>
      </c>
      <c r="B549" s="885"/>
      <c r="C549" s="889">
        <v>31501</v>
      </c>
      <c r="D549" s="889" t="s">
        <v>165</v>
      </c>
      <c r="E549" s="886" t="s">
        <v>6</v>
      </c>
      <c r="F549" s="886" t="s">
        <v>271</v>
      </c>
      <c r="G549" s="47">
        <f>-IF(F549="I",IFERROR(VLOOKUP(C549,'BG 062022'!A:C,3,FALSE),0),0)</f>
        <v>-260477749</v>
      </c>
      <c r="H549" s="885"/>
      <c r="I549" s="63">
        <f>-IF(F549="I",IFERROR(VLOOKUP(C549,'BG 062022'!A:D,4,FALSE),0),0)</f>
        <v>-32495.1</v>
      </c>
      <c r="J549" s="887"/>
      <c r="K549" s="47">
        <f>-IF(F549="I",SUMIF('BG 2021'!B:B,Clasificaciones!C549,'BG 2021'!D:D),0)</f>
        <v>-135603954</v>
      </c>
      <c r="L549" s="887"/>
      <c r="M549" s="63">
        <f>-IF(F549="I",SUMIF('BG 2021'!B:B,Clasificaciones!C549,'BG 2021'!E:E),0)</f>
        <v>-15821.6</v>
      </c>
      <c r="N549" s="887"/>
      <c r="O549" s="47">
        <f>IF(F549="I",SUMIF('BG 062021'!A:A,Clasificaciones!C549,'BG 062021'!C:C),0)</f>
        <v>135603954</v>
      </c>
      <c r="P549" s="887"/>
      <c r="Q549" s="63">
        <f>IF(F549="I",SUMIF('BG 062021'!A:A,Clasificaciones!C549,'BG 062021'!D:D),0)</f>
        <v>15821.6</v>
      </c>
      <c r="R549" s="888">
        <f>+VLOOKUP(C549,'CA EFE'!A:A,1,FALSE)</f>
        <v>31501</v>
      </c>
    </row>
    <row r="550" spans="1:18" s="888" customFormat="1" hidden="1">
      <c r="A550" s="885" t="s">
        <v>20</v>
      </c>
      <c r="B550" s="885"/>
      <c r="C550" s="889">
        <v>31502</v>
      </c>
      <c r="D550" s="889" t="s">
        <v>166</v>
      </c>
      <c r="E550" s="886" t="s">
        <v>6</v>
      </c>
      <c r="F550" s="886" t="s">
        <v>271</v>
      </c>
      <c r="G550" s="47">
        <f>-IF(F550="I",IFERROR(VLOOKUP(C550,'BG 062022'!A:C,3,FALSE),0),0)</f>
        <v>0</v>
      </c>
      <c r="H550" s="885"/>
      <c r="I550" s="63">
        <f>-IF(F550="I",IFERROR(VLOOKUP(C550,'BG 062022'!A:D,4,FALSE),0),0)</f>
        <v>0</v>
      </c>
      <c r="J550" s="887"/>
      <c r="K550" s="47">
        <f>-IF(F550="I",SUMIF('BG 2021'!B:B,Clasificaciones!C550,'BG 2021'!D:D),0)</f>
        <v>0</v>
      </c>
      <c r="L550" s="887"/>
      <c r="M550" s="63">
        <f>-IF(F550="I",SUMIF('BG 2021'!B:B,Clasificaciones!C550,'BG 2021'!E:E),0)</f>
        <v>0</v>
      </c>
      <c r="N550" s="887"/>
      <c r="O550" s="47">
        <f>IF(F550="I",SUMIF('BG 062021'!A:A,Clasificaciones!C550,'BG 062021'!C:C),0)</f>
        <v>0</v>
      </c>
      <c r="P550" s="887"/>
      <c r="Q550" s="63">
        <f>IF(F550="I",SUMIF('BG 062021'!A:A,Clasificaciones!C550,'BG 062021'!D:D),0)</f>
        <v>0</v>
      </c>
    </row>
    <row r="551" spans="1:18" s="888" customFormat="1" hidden="1">
      <c r="A551" s="885" t="s">
        <v>20</v>
      </c>
      <c r="B551" s="885"/>
      <c r="C551" s="889">
        <v>31503</v>
      </c>
      <c r="D551" s="889" t="s">
        <v>405</v>
      </c>
      <c r="E551" s="886" t="s">
        <v>6</v>
      </c>
      <c r="F551" s="886" t="s">
        <v>271</v>
      </c>
      <c r="G551" s="47">
        <f>-IF(F551="I",IFERROR(VLOOKUP(C551,'BG 062022'!A:C,3,FALSE),0),0)</f>
        <v>-907275</v>
      </c>
      <c r="H551" s="885"/>
      <c r="I551" s="63">
        <f>-IF(F551="I",IFERROR(VLOOKUP(C551,'BG 062022'!A:D,4,FALSE),0),0)</f>
        <v>-120.17</v>
      </c>
      <c r="J551" s="887"/>
      <c r="K551" s="47">
        <f>-IF(F551="I",SUMIF('BG 2021'!B:B,Clasificaciones!C551,'BG 2021'!D:D),0)</f>
        <v>-305172</v>
      </c>
      <c r="L551" s="887"/>
      <c r="M551" s="63">
        <f>-IF(F551="I",SUMIF('BG 2021'!B:B,Clasificaciones!C551,'BG 2021'!E:E),0)</f>
        <v>-39.78</v>
      </c>
      <c r="N551" s="887"/>
      <c r="O551" s="47">
        <f>IF(F551="I",SUMIF('BG 062021'!A:A,Clasificaciones!C551,'BG 062021'!C:C),0)</f>
        <v>305172</v>
      </c>
      <c r="P551" s="887"/>
      <c r="Q551" s="63">
        <f>IF(F551="I",SUMIF('BG 062021'!A:A,Clasificaciones!C551,'BG 062021'!D:D),0)</f>
        <v>39.78</v>
      </c>
      <c r="R551" s="888">
        <f>+VLOOKUP(C551,'CA EFE'!A:A,1,FALSE)</f>
        <v>31503</v>
      </c>
    </row>
    <row r="552" spans="1:18" s="888" customFormat="1" hidden="1">
      <c r="A552" s="885" t="s">
        <v>20</v>
      </c>
      <c r="B552" s="885"/>
      <c r="C552" s="889">
        <v>316</v>
      </c>
      <c r="D552" s="889" t="s">
        <v>129</v>
      </c>
      <c r="E552" s="886" t="s">
        <v>6</v>
      </c>
      <c r="F552" s="886" t="s">
        <v>270</v>
      </c>
      <c r="G552" s="47">
        <f>-IF(F552="I",IFERROR(VLOOKUP(C552,'BG 062022'!A:C,3,FALSE),0),0)</f>
        <v>0</v>
      </c>
      <c r="H552" s="885"/>
      <c r="I552" s="63">
        <f>-IF(F552="I",IFERROR(VLOOKUP(C552,'BG 062022'!A:D,4,FALSE),0),0)</f>
        <v>0</v>
      </c>
      <c r="J552" s="887"/>
      <c r="K552" s="47">
        <f>-IF(F552="I",SUMIF('BG 2021'!B:B,Clasificaciones!C552,'BG 2021'!D:D),0)</f>
        <v>0</v>
      </c>
      <c r="L552" s="887"/>
      <c r="M552" s="63">
        <f>-IF(F552="I",SUMIF('BG 2021'!B:B,Clasificaciones!C552,'BG 2021'!E:E),0)</f>
        <v>0</v>
      </c>
      <c r="N552" s="887"/>
      <c r="O552" s="47">
        <f>IF(F552="I",SUMIF('BG 062021'!A:A,Clasificaciones!C552,'BG 062021'!C:C),0)</f>
        <v>0</v>
      </c>
      <c r="P552" s="887"/>
      <c r="Q552" s="63">
        <f>IF(F552="I",SUMIF('BG 062021'!A:A,Clasificaciones!C552,'BG 062021'!D:D),0)</f>
        <v>0</v>
      </c>
    </row>
    <row r="553" spans="1:18" s="888" customFormat="1" hidden="1">
      <c r="A553" s="885" t="s">
        <v>20</v>
      </c>
      <c r="B553" s="885"/>
      <c r="C553" s="889">
        <v>31601</v>
      </c>
      <c r="D553" s="889" t="s">
        <v>167</v>
      </c>
      <c r="E553" s="886" t="s">
        <v>6</v>
      </c>
      <c r="F553" s="886" t="s">
        <v>271</v>
      </c>
      <c r="G553" s="47">
        <f>-IF(F553="I",IFERROR(VLOOKUP(C553,'BG 062022'!A:C,3,FALSE),0),0)</f>
        <v>0</v>
      </c>
      <c r="H553" s="885"/>
      <c r="I553" s="63">
        <f>-IF(F553="I",IFERROR(VLOOKUP(C553,'BG 062022'!A:D,4,FALSE),0),0)</f>
        <v>0</v>
      </c>
      <c r="J553" s="887"/>
      <c r="K553" s="47">
        <f>-IF(F553="I",SUMIF('BG 2021'!B:B,Clasificaciones!C553,'BG 2021'!D:D),0)</f>
        <v>0</v>
      </c>
      <c r="L553" s="887"/>
      <c r="M553" s="63">
        <f>-IF(F553="I",SUMIF('BG 2021'!B:B,Clasificaciones!C553,'BG 2021'!E:E),0)</f>
        <v>0</v>
      </c>
      <c r="N553" s="887"/>
      <c r="O553" s="47">
        <f>IF(F553="I",SUMIF('BG 062021'!A:A,Clasificaciones!C553,'BG 062021'!C:C),0)</f>
        <v>0</v>
      </c>
      <c r="P553" s="887"/>
      <c r="Q553" s="63">
        <f>IF(F553="I",SUMIF('BG 062021'!A:A,Clasificaciones!C553,'BG 062021'!D:D),0)</f>
        <v>0</v>
      </c>
      <c r="R553" s="888">
        <f>+VLOOKUP(C553,'CA EFE'!A:A,1,FALSE)</f>
        <v>31601</v>
      </c>
    </row>
    <row r="554" spans="1:18" s="888" customFormat="1" hidden="1">
      <c r="A554" s="885" t="s">
        <v>20</v>
      </c>
      <c r="B554" s="885"/>
      <c r="C554" s="889">
        <v>31602</v>
      </c>
      <c r="D554" s="889" t="s">
        <v>168</v>
      </c>
      <c r="E554" s="886" t="s">
        <v>6</v>
      </c>
      <c r="F554" s="886" t="s">
        <v>271</v>
      </c>
      <c r="G554" s="47">
        <f>-IF(F554="I",IFERROR(VLOOKUP(C554,'BG 062022'!A:C,3,FALSE),0),0)</f>
        <v>-619971576</v>
      </c>
      <c r="H554" s="885"/>
      <c r="I554" s="63">
        <f>-IF(F554="I",IFERROR(VLOOKUP(C554,'BG 062022'!A:D,4,FALSE),0),0)</f>
        <v>-119982.04</v>
      </c>
      <c r="J554" s="887"/>
      <c r="K554" s="47">
        <f>-IF(F554="I",SUMIF('BG 2021'!B:B,Clasificaciones!C554,'BG 2021'!D:D),0)</f>
        <v>-2497475898</v>
      </c>
      <c r="L554" s="887"/>
      <c r="M554" s="63">
        <f>-IF(F554="I",SUMIF('BG 2021'!B:B,Clasificaciones!C554,'BG 2021'!E:E),0)</f>
        <v>-333468.22080000001</v>
      </c>
      <c r="N554" s="887"/>
      <c r="O554" s="47">
        <f>IF(F554="I",SUMIF('BG 062021'!A:A,Clasificaciones!C554,'BG 062021'!C:C),0)</f>
        <v>1564254645</v>
      </c>
      <c r="P554" s="887"/>
      <c r="Q554" s="63">
        <f>IF(F554="I",SUMIF('BG 062021'!A:A,Clasificaciones!C554,'BG 062021'!D:D),0)</f>
        <v>235494.98</v>
      </c>
      <c r="R554" s="888">
        <f>+VLOOKUP(C554,'CA EFE'!A:A,1,FALSE)</f>
        <v>31602</v>
      </c>
    </row>
    <row r="555" spans="1:18" s="888" customFormat="1" hidden="1">
      <c r="A555" s="885" t="s">
        <v>169</v>
      </c>
      <c r="B555" s="885"/>
      <c r="C555" s="889">
        <v>4</v>
      </c>
      <c r="D555" s="889" t="s">
        <v>169</v>
      </c>
      <c r="E555" s="886" t="s">
        <v>6</v>
      </c>
      <c r="F555" s="886" t="s">
        <v>270</v>
      </c>
      <c r="G555" s="47">
        <f>-IF(F555="I",IFERROR(VLOOKUP(C555,'BG 062022'!A:C,3,FALSE),0),0)</f>
        <v>0</v>
      </c>
      <c r="H555" s="885"/>
      <c r="I555" s="63">
        <f>-IF(F555="I",IFERROR(VLOOKUP(C555,'BG 062022'!A:D,4,FALSE),0),0)</f>
        <v>0</v>
      </c>
      <c r="J555" s="887"/>
      <c r="K555" s="47">
        <f>-IF(F555="I",SUMIF('BG 2021'!B:B,Clasificaciones!C555,'BG 2021'!D:D),0)</f>
        <v>0</v>
      </c>
      <c r="L555" s="887"/>
      <c r="M555" s="63">
        <f>-IF(F555="I",SUMIF('BG 2021'!B:B,Clasificaciones!C555,'BG 2021'!E:E),0)</f>
        <v>0</v>
      </c>
      <c r="N555" s="887"/>
      <c r="O555" s="47">
        <f>-IF(F555="I",SUMIF('BG 062021'!A:A,Clasificaciones!C555,'BG 062021'!C:C),0)</f>
        <v>0</v>
      </c>
      <c r="P555" s="887"/>
      <c r="Q555" s="63">
        <f>-IF(F555="I",SUMIF('BG 062021'!A:A,Clasificaciones!C555,'BG 062021'!D:D),0)</f>
        <v>0</v>
      </c>
    </row>
    <row r="556" spans="1:18" s="888" customFormat="1" hidden="1">
      <c r="A556" s="885" t="s">
        <v>169</v>
      </c>
      <c r="B556" s="885"/>
      <c r="C556" s="889">
        <v>401</v>
      </c>
      <c r="D556" s="889" t="s">
        <v>750</v>
      </c>
      <c r="E556" s="886" t="s">
        <v>6</v>
      </c>
      <c r="F556" s="886" t="s">
        <v>270</v>
      </c>
      <c r="G556" s="47">
        <f>-IF(F556="I",IFERROR(VLOOKUP(C556,'BG 062022'!A:C,3,FALSE),0),0)</f>
        <v>0</v>
      </c>
      <c r="H556" s="885"/>
      <c r="I556" s="63">
        <f>-IF(F556="I",IFERROR(VLOOKUP(C556,'BG 062022'!A:D,4,FALSE),0),0)</f>
        <v>0</v>
      </c>
      <c r="J556" s="887"/>
      <c r="K556" s="47">
        <f>-IF(F556="I",SUMIF('BG 2021'!B:B,Clasificaciones!C556,'BG 2021'!D:D),0)</f>
        <v>0</v>
      </c>
      <c r="L556" s="887"/>
      <c r="M556" s="63">
        <f>-IF(F556="I",SUMIF('BG 2021'!B:B,Clasificaciones!C556,'BG 2021'!E:E),0)</f>
        <v>0</v>
      </c>
      <c r="N556" s="887"/>
      <c r="O556" s="47">
        <f>-IF(F556="I",SUMIF('BG 062021'!A:A,Clasificaciones!C556,'BG 062021'!C:C),0)</f>
        <v>0</v>
      </c>
      <c r="P556" s="887"/>
      <c r="Q556" s="63">
        <f>-IF(F556="I",SUMIF('BG 062021'!A:A,Clasificaciones!C556,'BG 062021'!D:D),0)</f>
        <v>0</v>
      </c>
    </row>
    <row r="557" spans="1:18" s="888" customFormat="1" hidden="1">
      <c r="A557" s="885" t="s">
        <v>169</v>
      </c>
      <c r="B557" s="885"/>
      <c r="C557" s="889">
        <v>40101</v>
      </c>
      <c r="D557" s="889" t="s">
        <v>108</v>
      </c>
      <c r="E557" s="886" t="s">
        <v>6</v>
      </c>
      <c r="F557" s="886" t="s">
        <v>270</v>
      </c>
      <c r="G557" s="47">
        <f>-IF(F557="I",IFERROR(VLOOKUP(C557,'BG 062022'!A:C,3,FALSE),0),0)</f>
        <v>0</v>
      </c>
      <c r="H557" s="885"/>
      <c r="I557" s="63">
        <f>-IF(F557="I",IFERROR(VLOOKUP(C557,'BG 062022'!A:D,4,FALSE),0),0)</f>
        <v>0</v>
      </c>
      <c r="J557" s="887"/>
      <c r="K557" s="47">
        <f>-IF(F557="I",SUMIF('BG 2021'!B:B,Clasificaciones!C557,'BG 2021'!D:D),0)</f>
        <v>0</v>
      </c>
      <c r="L557" s="887"/>
      <c r="M557" s="63">
        <f>-IF(F557="I",SUMIF('BG 2021'!B:B,Clasificaciones!C557,'BG 2021'!E:E),0)</f>
        <v>0</v>
      </c>
      <c r="N557" s="887"/>
      <c r="O557" s="47">
        <f>-IF(F557="I",SUMIF('BG 062021'!A:A,Clasificaciones!C557,'BG 062021'!C:C),0)</f>
        <v>0</v>
      </c>
      <c r="P557" s="887"/>
      <c r="Q557" s="63">
        <f>-IF(F557="I",SUMIF('BG 062021'!A:A,Clasificaciones!C557,'BG 062021'!D:D),0)</f>
        <v>0</v>
      </c>
    </row>
    <row r="558" spans="1:18" s="888" customFormat="1" hidden="1">
      <c r="A558" s="885" t="s">
        <v>169</v>
      </c>
      <c r="B558" s="885"/>
      <c r="C558" s="889">
        <v>4010101</v>
      </c>
      <c r="D558" s="889" t="s">
        <v>751</v>
      </c>
      <c r="E558" s="886" t="s">
        <v>6</v>
      </c>
      <c r="F558" s="886" t="s">
        <v>270</v>
      </c>
      <c r="G558" s="47">
        <f>-IF(F558="I",IFERROR(VLOOKUP(C558,'BG 062022'!A:C,3,FALSE),0),0)</f>
        <v>0</v>
      </c>
      <c r="H558" s="885"/>
      <c r="I558" s="63">
        <f>-IF(F558="I",IFERROR(VLOOKUP(C558,'BG 062022'!A:D,4,FALSE),0),0)</f>
        <v>0</v>
      </c>
      <c r="J558" s="887"/>
      <c r="K558" s="47">
        <f>-IF(F558="I",SUMIF('BG 2021'!B:B,Clasificaciones!C558,'BG 2021'!D:D),0)</f>
        <v>0</v>
      </c>
      <c r="L558" s="887"/>
      <c r="M558" s="63">
        <f>-IF(F558="I",SUMIF('BG 2021'!B:B,Clasificaciones!C558,'BG 2021'!E:E),0)</f>
        <v>0</v>
      </c>
      <c r="N558" s="887"/>
      <c r="O558" s="47">
        <f>-IF(F558="I",SUMIF('BG 062021'!A:A,Clasificaciones!C558,'BG 062021'!C:C),0)</f>
        <v>0</v>
      </c>
      <c r="P558" s="887"/>
      <c r="Q558" s="63">
        <f>-IF(F558="I",SUMIF('BG 062021'!A:A,Clasificaciones!C558,'BG 062021'!D:D),0)</f>
        <v>0</v>
      </c>
    </row>
    <row r="559" spans="1:18" s="888" customFormat="1" hidden="1">
      <c r="A559" s="885" t="s">
        <v>169</v>
      </c>
      <c r="B559" s="885" t="s">
        <v>113</v>
      </c>
      <c r="C559" s="889">
        <v>401010101</v>
      </c>
      <c r="D559" s="889" t="s">
        <v>752</v>
      </c>
      <c r="E559" s="886" t="s">
        <v>6</v>
      </c>
      <c r="F559" s="886" t="s">
        <v>271</v>
      </c>
      <c r="G559" s="47">
        <f>-IF(F559="I",IFERROR(VLOOKUP(C559,'BG 062022'!A:C,3,FALSE),0),0)</f>
        <v>0</v>
      </c>
      <c r="H559" s="885"/>
      <c r="I559" s="63">
        <f>-IF(F559="I",IFERROR(VLOOKUP(C559,'BG 062022'!A:D,4,FALSE),0),0)</f>
        <v>0</v>
      </c>
      <c r="J559" s="887"/>
      <c r="K559" s="47">
        <f>-IF(F559="I",SUMIF('BG 2021'!B:B,Clasificaciones!C559,'BG 2021'!D:D),0)</f>
        <v>-47672139</v>
      </c>
      <c r="L559" s="887"/>
      <c r="M559" s="63">
        <f>-IF(F559="I",SUMIF('BG 2021'!B:B,Clasificaciones!C559,'BG 2021'!E:E),0)</f>
        <v>-7075.28</v>
      </c>
      <c r="N559" s="887"/>
      <c r="O559" s="47">
        <f>-IF(F559="I",SUMIF('BG 062021'!A:A,Clasificaciones!C559,'BG 062021'!C:C),0)</f>
        <v>-23918795</v>
      </c>
      <c r="P559" s="887"/>
      <c r="Q559" s="63">
        <f>-IF(F559="I",SUMIF('BG 062021'!A:A,Clasificaciones!C559,'BG 062021'!D:D),0)</f>
        <v>-3570.79</v>
      </c>
    </row>
    <row r="560" spans="1:18" s="888" customFormat="1" hidden="1">
      <c r="A560" s="885" t="s">
        <v>169</v>
      </c>
      <c r="B560" s="885"/>
      <c r="C560" s="889">
        <v>401010102</v>
      </c>
      <c r="D560" s="889" t="s">
        <v>1043</v>
      </c>
      <c r="E560" s="886" t="s">
        <v>186</v>
      </c>
      <c r="F560" s="886" t="s">
        <v>271</v>
      </c>
      <c r="G560" s="47">
        <f>-IF(F560="I",IFERROR(VLOOKUP(C560,'BG 062022'!A:C,3,FALSE),0),0)</f>
        <v>0</v>
      </c>
      <c r="H560" s="885"/>
      <c r="I560" s="63">
        <f>-IF(F560="I",IFERROR(VLOOKUP(C560,'BG 062022'!A:D,4,FALSE),0),0)</f>
        <v>0</v>
      </c>
      <c r="J560" s="887"/>
      <c r="K560" s="47">
        <f>-IF(F560="I",SUMIF('BG 2021'!B:B,Clasificaciones!C560,'BG 2021'!D:D),0)</f>
        <v>0</v>
      </c>
      <c r="L560" s="887"/>
      <c r="M560" s="63">
        <f>-IF(F560="I",SUMIF('BG 2021'!B:B,Clasificaciones!C560,'BG 2021'!E:E),0)</f>
        <v>0</v>
      </c>
      <c r="N560" s="887"/>
      <c r="O560" s="47">
        <f>-IF(F560="I",SUMIF('BG 062021'!A:A,Clasificaciones!C560,'BG 062021'!C:C),0)</f>
        <v>0</v>
      </c>
      <c r="P560" s="887"/>
      <c r="Q560" s="63">
        <f>-IF(F560="I",SUMIF('BG 062021'!A:A,Clasificaciones!C560,'BG 062021'!D:D),0)</f>
        <v>0</v>
      </c>
    </row>
    <row r="561" spans="1:18" s="888" customFormat="1" hidden="1">
      <c r="A561" s="885" t="s">
        <v>169</v>
      </c>
      <c r="B561" s="885"/>
      <c r="C561" s="889">
        <v>4010102</v>
      </c>
      <c r="D561" s="889" t="s">
        <v>753</v>
      </c>
      <c r="E561" s="886" t="s">
        <v>6</v>
      </c>
      <c r="F561" s="886" t="s">
        <v>270</v>
      </c>
      <c r="G561" s="47">
        <f>-IF(F561="I",IFERROR(VLOOKUP(C561,'BG 062022'!A:C,3,FALSE),0),0)</f>
        <v>0</v>
      </c>
      <c r="H561" s="885"/>
      <c r="I561" s="63">
        <f>-IF(F561="I",IFERROR(VLOOKUP(C561,'BG 062022'!A:D,4,FALSE),0),0)</f>
        <v>0</v>
      </c>
      <c r="J561" s="887"/>
      <c r="K561" s="47">
        <f>-IF(F561="I",SUMIF('BG 2021'!B:B,Clasificaciones!C561,'BG 2021'!D:D),0)</f>
        <v>0</v>
      </c>
      <c r="L561" s="887"/>
      <c r="M561" s="63">
        <f>-IF(F561="I",SUMIF('BG 2021'!B:B,Clasificaciones!C561,'BG 2021'!E:E),0)</f>
        <v>0</v>
      </c>
      <c r="N561" s="887"/>
      <c r="O561" s="47">
        <f>-IF(F561="I",SUMIF('BG 062021'!A:A,Clasificaciones!C561,'BG 062021'!C:C),0)</f>
        <v>0</v>
      </c>
      <c r="P561" s="887"/>
      <c r="Q561" s="63">
        <f>-IF(F561="I",SUMIF('BG 062021'!A:A,Clasificaciones!C561,'BG 062021'!D:D),0)</f>
        <v>0</v>
      </c>
    </row>
    <row r="562" spans="1:18" s="888" customFormat="1">
      <c r="A562" s="885" t="s">
        <v>169</v>
      </c>
      <c r="B562" s="885" t="s">
        <v>114</v>
      </c>
      <c r="C562" s="889">
        <v>401010201</v>
      </c>
      <c r="D562" s="889" t="s">
        <v>754</v>
      </c>
      <c r="E562" s="886" t="s">
        <v>6</v>
      </c>
      <c r="F562" s="886" t="s">
        <v>271</v>
      </c>
      <c r="G562" s="47">
        <f>-IF(F562="I",IFERROR(VLOOKUP(C562,'BG 062022'!A:C,3,FALSE),0),0)</f>
        <v>-73596477</v>
      </c>
      <c r="H562" s="885"/>
      <c r="I562" s="63">
        <f>-IF(F562="I",IFERROR(VLOOKUP(C562,'BG 062022'!A:D,4,FALSE),0),0)</f>
        <v>-10605.88</v>
      </c>
      <c r="J562" s="887"/>
      <c r="K562" s="47">
        <f>-IF(F562="I",SUMIF('BG 2021'!B:B,Clasificaciones!C562,'BG 2021'!D:D),0)</f>
        <v>-448405560</v>
      </c>
      <c r="L562" s="887"/>
      <c r="M562" s="63">
        <f>-IF(F562="I",SUMIF('BG 2021'!B:B,Clasificaciones!C562,'BG 2021'!E:E),0)</f>
        <v>-67395.41</v>
      </c>
      <c r="N562" s="887"/>
      <c r="O562" s="47">
        <f>-IF(F562="I",SUMIF('BG 062021'!A:A,Clasificaciones!C562,'BG 062021'!C:C),0)</f>
        <v>-237632194</v>
      </c>
      <c r="P562" s="887"/>
      <c r="Q562" s="63">
        <f>-IF(F562="I",SUMIF('BG 062021'!A:A,Clasificaciones!C562,'BG 062021'!D:D),0)</f>
        <v>-36771.129999999997</v>
      </c>
      <c r="R562" s="888">
        <f>+VLOOKUP(C562,'CA EFE'!A:A,1,FALSE)</f>
        <v>401010201</v>
      </c>
    </row>
    <row r="563" spans="1:18" s="888" customFormat="1">
      <c r="A563" s="885" t="s">
        <v>169</v>
      </c>
      <c r="B563" s="885" t="s">
        <v>114</v>
      </c>
      <c r="C563" s="889">
        <v>401010202</v>
      </c>
      <c r="D563" s="889" t="s">
        <v>1404</v>
      </c>
      <c r="E563" s="886" t="s">
        <v>186</v>
      </c>
      <c r="F563" s="886" t="s">
        <v>271</v>
      </c>
      <c r="G563" s="47">
        <f>-IF(F563="I",IFERROR(VLOOKUP(C563,'BG 062022'!A:C,3,FALSE),0),0)</f>
        <v>-246824400</v>
      </c>
      <c r="H563" s="885"/>
      <c r="I563" s="63">
        <f>-IF(F563="I",IFERROR(VLOOKUP(C563,'BG 062022'!A:D,4,FALSE),0),0)</f>
        <v>-35839.599999999999</v>
      </c>
      <c r="J563" s="887"/>
      <c r="K563" s="47">
        <f>-IF(F563="I",SUMIF('BG 2021'!B:B,Clasificaciones!C563,'BG 2021'!D:D),0)</f>
        <v>-157393914</v>
      </c>
      <c r="L563" s="887"/>
      <c r="M563" s="63">
        <f>-IF(F563="I",SUMIF('BG 2021'!B:B,Clasificaciones!C563,'BG 2021'!E:E),0)</f>
        <v>-23556.83</v>
      </c>
      <c r="N563" s="887"/>
      <c r="O563" s="47">
        <f>-IF(F563="I",SUMIF('BG 062021'!A:A,Clasificaciones!C563,'BG 062021'!C:C),0)</f>
        <v>-81812232</v>
      </c>
      <c r="P563" s="887"/>
      <c r="Q563" s="63">
        <f>-IF(F563="I",SUMIF('BG 062021'!A:A,Clasificaciones!C563,'BG 062021'!D:D),0)</f>
        <v>-12265.88</v>
      </c>
      <c r="R563" s="888">
        <f>+VLOOKUP(C563,'CA EFE'!A:A,1,FALSE)</f>
        <v>401010202</v>
      </c>
    </row>
    <row r="564" spans="1:18" s="888" customFormat="1" hidden="1">
      <c r="A564" s="885" t="s">
        <v>169</v>
      </c>
      <c r="B564" s="885"/>
      <c r="C564" s="889">
        <v>4010103</v>
      </c>
      <c r="D564" s="889" t="s">
        <v>1044</v>
      </c>
      <c r="E564" s="886" t="s">
        <v>6</v>
      </c>
      <c r="F564" s="886" t="s">
        <v>270</v>
      </c>
      <c r="G564" s="47">
        <f>-IF(F564="I",IFERROR(VLOOKUP(C564,'BG 062022'!A:C,3,FALSE),0),0)</f>
        <v>0</v>
      </c>
      <c r="H564" s="885"/>
      <c r="I564" s="63">
        <f>-IF(F564="I",IFERROR(VLOOKUP(C564,'BG 062022'!A:D,4,FALSE),0),0)</f>
        <v>0</v>
      </c>
      <c r="J564" s="887"/>
      <c r="K564" s="47">
        <f>-IF(F564="I",SUMIF('BG 2021'!B:B,Clasificaciones!C564,'BG 2021'!D:D),0)</f>
        <v>0</v>
      </c>
      <c r="L564" s="887"/>
      <c r="M564" s="63">
        <f>-IF(F564="I",SUMIF('BG 2021'!B:B,Clasificaciones!C564,'BG 2021'!E:E),0)</f>
        <v>0</v>
      </c>
      <c r="N564" s="887"/>
      <c r="O564" s="47">
        <f>-IF(F564="I",SUMIF('BG 062021'!A:A,Clasificaciones!C564,'BG 062021'!C:C),0)</f>
        <v>0</v>
      </c>
      <c r="P564" s="887"/>
      <c r="Q564" s="63">
        <f>-IF(F564="I",SUMIF('BG 062021'!A:A,Clasificaciones!C564,'BG 062021'!D:D),0)</f>
        <v>0</v>
      </c>
    </row>
    <row r="565" spans="1:18" s="888" customFormat="1" hidden="1">
      <c r="A565" s="885" t="s">
        <v>169</v>
      </c>
      <c r="B565" s="885"/>
      <c r="C565" s="889">
        <v>401010301</v>
      </c>
      <c r="D565" s="889" t="s">
        <v>1045</v>
      </c>
      <c r="E565" s="886" t="s">
        <v>6</v>
      </c>
      <c r="F565" s="886" t="s">
        <v>271</v>
      </c>
      <c r="G565" s="47">
        <f>-IF(F565="I",IFERROR(VLOOKUP(C565,'BG 062022'!A:C,3,FALSE),0),0)</f>
        <v>0</v>
      </c>
      <c r="H565" s="885"/>
      <c r="I565" s="63">
        <f>-IF(F565="I",IFERROR(VLOOKUP(C565,'BG 062022'!A:D,4,FALSE),0),0)</f>
        <v>0</v>
      </c>
      <c r="J565" s="887"/>
      <c r="K565" s="47">
        <f>-IF(F565="I",SUMIF('BG 2021'!B:B,Clasificaciones!C565,'BG 2021'!D:D),0)</f>
        <v>0</v>
      </c>
      <c r="L565" s="887"/>
      <c r="M565" s="63">
        <f>-IF(F565="I",SUMIF('BG 2021'!B:B,Clasificaciones!C565,'BG 2021'!E:E),0)</f>
        <v>0</v>
      </c>
      <c r="N565" s="887"/>
      <c r="O565" s="47">
        <f>-IF(F565="I",SUMIF('BG 062021'!A:A,Clasificaciones!C565,'BG 062021'!C:C),0)</f>
        <v>0</v>
      </c>
      <c r="P565" s="887"/>
      <c r="Q565" s="63">
        <f>-IF(F565="I",SUMIF('BG 062021'!A:A,Clasificaciones!C565,'BG 062021'!D:D),0)</f>
        <v>0</v>
      </c>
    </row>
    <row r="566" spans="1:18" s="888" customFormat="1" hidden="1">
      <c r="A566" s="885" t="s">
        <v>169</v>
      </c>
      <c r="B566" s="885"/>
      <c r="C566" s="889">
        <v>401010302</v>
      </c>
      <c r="D566" s="889" t="s">
        <v>1046</v>
      </c>
      <c r="E566" s="886" t="s">
        <v>186</v>
      </c>
      <c r="F566" s="886" t="s">
        <v>271</v>
      </c>
      <c r="G566" s="47">
        <f>-IF(F566="I",IFERROR(VLOOKUP(C566,'BG 062022'!A:C,3,FALSE),0),0)</f>
        <v>0</v>
      </c>
      <c r="H566" s="885"/>
      <c r="I566" s="63">
        <f>-IF(F566="I",IFERROR(VLOOKUP(C566,'BG 062022'!A:D,4,FALSE),0),0)</f>
        <v>0</v>
      </c>
      <c r="J566" s="887"/>
      <c r="K566" s="47">
        <f>-IF(F566="I",SUMIF('BG 2021'!B:B,Clasificaciones!C566,'BG 2021'!D:D),0)</f>
        <v>0</v>
      </c>
      <c r="L566" s="887"/>
      <c r="M566" s="63">
        <f>-IF(F566="I",SUMIF('BG 2021'!B:B,Clasificaciones!C566,'BG 2021'!E:E),0)</f>
        <v>0</v>
      </c>
      <c r="N566" s="887"/>
      <c r="O566" s="47">
        <f>-IF(F566="I",SUMIF('BG 062021'!A:A,Clasificaciones!C566,'BG 062021'!C:C),0)</f>
        <v>0</v>
      </c>
      <c r="P566" s="887"/>
      <c r="Q566" s="63">
        <f>-IF(F566="I",SUMIF('BG 062021'!A:A,Clasificaciones!C566,'BG 062021'!D:D),0)</f>
        <v>0</v>
      </c>
    </row>
    <row r="567" spans="1:18" s="888" customFormat="1" hidden="1">
      <c r="A567" s="885" t="s">
        <v>169</v>
      </c>
      <c r="B567" s="885"/>
      <c r="C567" s="889">
        <v>40102</v>
      </c>
      <c r="D567" s="889" t="s">
        <v>756</v>
      </c>
      <c r="E567" s="886" t="s">
        <v>6</v>
      </c>
      <c r="F567" s="886" t="s">
        <v>270</v>
      </c>
      <c r="G567" s="47">
        <f>-IF(F567="I",IFERROR(VLOOKUP(C567,'BG 062022'!A:C,3,FALSE),0),0)</f>
        <v>0</v>
      </c>
      <c r="H567" s="885"/>
      <c r="I567" s="63">
        <f>-IF(F567="I",IFERROR(VLOOKUP(C567,'BG 062022'!A:D,4,FALSE),0),0)</f>
        <v>0</v>
      </c>
      <c r="J567" s="887"/>
      <c r="K567" s="47">
        <f>-IF(F567="I",SUMIF('BG 2021'!B:B,Clasificaciones!C567,'BG 2021'!D:D),0)</f>
        <v>0</v>
      </c>
      <c r="L567" s="887"/>
      <c r="M567" s="63">
        <f>-IF(F567="I",SUMIF('BG 2021'!B:B,Clasificaciones!C567,'BG 2021'!E:E),0)</f>
        <v>0</v>
      </c>
      <c r="N567" s="887"/>
      <c r="O567" s="47">
        <f>-IF(F567="I",SUMIF('BG 062021'!A:A,Clasificaciones!C567,'BG 062021'!C:C),0)</f>
        <v>0</v>
      </c>
      <c r="P567" s="887"/>
      <c r="Q567" s="63">
        <f>-IF(F567="I",SUMIF('BG 062021'!A:A,Clasificaciones!C567,'BG 062021'!D:D),0)</f>
        <v>0</v>
      </c>
    </row>
    <row r="568" spans="1:18" s="888" customFormat="1" hidden="1">
      <c r="A568" s="885" t="s">
        <v>169</v>
      </c>
      <c r="B568" s="885"/>
      <c r="C568" s="889">
        <v>4010201</v>
      </c>
      <c r="D568" s="889" t="s">
        <v>751</v>
      </c>
      <c r="E568" s="886" t="s">
        <v>6</v>
      </c>
      <c r="F568" s="886" t="s">
        <v>270</v>
      </c>
      <c r="G568" s="47">
        <f>-IF(F568="I",IFERROR(VLOOKUP(C568,'BG 062022'!A:C,3,FALSE),0),0)</f>
        <v>0</v>
      </c>
      <c r="H568" s="885"/>
      <c r="I568" s="63">
        <f>-IF(F568="I",IFERROR(VLOOKUP(C568,'BG 062022'!A:D,4,FALSE),0),0)</f>
        <v>0</v>
      </c>
      <c r="J568" s="887"/>
      <c r="K568" s="47">
        <f>-IF(F568="I",SUMIF('BG 2021'!B:B,Clasificaciones!C568,'BG 2021'!D:D),0)</f>
        <v>0</v>
      </c>
      <c r="L568" s="887"/>
      <c r="M568" s="63">
        <f>-IF(F568="I",SUMIF('BG 2021'!B:B,Clasificaciones!C568,'BG 2021'!E:E),0)</f>
        <v>0</v>
      </c>
      <c r="N568" s="887"/>
      <c r="O568" s="47">
        <f>-IF(F568="I",SUMIF('BG 062021'!A:A,Clasificaciones!C568,'BG 062021'!C:C),0)</f>
        <v>0</v>
      </c>
      <c r="P568" s="887"/>
      <c r="Q568" s="63">
        <f>-IF(F568="I",SUMIF('BG 062021'!A:A,Clasificaciones!C568,'BG 062021'!D:D),0)</f>
        <v>0</v>
      </c>
    </row>
    <row r="569" spans="1:18" s="888" customFormat="1" hidden="1">
      <c r="A569" s="885" t="s">
        <v>169</v>
      </c>
      <c r="B569" s="885"/>
      <c r="C569" s="889">
        <v>401020101</v>
      </c>
      <c r="D569" s="889" t="s">
        <v>752</v>
      </c>
      <c r="E569" s="886" t="s">
        <v>6</v>
      </c>
      <c r="F569" s="886" t="s">
        <v>271</v>
      </c>
      <c r="G569" s="47">
        <f>-IF(F569="I",IFERROR(VLOOKUP(C569,'BG 062022'!A:C,3,FALSE),0),0)</f>
        <v>0</v>
      </c>
      <c r="H569" s="885"/>
      <c r="I569" s="63">
        <f>-IF(F569="I",IFERROR(VLOOKUP(C569,'BG 062022'!A:D,4,FALSE),0),0)</f>
        <v>0</v>
      </c>
      <c r="J569" s="887"/>
      <c r="K569" s="47">
        <f>-IF(F569="I",SUMIF('BG 2021'!B:B,Clasificaciones!C569,'BG 2021'!D:D),0)</f>
        <v>0</v>
      </c>
      <c r="L569" s="887"/>
      <c r="M569" s="63">
        <f>-IF(F569="I",SUMIF('BG 2021'!B:B,Clasificaciones!C569,'BG 2021'!E:E),0)</f>
        <v>0</v>
      </c>
      <c r="N569" s="887"/>
      <c r="O569" s="47">
        <f>-IF(F569="I",SUMIF('BG 062021'!A:A,Clasificaciones!C569,'BG 062021'!C:C),0)</f>
        <v>0</v>
      </c>
      <c r="P569" s="887"/>
      <c r="Q569" s="63">
        <f>-IF(F569="I",SUMIF('BG 062021'!A:A,Clasificaciones!C569,'BG 062021'!D:D),0)</f>
        <v>0</v>
      </c>
    </row>
    <row r="570" spans="1:18" s="888" customFormat="1" hidden="1">
      <c r="A570" s="885" t="s">
        <v>169</v>
      </c>
      <c r="B570" s="885"/>
      <c r="C570" s="889">
        <v>401020102</v>
      </c>
      <c r="D570" s="889" t="s">
        <v>1043</v>
      </c>
      <c r="E570" s="886" t="s">
        <v>186</v>
      </c>
      <c r="F570" s="886" t="s">
        <v>271</v>
      </c>
      <c r="G570" s="47">
        <f>-IF(F570="I",IFERROR(VLOOKUP(C570,'BG 062022'!A:C,3,FALSE),0),0)</f>
        <v>0</v>
      </c>
      <c r="H570" s="885"/>
      <c r="I570" s="63">
        <f>-IF(F570="I",IFERROR(VLOOKUP(C570,'BG 062022'!A:D,4,FALSE),0),0)</f>
        <v>0</v>
      </c>
      <c r="J570" s="887"/>
      <c r="K570" s="47">
        <f>-IF(F570="I",SUMIF('BG 2021'!B:B,Clasificaciones!C570,'BG 2021'!D:D),0)</f>
        <v>0</v>
      </c>
      <c r="L570" s="887"/>
      <c r="M570" s="63">
        <f>-IF(F570="I",SUMIF('BG 2021'!B:B,Clasificaciones!C570,'BG 2021'!E:E),0)</f>
        <v>0</v>
      </c>
      <c r="N570" s="887"/>
      <c r="O570" s="47">
        <f>-IF(F570="I",SUMIF('BG 062021'!A:A,Clasificaciones!C570,'BG 062021'!C:C),0)</f>
        <v>0</v>
      </c>
      <c r="P570" s="887"/>
      <c r="Q570" s="63">
        <f>-IF(F570="I",SUMIF('BG 062021'!A:A,Clasificaciones!C570,'BG 062021'!D:D),0)</f>
        <v>0</v>
      </c>
    </row>
    <row r="571" spans="1:18" s="888" customFormat="1" hidden="1">
      <c r="A571" s="885" t="s">
        <v>169</v>
      </c>
      <c r="B571" s="885"/>
      <c r="C571" s="889">
        <v>4010202</v>
      </c>
      <c r="D571" s="889" t="s">
        <v>753</v>
      </c>
      <c r="E571" s="886" t="s">
        <v>6</v>
      </c>
      <c r="F571" s="886" t="s">
        <v>270</v>
      </c>
      <c r="G571" s="47">
        <f>-IF(F571="I",IFERROR(VLOOKUP(C571,'BG 062022'!A:C,3,FALSE),0),0)</f>
        <v>0</v>
      </c>
      <c r="H571" s="885"/>
      <c r="I571" s="63">
        <f>-IF(F571="I",IFERROR(VLOOKUP(C571,'BG 062022'!A:D,4,FALSE),0),0)</f>
        <v>0</v>
      </c>
      <c r="J571" s="887"/>
      <c r="K571" s="47">
        <f>-IF(F571="I",SUMIF('BG 2021'!B:B,Clasificaciones!C571,'BG 2021'!D:D),0)</f>
        <v>0</v>
      </c>
      <c r="L571" s="887"/>
      <c r="M571" s="63">
        <f>-IF(F571="I",SUMIF('BG 2021'!B:B,Clasificaciones!C571,'BG 2021'!E:E),0)</f>
        <v>0</v>
      </c>
      <c r="N571" s="887"/>
      <c r="O571" s="47">
        <f>-IF(F571="I",SUMIF('BG 062021'!A:A,Clasificaciones!C571,'BG 062021'!C:C),0)</f>
        <v>0</v>
      </c>
      <c r="P571" s="887"/>
      <c r="Q571" s="63">
        <f>-IF(F571="I",SUMIF('BG 062021'!A:A,Clasificaciones!C571,'BG 062021'!D:D),0)</f>
        <v>0</v>
      </c>
    </row>
    <row r="572" spans="1:18" s="888" customFormat="1" hidden="1">
      <c r="A572" s="885" t="s">
        <v>169</v>
      </c>
      <c r="B572" s="885" t="s">
        <v>114</v>
      </c>
      <c r="C572" s="889">
        <v>401020201</v>
      </c>
      <c r="D572" s="889" t="s">
        <v>754</v>
      </c>
      <c r="E572" s="886" t="s">
        <v>6</v>
      </c>
      <c r="F572" s="886" t="s">
        <v>271</v>
      </c>
      <c r="G572" s="47">
        <f>-IF(F572="I",IFERROR(VLOOKUP(C572,'BG 062022'!A:C,3,FALSE),0),0)</f>
        <v>0</v>
      </c>
      <c r="H572" s="885"/>
      <c r="I572" s="63">
        <f>-IF(F572="I",IFERROR(VLOOKUP(C572,'BG 062022'!A:D,4,FALSE),0),0)</f>
        <v>0</v>
      </c>
      <c r="J572" s="887"/>
      <c r="K572" s="47">
        <f>-IF(F572="I",SUMIF('BG 2021'!B:B,Clasificaciones!C572,'BG 2021'!D:D),0)</f>
        <v>0</v>
      </c>
      <c r="L572" s="887"/>
      <c r="M572" s="63">
        <f>-IF(F572="I",SUMIF('BG 2021'!B:B,Clasificaciones!C572,'BG 2021'!E:E),0)</f>
        <v>0</v>
      </c>
      <c r="N572" s="887"/>
      <c r="O572" s="47">
        <f>-IF(F572="I",SUMIF('BG 062021'!A:A,Clasificaciones!C572,'BG 062021'!C:C),0)</f>
        <v>0</v>
      </c>
      <c r="P572" s="887"/>
      <c r="Q572" s="63">
        <f>-IF(F572="I",SUMIF('BG 062021'!A:A,Clasificaciones!C572,'BG 062021'!D:D),0)</f>
        <v>0</v>
      </c>
    </row>
    <row r="573" spans="1:18" s="888" customFormat="1" hidden="1">
      <c r="A573" s="885" t="s">
        <v>169</v>
      </c>
      <c r="B573" s="885" t="s">
        <v>114</v>
      </c>
      <c r="C573" s="889">
        <v>401020202</v>
      </c>
      <c r="D573" s="889" t="s">
        <v>755</v>
      </c>
      <c r="E573" s="886" t="s">
        <v>186</v>
      </c>
      <c r="F573" s="886" t="s">
        <v>271</v>
      </c>
      <c r="G573" s="47">
        <f>-IF(F573="I",IFERROR(VLOOKUP(C573,'BG 062022'!A:C,3,FALSE),0),0)</f>
        <v>0</v>
      </c>
      <c r="H573" s="885"/>
      <c r="I573" s="63">
        <f>-IF(F573="I",IFERROR(VLOOKUP(C573,'BG 062022'!A:D,4,FALSE),0),0)</f>
        <v>0</v>
      </c>
      <c r="J573" s="887"/>
      <c r="K573" s="47">
        <f>-IF(F573="I",SUMIF('BG 2021'!B:B,Clasificaciones!C573,'BG 2021'!D:D),0)</f>
        <v>0</v>
      </c>
      <c r="L573" s="887"/>
      <c r="M573" s="63">
        <f>-IF(F573="I",SUMIF('BG 2021'!B:B,Clasificaciones!C573,'BG 2021'!E:E),0)</f>
        <v>0</v>
      </c>
      <c r="N573" s="887"/>
      <c r="O573" s="47">
        <f>-IF(F573="I",SUMIF('BG 062021'!A:A,Clasificaciones!C573,'BG 062021'!C:C),0)</f>
        <v>0</v>
      </c>
      <c r="P573" s="887"/>
      <c r="Q573" s="63">
        <f>-IF(F573="I",SUMIF('BG 062021'!A:A,Clasificaciones!C573,'BG 062021'!D:D),0)</f>
        <v>0</v>
      </c>
    </row>
    <row r="574" spans="1:18" s="888" customFormat="1" hidden="1">
      <c r="A574" s="885" t="s">
        <v>169</v>
      </c>
      <c r="B574" s="885"/>
      <c r="C574" s="889">
        <v>40103</v>
      </c>
      <c r="D574" s="889" t="s">
        <v>757</v>
      </c>
      <c r="E574" s="886" t="s">
        <v>6</v>
      </c>
      <c r="F574" s="886" t="s">
        <v>270</v>
      </c>
      <c r="G574" s="47">
        <f>-IF(F574="I",IFERROR(VLOOKUP(C574,'BG 062022'!A:C,3,FALSE),0),0)</f>
        <v>0</v>
      </c>
      <c r="H574" s="885"/>
      <c r="I574" s="63">
        <f>-IF(F574="I",IFERROR(VLOOKUP(C574,'BG 062022'!A:D,4,FALSE),0),0)</f>
        <v>0</v>
      </c>
      <c r="J574" s="887"/>
      <c r="K574" s="47">
        <f>-IF(F574="I",SUMIF('BG 2021'!B:B,Clasificaciones!C574,'BG 2021'!D:D),0)</f>
        <v>0</v>
      </c>
      <c r="L574" s="887"/>
      <c r="M574" s="63">
        <f>-IF(F574="I",SUMIF('BG 2021'!B:B,Clasificaciones!C574,'BG 2021'!E:E),0)</f>
        <v>0</v>
      </c>
      <c r="N574" s="887"/>
      <c r="O574" s="47">
        <f>-IF(F574="I",SUMIF('BG 062021'!A:A,Clasificaciones!C574,'BG 062021'!C:C),0)</f>
        <v>0</v>
      </c>
      <c r="P574" s="887"/>
      <c r="Q574" s="63">
        <f>-IF(F574="I",SUMIF('BG 062021'!A:A,Clasificaciones!C574,'BG 062021'!D:D),0)</f>
        <v>0</v>
      </c>
    </row>
    <row r="575" spans="1:18" s="888" customFormat="1">
      <c r="A575" s="885" t="s">
        <v>169</v>
      </c>
      <c r="B575" s="885" t="s">
        <v>110</v>
      </c>
      <c r="C575" s="889">
        <v>4010301</v>
      </c>
      <c r="D575" s="889" t="s">
        <v>758</v>
      </c>
      <c r="E575" s="886" t="s">
        <v>6</v>
      </c>
      <c r="F575" s="886" t="s">
        <v>271</v>
      </c>
      <c r="G575" s="47">
        <f>-IF(F575="I",IFERROR(VLOOKUP(C575,'BG 062022'!A:C,3,FALSE),0),0)</f>
        <v>-400000000</v>
      </c>
      <c r="H575" s="885"/>
      <c r="I575" s="63">
        <f>-IF(F575="I",IFERROR(VLOOKUP(C575,'BG 062022'!A:D,4,FALSE),0),0)</f>
        <v>-57421.85</v>
      </c>
      <c r="J575" s="887"/>
      <c r="K575" s="47">
        <f>-IF(F575="I",SUMIF('BG 2021'!B:B,Clasificaciones!C575,'BG 2021'!D:D),0)</f>
        <v>-500000000</v>
      </c>
      <c r="L575" s="887"/>
      <c r="M575" s="63">
        <f>-IF(F575="I",SUMIF('BG 2021'!B:B,Clasificaciones!C575,'BG 2021'!E:E),0)</f>
        <v>-76535.320000000007</v>
      </c>
      <c r="N575" s="887"/>
      <c r="O575" s="47">
        <f>-IF(F575="I",SUMIF('BG 062021'!A:A,Clasificaciones!C575,'BG 062021'!C:C),0)</f>
        <v>-400000000</v>
      </c>
      <c r="P575" s="887"/>
      <c r="Q575" s="63">
        <f>-IF(F575="I",SUMIF('BG 062021'!A:A,Clasificaciones!C575,'BG 062021'!D:D),0)</f>
        <v>-62035.8</v>
      </c>
      <c r="R575" s="888">
        <f>+VLOOKUP(C575,'CA EFE'!A:A,1,FALSE)</f>
        <v>4010301</v>
      </c>
    </row>
    <row r="576" spans="1:18" s="888" customFormat="1">
      <c r="A576" s="885" t="s">
        <v>169</v>
      </c>
      <c r="B576" s="885" t="s">
        <v>110</v>
      </c>
      <c r="C576" s="889">
        <v>4010302</v>
      </c>
      <c r="D576" s="889" t="s">
        <v>758</v>
      </c>
      <c r="E576" s="886" t="s">
        <v>186</v>
      </c>
      <c r="F576" s="886" t="s">
        <v>271</v>
      </c>
      <c r="G576" s="47">
        <f>-IF(F576="I",IFERROR(VLOOKUP(C576,'BG 062022'!A:C,3,FALSE),0),0)</f>
        <v>-54898480</v>
      </c>
      <c r="H576" s="885"/>
      <c r="I576" s="63">
        <f>-IF(F576="I",IFERROR(VLOOKUP(C576,'BG 062022'!A:D,4,FALSE),0),0)</f>
        <v>-8000</v>
      </c>
      <c r="J576" s="887"/>
      <c r="K576" s="47">
        <f>-IF(F576="I",SUMIF('BG 2021'!B:B,Clasificaciones!C576,'BG 2021'!D:D),0)</f>
        <v>-660247725</v>
      </c>
      <c r="L576" s="887"/>
      <c r="M576" s="63">
        <f>-IF(F576="I",SUMIF('BG 2021'!B:B,Clasificaciones!C576,'BG 2021'!E:E),0)</f>
        <v>-96250</v>
      </c>
      <c r="N576" s="887"/>
      <c r="O576" s="47">
        <f>-IF(F576="I",SUMIF('BG 062021'!A:A,Clasificaciones!C576,'BG 062021'!C:C),0)</f>
        <v>0</v>
      </c>
      <c r="P576" s="887"/>
      <c r="Q576" s="63">
        <f>-IF(F576="I",SUMIF('BG 062021'!A:A,Clasificaciones!C576,'BG 062021'!D:D),0)</f>
        <v>0</v>
      </c>
    </row>
    <row r="577" spans="1:18" s="888" customFormat="1" hidden="1">
      <c r="A577" s="885" t="s">
        <v>169</v>
      </c>
      <c r="B577" s="885" t="s">
        <v>111</v>
      </c>
      <c r="C577" s="889">
        <v>4010303</v>
      </c>
      <c r="D577" s="889" t="s">
        <v>1258</v>
      </c>
      <c r="E577" s="886" t="s">
        <v>6</v>
      </c>
      <c r="F577" s="886" t="s">
        <v>271</v>
      </c>
      <c r="G577" s="47">
        <f>-IF(F577="I",IFERROR(VLOOKUP(C577,'BG 062022'!A:C,3,FALSE),0),0)</f>
        <v>0</v>
      </c>
      <c r="H577" s="885"/>
      <c r="I577" s="63">
        <f>-IF(F577="I",IFERROR(VLOOKUP(C577,'BG 062022'!A:D,4,FALSE),0),0)</f>
        <v>0</v>
      </c>
      <c r="J577" s="887"/>
      <c r="K577" s="47">
        <f>-IF(F577="I",SUMIF('BG 2021'!B:B,Clasificaciones!C577,'BG 2021'!D:D),0)</f>
        <v>-37500000</v>
      </c>
      <c r="L577" s="887"/>
      <c r="M577" s="63">
        <f>-IF(F577="I",SUMIF('BG 2021'!B:B,Clasificaciones!C577,'BG 2021'!E:E),0)</f>
        <v>-5514.97</v>
      </c>
      <c r="N577" s="887"/>
      <c r="O577" s="47">
        <f>-IF(F577="I",SUMIF('BG 062021'!A:A,Clasificaciones!C577,'BG 062021'!C:C),0)</f>
        <v>0</v>
      </c>
      <c r="P577" s="887"/>
      <c r="Q577" s="63">
        <f>-IF(F577="I",SUMIF('BG 062021'!A:A,Clasificaciones!C577,'BG 062021'!D:D),0)</f>
        <v>0</v>
      </c>
    </row>
    <row r="578" spans="1:18" s="888" customFormat="1" hidden="1">
      <c r="A578" s="885" t="s">
        <v>169</v>
      </c>
      <c r="B578" s="885"/>
      <c r="C578" s="889">
        <v>402</v>
      </c>
      <c r="D578" s="889" t="s">
        <v>759</v>
      </c>
      <c r="E578" s="886" t="s">
        <v>6</v>
      </c>
      <c r="F578" s="886" t="s">
        <v>270</v>
      </c>
      <c r="G578" s="47">
        <f>-IF(F578="I",IFERROR(VLOOKUP(C578,'BG 062022'!A:C,3,FALSE),0),0)</f>
        <v>0</v>
      </c>
      <c r="H578" s="885"/>
      <c r="I578" s="63">
        <f>-IF(F578="I",IFERROR(VLOOKUP(C578,'BG 062022'!A:D,4,FALSE),0),0)</f>
        <v>0</v>
      </c>
      <c r="J578" s="887"/>
      <c r="K578" s="47">
        <f>-IF(F578="I",SUMIF('BG 2021'!B:B,Clasificaciones!C578,'BG 2021'!D:D),0)</f>
        <v>0</v>
      </c>
      <c r="L578" s="887"/>
      <c r="M578" s="63">
        <f>-IF(F578="I",SUMIF('BG 2021'!B:B,Clasificaciones!C578,'BG 2021'!E:E),0)</f>
        <v>0</v>
      </c>
      <c r="N578" s="887"/>
      <c r="O578" s="47">
        <f>-IF(F578="I",SUMIF('BG 062021'!A:A,Clasificaciones!C578,'BG 062021'!C:C),0)</f>
        <v>0</v>
      </c>
      <c r="P578" s="887"/>
      <c r="Q578" s="63">
        <f>-IF(F578="I",SUMIF('BG 062021'!A:A,Clasificaciones!C578,'BG 062021'!D:D),0)</f>
        <v>0</v>
      </c>
    </row>
    <row r="579" spans="1:18" s="888" customFormat="1" hidden="1">
      <c r="A579" s="885" t="s">
        <v>169</v>
      </c>
      <c r="B579" s="885"/>
      <c r="C579" s="889">
        <v>40201</v>
      </c>
      <c r="D579" s="889" t="s">
        <v>1047</v>
      </c>
      <c r="E579" s="886" t="s">
        <v>6</v>
      </c>
      <c r="F579" s="886" t="s">
        <v>271</v>
      </c>
      <c r="G579" s="47">
        <f>-IF(F579="I",IFERROR(VLOOKUP(C579,'BG 062022'!A:C,3,FALSE),0),0)</f>
        <v>0</v>
      </c>
      <c r="H579" s="885"/>
      <c r="I579" s="63">
        <f>-IF(F579="I",IFERROR(VLOOKUP(C579,'BG 062022'!A:D,4,FALSE),0),0)</f>
        <v>0</v>
      </c>
      <c r="J579" s="887"/>
      <c r="K579" s="47">
        <f>-IF(F579="I",SUMIF('BG 2021'!B:B,Clasificaciones!C579,'BG 2021'!D:D),0)</f>
        <v>0</v>
      </c>
      <c r="L579" s="887"/>
      <c r="M579" s="63">
        <f>-IF(F579="I",SUMIF('BG 2021'!B:B,Clasificaciones!C579,'BG 2021'!E:E),0)</f>
        <v>0</v>
      </c>
      <c r="N579" s="887"/>
      <c r="O579" s="47">
        <f>-IF(F579="I",SUMIF('BG 062021'!A:A,Clasificaciones!C579,'BG 062021'!C:C),0)</f>
        <v>0</v>
      </c>
      <c r="P579" s="887"/>
      <c r="Q579" s="63">
        <f>-IF(F579="I",SUMIF('BG 062021'!A:A,Clasificaciones!C579,'BG 062021'!D:D),0)</f>
        <v>0</v>
      </c>
    </row>
    <row r="580" spans="1:18" s="888" customFormat="1">
      <c r="A580" s="885" t="s">
        <v>169</v>
      </c>
      <c r="B580" s="885" t="s">
        <v>36</v>
      </c>
      <c r="C580" s="889">
        <v>40202</v>
      </c>
      <c r="D580" s="889" t="s">
        <v>1048</v>
      </c>
      <c r="E580" s="886" t="s">
        <v>6</v>
      </c>
      <c r="F580" s="886" t="s">
        <v>271</v>
      </c>
      <c r="G580" s="47">
        <f>-IF(F580="I",IFERROR(VLOOKUP(C580,'BG 062022'!A:C,3,FALSE),0),0)</f>
        <v>-2297398</v>
      </c>
      <c r="H580" s="885"/>
      <c r="I580" s="63">
        <f>-IF(F580="I",IFERROR(VLOOKUP(C580,'BG 062022'!A:D,4,FALSE),0),0)</f>
        <v>-334.79</v>
      </c>
      <c r="J580" s="887"/>
      <c r="K580" s="47">
        <f>-IF(F580="I",SUMIF('BG 2021'!B:B,Clasificaciones!C580,'BG 2021'!D:D),0)</f>
        <v>-636364</v>
      </c>
      <c r="L580" s="887"/>
      <c r="M580" s="63">
        <f>-IF(F580="I",SUMIF('BG 2021'!B:B,Clasificaciones!C580,'BG 2021'!E:E),0)</f>
        <v>-94.19</v>
      </c>
      <c r="N580" s="887"/>
      <c r="O580" s="47">
        <f>-IF(F580="I",SUMIF('BG 062021'!A:A,Clasificaciones!C580,'BG 062021'!C:C),0)</f>
        <v>-181818</v>
      </c>
      <c r="P580" s="887"/>
      <c r="Q580" s="63">
        <f>-IF(F580="I",SUMIF('BG 062021'!A:A,Clasificaciones!C580,'BG 062021'!D:D),0)</f>
        <v>-28.55</v>
      </c>
    </row>
    <row r="581" spans="1:18" s="888" customFormat="1" hidden="1">
      <c r="A581" s="885" t="s">
        <v>169</v>
      </c>
      <c r="B581" s="885"/>
      <c r="C581" s="889">
        <v>40203</v>
      </c>
      <c r="D581" s="889" t="s">
        <v>760</v>
      </c>
      <c r="E581" s="886" t="s">
        <v>6</v>
      </c>
      <c r="F581" s="886" t="s">
        <v>270</v>
      </c>
      <c r="G581" s="47">
        <f>-IF(F581="I",IFERROR(VLOOKUP(C581,'BG 062022'!A:C,3,FALSE),0),0)</f>
        <v>0</v>
      </c>
      <c r="H581" s="885"/>
      <c r="I581" s="63">
        <f>-IF(F581="I",IFERROR(VLOOKUP(C581,'BG 062022'!A:D,4,FALSE),0),0)</f>
        <v>0</v>
      </c>
      <c r="J581" s="887"/>
      <c r="K581" s="47">
        <f>-IF(F581="I",SUMIF('BG 2021'!B:B,Clasificaciones!C581,'BG 2021'!D:D),0)</f>
        <v>0</v>
      </c>
      <c r="L581" s="887"/>
      <c r="M581" s="63">
        <f>-IF(F581="I",SUMIF('BG 2021'!B:B,Clasificaciones!C581,'BG 2021'!E:E),0)</f>
        <v>0</v>
      </c>
      <c r="N581" s="887"/>
      <c r="O581" s="47">
        <f>-IF(F581="I",SUMIF('BG 062021'!A:A,Clasificaciones!C581,'BG 062021'!C:C),0)</f>
        <v>0</v>
      </c>
      <c r="P581" s="887"/>
      <c r="Q581" s="63">
        <f>-IF(F581="I",SUMIF('BG 062021'!A:A,Clasificaciones!C581,'BG 062021'!D:D),0)</f>
        <v>0</v>
      </c>
    </row>
    <row r="582" spans="1:18" s="888" customFormat="1" hidden="1">
      <c r="A582" s="885" t="s">
        <v>169</v>
      </c>
      <c r="B582" s="885" t="s">
        <v>115</v>
      </c>
      <c r="C582" s="889">
        <v>4020301</v>
      </c>
      <c r="D582" s="889" t="s">
        <v>1049</v>
      </c>
      <c r="E582" s="886" t="s">
        <v>6</v>
      </c>
      <c r="F582" s="886" t="s">
        <v>271</v>
      </c>
      <c r="G582" s="47">
        <f>-IF(F582="I",IFERROR(VLOOKUP(C582,'BG 062022'!A:C,3,FALSE),0),0)</f>
        <v>0</v>
      </c>
      <c r="H582" s="885"/>
      <c r="I582" s="63">
        <f>-IF(F582="I",IFERROR(VLOOKUP(C582,'BG 062022'!A:D,4,FALSE),0),0)</f>
        <v>0</v>
      </c>
      <c r="J582" s="887"/>
      <c r="K582" s="47">
        <f>-IF(F582="I",SUMIF('BG 2021'!B:B,Clasificaciones!C582,'BG 2021'!D:D),0)</f>
        <v>0</v>
      </c>
      <c r="L582" s="887"/>
      <c r="M582" s="63">
        <f>-IF(F582="I",SUMIF('BG 2021'!B:B,Clasificaciones!C582,'BG 2021'!E:E),0)</f>
        <v>0</v>
      </c>
      <c r="N582" s="887"/>
      <c r="O582" s="47">
        <f>-IF(F582="I",SUMIF('BG 062021'!A:A,Clasificaciones!C582,'BG 062021'!C:C),0)</f>
        <v>0</v>
      </c>
      <c r="P582" s="887"/>
      <c r="Q582" s="63">
        <f>-IF(F582="I",SUMIF('BG 062021'!A:A,Clasificaciones!C582,'BG 062021'!D:D),0)</f>
        <v>0</v>
      </c>
    </row>
    <row r="583" spans="1:18" s="888" customFormat="1">
      <c r="A583" s="885" t="s">
        <v>169</v>
      </c>
      <c r="B583" s="885" t="s">
        <v>115</v>
      </c>
      <c r="C583" s="889">
        <v>4020302</v>
      </c>
      <c r="D583" s="889" t="s">
        <v>1405</v>
      </c>
      <c r="E583" s="886" t="s">
        <v>186</v>
      </c>
      <c r="F583" s="886" t="s">
        <v>271</v>
      </c>
      <c r="G583" s="47">
        <f>-IF(F583="I",IFERROR(VLOOKUP(C583,'BG 062022'!A:C,3,FALSE),0),0)</f>
        <v>-186095070</v>
      </c>
      <c r="H583" s="885"/>
      <c r="I583" s="63">
        <f>-IF(F583="I",IFERROR(VLOOKUP(C583,'BG 062022'!A:D,4,FALSE),0),0)</f>
        <v>-27000</v>
      </c>
      <c r="J583" s="887"/>
      <c r="K583" s="47">
        <f>-IF(F583="I",SUMIF('BG 2021'!B:B,Clasificaciones!C583,'BG 2021'!D:D),0)</f>
        <v>-406619130</v>
      </c>
      <c r="L583" s="887"/>
      <c r="M583" s="63">
        <f>-IF(F583="I",SUMIF('BG 2021'!B:B,Clasificaciones!C583,'BG 2021'!E:E),0)</f>
        <v>-60000</v>
      </c>
      <c r="N583" s="887"/>
      <c r="O583" s="47">
        <f>-IF(F583="I",SUMIF('BG 062021'!A:A,Clasificaciones!C583,'BG 062021'!C:C),0)</f>
        <v>-221097900</v>
      </c>
      <c r="P583" s="887"/>
      <c r="Q583" s="63">
        <f>-IF(F583="I",SUMIF('BG 062021'!A:A,Clasificaciones!C583,'BG 062021'!D:D),0)</f>
        <v>-33000</v>
      </c>
      <c r="R583" s="888">
        <f>+VLOOKUP(C583,'CA EFE'!A:A,1,FALSE)</f>
        <v>4020302</v>
      </c>
    </row>
    <row r="584" spans="1:18" s="888" customFormat="1" hidden="1">
      <c r="A584" s="885" t="s">
        <v>169</v>
      </c>
      <c r="B584" s="885"/>
      <c r="C584" s="889">
        <v>403</v>
      </c>
      <c r="D584" s="889" t="s">
        <v>762</v>
      </c>
      <c r="E584" s="886" t="s">
        <v>6</v>
      </c>
      <c r="F584" s="886" t="s">
        <v>270</v>
      </c>
      <c r="G584" s="47">
        <f>-IF(F584="I",IFERROR(VLOOKUP(C584,'BG 062022'!A:C,3,FALSE),0),0)</f>
        <v>0</v>
      </c>
      <c r="H584" s="885"/>
      <c r="I584" s="63">
        <f>-IF(F584="I",IFERROR(VLOOKUP(C584,'BG 062022'!A:D,4,FALSE),0),0)</f>
        <v>0</v>
      </c>
      <c r="J584" s="887"/>
      <c r="K584" s="47">
        <f>-IF(F584="I",SUMIF('BG 2021'!B:B,Clasificaciones!C584,'BG 2021'!D:D),0)</f>
        <v>0</v>
      </c>
      <c r="L584" s="887"/>
      <c r="M584" s="63">
        <f>-IF(F584="I",SUMIF('BG 2021'!B:B,Clasificaciones!C584,'BG 2021'!E:E),0)</f>
        <v>0</v>
      </c>
      <c r="N584" s="887"/>
      <c r="O584" s="47">
        <f>-IF(F584="I",SUMIF('BG 062021'!A:A,Clasificaciones!C584,'BG 062021'!C:C),0)</f>
        <v>0</v>
      </c>
      <c r="P584" s="887"/>
      <c r="Q584" s="63">
        <f>-IF(F584="I",SUMIF('BG 062021'!A:A,Clasificaciones!C584,'BG 062021'!D:D),0)</f>
        <v>0</v>
      </c>
    </row>
    <row r="585" spans="1:18" s="888" customFormat="1" hidden="1">
      <c r="A585" s="885" t="s">
        <v>169</v>
      </c>
      <c r="B585" s="885"/>
      <c r="C585" s="889">
        <v>40301</v>
      </c>
      <c r="D585" s="889" t="s">
        <v>763</v>
      </c>
      <c r="E585" s="886" t="s">
        <v>6</v>
      </c>
      <c r="F585" s="886" t="s">
        <v>270</v>
      </c>
      <c r="G585" s="47">
        <f>-IF(F585="I",IFERROR(VLOOKUP(C585,'BG 062022'!A:C,3,FALSE),0),0)</f>
        <v>0</v>
      </c>
      <c r="H585" s="885"/>
      <c r="I585" s="63">
        <f>-IF(F585="I",IFERROR(VLOOKUP(C585,'BG 062022'!A:D,4,FALSE),0),0)</f>
        <v>0</v>
      </c>
      <c r="J585" s="887"/>
      <c r="K585" s="47">
        <f>-IF(F585="I",SUMIF('BG 2021'!B:B,Clasificaciones!C585,'BG 2021'!D:D),0)</f>
        <v>0</v>
      </c>
      <c r="L585" s="887"/>
      <c r="M585" s="63">
        <f>-IF(F585="I",SUMIF('BG 2021'!B:B,Clasificaciones!C585,'BG 2021'!E:E),0)</f>
        <v>0</v>
      </c>
      <c r="N585" s="887"/>
      <c r="O585" s="47">
        <f>-IF(F585="I",SUMIF('BG 062021'!A:A,Clasificaciones!C585,'BG 062021'!C:C),0)</f>
        <v>0</v>
      </c>
      <c r="P585" s="887"/>
      <c r="Q585" s="63">
        <f>-IF(F585="I",SUMIF('BG 062021'!A:A,Clasificaciones!C585,'BG 062021'!D:D),0)</f>
        <v>0</v>
      </c>
    </row>
    <row r="586" spans="1:18" s="888" customFormat="1" hidden="1">
      <c r="A586" s="885" t="s">
        <v>169</v>
      </c>
      <c r="B586" s="885"/>
      <c r="C586" s="889">
        <v>4030101</v>
      </c>
      <c r="D586" s="889" t="s">
        <v>763</v>
      </c>
      <c r="E586" s="886" t="s">
        <v>6</v>
      </c>
      <c r="F586" s="886" t="s">
        <v>270</v>
      </c>
      <c r="G586" s="47">
        <f>-IF(F586="I",IFERROR(VLOOKUP(C586,'BG 062022'!A:C,3,FALSE),0),0)</f>
        <v>0</v>
      </c>
      <c r="H586" s="885"/>
      <c r="I586" s="63">
        <f>-IF(F586="I",IFERROR(VLOOKUP(C586,'BG 062022'!A:D,4,FALSE),0),0)</f>
        <v>0</v>
      </c>
      <c r="J586" s="887"/>
      <c r="K586" s="47">
        <f>-IF(F586="I",SUMIF('BG 2021'!B:B,Clasificaciones!C586,'BG 2021'!D:D),0)</f>
        <v>0</v>
      </c>
      <c r="L586" s="887"/>
      <c r="M586" s="63">
        <f>-IF(F586="I",SUMIF('BG 2021'!B:B,Clasificaciones!C586,'BG 2021'!E:E),0)</f>
        <v>0</v>
      </c>
      <c r="N586" s="887"/>
      <c r="O586" s="47">
        <f>-IF(F586="I",SUMIF('BG 062021'!A:A,Clasificaciones!C586,'BG 062021'!C:C),0)</f>
        <v>0</v>
      </c>
      <c r="P586" s="887"/>
      <c r="Q586" s="63">
        <f>-IF(F586="I",SUMIF('BG 062021'!A:A,Clasificaciones!C586,'BG 062021'!D:D),0)</f>
        <v>0</v>
      </c>
    </row>
    <row r="587" spans="1:18" s="888" customFormat="1">
      <c r="A587" s="885" t="s">
        <v>169</v>
      </c>
      <c r="B587" s="885" t="s">
        <v>116</v>
      </c>
      <c r="C587" s="889">
        <v>403010101</v>
      </c>
      <c r="D587" s="889" t="s">
        <v>764</v>
      </c>
      <c r="E587" s="886" t="s">
        <v>6</v>
      </c>
      <c r="F587" s="886" t="s">
        <v>271</v>
      </c>
      <c r="G587" s="47">
        <f>-IF(F587="I",IFERROR(VLOOKUP(C587,'BG 062022'!A:C,3,FALSE),0),0)</f>
        <v>-456866904</v>
      </c>
      <c r="H587" s="885"/>
      <c r="I587" s="63">
        <f>-IF(F587="I",IFERROR(VLOOKUP(C587,'BG 062022'!A:D,4,FALSE),0),0)</f>
        <v>-66110.740000000005</v>
      </c>
      <c r="J587" s="887"/>
      <c r="K587" s="47">
        <f>-IF(F587="I",SUMIF('BG 2021'!B:B,Clasificaciones!C587,'BG 2021'!D:D),0)</f>
        <v>-527403157</v>
      </c>
      <c r="L587" s="887"/>
      <c r="M587" s="63">
        <f>-IF(F587="I",SUMIF('BG 2021'!B:B,Clasificaciones!C587,'BG 2021'!E:E),0)</f>
        <v>-76813.100000000006</v>
      </c>
      <c r="N587" s="887"/>
      <c r="O587" s="47">
        <f>-IF(F587="I",SUMIF('BG 062021'!A:A,Clasificaciones!C587,'BG 062021'!C:C),0)</f>
        <v>-54114527</v>
      </c>
      <c r="P587" s="887"/>
      <c r="Q587" s="63">
        <f>-IF(F587="I",SUMIF('BG 062021'!A:A,Clasificaciones!C587,'BG 062021'!D:D),0)</f>
        <v>-8076.18</v>
      </c>
      <c r="R587" s="888">
        <f>+VLOOKUP(C587,'CA EFE'!A:A,1,FALSE)</f>
        <v>403010101</v>
      </c>
    </row>
    <row r="588" spans="1:18" s="888" customFormat="1">
      <c r="A588" s="885" t="s">
        <v>169</v>
      </c>
      <c r="B588" s="885" t="s">
        <v>116</v>
      </c>
      <c r="C588" s="889">
        <v>403010102</v>
      </c>
      <c r="D588" s="889" t="s">
        <v>779</v>
      </c>
      <c r="E588" s="886" t="s">
        <v>186</v>
      </c>
      <c r="F588" s="886" t="s">
        <v>271</v>
      </c>
      <c r="G588" s="47">
        <f>-IF(F588="I",IFERROR(VLOOKUP(C588,'BG 062022'!A:C,3,FALSE),0),0)</f>
        <v>-55360</v>
      </c>
      <c r="H588" s="885"/>
      <c r="I588" s="63">
        <f>-IF(F588="I",IFERROR(VLOOKUP(C588,'BG 062022'!A:D,4,FALSE),0),0)</f>
        <v>-8.06</v>
      </c>
      <c r="J588" s="887"/>
      <c r="K588" s="47">
        <f>-IF(F588="I",SUMIF('BG 2021'!B:B,Clasificaciones!C588,'BG 2021'!D:D),0)</f>
        <v>0</v>
      </c>
      <c r="L588" s="887"/>
      <c r="M588" s="63">
        <f>-IF(F588="I",SUMIF('BG 2021'!B:B,Clasificaciones!C588,'BG 2021'!E:E),0)</f>
        <v>0</v>
      </c>
      <c r="N588" s="887"/>
      <c r="O588" s="47">
        <f>-IF(F588="I",SUMIF('BG 062021'!A:A,Clasificaciones!C588,'BG 062021'!C:C),0)</f>
        <v>0</v>
      </c>
      <c r="P588" s="887"/>
      <c r="Q588" s="63">
        <f>-IF(F588="I",SUMIF('BG 062021'!A:A,Clasificaciones!C588,'BG 062021'!D:D),0)</f>
        <v>0</v>
      </c>
    </row>
    <row r="589" spans="1:18" s="888" customFormat="1" hidden="1">
      <c r="A589" s="885" t="s">
        <v>169</v>
      </c>
      <c r="B589" s="885" t="s">
        <v>116</v>
      </c>
      <c r="C589" s="889">
        <v>403010103</v>
      </c>
      <c r="D589" s="889" t="s">
        <v>765</v>
      </c>
      <c r="E589" s="886" t="s">
        <v>6</v>
      </c>
      <c r="F589" s="886" t="s">
        <v>271</v>
      </c>
      <c r="G589" s="47">
        <f>-IF(F589="I",IFERROR(VLOOKUP(C589,'BG 062022'!A:C,3,FALSE),0),0)</f>
        <v>0</v>
      </c>
      <c r="H589" s="885"/>
      <c r="I589" s="63">
        <f>-IF(F589="I",IFERROR(VLOOKUP(C589,'BG 062022'!A:D,4,FALSE),0),0)</f>
        <v>0</v>
      </c>
      <c r="J589" s="887"/>
      <c r="K589" s="47">
        <f>-IF(F589="I",SUMIF('BG 2021'!B:B,Clasificaciones!C589,'BG 2021'!D:D),0)</f>
        <v>-31332712</v>
      </c>
      <c r="L589" s="887"/>
      <c r="M589" s="63">
        <f>-IF(F589="I",SUMIF('BG 2021'!B:B,Clasificaciones!C589,'BG 2021'!E:E),0)</f>
        <v>-4611</v>
      </c>
      <c r="N589" s="887"/>
      <c r="O589" s="47">
        <f>-IF(F589="I",SUMIF('BG 062021'!A:A,Clasificaciones!C589,'BG 062021'!C:C),0)</f>
        <v>-15441425</v>
      </c>
      <c r="P589" s="887"/>
      <c r="Q589" s="63">
        <f>-IF(F589="I",SUMIF('BG 062021'!A:A,Clasificaciones!C589,'BG 062021'!D:D),0)</f>
        <v>-2297.31</v>
      </c>
    </row>
    <row r="590" spans="1:18" s="888" customFormat="1">
      <c r="A590" s="885" t="s">
        <v>169</v>
      </c>
      <c r="B590" s="885" t="s">
        <v>116</v>
      </c>
      <c r="C590" s="889">
        <v>403010104</v>
      </c>
      <c r="D590" s="889" t="s">
        <v>1389</v>
      </c>
      <c r="E590" s="886" t="s">
        <v>186</v>
      </c>
      <c r="F590" s="886" t="s">
        <v>271</v>
      </c>
      <c r="G590" s="47">
        <f>-IF(F590="I",IFERROR(VLOOKUP(C590,'BG 062022'!A:C,3,FALSE),0),0)</f>
        <v>-48252151</v>
      </c>
      <c r="H590" s="885"/>
      <c r="I590" s="63">
        <f>-IF(F590="I",IFERROR(VLOOKUP(C590,'BG 062022'!A:D,4,FALSE),0),0)</f>
        <v>-6959.45</v>
      </c>
      <c r="J590" s="887"/>
      <c r="K590" s="47">
        <f>-IF(F590="I",SUMIF('BG 2021'!B:B,Clasificaciones!C590,'BG 2021'!D:D),0)</f>
        <v>-27130882</v>
      </c>
      <c r="L590" s="887"/>
      <c r="M590" s="63">
        <f>-IF(F590="I",SUMIF('BG 2021'!B:B,Clasificaciones!C590,'BG 2021'!E:E),0)</f>
        <v>-3993.04</v>
      </c>
      <c r="N590" s="887"/>
      <c r="O590" s="47">
        <f>-IF(F590="I",SUMIF('BG 062021'!A:A,Clasificaciones!C590,'BG 062021'!C:C),0)</f>
        <v>-4986420</v>
      </c>
      <c r="P590" s="887"/>
      <c r="Q590" s="63">
        <f>-IF(F590="I",SUMIF('BG 062021'!A:A,Clasificaciones!C590,'BG 062021'!D:D),0)</f>
        <v>-751.59</v>
      </c>
      <c r="R590" s="888">
        <f>+VLOOKUP(C590,'CA EFE'!A:A,1,FALSE)</f>
        <v>403010104</v>
      </c>
    </row>
    <row r="591" spans="1:18" s="888" customFormat="1">
      <c r="A591" s="885" t="s">
        <v>169</v>
      </c>
      <c r="B591" s="885" t="s">
        <v>116</v>
      </c>
      <c r="C591" s="889">
        <v>403010105</v>
      </c>
      <c r="D591" s="889" t="s">
        <v>767</v>
      </c>
      <c r="E591" s="886" t="s">
        <v>6</v>
      </c>
      <c r="F591" s="886" t="s">
        <v>271</v>
      </c>
      <c r="G591" s="47">
        <f>-IF(F591="I",IFERROR(VLOOKUP(C591,'BG 062022'!A:C,3,FALSE),0),0)</f>
        <v>-545522548</v>
      </c>
      <c r="H591" s="885"/>
      <c r="I591" s="63">
        <f>-IF(F591="I",IFERROR(VLOOKUP(C591,'BG 062022'!A:D,4,FALSE),0),0)</f>
        <v>-79356.62</v>
      </c>
      <c r="J591" s="887"/>
      <c r="K591" s="47">
        <f>-IF(F591="I",SUMIF('BG 2021'!B:B,Clasificaciones!C591,'BG 2021'!D:D),0)</f>
        <v>-627968163</v>
      </c>
      <c r="L591" s="887"/>
      <c r="M591" s="63">
        <f>-IF(F591="I",SUMIF('BG 2021'!B:B,Clasificaciones!C591,'BG 2021'!E:E),0)</f>
        <v>-91996.47</v>
      </c>
      <c r="N591" s="887"/>
      <c r="O591" s="47">
        <f>-IF(F591="I",SUMIF('BG 062021'!A:A,Clasificaciones!C591,'BG 062021'!C:C),0)</f>
        <v>-173718071</v>
      </c>
      <c r="P591" s="887"/>
      <c r="Q591" s="63">
        <f>-IF(F591="I",SUMIF('BG 062021'!A:A,Clasificaciones!C591,'BG 062021'!D:D),0)</f>
        <v>-25974.04</v>
      </c>
      <c r="R591" s="888">
        <f>+VLOOKUP(C591,'CA EFE'!A:A,1,FALSE)</f>
        <v>403010105</v>
      </c>
    </row>
    <row r="592" spans="1:18" s="888" customFormat="1">
      <c r="A592" s="885" t="s">
        <v>169</v>
      </c>
      <c r="B592" s="885" t="s">
        <v>116</v>
      </c>
      <c r="C592" s="889">
        <v>403010106</v>
      </c>
      <c r="D592" s="889" t="s">
        <v>1370</v>
      </c>
      <c r="E592" s="886" t="s">
        <v>186</v>
      </c>
      <c r="F592" s="886" t="s">
        <v>271</v>
      </c>
      <c r="G592" s="47">
        <f>-IF(F592="I",IFERROR(VLOOKUP(C592,'BG 062022'!A:C,3,FALSE),0),0)</f>
        <v>-255174767</v>
      </c>
      <c r="H592" s="885"/>
      <c r="I592" s="63">
        <f>-IF(F592="I",IFERROR(VLOOKUP(C592,'BG 062022'!A:D,4,FALSE),0),0)</f>
        <v>-37060.43</v>
      </c>
      <c r="J592" s="887"/>
      <c r="K592" s="47">
        <f>-IF(F592="I",SUMIF('BG 2021'!B:B,Clasificaciones!C592,'BG 2021'!D:D),0)</f>
        <v>-192561482</v>
      </c>
      <c r="L592" s="887"/>
      <c r="M592" s="63">
        <f>-IF(F592="I",SUMIF('BG 2021'!B:B,Clasificaciones!C592,'BG 2021'!E:E),0)</f>
        <v>-29045.93</v>
      </c>
      <c r="N592" s="887"/>
      <c r="O592" s="47">
        <f>-IF(F592="I",SUMIF('BG 062021'!A:A,Clasificaciones!C592,'BG 062021'!C:C),0)</f>
        <v>-110247504</v>
      </c>
      <c r="P592" s="887"/>
      <c r="Q592" s="63">
        <f>-IF(F592="I",SUMIF('BG 062021'!A:A,Clasificaciones!C592,'BG 062021'!D:D),0)</f>
        <v>-17086.8</v>
      </c>
      <c r="R592" s="888">
        <f>+VLOOKUP(C592,'CA EFE'!A:A,1,FALSE)</f>
        <v>403010106</v>
      </c>
    </row>
    <row r="593" spans="1:18" s="888" customFormat="1">
      <c r="A593" s="885" t="s">
        <v>169</v>
      </c>
      <c r="B593" s="885" t="s">
        <v>116</v>
      </c>
      <c r="C593" s="889">
        <v>403010107</v>
      </c>
      <c r="D593" s="889" t="s">
        <v>768</v>
      </c>
      <c r="E593" s="886" t="s">
        <v>6</v>
      </c>
      <c r="F593" s="886" t="s">
        <v>271</v>
      </c>
      <c r="G593" s="47">
        <f>-IF(F593="I",IFERROR(VLOOKUP(C593,'BG 062022'!A:C,3,FALSE),0),0)</f>
        <v>-1316780963</v>
      </c>
      <c r="H593" s="885"/>
      <c r="I593" s="63">
        <f>-IF(F593="I",IFERROR(VLOOKUP(C593,'BG 062022'!A:D,4,FALSE),0),0)</f>
        <v>-185135.84</v>
      </c>
      <c r="J593" s="887"/>
      <c r="K593" s="47">
        <f>-IF(F593="I",SUMIF('BG 2021'!B:B,Clasificaciones!C593,'BG 2021'!D:D),0)</f>
        <v>-923827093</v>
      </c>
      <c r="L593" s="887"/>
      <c r="M593" s="63">
        <f>-IF(F593="I",SUMIF('BG 2021'!B:B,Clasificaciones!C593,'BG 2021'!E:E),0)</f>
        <v>-135701.78999999998</v>
      </c>
      <c r="N593" s="887"/>
      <c r="O593" s="47">
        <f>-IF(F593="I",SUMIF('BG 062021'!A:A,Clasificaciones!C593,'BG 062021'!C:C),0)</f>
        <v>-125799895</v>
      </c>
      <c r="P593" s="887"/>
      <c r="Q593" s="63">
        <f>-IF(F593="I",SUMIF('BG 062021'!A:A,Clasificaciones!C593,'BG 062021'!D:D),0)</f>
        <v>-18961.04</v>
      </c>
      <c r="R593" s="888">
        <f>+VLOOKUP(C593,'CA EFE'!A:A,1,FALSE)</f>
        <v>403010107</v>
      </c>
    </row>
    <row r="594" spans="1:18" s="888" customFormat="1">
      <c r="A594" s="885" t="s">
        <v>169</v>
      </c>
      <c r="B594" s="885" t="s">
        <v>116</v>
      </c>
      <c r="C594" s="889">
        <v>403010108</v>
      </c>
      <c r="D594" s="889" t="s">
        <v>1406</v>
      </c>
      <c r="E594" s="886" t="s">
        <v>186</v>
      </c>
      <c r="F594" s="886" t="s">
        <v>271</v>
      </c>
      <c r="G594" s="47">
        <f>-IF(F594="I",IFERROR(VLOOKUP(C594,'BG 062022'!A:C,3,FALSE),0),0)</f>
        <v>-379461518</v>
      </c>
      <c r="H594" s="885"/>
      <c r="I594" s="63">
        <f>-IF(F594="I",IFERROR(VLOOKUP(C594,'BG 062022'!A:D,4,FALSE),0),0)</f>
        <v>-55097.53</v>
      </c>
      <c r="J594" s="887"/>
      <c r="K594" s="47">
        <f>-IF(F594="I",SUMIF('BG 2021'!B:B,Clasificaciones!C594,'BG 2021'!D:D),0)</f>
        <v>-2986304</v>
      </c>
      <c r="L594" s="887"/>
      <c r="M594" s="63">
        <f>-IF(F594="I",SUMIF('BG 2021'!B:B,Clasificaciones!C594,'BG 2021'!E:E),0)</f>
        <v>-434.12</v>
      </c>
      <c r="N594" s="887"/>
      <c r="O594" s="47">
        <f>-IF(F594="I",SUMIF('BG 062021'!A:A,Clasificaciones!C594,'BG 062021'!C:C),0)</f>
        <v>-21895</v>
      </c>
      <c r="P594" s="887"/>
      <c r="Q594" s="63">
        <f>-IF(F594="I",SUMIF('BG 062021'!A:A,Clasificaciones!C594,'BG 062021'!D:D),0)</f>
        <v>-3.16</v>
      </c>
      <c r="R594" s="888">
        <f>+VLOOKUP(C594,'CA EFE'!A:A,1,FALSE)</f>
        <v>403010108</v>
      </c>
    </row>
    <row r="595" spans="1:18" s="888" customFormat="1" hidden="1">
      <c r="A595" s="885" t="s">
        <v>169</v>
      </c>
      <c r="B595" s="885" t="s">
        <v>116</v>
      </c>
      <c r="C595" s="889">
        <v>403010109</v>
      </c>
      <c r="D595" s="889" t="s">
        <v>770</v>
      </c>
      <c r="E595" s="886" t="s">
        <v>6</v>
      </c>
      <c r="F595" s="886" t="s">
        <v>271</v>
      </c>
      <c r="G595" s="47">
        <f>-IF(F595="I",IFERROR(VLOOKUP(C595,'BG 062022'!A:C,3,FALSE),0),0)</f>
        <v>0</v>
      </c>
      <c r="H595" s="885"/>
      <c r="I595" s="63">
        <f>-IF(F595="I",IFERROR(VLOOKUP(C595,'BG 062022'!A:D,4,FALSE),0),0)</f>
        <v>0</v>
      </c>
      <c r="J595" s="887"/>
      <c r="K595" s="47">
        <f>-IF(F595="I",SUMIF('BG 2021'!B:B,Clasificaciones!C595,'BG 2021'!D:D),0)</f>
        <v>-848877</v>
      </c>
      <c r="L595" s="887"/>
      <c r="M595" s="63">
        <f>-IF(F595="I",SUMIF('BG 2021'!B:B,Clasificaciones!C595,'BG 2021'!E:E),0)</f>
        <v>-131.29</v>
      </c>
      <c r="N595" s="887"/>
      <c r="O595" s="47">
        <f>-IF(F595="I",SUMIF('BG 062021'!A:A,Clasificaciones!C595,'BG 062021'!C:C),0)</f>
        <v>-848877</v>
      </c>
      <c r="P595" s="887"/>
      <c r="Q595" s="63">
        <f>-IF(F595="I",SUMIF('BG 062021'!A:A,Clasificaciones!C595,'BG 062021'!D:D),0)</f>
        <v>-131.29</v>
      </c>
    </row>
    <row r="596" spans="1:18" s="888" customFormat="1" hidden="1">
      <c r="A596" s="885" t="s">
        <v>169</v>
      </c>
      <c r="B596" s="885" t="s">
        <v>116</v>
      </c>
      <c r="C596" s="889">
        <v>403010110</v>
      </c>
      <c r="D596" s="889" t="s">
        <v>880</v>
      </c>
      <c r="E596" s="886" t="s">
        <v>186</v>
      </c>
      <c r="F596" s="886" t="s">
        <v>271</v>
      </c>
      <c r="G596" s="47">
        <f>-IF(F596="I",IFERROR(VLOOKUP(C596,'BG 062022'!A:C,3,FALSE),0),0)</f>
        <v>0</v>
      </c>
      <c r="H596" s="885"/>
      <c r="I596" s="63">
        <f>-IF(F596="I",IFERROR(VLOOKUP(C596,'BG 062022'!A:D,4,FALSE),0),0)</f>
        <v>0</v>
      </c>
      <c r="J596" s="887"/>
      <c r="K596" s="47">
        <f>-IF(F596="I",SUMIF('BG 2021'!B:B,Clasificaciones!C596,'BG 2021'!D:D),0)</f>
        <v>0</v>
      </c>
      <c r="L596" s="887"/>
      <c r="M596" s="63">
        <f>-IF(F596="I",SUMIF('BG 2021'!B:B,Clasificaciones!C596,'BG 2021'!E:E),0)</f>
        <v>0</v>
      </c>
      <c r="N596" s="887"/>
      <c r="O596" s="47">
        <f>-IF(F596="I",SUMIF('BG 062021'!A:A,Clasificaciones!C596,'BG 062021'!C:C),0)</f>
        <v>0</v>
      </c>
      <c r="P596" s="887"/>
      <c r="Q596" s="63">
        <f>-IF(F596="I",SUMIF('BG 062021'!A:A,Clasificaciones!C596,'BG 062021'!D:D),0)</f>
        <v>0</v>
      </c>
    </row>
    <row r="597" spans="1:18" s="888" customFormat="1" hidden="1">
      <c r="A597" s="885" t="s">
        <v>169</v>
      </c>
      <c r="B597" s="885" t="s">
        <v>116</v>
      </c>
      <c r="C597" s="889">
        <v>403010111</v>
      </c>
      <c r="D597" s="889" t="s">
        <v>942</v>
      </c>
      <c r="E597" s="886" t="s">
        <v>6</v>
      </c>
      <c r="F597" s="886" t="s">
        <v>271</v>
      </c>
      <c r="G597" s="47">
        <f>-IF(F597="I",IFERROR(VLOOKUP(C597,'BG 062022'!A:C,3,FALSE),0),0)</f>
        <v>0</v>
      </c>
      <c r="H597" s="885"/>
      <c r="I597" s="63">
        <f>-IF(F597="I",IFERROR(VLOOKUP(C597,'BG 062022'!A:D,4,FALSE),0),0)</f>
        <v>0</v>
      </c>
      <c r="J597" s="887"/>
      <c r="K597" s="47">
        <f>-IF(F597="I",SUMIF('BG 2021'!B:B,Clasificaciones!C597,'BG 2021'!D:D),0)</f>
        <v>0</v>
      </c>
      <c r="L597" s="887"/>
      <c r="M597" s="63">
        <f>-IF(F597="I",SUMIF('BG 2021'!B:B,Clasificaciones!C597,'BG 2021'!E:E),0)</f>
        <v>0</v>
      </c>
      <c r="N597" s="887"/>
      <c r="O597" s="47">
        <f>-IF(F597="I",SUMIF('BG 062021'!A:A,Clasificaciones!C597,'BG 062021'!C:C),0)</f>
        <v>0</v>
      </c>
      <c r="P597" s="887"/>
      <c r="Q597" s="63">
        <f>-IF(F597="I",SUMIF('BG 062021'!A:A,Clasificaciones!C597,'BG 062021'!D:D),0)</f>
        <v>0</v>
      </c>
    </row>
    <row r="598" spans="1:18" s="888" customFormat="1" hidden="1">
      <c r="A598" s="885" t="s">
        <v>169</v>
      </c>
      <c r="B598" s="885" t="s">
        <v>116</v>
      </c>
      <c r="C598" s="889">
        <v>403010112</v>
      </c>
      <c r="D598" s="889" t="s">
        <v>883</v>
      </c>
      <c r="E598" s="886" t="s">
        <v>186</v>
      </c>
      <c r="F598" s="886" t="s">
        <v>271</v>
      </c>
      <c r="G598" s="47">
        <f>-IF(F598="I",IFERROR(VLOOKUP(C598,'BG 062022'!A:C,3,FALSE),0),0)</f>
        <v>0</v>
      </c>
      <c r="H598" s="885"/>
      <c r="I598" s="63">
        <f>-IF(F598="I",IFERROR(VLOOKUP(C598,'BG 062022'!A:D,4,FALSE),0),0)</f>
        <v>0</v>
      </c>
      <c r="J598" s="887"/>
      <c r="K598" s="47">
        <f>-IF(F598="I",SUMIF('BG 2021'!B:B,Clasificaciones!C598,'BG 2021'!D:D),0)</f>
        <v>0</v>
      </c>
      <c r="L598" s="887"/>
      <c r="M598" s="63">
        <f>-IF(F598="I",SUMIF('BG 2021'!B:B,Clasificaciones!C598,'BG 2021'!E:E),0)</f>
        <v>0</v>
      </c>
      <c r="N598" s="887"/>
      <c r="O598" s="47">
        <f>-IF(F598="I",SUMIF('BG 062021'!A:A,Clasificaciones!C598,'BG 062021'!C:C),0)</f>
        <v>0</v>
      </c>
      <c r="P598" s="887"/>
      <c r="Q598" s="63">
        <f>-IF(F598="I",SUMIF('BG 062021'!A:A,Clasificaciones!C598,'BG 062021'!D:D),0)</f>
        <v>0</v>
      </c>
    </row>
    <row r="599" spans="1:18" s="888" customFormat="1" ht="12" hidden="1">
      <c r="A599" s="885" t="s">
        <v>169</v>
      </c>
      <c r="B599" s="885" t="s">
        <v>116</v>
      </c>
      <c r="C599" s="889">
        <v>403010113</v>
      </c>
      <c r="D599" s="819" t="s">
        <v>781</v>
      </c>
      <c r="E599" s="886" t="s">
        <v>6</v>
      </c>
      <c r="F599" s="886" t="s">
        <v>271</v>
      </c>
      <c r="G599" s="47">
        <f>-IF(F599="I",IFERROR(VLOOKUP(C599,'BG 062022'!A:C,3,FALSE),0),0)</f>
        <v>0</v>
      </c>
      <c r="H599" s="885"/>
      <c r="I599" s="63">
        <f>-IF(F599="I",IFERROR(VLOOKUP(C599,'BG 062022'!A:D,4,FALSE),0),0)</f>
        <v>0</v>
      </c>
      <c r="J599" s="887"/>
      <c r="K599" s="47">
        <f>-IF(F599="I",SUMIF('BG 2021'!B:B,Clasificaciones!C599,'BG 2021'!D:D),0)</f>
        <v>0</v>
      </c>
      <c r="L599" s="887"/>
      <c r="M599" s="63">
        <f>-IF(F599="I",SUMIF('BG 2021'!B:B,Clasificaciones!C599,'BG 2021'!E:E),0)</f>
        <v>0</v>
      </c>
      <c r="N599" s="887"/>
      <c r="O599" s="47">
        <f>-IF(F599="I",SUMIF('BG 062021'!A:A,Clasificaciones!C599,'BG 062021'!C:C),0)</f>
        <v>0</v>
      </c>
      <c r="P599" s="887"/>
      <c r="Q599" s="63">
        <f>-IF(F599="I",SUMIF('BG 062021'!A:A,Clasificaciones!C599,'BG 062021'!D:D),0)</f>
        <v>0</v>
      </c>
    </row>
    <row r="600" spans="1:18" s="888" customFormat="1">
      <c r="A600" s="885" t="s">
        <v>169</v>
      </c>
      <c r="B600" s="885" t="s">
        <v>116</v>
      </c>
      <c r="C600" s="889">
        <v>403010114</v>
      </c>
      <c r="D600" s="889" t="s">
        <v>1407</v>
      </c>
      <c r="E600" s="886" t="s">
        <v>186</v>
      </c>
      <c r="F600" s="886" t="s">
        <v>271</v>
      </c>
      <c r="G600" s="47">
        <f>-IF(F600="I",IFERROR(VLOOKUP(C600,'BG 062022'!A:C,3,FALSE),0),0)</f>
        <v>-401625</v>
      </c>
      <c r="H600" s="885"/>
      <c r="I600" s="63">
        <f>-IF(F600="I",IFERROR(VLOOKUP(C600,'BG 062022'!A:D,4,FALSE),0),0)</f>
        <v>-58.4</v>
      </c>
      <c r="J600" s="887"/>
      <c r="K600" s="47">
        <f>-IF(F600="I",SUMIF('BG 2021'!B:B,Clasificaciones!C600,'BG 2021'!D:D),0)</f>
        <v>-866853</v>
      </c>
      <c r="L600" s="887"/>
      <c r="M600" s="63">
        <f>-IF(F600="I",SUMIF('BG 2021'!B:B,Clasificaciones!C600,'BG 2021'!E:E),0)</f>
        <v>-129.96</v>
      </c>
      <c r="N600" s="887"/>
      <c r="O600" s="47">
        <f>-IF(F600="I",SUMIF('BG 062021'!A:A,Clasificaciones!C600,'BG 062021'!C:C),0)</f>
        <v>-413577</v>
      </c>
      <c r="P600" s="887"/>
      <c r="Q600" s="63">
        <f>-IF(F600="I",SUMIF('BG 062021'!A:A,Clasificaciones!C600,'BG 062021'!D:D),0)</f>
        <v>-63.87</v>
      </c>
      <c r="R600" s="888">
        <f>+VLOOKUP(C600,'CA EFE'!A:A,1,FALSE)</f>
        <v>403010114</v>
      </c>
    </row>
    <row r="601" spans="1:18" s="888" customFormat="1" ht="12" hidden="1">
      <c r="A601" s="885" t="s">
        <v>169</v>
      </c>
      <c r="B601" s="885" t="s">
        <v>116</v>
      </c>
      <c r="C601" s="889">
        <v>403010115</v>
      </c>
      <c r="D601" s="819" t="s">
        <v>1050</v>
      </c>
      <c r="E601" s="886" t="s">
        <v>6</v>
      </c>
      <c r="F601" s="886" t="s">
        <v>271</v>
      </c>
      <c r="G601" s="47">
        <f>-IF(F601="I",IFERROR(VLOOKUP(C601,'BG 062022'!A:C,3,FALSE),0),0)</f>
        <v>0</v>
      </c>
      <c r="H601" s="885"/>
      <c r="I601" s="63">
        <f>-IF(F601="I",IFERROR(VLOOKUP(C601,'BG 062022'!A:D,4,FALSE),0),0)</f>
        <v>0</v>
      </c>
      <c r="J601" s="887"/>
      <c r="K601" s="47">
        <f>-IF(F601="I",SUMIF('BG 2021'!B:B,Clasificaciones!C601,'BG 2021'!D:D),0)</f>
        <v>0</v>
      </c>
      <c r="L601" s="887"/>
      <c r="M601" s="63">
        <f>-IF(F601="I",SUMIF('BG 2021'!B:B,Clasificaciones!C601,'BG 2021'!E:E),0)</f>
        <v>0</v>
      </c>
      <c r="N601" s="887"/>
      <c r="O601" s="47">
        <f>-IF(F601="I",SUMIF('BG 062021'!A:A,Clasificaciones!C601,'BG 062021'!C:C),0)</f>
        <v>0</v>
      </c>
      <c r="P601" s="887"/>
      <c r="Q601" s="63">
        <f>-IF(F601="I",SUMIF('BG 062021'!A:A,Clasificaciones!C601,'BG 062021'!D:D),0)</f>
        <v>0</v>
      </c>
    </row>
    <row r="602" spans="1:18" s="888" customFormat="1">
      <c r="A602" s="885" t="s">
        <v>169</v>
      </c>
      <c r="B602" s="885" t="s">
        <v>116</v>
      </c>
      <c r="C602" s="889">
        <v>403010116</v>
      </c>
      <c r="D602" s="889" t="s">
        <v>1408</v>
      </c>
      <c r="E602" s="886" t="s">
        <v>186</v>
      </c>
      <c r="F602" s="886" t="s">
        <v>271</v>
      </c>
      <c r="G602" s="47">
        <f>-IF(F602="I",IFERROR(VLOOKUP(C602,'BG 062022'!A:C,3,FALSE),0),0)</f>
        <v>-13715351</v>
      </c>
      <c r="H602" s="885"/>
      <c r="I602" s="63">
        <f>-IF(F602="I",IFERROR(VLOOKUP(C602,'BG 062022'!A:D,4,FALSE),0),0)</f>
        <v>-2007.45</v>
      </c>
      <c r="J602" s="887"/>
      <c r="K602" s="47">
        <f>-IF(F602="I",SUMIF('BG 2021'!B:B,Clasificaciones!C602,'BG 2021'!D:D),0)</f>
        <v>-22733755</v>
      </c>
      <c r="L602" s="887"/>
      <c r="M602" s="63">
        <f>-IF(F602="I",SUMIF('BG 2021'!B:B,Clasificaciones!C602,'BG 2021'!E:E),0)</f>
        <v>-3360.02</v>
      </c>
      <c r="N602" s="887"/>
      <c r="O602" s="47">
        <f>-IF(F602="I",SUMIF('BG 062021'!A:A,Clasificaciones!C602,'BG 062021'!C:C),0)</f>
        <v>-22700048</v>
      </c>
      <c r="P602" s="887"/>
      <c r="Q602" s="63">
        <f>-IF(F602="I",SUMIF('BG 062021'!A:A,Clasificaciones!C602,'BG 062021'!D:D),0)</f>
        <v>-3355.13</v>
      </c>
    </row>
    <row r="603" spans="1:18" s="888" customFormat="1">
      <c r="A603" s="885" t="s">
        <v>169</v>
      </c>
      <c r="B603" s="885" t="s">
        <v>116</v>
      </c>
      <c r="C603" s="889">
        <v>403010117</v>
      </c>
      <c r="D603" s="889" t="s">
        <v>773</v>
      </c>
      <c r="E603" s="886" t="s">
        <v>6</v>
      </c>
      <c r="F603" s="886" t="s">
        <v>271</v>
      </c>
      <c r="G603" s="47">
        <f>-IF(F603="I",IFERROR(VLOOKUP(C603,'BG 062022'!A:C,3,FALSE),0),0)</f>
        <v>-158375407</v>
      </c>
      <c r="H603" s="885"/>
      <c r="I603" s="63">
        <f>-IF(F603="I",IFERROR(VLOOKUP(C603,'BG 062022'!A:D,4,FALSE),0),0)</f>
        <v>-22879</v>
      </c>
      <c r="J603" s="887"/>
      <c r="K603" s="47">
        <f>-IF(F603="I",SUMIF('BG 2021'!B:B,Clasificaciones!C603,'BG 2021'!D:D),0)</f>
        <v>-297165671</v>
      </c>
      <c r="L603" s="887"/>
      <c r="M603" s="63">
        <f>-IF(F603="I",SUMIF('BG 2021'!B:B,Clasificaciones!C603,'BG 2021'!E:E),0)</f>
        <v>-43412.79</v>
      </c>
      <c r="N603" s="887"/>
      <c r="O603" s="47">
        <f>-IF(F603="I",SUMIF('BG 062021'!A:A,Clasificaciones!C603,'BG 062021'!C:C),0)</f>
        <v>-42493848</v>
      </c>
      <c r="P603" s="887"/>
      <c r="Q603" s="63">
        <f>-IF(F603="I",SUMIF('BG 062021'!A:A,Clasificaciones!C603,'BG 062021'!D:D),0)</f>
        <v>-6419.51</v>
      </c>
      <c r="R603" s="888">
        <f>+VLOOKUP(C603,'CA EFE'!A:A,1,FALSE)</f>
        <v>403010117</v>
      </c>
    </row>
    <row r="604" spans="1:18" s="888" customFormat="1">
      <c r="A604" s="885" t="s">
        <v>169</v>
      </c>
      <c r="B604" s="885" t="s">
        <v>116</v>
      </c>
      <c r="C604" s="889">
        <v>403010118</v>
      </c>
      <c r="D604" s="889" t="s">
        <v>1409</v>
      </c>
      <c r="E604" s="886" t="s">
        <v>186</v>
      </c>
      <c r="F604" s="886" t="s">
        <v>271</v>
      </c>
      <c r="G604" s="47">
        <f>-IF(F604="I",IFERROR(VLOOKUP(C604,'BG 062022'!A:C,3,FALSE),0),0)</f>
        <v>-1021690698</v>
      </c>
      <c r="H604" s="885"/>
      <c r="I604" s="63">
        <f>-IF(F604="I",IFERROR(VLOOKUP(C604,'BG 062022'!A:D,4,FALSE),0),0)</f>
        <v>-147921.18</v>
      </c>
      <c r="J604" s="887"/>
      <c r="K604" s="47">
        <f>-IF(F604="I",SUMIF('BG 2021'!B:B,Clasificaciones!C604,'BG 2021'!D:D),0)</f>
        <v>-115351496</v>
      </c>
      <c r="L604" s="887"/>
      <c r="M604" s="63">
        <f>-IF(F604="I",SUMIF('BG 2021'!B:B,Clasificaciones!C604,'BG 2021'!E:E),0)</f>
        <v>-16979.25</v>
      </c>
      <c r="N604" s="887"/>
      <c r="O604" s="47">
        <f>-IF(F604="I",SUMIF('BG 062021'!A:A,Clasificaciones!C604,'BG 062021'!C:C),0)</f>
        <v>-13614357</v>
      </c>
      <c r="P604" s="887"/>
      <c r="Q604" s="63">
        <f>-IF(F604="I",SUMIF('BG 062021'!A:A,Clasificaciones!C604,'BG 062021'!D:D),0)</f>
        <v>-2102.9299999999998</v>
      </c>
      <c r="R604" s="888">
        <f>+VLOOKUP(C604,'CA EFE'!A:A,1,FALSE)</f>
        <v>403010118</v>
      </c>
    </row>
    <row r="605" spans="1:18" s="888" customFormat="1" ht="12" hidden="1">
      <c r="A605" s="885" t="s">
        <v>169</v>
      </c>
      <c r="B605" s="885" t="s">
        <v>116</v>
      </c>
      <c r="C605" s="889">
        <v>403010119</v>
      </c>
      <c r="D605" s="819" t="s">
        <v>1051</v>
      </c>
      <c r="E605" s="886" t="s">
        <v>6</v>
      </c>
      <c r="F605" s="886" t="s">
        <v>271</v>
      </c>
      <c r="G605" s="47">
        <f>-IF(F605="I",IFERROR(VLOOKUP(C605,'BG 062022'!A:C,3,FALSE),0),0)</f>
        <v>0</v>
      </c>
      <c r="H605" s="885"/>
      <c r="I605" s="63">
        <f>-IF(F605="I",IFERROR(VLOOKUP(C605,'BG 062022'!A:D,4,FALSE),0),0)</f>
        <v>0</v>
      </c>
      <c r="J605" s="887"/>
      <c r="K605" s="47">
        <f>-IF(F605="I",SUMIF('BG 2021'!B:B,Clasificaciones!C605,'BG 2021'!D:D),0)</f>
        <v>0</v>
      </c>
      <c r="L605" s="887"/>
      <c r="M605" s="63">
        <f>-IF(F605="I",SUMIF('BG 2021'!B:B,Clasificaciones!C605,'BG 2021'!E:E),0)</f>
        <v>0</v>
      </c>
      <c r="N605" s="887"/>
      <c r="O605" s="47">
        <f>-IF(F605="I",SUMIF('BG 062021'!A:A,Clasificaciones!C605,'BG 062021'!C:C),0)</f>
        <v>0</v>
      </c>
      <c r="P605" s="887"/>
      <c r="Q605" s="63">
        <f>-IF(F605="I",SUMIF('BG 062021'!A:A,Clasificaciones!C605,'BG 062021'!D:D),0)</f>
        <v>0</v>
      </c>
    </row>
    <row r="606" spans="1:18" s="888" customFormat="1" ht="12" hidden="1">
      <c r="A606" s="885" t="s">
        <v>169</v>
      </c>
      <c r="B606" s="885" t="s">
        <v>116</v>
      </c>
      <c r="C606" s="889">
        <v>403010120</v>
      </c>
      <c r="D606" s="819" t="s">
        <v>1052</v>
      </c>
      <c r="E606" s="886" t="s">
        <v>186</v>
      </c>
      <c r="F606" s="886" t="s">
        <v>271</v>
      </c>
      <c r="G606" s="47">
        <f>-IF(F606="I",IFERROR(VLOOKUP(C606,'BG 062022'!A:C,3,FALSE),0),0)</f>
        <v>0</v>
      </c>
      <c r="H606" s="885"/>
      <c r="I606" s="63">
        <f>-IF(F606="I",IFERROR(VLOOKUP(C606,'BG 062022'!A:D,4,FALSE),0),0)</f>
        <v>0</v>
      </c>
      <c r="J606" s="887"/>
      <c r="K606" s="47">
        <f>-IF(F606="I",SUMIF('BG 2021'!B:B,Clasificaciones!C606,'BG 2021'!D:D),0)</f>
        <v>0</v>
      </c>
      <c r="L606" s="887"/>
      <c r="M606" s="63">
        <f>-IF(F606="I",SUMIF('BG 2021'!B:B,Clasificaciones!C606,'BG 2021'!E:E),0)</f>
        <v>0</v>
      </c>
      <c r="N606" s="887"/>
      <c r="O606" s="47">
        <f>-IF(F606="I",SUMIF('BG 062021'!A:A,Clasificaciones!C606,'BG 062021'!C:C),0)</f>
        <v>0</v>
      </c>
      <c r="P606" s="887"/>
      <c r="Q606" s="63">
        <f>-IF(F606="I",SUMIF('BG 062021'!A:A,Clasificaciones!C606,'BG 062021'!D:D),0)</f>
        <v>0</v>
      </c>
    </row>
    <row r="607" spans="1:18" s="888" customFormat="1" ht="12" hidden="1">
      <c r="A607" s="885" t="s">
        <v>169</v>
      </c>
      <c r="B607" s="885" t="s">
        <v>116</v>
      </c>
      <c r="C607" s="889">
        <v>403010121</v>
      </c>
      <c r="D607" s="819" t="s">
        <v>782</v>
      </c>
      <c r="E607" s="886" t="s">
        <v>6</v>
      </c>
      <c r="F607" s="886" t="s">
        <v>271</v>
      </c>
      <c r="G607" s="47">
        <f>-IF(F607="I",IFERROR(VLOOKUP(C607,'BG 062022'!A:C,3,FALSE),0),0)</f>
        <v>0</v>
      </c>
      <c r="H607" s="885"/>
      <c r="I607" s="63">
        <f>-IF(F607="I",IFERROR(VLOOKUP(C607,'BG 062022'!A:D,4,FALSE),0),0)</f>
        <v>0</v>
      </c>
      <c r="J607" s="887"/>
      <c r="K607" s="47">
        <f>-IF(F607="I",SUMIF('BG 2021'!B:B,Clasificaciones!C607,'BG 2021'!D:D),0)</f>
        <v>0</v>
      </c>
      <c r="L607" s="887"/>
      <c r="M607" s="63">
        <f>-IF(F607="I",SUMIF('BG 2021'!B:B,Clasificaciones!C607,'BG 2021'!E:E),0)</f>
        <v>0</v>
      </c>
      <c r="N607" s="887"/>
      <c r="O607" s="47">
        <f>-IF(F607="I",SUMIF('BG 062021'!A:A,Clasificaciones!C607,'BG 062021'!C:C),0)</f>
        <v>0</v>
      </c>
      <c r="P607" s="887"/>
      <c r="Q607" s="63">
        <f>-IF(F607="I",SUMIF('BG 062021'!A:A,Clasificaciones!C607,'BG 062021'!D:D),0)</f>
        <v>0</v>
      </c>
    </row>
    <row r="608" spans="1:18" s="888" customFormat="1" ht="12" hidden="1">
      <c r="A608" s="885" t="s">
        <v>169</v>
      </c>
      <c r="B608" s="885" t="s">
        <v>116</v>
      </c>
      <c r="C608" s="889">
        <v>403010122</v>
      </c>
      <c r="D608" s="819" t="s">
        <v>944</v>
      </c>
      <c r="E608" s="886" t="s">
        <v>186</v>
      </c>
      <c r="F608" s="886" t="s">
        <v>271</v>
      </c>
      <c r="G608" s="47">
        <f>-IF(F608="I",IFERROR(VLOOKUP(C608,'BG 062022'!A:C,3,FALSE),0),0)</f>
        <v>0</v>
      </c>
      <c r="H608" s="885"/>
      <c r="I608" s="63">
        <f>-IF(F608="I",IFERROR(VLOOKUP(C608,'BG 062022'!A:D,4,FALSE),0),0)</f>
        <v>0</v>
      </c>
      <c r="J608" s="887"/>
      <c r="K608" s="47">
        <f>-IF(F608="I",SUMIF('BG 2021'!B:B,Clasificaciones!C608,'BG 2021'!D:D),0)</f>
        <v>0</v>
      </c>
      <c r="L608" s="887"/>
      <c r="M608" s="63">
        <f>-IF(F608="I",SUMIF('BG 2021'!B:B,Clasificaciones!C608,'BG 2021'!E:E),0)</f>
        <v>0</v>
      </c>
      <c r="N608" s="887"/>
      <c r="O608" s="47">
        <f>-IF(F608="I",SUMIF('BG 062021'!A:A,Clasificaciones!C608,'BG 062021'!C:C),0)</f>
        <v>0</v>
      </c>
      <c r="P608" s="887"/>
      <c r="Q608" s="63">
        <f>-IF(F608="I",SUMIF('BG 062021'!A:A,Clasificaciones!C608,'BG 062021'!D:D),0)</f>
        <v>0</v>
      </c>
    </row>
    <row r="609" spans="1:18" s="888" customFormat="1" ht="12" hidden="1">
      <c r="A609" s="885" t="s">
        <v>169</v>
      </c>
      <c r="B609" s="885" t="s">
        <v>116</v>
      </c>
      <c r="C609" s="889">
        <v>403010123</v>
      </c>
      <c r="D609" s="819" t="s">
        <v>1053</v>
      </c>
      <c r="E609" s="886" t="s">
        <v>6</v>
      </c>
      <c r="F609" s="886" t="s">
        <v>271</v>
      </c>
      <c r="G609" s="47">
        <f>-IF(F609="I",IFERROR(VLOOKUP(C609,'BG 062022'!A:C,3,FALSE),0),0)</f>
        <v>0</v>
      </c>
      <c r="H609" s="885"/>
      <c r="I609" s="63">
        <f>-IF(F609="I",IFERROR(VLOOKUP(C609,'BG 062022'!A:D,4,FALSE),0),0)</f>
        <v>0</v>
      </c>
      <c r="J609" s="887"/>
      <c r="K609" s="47">
        <f>-IF(F609="I",SUMIF('BG 2021'!B:B,Clasificaciones!C609,'BG 2021'!D:D),0)</f>
        <v>0</v>
      </c>
      <c r="L609" s="887"/>
      <c r="M609" s="63">
        <f>-IF(F609="I",SUMIF('BG 2021'!B:B,Clasificaciones!C609,'BG 2021'!E:E),0)</f>
        <v>0</v>
      </c>
      <c r="N609" s="887"/>
      <c r="O609" s="47">
        <f>-IF(F609="I",SUMIF('BG 062021'!A:A,Clasificaciones!C609,'BG 062021'!C:C),0)</f>
        <v>0</v>
      </c>
      <c r="P609" s="887"/>
      <c r="Q609" s="63">
        <f>-IF(F609="I",SUMIF('BG 062021'!A:A,Clasificaciones!C609,'BG 062021'!D:D),0)</f>
        <v>0</v>
      </c>
    </row>
    <row r="610" spans="1:18" s="888" customFormat="1" ht="12" hidden="1">
      <c r="A610" s="885" t="s">
        <v>169</v>
      </c>
      <c r="B610" s="885" t="s">
        <v>116</v>
      </c>
      <c r="C610" s="889">
        <v>403010124</v>
      </c>
      <c r="D610" s="819" t="s">
        <v>1054</v>
      </c>
      <c r="E610" s="886" t="s">
        <v>186</v>
      </c>
      <c r="F610" s="886" t="s">
        <v>271</v>
      </c>
      <c r="G610" s="47">
        <f>-IF(F610="I",IFERROR(VLOOKUP(C610,'BG 062022'!A:C,3,FALSE),0),0)</f>
        <v>0</v>
      </c>
      <c r="H610" s="885"/>
      <c r="I610" s="63">
        <f>-IF(F610="I",IFERROR(VLOOKUP(C610,'BG 062022'!A:D,4,FALSE),0),0)</f>
        <v>0</v>
      </c>
      <c r="J610" s="887"/>
      <c r="K610" s="47">
        <f>-IF(F610="I",SUMIF('BG 2021'!B:B,Clasificaciones!C610,'BG 2021'!D:D),0)</f>
        <v>0</v>
      </c>
      <c r="L610" s="887"/>
      <c r="M610" s="63">
        <f>-IF(F610="I",SUMIF('BG 2021'!B:B,Clasificaciones!C610,'BG 2021'!E:E),0)</f>
        <v>0</v>
      </c>
      <c r="N610" s="887"/>
      <c r="O610" s="47">
        <f>-IF(F610="I",SUMIF('BG 062021'!A:A,Clasificaciones!C610,'BG 062021'!C:C),0)</f>
        <v>0</v>
      </c>
      <c r="P610" s="887"/>
      <c r="Q610" s="63">
        <f>-IF(F610="I",SUMIF('BG 062021'!A:A,Clasificaciones!C610,'BG 062021'!D:D),0)</f>
        <v>0</v>
      </c>
    </row>
    <row r="611" spans="1:18" s="888" customFormat="1" ht="12" hidden="1">
      <c r="A611" s="885" t="s">
        <v>169</v>
      </c>
      <c r="B611" s="885" t="s">
        <v>116</v>
      </c>
      <c r="C611" s="889">
        <v>403010125</v>
      </c>
      <c r="D611" s="819" t="s">
        <v>1055</v>
      </c>
      <c r="E611" s="886" t="s">
        <v>6</v>
      </c>
      <c r="F611" s="886" t="s">
        <v>271</v>
      </c>
      <c r="G611" s="47">
        <f>-IF(F611="I",IFERROR(VLOOKUP(C611,'BG 062022'!A:C,3,FALSE),0),0)</f>
        <v>0</v>
      </c>
      <c r="H611" s="885"/>
      <c r="I611" s="63">
        <f>-IF(F611="I",IFERROR(VLOOKUP(C611,'BG 062022'!A:D,4,FALSE),0),0)</f>
        <v>0</v>
      </c>
      <c r="J611" s="887"/>
      <c r="K611" s="47">
        <f>-IF(F611="I",SUMIF('BG 2021'!B:B,Clasificaciones!C611,'BG 2021'!D:D),0)</f>
        <v>0</v>
      </c>
      <c r="L611" s="887"/>
      <c r="M611" s="63">
        <f>-IF(F611="I",SUMIF('BG 2021'!B:B,Clasificaciones!C611,'BG 2021'!E:E),0)</f>
        <v>0</v>
      </c>
      <c r="N611" s="887"/>
      <c r="O611" s="47">
        <f>-IF(F611="I",SUMIF('BG 062021'!A:A,Clasificaciones!C611,'BG 062021'!C:C),0)</f>
        <v>0</v>
      </c>
      <c r="P611" s="887"/>
      <c r="Q611" s="63">
        <f>-IF(F611="I",SUMIF('BG 062021'!A:A,Clasificaciones!C611,'BG 062021'!D:D),0)</f>
        <v>0</v>
      </c>
    </row>
    <row r="612" spans="1:18" s="888" customFormat="1" ht="12" hidden="1">
      <c r="A612" s="885" t="s">
        <v>169</v>
      </c>
      <c r="B612" s="885" t="s">
        <v>116</v>
      </c>
      <c r="C612" s="889">
        <v>403010126</v>
      </c>
      <c r="D612" s="819" t="s">
        <v>1056</v>
      </c>
      <c r="E612" s="886" t="s">
        <v>186</v>
      </c>
      <c r="F612" s="886" t="s">
        <v>271</v>
      </c>
      <c r="G612" s="47">
        <f>-IF(F612="I",IFERROR(VLOOKUP(C612,'BG 062022'!A:C,3,FALSE),0),0)</f>
        <v>0</v>
      </c>
      <c r="H612" s="885"/>
      <c r="I612" s="63">
        <f>-IF(F612="I",IFERROR(VLOOKUP(C612,'BG 062022'!A:D,4,FALSE),0),0)</f>
        <v>0</v>
      </c>
      <c r="J612" s="887"/>
      <c r="K612" s="47">
        <f>-IF(F612="I",SUMIF('BG 2021'!B:B,Clasificaciones!C612,'BG 2021'!D:D),0)</f>
        <v>0</v>
      </c>
      <c r="L612" s="887"/>
      <c r="M612" s="63">
        <f>-IF(F612="I",SUMIF('BG 2021'!B:B,Clasificaciones!C612,'BG 2021'!E:E),0)</f>
        <v>0</v>
      </c>
      <c r="N612" s="887"/>
      <c r="O612" s="47">
        <f>-IF(F612="I",SUMIF('BG 062021'!A:A,Clasificaciones!C612,'BG 062021'!C:C),0)</f>
        <v>0</v>
      </c>
      <c r="P612" s="887"/>
      <c r="Q612" s="63">
        <f>-IF(F612="I",SUMIF('BG 062021'!A:A,Clasificaciones!C612,'BG 062021'!D:D),0)</f>
        <v>0</v>
      </c>
    </row>
    <row r="613" spans="1:18" s="888" customFormat="1" ht="12" hidden="1">
      <c r="A613" s="885" t="s">
        <v>169</v>
      </c>
      <c r="B613" s="885" t="s">
        <v>116</v>
      </c>
      <c r="C613" s="889">
        <v>403010127</v>
      </c>
      <c r="D613" s="819" t="s">
        <v>1057</v>
      </c>
      <c r="E613" s="886" t="s">
        <v>6</v>
      </c>
      <c r="F613" s="886" t="s">
        <v>271</v>
      </c>
      <c r="G613" s="47">
        <f>-IF(F613="I",IFERROR(VLOOKUP(C613,'BG 062022'!A:C,3,FALSE),0),0)</f>
        <v>0</v>
      </c>
      <c r="H613" s="885"/>
      <c r="I613" s="63">
        <f>-IF(F613="I",IFERROR(VLOOKUP(C613,'BG 062022'!A:D,4,FALSE),0),0)</f>
        <v>0</v>
      </c>
      <c r="J613" s="887"/>
      <c r="K613" s="47">
        <f>-IF(F613="I",SUMIF('BG 2021'!B:B,Clasificaciones!C613,'BG 2021'!D:D),0)</f>
        <v>0</v>
      </c>
      <c r="L613" s="887"/>
      <c r="M613" s="63">
        <f>-IF(F613="I",SUMIF('BG 2021'!B:B,Clasificaciones!C613,'BG 2021'!E:E),0)</f>
        <v>0</v>
      </c>
      <c r="N613" s="887"/>
      <c r="O613" s="47">
        <f>-IF(F613="I",SUMIF('BG 062021'!A:A,Clasificaciones!C613,'BG 062021'!C:C),0)</f>
        <v>0</v>
      </c>
      <c r="P613" s="887"/>
      <c r="Q613" s="63">
        <f>-IF(F613="I",SUMIF('BG 062021'!A:A,Clasificaciones!C613,'BG 062021'!D:D),0)</f>
        <v>0</v>
      </c>
    </row>
    <row r="614" spans="1:18" s="888" customFormat="1" ht="12" hidden="1">
      <c r="A614" s="885" t="s">
        <v>169</v>
      </c>
      <c r="B614" s="885" t="s">
        <v>116</v>
      </c>
      <c r="C614" s="889">
        <v>403010128</v>
      </c>
      <c r="D614" s="819" t="s">
        <v>1058</v>
      </c>
      <c r="E614" s="886" t="s">
        <v>186</v>
      </c>
      <c r="F614" s="886" t="s">
        <v>271</v>
      </c>
      <c r="G614" s="47">
        <f>-IF(F614="I",IFERROR(VLOOKUP(C614,'BG 062022'!A:C,3,FALSE),0),0)</f>
        <v>0</v>
      </c>
      <c r="H614" s="885"/>
      <c r="I614" s="63">
        <f>-IF(F614="I",IFERROR(VLOOKUP(C614,'BG 062022'!A:D,4,FALSE),0),0)</f>
        <v>0</v>
      </c>
      <c r="J614" s="887"/>
      <c r="K614" s="47">
        <f>-IF(F614="I",SUMIF('BG 2021'!B:B,Clasificaciones!C614,'BG 2021'!D:D),0)</f>
        <v>0</v>
      </c>
      <c r="L614" s="887"/>
      <c r="M614" s="63">
        <f>-IF(F614="I",SUMIF('BG 2021'!B:B,Clasificaciones!C614,'BG 2021'!E:E),0)</f>
        <v>0</v>
      </c>
      <c r="N614" s="887"/>
      <c r="O614" s="47">
        <f>-IF(F614="I",SUMIF('BG 062021'!A:A,Clasificaciones!C614,'BG 062021'!C:C),0)</f>
        <v>0</v>
      </c>
      <c r="P614" s="887"/>
      <c r="Q614" s="63">
        <f>-IF(F614="I",SUMIF('BG 062021'!A:A,Clasificaciones!C614,'BG 062021'!D:D),0)</f>
        <v>0</v>
      </c>
    </row>
    <row r="615" spans="1:18" s="888" customFormat="1">
      <c r="A615" s="885" t="s">
        <v>169</v>
      </c>
      <c r="B615" s="885" t="s">
        <v>116</v>
      </c>
      <c r="C615" s="889">
        <v>403010129</v>
      </c>
      <c r="D615" s="889" t="s">
        <v>775</v>
      </c>
      <c r="E615" s="886" t="s">
        <v>6</v>
      </c>
      <c r="F615" s="886" t="s">
        <v>271</v>
      </c>
      <c r="G615" s="47">
        <f>-IF(F615="I",IFERROR(VLOOKUP(C615,'BG 062022'!A:C,3,FALSE),0),0)</f>
        <v>-14237223</v>
      </c>
      <c r="H615" s="885"/>
      <c r="I615" s="63">
        <f>-IF(F615="I",IFERROR(VLOOKUP(C615,'BG 062022'!A:D,4,FALSE),0),0)</f>
        <v>-2059.77</v>
      </c>
      <c r="J615" s="887"/>
      <c r="K615" s="47">
        <f>-IF(F615="I",SUMIF('BG 2021'!B:B,Clasificaciones!C615,'BG 2021'!D:D),0)</f>
        <v>-6147471</v>
      </c>
      <c r="L615" s="887"/>
      <c r="M615" s="63">
        <f>-IF(F615="I",SUMIF('BG 2021'!B:B,Clasificaciones!C615,'BG 2021'!E:E),0)</f>
        <v>-911.5</v>
      </c>
      <c r="N615" s="887"/>
      <c r="O615" s="47">
        <f>-IF(F615="I",SUMIF('BG 062021'!A:A,Clasificaciones!C615,'BG 062021'!C:C),0)</f>
        <v>-3162962</v>
      </c>
      <c r="P615" s="887"/>
      <c r="Q615" s="63">
        <f>-IF(F615="I",SUMIF('BG 062021'!A:A,Clasificaciones!C615,'BG 062021'!D:D),0)</f>
        <v>-477.22</v>
      </c>
      <c r="R615" s="888">
        <f>+VLOOKUP(C615,'CA EFE'!A:A,1,FALSE)</f>
        <v>403010129</v>
      </c>
    </row>
    <row r="616" spans="1:18" s="888" customFormat="1" hidden="1">
      <c r="A616" s="885" t="s">
        <v>169</v>
      </c>
      <c r="B616" s="885" t="s">
        <v>116</v>
      </c>
      <c r="C616" s="889">
        <v>403010130</v>
      </c>
      <c r="D616" s="889" t="s">
        <v>1059</v>
      </c>
      <c r="E616" s="886" t="s">
        <v>186</v>
      </c>
      <c r="F616" s="886" t="s">
        <v>271</v>
      </c>
      <c r="G616" s="47">
        <f>-IF(F616="I",IFERROR(VLOOKUP(C616,'BG 062022'!A:C,3,FALSE),0),0)</f>
        <v>0</v>
      </c>
      <c r="H616" s="885"/>
      <c r="I616" s="63">
        <f>-IF(F616="I",IFERROR(VLOOKUP(C616,'BG 062022'!A:D,4,FALSE),0),0)</f>
        <v>0</v>
      </c>
      <c r="J616" s="887"/>
      <c r="K616" s="47">
        <f>-IF(F616="I",SUMIF('BG 2021'!B:B,Clasificaciones!C616,'BG 2021'!D:D),0)</f>
        <v>0</v>
      </c>
      <c r="L616" s="887"/>
      <c r="M616" s="63">
        <f>-IF(F616="I",SUMIF('BG 2021'!B:B,Clasificaciones!C616,'BG 2021'!E:E),0)</f>
        <v>0</v>
      </c>
      <c r="N616" s="887"/>
      <c r="O616" s="47">
        <f>-IF(F616="I",SUMIF('BG 062021'!A:A,Clasificaciones!C616,'BG 062021'!C:C),0)</f>
        <v>0</v>
      </c>
      <c r="P616" s="887"/>
      <c r="Q616" s="63">
        <f>-IF(F616="I",SUMIF('BG 062021'!A:A,Clasificaciones!C616,'BG 062021'!D:D),0)</f>
        <v>0</v>
      </c>
    </row>
    <row r="617" spans="1:18" s="888" customFormat="1" hidden="1">
      <c r="A617" s="885" t="s">
        <v>169</v>
      </c>
      <c r="B617" s="885"/>
      <c r="C617" s="889">
        <v>4030102</v>
      </c>
      <c r="D617" s="889" t="s">
        <v>776</v>
      </c>
      <c r="E617" s="886" t="s">
        <v>6</v>
      </c>
      <c r="F617" s="886" t="s">
        <v>270</v>
      </c>
      <c r="G617" s="47">
        <f>-IF(F617="I",IFERROR(VLOOKUP(C617,'BG 062022'!A:C,3,FALSE),0),0)</f>
        <v>0</v>
      </c>
      <c r="H617" s="885"/>
      <c r="I617" s="63">
        <f>-IF(F617="I",IFERROR(VLOOKUP(C617,'BG 062022'!A:D,4,FALSE),0),0)</f>
        <v>0</v>
      </c>
      <c r="J617" s="887"/>
      <c r="K617" s="47">
        <f>-IF(F617="I",SUMIF('BG 2021'!B:B,Clasificaciones!C617,'BG 2021'!D:D),0)</f>
        <v>0</v>
      </c>
      <c r="L617" s="887"/>
      <c r="M617" s="63">
        <f>-IF(F617="I",SUMIF('BG 2021'!B:B,Clasificaciones!C617,'BG 2021'!E:E),0)</f>
        <v>0</v>
      </c>
      <c r="N617" s="887"/>
      <c r="O617" s="47">
        <f>-IF(F617="I",SUMIF('BG 062021'!A:A,Clasificaciones!C617,'BG 062021'!C:C),0)</f>
        <v>0</v>
      </c>
      <c r="P617" s="887"/>
      <c r="Q617" s="63">
        <f>-IF(F617="I",SUMIF('BG 062021'!A:A,Clasificaciones!C617,'BG 062021'!D:D),0)</f>
        <v>0</v>
      </c>
    </row>
    <row r="618" spans="1:18" s="888" customFormat="1" hidden="1">
      <c r="A618" s="885" t="s">
        <v>169</v>
      </c>
      <c r="B618" s="885" t="s">
        <v>116</v>
      </c>
      <c r="C618" s="889">
        <v>403010201</v>
      </c>
      <c r="D618" s="889" t="s">
        <v>776</v>
      </c>
      <c r="E618" s="886" t="s">
        <v>6</v>
      </c>
      <c r="F618" s="886" t="s">
        <v>271</v>
      </c>
      <c r="G618" s="47">
        <f>-IF(F618="I",IFERROR(VLOOKUP(C618,'BG 062022'!A:C,3,FALSE),0),0)</f>
        <v>0</v>
      </c>
      <c r="H618" s="885"/>
      <c r="I618" s="63">
        <f>-IF(F618="I",IFERROR(VLOOKUP(C618,'BG 062022'!A:D,4,FALSE),0),0)</f>
        <v>0</v>
      </c>
      <c r="J618" s="887"/>
      <c r="K618" s="47">
        <f>-IF(F618="I",SUMIF('BG 2021'!B:B,Clasificaciones!C618,'BG 2021'!D:D),0)</f>
        <v>-195616</v>
      </c>
      <c r="L618" s="887"/>
      <c r="M618" s="63">
        <f>-IF(F618="I",SUMIF('BG 2021'!B:B,Clasificaciones!C618,'BG 2021'!E:E),0)</f>
        <v>-28.23</v>
      </c>
      <c r="N618" s="887"/>
      <c r="O618" s="47">
        <f>-IF(F618="I",SUMIF('BG 062021'!A:A,Clasificaciones!C618,'BG 062021'!C:C),0)</f>
        <v>-195616</v>
      </c>
      <c r="P618" s="887"/>
      <c r="Q618" s="63">
        <f>-IF(F618="I",SUMIF('BG 062021'!A:A,Clasificaciones!C618,'BG 062021'!D:D),0)</f>
        <v>-28.23</v>
      </c>
    </row>
    <row r="619" spans="1:18" s="888" customFormat="1" hidden="1">
      <c r="A619" s="885" t="s">
        <v>169</v>
      </c>
      <c r="B619" s="885" t="s">
        <v>116</v>
      </c>
      <c r="C619" s="889">
        <v>403010202</v>
      </c>
      <c r="D619" s="889" t="s">
        <v>776</v>
      </c>
      <c r="E619" s="886" t="s">
        <v>186</v>
      </c>
      <c r="F619" s="886" t="s">
        <v>271</v>
      </c>
      <c r="G619" s="47">
        <f>-IF(F619="I",IFERROR(VLOOKUP(C619,'BG 062022'!A:C,3,FALSE),0),0)</f>
        <v>0</v>
      </c>
      <c r="H619" s="885"/>
      <c r="I619" s="63">
        <f>-IF(F619="I",IFERROR(VLOOKUP(C619,'BG 062022'!A:D,4,FALSE),0),0)</f>
        <v>0</v>
      </c>
      <c r="J619" s="887"/>
      <c r="K619" s="47">
        <f>-IF(F619="I",SUMIF('BG 2021'!B:B,Clasificaciones!C619,'BG 2021'!D:D),0)</f>
        <v>0</v>
      </c>
      <c r="L619" s="887"/>
      <c r="M619" s="63">
        <f>-IF(F619="I",SUMIF('BG 2021'!B:B,Clasificaciones!C619,'BG 2021'!E:E),0)</f>
        <v>0</v>
      </c>
      <c r="N619" s="887"/>
      <c r="O619" s="47">
        <f>-IF(F619="I",SUMIF('BG 062021'!A:A,Clasificaciones!C619,'BG 062021'!C:C),0)</f>
        <v>0</v>
      </c>
      <c r="P619" s="887"/>
      <c r="Q619" s="63">
        <f>-IF(F619="I",SUMIF('BG 062021'!A:A,Clasificaciones!C619,'BG 062021'!D:D),0)</f>
        <v>0</v>
      </c>
    </row>
    <row r="620" spans="1:18" s="888" customFormat="1" hidden="1">
      <c r="A620" s="885" t="s">
        <v>169</v>
      </c>
      <c r="B620" s="885"/>
      <c r="C620" s="889">
        <v>40302</v>
      </c>
      <c r="D620" s="889" t="s">
        <v>777</v>
      </c>
      <c r="E620" s="886" t="s">
        <v>6</v>
      </c>
      <c r="F620" s="886" t="s">
        <v>270</v>
      </c>
      <c r="G620" s="47">
        <f>-IF(F620="I",IFERROR(VLOOKUP(C620,'BG 062022'!A:C,3,FALSE),0),0)</f>
        <v>0</v>
      </c>
      <c r="H620" s="885"/>
      <c r="I620" s="63">
        <f>-IF(F620="I",IFERROR(VLOOKUP(C620,'BG 062022'!A:D,4,FALSE),0),0)</f>
        <v>0</v>
      </c>
      <c r="J620" s="887"/>
      <c r="K620" s="47">
        <f>-IF(F620="I",SUMIF('BG 2021'!B:B,Clasificaciones!C620,'BG 2021'!D:D),0)</f>
        <v>0</v>
      </c>
      <c r="L620" s="887"/>
      <c r="M620" s="63">
        <f>-IF(F620="I",SUMIF('BG 2021'!B:B,Clasificaciones!C620,'BG 2021'!E:E),0)</f>
        <v>0</v>
      </c>
      <c r="N620" s="887"/>
      <c r="O620" s="47">
        <f>-IF(F620="I",SUMIF('BG 062021'!A:A,Clasificaciones!C620,'BG 062021'!C:C),0)</f>
        <v>0</v>
      </c>
      <c r="P620" s="887"/>
      <c r="Q620" s="63">
        <f>-IF(F620="I",SUMIF('BG 062021'!A:A,Clasificaciones!C620,'BG 062021'!D:D),0)</f>
        <v>0</v>
      </c>
    </row>
    <row r="621" spans="1:18" s="888" customFormat="1" hidden="1">
      <c r="A621" s="885" t="s">
        <v>169</v>
      </c>
      <c r="B621" s="885"/>
      <c r="C621" s="889">
        <v>4030201</v>
      </c>
      <c r="D621" s="889" t="s">
        <v>778</v>
      </c>
      <c r="E621" s="886" t="s">
        <v>6</v>
      </c>
      <c r="F621" s="886" t="s">
        <v>270</v>
      </c>
      <c r="G621" s="47">
        <f>-IF(F621="I",IFERROR(VLOOKUP(C621,'BG 062022'!A:C,3,FALSE),0),0)</f>
        <v>0</v>
      </c>
      <c r="H621" s="885"/>
      <c r="I621" s="63">
        <f>-IF(F621="I",IFERROR(VLOOKUP(C621,'BG 062022'!A:D,4,FALSE),0),0)</f>
        <v>0</v>
      </c>
      <c r="J621" s="887"/>
      <c r="K621" s="47">
        <f>-IF(F621="I",SUMIF('BG 2021'!B:B,Clasificaciones!C621,'BG 2021'!D:D),0)</f>
        <v>0</v>
      </c>
      <c r="L621" s="887"/>
      <c r="M621" s="63">
        <f>-IF(F621="I",SUMIF('BG 2021'!B:B,Clasificaciones!C621,'BG 2021'!E:E),0)</f>
        <v>0</v>
      </c>
      <c r="N621" s="887"/>
      <c r="O621" s="47">
        <f>-IF(F621="I",SUMIF('BG 062021'!A:A,Clasificaciones!C621,'BG 062021'!C:C),0)</f>
        <v>0</v>
      </c>
      <c r="P621" s="887"/>
      <c r="Q621" s="63">
        <f>-IF(F621="I",SUMIF('BG 062021'!A:A,Clasificaciones!C621,'BG 062021'!D:D),0)</f>
        <v>0</v>
      </c>
    </row>
    <row r="622" spans="1:18" s="888" customFormat="1">
      <c r="A622" s="885" t="s">
        <v>169</v>
      </c>
      <c r="B622" s="885" t="s">
        <v>34</v>
      </c>
      <c r="C622" s="889">
        <v>403020101</v>
      </c>
      <c r="D622" s="889" t="s">
        <v>764</v>
      </c>
      <c r="E622" s="886" t="s">
        <v>6</v>
      </c>
      <c r="F622" s="886" t="s">
        <v>271</v>
      </c>
      <c r="G622" s="47">
        <f>-IF(F622="I",IFERROR(VLOOKUP(C622,'BG 062022'!A:C,3,FALSE),0),0)</f>
        <v>-165695</v>
      </c>
      <c r="H622" s="885"/>
      <c r="I622" s="63">
        <f>-IF(F622="I",IFERROR(VLOOKUP(C622,'BG 062022'!A:D,4,FALSE),0),0)</f>
        <v>-23.92</v>
      </c>
      <c r="J622" s="887"/>
      <c r="K622" s="47">
        <f>-IF(F622="I",SUMIF('BG 2021'!B:B,Clasificaciones!C622,'BG 2021'!D:D),0)</f>
        <v>-287339506</v>
      </c>
      <c r="L622" s="887"/>
      <c r="M622" s="63">
        <f>-IF(F622="I",SUMIF('BG 2021'!B:B,Clasificaciones!C622,'BG 2021'!E:E),0)</f>
        <v>-42626.12</v>
      </c>
      <c r="N622" s="887"/>
      <c r="O622" s="47">
        <f>-IF(F622="I",SUMIF('BG 062021'!A:A,Clasificaciones!C622,'BG 062021'!C:C),0)</f>
        <v>-287339506</v>
      </c>
      <c r="P622" s="887"/>
      <c r="Q622" s="63">
        <f>-IF(F622="I",SUMIF('BG 062021'!A:A,Clasificaciones!C622,'BG 062021'!D:D),0)</f>
        <v>-42626.12</v>
      </c>
      <c r="R622" s="888">
        <f>+VLOOKUP(C622,'CA EFE'!A:A,1,FALSE)</f>
        <v>403020101</v>
      </c>
    </row>
    <row r="623" spans="1:18" s="888" customFormat="1">
      <c r="A623" s="885" t="s">
        <v>169</v>
      </c>
      <c r="B623" s="885" t="s">
        <v>34</v>
      </c>
      <c r="C623" s="889">
        <v>403020102</v>
      </c>
      <c r="D623" s="889" t="s">
        <v>1399</v>
      </c>
      <c r="E623" s="886" t="s">
        <v>186</v>
      </c>
      <c r="F623" s="886" t="s">
        <v>271</v>
      </c>
      <c r="G623" s="47">
        <f>-IF(F623="I",IFERROR(VLOOKUP(C623,'BG 062022'!A:C,3,FALSE),0),0)</f>
        <v>-4825757</v>
      </c>
      <c r="H623" s="885"/>
      <c r="I623" s="63">
        <f>-IF(F623="I",IFERROR(VLOOKUP(C623,'BG 062022'!A:D,4,FALSE),0),0)</f>
        <v>-696.75</v>
      </c>
      <c r="J623" s="887"/>
      <c r="K623" s="47">
        <f>-IF(F623="I",SUMIF('BG 2021'!B:B,Clasificaciones!C623,'BG 2021'!D:D),0)</f>
        <v>-50810352</v>
      </c>
      <c r="L623" s="887"/>
      <c r="M623" s="63">
        <f>-IF(F623="I",SUMIF('BG 2021'!B:B,Clasificaciones!C623,'BG 2021'!E:E),0)</f>
        <v>-7549.27</v>
      </c>
      <c r="N623" s="887"/>
      <c r="O623" s="47">
        <f>-IF(F623="I",SUMIF('BG 062021'!A:A,Clasificaciones!C623,'BG 062021'!C:C),0)</f>
        <v>-27754157</v>
      </c>
      <c r="P623" s="887"/>
      <c r="Q623" s="63">
        <f>-IF(F623="I",SUMIF('BG 062021'!A:A,Clasificaciones!C623,'BG 062021'!D:D),0)</f>
        <v>-4187.3</v>
      </c>
      <c r="R623" s="888">
        <f>+VLOOKUP(C623,'CA EFE'!A:A,1,FALSE)</f>
        <v>403020102</v>
      </c>
    </row>
    <row r="624" spans="1:18" s="888" customFormat="1" hidden="1">
      <c r="A624" s="885" t="s">
        <v>169</v>
      </c>
      <c r="B624" s="885" t="s">
        <v>34</v>
      </c>
      <c r="C624" s="889">
        <v>403020103</v>
      </c>
      <c r="D624" s="889" t="s">
        <v>765</v>
      </c>
      <c r="E624" s="886" t="s">
        <v>6</v>
      </c>
      <c r="F624" s="886" t="s">
        <v>271</v>
      </c>
      <c r="G624" s="47">
        <f>-IF(F624="I",IFERROR(VLOOKUP(C624,'BG 062022'!A:C,3,FALSE),0),0)</f>
        <v>0</v>
      </c>
      <c r="H624" s="885"/>
      <c r="I624" s="63">
        <f>-IF(F624="I",IFERROR(VLOOKUP(C624,'BG 062022'!A:D,4,FALSE),0),0)</f>
        <v>0</v>
      </c>
      <c r="J624" s="887"/>
      <c r="K624" s="47">
        <f>-IF(F624="I",SUMIF('BG 2021'!B:B,Clasificaciones!C624,'BG 2021'!D:D),0)</f>
        <v>-26698767</v>
      </c>
      <c r="L624" s="887"/>
      <c r="M624" s="63">
        <f>-IF(F624="I",SUMIF('BG 2021'!B:B,Clasificaciones!C624,'BG 2021'!E:E),0)</f>
        <v>-3839.49</v>
      </c>
      <c r="N624" s="887"/>
      <c r="O624" s="47">
        <f>-IF(F624="I",SUMIF('BG 062021'!A:A,Clasificaciones!C624,'BG 062021'!C:C),0)</f>
        <v>-4652592</v>
      </c>
      <c r="P624" s="887"/>
      <c r="Q624" s="63">
        <f>-IF(F624="I",SUMIF('BG 062021'!A:A,Clasificaciones!C624,'BG 062021'!D:D),0)</f>
        <v>-690</v>
      </c>
    </row>
    <row r="625" spans="1:18" s="888" customFormat="1">
      <c r="A625" s="885" t="s">
        <v>169</v>
      </c>
      <c r="B625" s="885" t="s">
        <v>34</v>
      </c>
      <c r="C625" s="889">
        <v>403020104</v>
      </c>
      <c r="D625" s="889" t="s">
        <v>1410</v>
      </c>
      <c r="E625" s="886" t="s">
        <v>186</v>
      </c>
      <c r="F625" s="886" t="s">
        <v>271</v>
      </c>
      <c r="G625" s="47">
        <f>-IF(F625="I",IFERROR(VLOOKUP(C625,'BG 062022'!A:C,3,FALSE),0),0)</f>
        <v>-199281848</v>
      </c>
      <c r="H625" s="885"/>
      <c r="I625" s="63">
        <f>-IF(F625="I",IFERROR(VLOOKUP(C625,'BG 062022'!A:D,4,FALSE),0),0)</f>
        <v>-28784.02</v>
      </c>
      <c r="J625" s="887"/>
      <c r="K625" s="47">
        <f>-IF(F625="I",SUMIF('BG 2021'!B:B,Clasificaciones!C625,'BG 2021'!D:D),0)</f>
        <v>-1045538193</v>
      </c>
      <c r="L625" s="887"/>
      <c r="M625" s="63">
        <f>-IF(F625="I",SUMIF('BG 2021'!B:B,Clasificaciones!C625,'BG 2021'!E:E),0)</f>
        <v>-154679.19</v>
      </c>
      <c r="N625" s="887"/>
      <c r="O625" s="47">
        <f>-IF(F625="I",SUMIF('BG 062021'!A:A,Clasificaciones!C625,'BG 062021'!C:C),0)</f>
        <v>-954305223</v>
      </c>
      <c r="P625" s="887"/>
      <c r="Q625" s="63">
        <f>-IF(F625="I",SUMIF('BG 062021'!A:A,Clasificaciones!C625,'BG 062021'!D:D),0)</f>
        <v>-141404.32</v>
      </c>
      <c r="R625" s="888">
        <f>+VLOOKUP(C625,'CA EFE'!A:A,1,FALSE)</f>
        <v>403020104</v>
      </c>
    </row>
    <row r="626" spans="1:18" s="888" customFormat="1">
      <c r="A626" s="885" t="s">
        <v>169</v>
      </c>
      <c r="B626" s="885" t="s">
        <v>609</v>
      </c>
      <c r="C626" s="889">
        <v>403020105</v>
      </c>
      <c r="D626" s="889" t="s">
        <v>767</v>
      </c>
      <c r="E626" s="886" t="s">
        <v>6</v>
      </c>
      <c r="F626" s="886" t="s">
        <v>271</v>
      </c>
      <c r="G626" s="47">
        <f>-IF(F626="I",IFERROR(VLOOKUP(C626,'BG 062022'!A:C,3,FALSE),0),0)</f>
        <v>-566076880</v>
      </c>
      <c r="H626" s="885"/>
      <c r="I626" s="63">
        <f>-IF(F626="I",IFERROR(VLOOKUP(C626,'BG 062022'!A:D,4,FALSE),0),0)</f>
        <v>-81449.41</v>
      </c>
      <c r="J626" s="887"/>
      <c r="K626" s="47">
        <f>-IF(F626="I",SUMIF('BG 2021'!B:B,Clasificaciones!C626,'BG 2021'!D:D),0)</f>
        <v>-2031005218</v>
      </c>
      <c r="L626" s="887"/>
      <c r="M626" s="63">
        <f>-IF(F626="I",SUMIF('BG 2021'!B:B,Clasificaciones!C626,'BG 2021'!E:E),0)</f>
        <v>-297604.07</v>
      </c>
      <c r="N626" s="887"/>
      <c r="O626" s="47">
        <f>-IF(F626="I",SUMIF('BG 062021'!A:A,Clasificaciones!C626,'BG 062021'!C:C),0)</f>
        <v>-653146861</v>
      </c>
      <c r="P626" s="887"/>
      <c r="Q626" s="63">
        <f>-IF(F626="I",SUMIF('BG 062021'!A:A,Clasificaciones!C626,'BG 062021'!D:D),0)</f>
        <v>-97488.91</v>
      </c>
      <c r="R626" s="888">
        <f>+VLOOKUP(C626,'CA EFE'!A:A,1,FALSE)</f>
        <v>403020105</v>
      </c>
    </row>
    <row r="627" spans="1:18" s="888" customFormat="1">
      <c r="A627" s="885" t="s">
        <v>169</v>
      </c>
      <c r="B627" s="885" t="s">
        <v>609</v>
      </c>
      <c r="C627" s="889">
        <v>403020106</v>
      </c>
      <c r="D627" s="889" t="s">
        <v>1370</v>
      </c>
      <c r="E627" s="886" t="s">
        <v>186</v>
      </c>
      <c r="F627" s="886" t="s">
        <v>271</v>
      </c>
      <c r="G627" s="47">
        <f>-IF(F627="I",IFERROR(VLOOKUP(C627,'BG 062022'!A:C,3,FALSE),0),0)</f>
        <v>-2017355176</v>
      </c>
      <c r="H627" s="885"/>
      <c r="I627" s="63">
        <f>-IF(F627="I",IFERROR(VLOOKUP(C627,'BG 062022'!A:D,4,FALSE),0),0)</f>
        <v>-289463.48</v>
      </c>
      <c r="J627" s="887"/>
      <c r="K627" s="47">
        <f>-IF(F627="I",SUMIF('BG 2021'!B:B,Clasificaciones!C627,'BG 2021'!D:D),0)</f>
        <v>-2040036768</v>
      </c>
      <c r="L627" s="887"/>
      <c r="M627" s="63">
        <f>-IF(F627="I",SUMIF('BG 2021'!B:B,Clasificaciones!C627,'BG 2021'!E:E),0)</f>
        <v>-301940.08</v>
      </c>
      <c r="N627" s="887"/>
      <c r="O627" s="47">
        <f>-IF(F627="I",SUMIF('BG 062021'!A:A,Clasificaciones!C627,'BG 062021'!C:C),0)</f>
        <v>-1475844627</v>
      </c>
      <c r="P627" s="887"/>
      <c r="Q627" s="63">
        <f>-IF(F627="I",SUMIF('BG 062021'!A:A,Clasificaciones!C627,'BG 062021'!D:D),0)</f>
        <v>-219919.44</v>
      </c>
      <c r="R627" s="888">
        <f>+VLOOKUP(C627,'CA EFE'!A:A,1,FALSE)</f>
        <v>403020106</v>
      </c>
    </row>
    <row r="628" spans="1:18" s="888" customFormat="1">
      <c r="A628" s="885" t="s">
        <v>169</v>
      </c>
      <c r="B628" s="885" t="s">
        <v>34</v>
      </c>
      <c r="C628" s="889">
        <v>403020107</v>
      </c>
      <c r="D628" s="889" t="s">
        <v>768</v>
      </c>
      <c r="E628" s="886" t="s">
        <v>6</v>
      </c>
      <c r="F628" s="886" t="s">
        <v>271</v>
      </c>
      <c r="G628" s="47">
        <f>-IF(F628="I",IFERROR(VLOOKUP(C628,'BG 062022'!A:C,3,FALSE),0),0)</f>
        <v>-290129110</v>
      </c>
      <c r="H628" s="885"/>
      <c r="I628" s="63">
        <f>-IF(F628="I",IFERROR(VLOOKUP(C628,'BG 062022'!A:D,4,FALSE),0),0)</f>
        <v>-41739.519999999997</v>
      </c>
      <c r="J628" s="887"/>
      <c r="K628" s="47">
        <f>-IF(F628="I",SUMIF('BG 2021'!B:B,Clasificaciones!C628,'BG 2021'!D:D),0)</f>
        <v>-1631143199</v>
      </c>
      <c r="L628" s="887"/>
      <c r="M628" s="63">
        <f>-IF(F628="I",SUMIF('BG 2021'!B:B,Clasificaciones!C628,'BG 2021'!E:E),0)</f>
        <v>-241578.48</v>
      </c>
      <c r="N628" s="887"/>
      <c r="O628" s="47">
        <f>-IF(F628="I",SUMIF('BG 062021'!A:A,Clasificaciones!C628,'BG 062021'!C:C),0)</f>
        <v>-771423311</v>
      </c>
      <c r="P628" s="887"/>
      <c r="Q628" s="63">
        <f>-IF(F628="I",SUMIF('BG 062021'!A:A,Clasificaciones!C628,'BG 062021'!D:D),0)</f>
        <v>-116952.67</v>
      </c>
      <c r="R628" s="888">
        <f>+VLOOKUP(C628,'CA EFE'!A:A,1,FALSE)</f>
        <v>403020107</v>
      </c>
    </row>
    <row r="629" spans="1:18" s="888" customFormat="1">
      <c r="A629" s="885" t="s">
        <v>169</v>
      </c>
      <c r="B629" s="885" t="s">
        <v>34</v>
      </c>
      <c r="C629" s="889">
        <v>403020108</v>
      </c>
      <c r="D629" s="889" t="s">
        <v>1406</v>
      </c>
      <c r="E629" s="886" t="s">
        <v>186</v>
      </c>
      <c r="F629" s="886" t="s">
        <v>271</v>
      </c>
      <c r="G629" s="47">
        <f>-IF(F629="I",IFERROR(VLOOKUP(C629,'BG 062022'!A:C,3,FALSE),0),0)</f>
        <v>-27892314</v>
      </c>
      <c r="H629" s="885"/>
      <c r="I629" s="63">
        <f>-IF(F629="I",IFERROR(VLOOKUP(C629,'BG 062022'!A:D,4,FALSE),0),0)</f>
        <v>-4042.08</v>
      </c>
      <c r="J629" s="887"/>
      <c r="K629" s="47">
        <f>-IF(F629="I",SUMIF('BG 2021'!B:B,Clasificaciones!C629,'BG 2021'!D:D),0)</f>
        <v>-148298340</v>
      </c>
      <c r="L629" s="887"/>
      <c r="M629" s="63">
        <f>-IF(F629="I",SUMIF('BG 2021'!B:B,Clasificaciones!C629,'BG 2021'!E:E),0)</f>
        <v>-21466.48</v>
      </c>
      <c r="N629" s="887"/>
      <c r="O629" s="47">
        <f>-IF(F629="I",SUMIF('BG 062021'!A:A,Clasificaciones!C629,'BG 062021'!C:C),0)</f>
        <v>-629923</v>
      </c>
      <c r="P629" s="887"/>
      <c r="Q629" s="63">
        <f>-IF(F629="I",SUMIF('BG 062021'!A:A,Clasificaciones!C629,'BG 062021'!D:D),0)</f>
        <v>-91.36</v>
      </c>
      <c r="R629" s="888">
        <f>+VLOOKUP(C629,'CA EFE'!A:A,1,FALSE)</f>
        <v>403020108</v>
      </c>
    </row>
    <row r="630" spans="1:18" s="888" customFormat="1" hidden="1">
      <c r="A630" s="885" t="s">
        <v>169</v>
      </c>
      <c r="B630" s="885" t="s">
        <v>34</v>
      </c>
      <c r="C630" s="889">
        <v>403020109</v>
      </c>
      <c r="D630" s="889" t="s">
        <v>770</v>
      </c>
      <c r="E630" s="886" t="s">
        <v>6</v>
      </c>
      <c r="F630" s="886" t="s">
        <v>271</v>
      </c>
      <c r="G630" s="47">
        <f>-IF(F630="I",IFERROR(VLOOKUP(C630,'BG 062022'!A:C,3,FALSE),0),0)</f>
        <v>0</v>
      </c>
      <c r="H630" s="885"/>
      <c r="I630" s="63">
        <f>-IF(F630="I",IFERROR(VLOOKUP(C630,'BG 062022'!A:D,4,FALSE),0),0)</f>
        <v>0</v>
      </c>
      <c r="J630" s="887"/>
      <c r="K630" s="47">
        <f>-IF(F630="I",SUMIF('BG 2021'!B:B,Clasificaciones!C630,'BG 2021'!D:D),0)</f>
        <v>-4845379</v>
      </c>
      <c r="L630" s="887"/>
      <c r="M630" s="63">
        <f>-IF(F630="I",SUMIF('BG 2021'!B:B,Clasificaciones!C630,'BG 2021'!E:E),0)</f>
        <v>-743.64</v>
      </c>
      <c r="N630" s="887"/>
      <c r="O630" s="47">
        <f>-IF(F630="I",SUMIF('BG 062021'!A:A,Clasificaciones!C630,'BG 062021'!C:C),0)</f>
        <v>-4845379</v>
      </c>
      <c r="P630" s="887"/>
      <c r="Q630" s="63">
        <f>-IF(F630="I",SUMIF('BG 062021'!A:A,Clasificaciones!C630,'BG 062021'!D:D),0)</f>
        <v>-743.64</v>
      </c>
    </row>
    <row r="631" spans="1:18" s="888" customFormat="1" hidden="1">
      <c r="A631" s="885" t="s">
        <v>169</v>
      </c>
      <c r="B631" s="885" t="s">
        <v>34</v>
      </c>
      <c r="C631" s="889">
        <v>403020110</v>
      </c>
      <c r="D631" s="889" t="s">
        <v>880</v>
      </c>
      <c r="E631" s="886" t="s">
        <v>186</v>
      </c>
      <c r="F631" s="886" t="s">
        <v>271</v>
      </c>
      <c r="G631" s="47">
        <f>-IF(F631="I",IFERROR(VLOOKUP(C631,'BG 062022'!A:C,3,FALSE),0),0)</f>
        <v>0</v>
      </c>
      <c r="H631" s="885"/>
      <c r="I631" s="63">
        <f>-IF(F631="I",IFERROR(VLOOKUP(C631,'BG 062022'!A:D,4,FALSE),0),0)</f>
        <v>0</v>
      </c>
      <c r="J631" s="887"/>
      <c r="K631" s="47">
        <f>-IF(F631="I",SUMIF('BG 2021'!B:B,Clasificaciones!C631,'BG 2021'!D:D),0)</f>
        <v>0</v>
      </c>
      <c r="L631" s="887"/>
      <c r="M631" s="63">
        <f>-IF(F631="I",SUMIF('BG 2021'!B:B,Clasificaciones!C631,'BG 2021'!E:E),0)</f>
        <v>0</v>
      </c>
      <c r="N631" s="887"/>
      <c r="O631" s="47">
        <f>-IF(F631="I",SUMIF('BG 062021'!A:A,Clasificaciones!C631,'BG 062021'!C:C),0)</f>
        <v>0</v>
      </c>
      <c r="P631" s="887"/>
      <c r="Q631" s="63">
        <f>-IF(F631="I",SUMIF('BG 062021'!A:A,Clasificaciones!C631,'BG 062021'!D:D),0)</f>
        <v>0</v>
      </c>
    </row>
    <row r="632" spans="1:18" s="888" customFormat="1" hidden="1">
      <c r="A632" s="885" t="s">
        <v>169</v>
      </c>
      <c r="B632" s="885" t="s">
        <v>34</v>
      </c>
      <c r="C632" s="889">
        <v>403020111</v>
      </c>
      <c r="D632" s="889" t="s">
        <v>942</v>
      </c>
      <c r="E632" s="886" t="s">
        <v>6</v>
      </c>
      <c r="F632" s="886" t="s">
        <v>271</v>
      </c>
      <c r="G632" s="47">
        <f>-IF(F632="I",IFERROR(VLOOKUP(C632,'BG 062022'!A:C,3,FALSE),0),0)</f>
        <v>0</v>
      </c>
      <c r="H632" s="885"/>
      <c r="I632" s="63">
        <f>-IF(F632="I",IFERROR(VLOOKUP(C632,'BG 062022'!A:D,4,FALSE),0),0)</f>
        <v>0</v>
      </c>
      <c r="J632" s="887"/>
      <c r="K632" s="47">
        <f>-IF(F632="I",SUMIF('BG 2021'!B:B,Clasificaciones!C632,'BG 2021'!D:D),0)</f>
        <v>0</v>
      </c>
      <c r="L632" s="887"/>
      <c r="M632" s="63">
        <f>-IF(F632="I",SUMIF('BG 2021'!B:B,Clasificaciones!C632,'BG 2021'!E:E),0)</f>
        <v>0</v>
      </c>
      <c r="N632" s="887"/>
      <c r="O632" s="47">
        <f>-IF(F632="I",SUMIF('BG 062021'!A:A,Clasificaciones!C632,'BG 062021'!C:C),0)</f>
        <v>0</v>
      </c>
      <c r="P632" s="887"/>
      <c r="Q632" s="63">
        <f>-IF(F632="I",SUMIF('BG 062021'!A:A,Clasificaciones!C632,'BG 062021'!D:D),0)</f>
        <v>0</v>
      </c>
    </row>
    <row r="633" spans="1:18" s="888" customFormat="1" hidden="1">
      <c r="A633" s="885" t="s">
        <v>169</v>
      </c>
      <c r="B633" s="885" t="s">
        <v>34</v>
      </c>
      <c r="C633" s="889">
        <v>403020112</v>
      </c>
      <c r="D633" s="889" t="s">
        <v>883</v>
      </c>
      <c r="E633" s="886" t="s">
        <v>186</v>
      </c>
      <c r="F633" s="886" t="s">
        <v>271</v>
      </c>
      <c r="G633" s="47">
        <f>-IF(F633="I",IFERROR(VLOOKUP(C633,'BG 062022'!A:C,3,FALSE),0),0)</f>
        <v>0</v>
      </c>
      <c r="H633" s="885"/>
      <c r="I633" s="63">
        <f>-IF(F633="I",IFERROR(VLOOKUP(C633,'BG 062022'!A:D,4,FALSE),0),0)</f>
        <v>0</v>
      </c>
      <c r="J633" s="887"/>
      <c r="K633" s="47">
        <f>-IF(F633="I",SUMIF('BG 2021'!B:B,Clasificaciones!C633,'BG 2021'!D:D),0)</f>
        <v>0</v>
      </c>
      <c r="L633" s="887"/>
      <c r="M633" s="63">
        <f>-IF(F633="I",SUMIF('BG 2021'!B:B,Clasificaciones!C633,'BG 2021'!E:E),0)</f>
        <v>0</v>
      </c>
      <c r="N633" s="887"/>
      <c r="O633" s="47">
        <f>-IF(F633="I",SUMIF('BG 062021'!A:A,Clasificaciones!C633,'BG 062021'!C:C),0)</f>
        <v>0</v>
      </c>
      <c r="P633" s="887"/>
      <c r="Q633" s="63">
        <f>-IF(F633="I",SUMIF('BG 062021'!A:A,Clasificaciones!C633,'BG 062021'!D:D),0)</f>
        <v>0</v>
      </c>
    </row>
    <row r="634" spans="1:18" s="888" customFormat="1" ht="12" hidden="1">
      <c r="A634" s="885" t="s">
        <v>169</v>
      </c>
      <c r="B634" s="885" t="s">
        <v>117</v>
      </c>
      <c r="C634" s="889">
        <v>403020113</v>
      </c>
      <c r="D634" s="819" t="s">
        <v>781</v>
      </c>
      <c r="E634" s="886" t="s">
        <v>6</v>
      </c>
      <c r="F634" s="886" t="s">
        <v>271</v>
      </c>
      <c r="G634" s="47">
        <f>-IF(F634="I",IFERROR(VLOOKUP(C634,'BG 062022'!A:C,3,FALSE),0),0)</f>
        <v>0</v>
      </c>
      <c r="H634" s="885"/>
      <c r="I634" s="63">
        <f>-IF(F634="I",IFERROR(VLOOKUP(C634,'BG 062022'!A:D,4,FALSE),0),0)</f>
        <v>0</v>
      </c>
      <c r="J634" s="887"/>
      <c r="K634" s="47">
        <f>-IF(F634="I",SUMIF('BG 2021'!B:B,Clasificaciones!C634,'BG 2021'!D:D),0)</f>
        <v>-1138</v>
      </c>
      <c r="L634" s="887"/>
      <c r="M634" s="63">
        <f>-IF(F634="I",SUMIF('BG 2021'!B:B,Clasificaciones!C634,'BG 2021'!E:E),0)</f>
        <v>-0.16</v>
      </c>
      <c r="N634" s="887"/>
      <c r="O634" s="47">
        <f>-IF(F634="I",SUMIF('BG 062021'!A:A,Clasificaciones!C634,'BG 062021'!C:C),0)</f>
        <v>-1138</v>
      </c>
      <c r="P634" s="887"/>
      <c r="Q634" s="63">
        <f>-IF(F634="I",SUMIF('BG 062021'!A:A,Clasificaciones!C634,'BG 062021'!D:D),0)</f>
        <v>-0.16</v>
      </c>
    </row>
    <row r="635" spans="1:18" s="888" customFormat="1" ht="12" hidden="1">
      <c r="A635" s="885" t="s">
        <v>169</v>
      </c>
      <c r="B635" s="885" t="s">
        <v>117</v>
      </c>
      <c r="C635" s="889">
        <v>403020114</v>
      </c>
      <c r="D635" s="819" t="s">
        <v>771</v>
      </c>
      <c r="E635" s="886" t="s">
        <v>186</v>
      </c>
      <c r="F635" s="886" t="s">
        <v>271</v>
      </c>
      <c r="G635" s="47">
        <f>-IF(F635="I",IFERROR(VLOOKUP(C635,'BG 062022'!A:C,3,FALSE),0),0)</f>
        <v>0</v>
      </c>
      <c r="H635" s="885"/>
      <c r="I635" s="63">
        <f>-IF(F635="I",IFERROR(VLOOKUP(C635,'BG 062022'!A:D,4,FALSE),0),0)</f>
        <v>0</v>
      </c>
      <c r="J635" s="887"/>
      <c r="K635" s="47">
        <f>-IF(F635="I",SUMIF('BG 2021'!B:B,Clasificaciones!C635,'BG 2021'!D:D),0)</f>
        <v>0</v>
      </c>
      <c r="L635" s="887"/>
      <c r="M635" s="63">
        <f>-IF(F635="I",SUMIF('BG 2021'!B:B,Clasificaciones!C635,'BG 2021'!E:E),0)</f>
        <v>0</v>
      </c>
      <c r="N635" s="887"/>
      <c r="O635" s="47">
        <f>-IF(F635="I",SUMIF('BG 062021'!A:A,Clasificaciones!C635,'BG 062021'!C:C),0)</f>
        <v>0</v>
      </c>
      <c r="P635" s="887"/>
      <c r="Q635" s="63">
        <f>-IF(F635="I",SUMIF('BG 062021'!A:A,Clasificaciones!C635,'BG 062021'!D:D),0)</f>
        <v>0</v>
      </c>
    </row>
    <row r="636" spans="1:18" s="888" customFormat="1" ht="12" hidden="1">
      <c r="A636" s="885" t="s">
        <v>169</v>
      </c>
      <c r="B636" s="885" t="s">
        <v>117</v>
      </c>
      <c r="C636" s="889">
        <v>403020115</v>
      </c>
      <c r="D636" s="819" t="s">
        <v>1050</v>
      </c>
      <c r="E636" s="886" t="s">
        <v>6</v>
      </c>
      <c r="F636" s="886" t="s">
        <v>271</v>
      </c>
      <c r="G636" s="47">
        <f>-IF(F636="I",IFERROR(VLOOKUP(C636,'BG 062022'!A:C,3,FALSE),0),0)</f>
        <v>0</v>
      </c>
      <c r="H636" s="885"/>
      <c r="I636" s="63">
        <f>-IF(F636="I",IFERROR(VLOOKUP(C636,'BG 062022'!A:D,4,FALSE),0),0)</f>
        <v>0</v>
      </c>
      <c r="J636" s="887"/>
      <c r="K636" s="47">
        <f>-IF(F636="I",SUMIF('BG 2021'!B:B,Clasificaciones!C636,'BG 2021'!D:D),0)</f>
        <v>0</v>
      </c>
      <c r="L636" s="887"/>
      <c r="M636" s="63">
        <f>-IF(F636="I",SUMIF('BG 2021'!B:B,Clasificaciones!C636,'BG 2021'!E:E),0)</f>
        <v>0</v>
      </c>
      <c r="N636" s="887"/>
      <c r="O636" s="47">
        <f>-IF(F636="I",SUMIF('BG 062021'!A:A,Clasificaciones!C636,'BG 062021'!C:C),0)</f>
        <v>0</v>
      </c>
      <c r="P636" s="887"/>
      <c r="Q636" s="63">
        <f>-IF(F636="I",SUMIF('BG 062021'!A:A,Clasificaciones!C636,'BG 062021'!D:D),0)</f>
        <v>0</v>
      </c>
    </row>
    <row r="637" spans="1:18" s="888" customFormat="1" ht="12" hidden="1">
      <c r="A637" s="885" t="s">
        <v>169</v>
      </c>
      <c r="B637" s="885" t="s">
        <v>117</v>
      </c>
      <c r="C637" s="889">
        <v>403020116</v>
      </c>
      <c r="D637" s="819" t="s">
        <v>1060</v>
      </c>
      <c r="E637" s="886" t="s">
        <v>186</v>
      </c>
      <c r="F637" s="886" t="s">
        <v>271</v>
      </c>
      <c r="G637" s="47">
        <f>-IF(F637="I",IFERROR(VLOOKUP(C637,'BG 062022'!A:C,3,FALSE),0),0)</f>
        <v>0</v>
      </c>
      <c r="H637" s="885"/>
      <c r="I637" s="63">
        <f>-IF(F637="I",IFERROR(VLOOKUP(C637,'BG 062022'!A:D,4,FALSE),0),0)</f>
        <v>0</v>
      </c>
      <c r="J637" s="887"/>
      <c r="K637" s="47">
        <f>-IF(F637="I",SUMIF('BG 2021'!B:B,Clasificaciones!C637,'BG 2021'!D:D),0)</f>
        <v>0</v>
      </c>
      <c r="L637" s="887"/>
      <c r="M637" s="63">
        <f>-IF(F637="I",SUMIF('BG 2021'!B:B,Clasificaciones!C637,'BG 2021'!E:E),0)</f>
        <v>0</v>
      </c>
      <c r="N637" s="887"/>
      <c r="O637" s="47">
        <f>-IF(F637="I",SUMIF('BG 062021'!A:A,Clasificaciones!C637,'BG 062021'!C:C),0)</f>
        <v>0</v>
      </c>
      <c r="P637" s="887"/>
      <c r="Q637" s="63">
        <f>-IF(F637="I",SUMIF('BG 062021'!A:A,Clasificaciones!C637,'BG 062021'!D:D),0)</f>
        <v>0</v>
      </c>
    </row>
    <row r="638" spans="1:18" s="888" customFormat="1">
      <c r="A638" s="885" t="s">
        <v>169</v>
      </c>
      <c r="B638" s="885" t="s">
        <v>117</v>
      </c>
      <c r="C638" s="889">
        <v>403020117</v>
      </c>
      <c r="D638" s="889" t="s">
        <v>773</v>
      </c>
      <c r="E638" s="886" t="s">
        <v>6</v>
      </c>
      <c r="F638" s="886" t="s">
        <v>271</v>
      </c>
      <c r="G638" s="47">
        <f>-IF(F638="I",IFERROR(VLOOKUP(C638,'BG 062022'!A:C,3,FALSE),0),0)</f>
        <v>-46852026</v>
      </c>
      <c r="H638" s="885"/>
      <c r="I638" s="63">
        <f>-IF(F638="I",IFERROR(VLOOKUP(C638,'BG 062022'!A:D,4,FALSE),0),0)</f>
        <v>-6750.62</v>
      </c>
      <c r="J638" s="887"/>
      <c r="K638" s="47">
        <f>-IF(F638="I",SUMIF('BG 2021'!B:B,Clasificaciones!C638,'BG 2021'!D:D),0)</f>
        <v>-5033923127</v>
      </c>
      <c r="L638" s="887"/>
      <c r="M638" s="63">
        <f>-IF(F638="I",SUMIF('BG 2021'!B:B,Clasificaciones!C638,'BG 2021'!E:E),0)</f>
        <v>-746108.57</v>
      </c>
      <c r="N638" s="887"/>
      <c r="O638" s="47">
        <f>-IF(F638="I",SUMIF('BG 062021'!A:A,Clasificaciones!C638,'BG 062021'!C:C),0)</f>
        <v>-4419924311</v>
      </c>
      <c r="P638" s="887"/>
      <c r="Q638" s="63">
        <f>-IF(F638="I",SUMIF('BG 062021'!A:A,Clasificaciones!C638,'BG 062021'!D:D),0)</f>
        <v>-656777.47</v>
      </c>
      <c r="R638" s="888">
        <f>+VLOOKUP(C638,'CA EFE'!A:A,1,FALSE)</f>
        <v>403020117</v>
      </c>
    </row>
    <row r="639" spans="1:18" s="888" customFormat="1" ht="12" hidden="1">
      <c r="A639" s="885" t="s">
        <v>169</v>
      </c>
      <c r="B639" s="885" t="s">
        <v>117</v>
      </c>
      <c r="C639" s="889">
        <v>403020118</v>
      </c>
      <c r="D639" s="819" t="s">
        <v>1409</v>
      </c>
      <c r="E639" s="886" t="s">
        <v>186</v>
      </c>
      <c r="F639" s="886" t="s">
        <v>271</v>
      </c>
      <c r="G639" s="47">
        <f>-IF(F639="I",IFERROR(VLOOKUP(C639,'BG 062022'!A:C,3,FALSE),0),0)</f>
        <v>0</v>
      </c>
      <c r="H639" s="885"/>
      <c r="I639" s="63">
        <f>-IF(F639="I",IFERROR(VLOOKUP(C639,'BG 062022'!A:D,4,FALSE),0),0)</f>
        <v>0</v>
      </c>
      <c r="J639" s="887"/>
      <c r="K639" s="47">
        <f>-IF(F639="I",SUMIF('BG 2021'!B:B,Clasificaciones!C639,'BG 2021'!D:D),0)</f>
        <v>-326940640</v>
      </c>
      <c r="L639" s="887"/>
      <c r="M639" s="63">
        <f>-IF(F639="I",SUMIF('BG 2021'!B:B,Clasificaciones!C639,'BG 2021'!E:E),0)</f>
        <v>-50346.49</v>
      </c>
      <c r="N639" s="887"/>
      <c r="O639" s="47">
        <f>-IF(F639="I",SUMIF('BG 062021'!A:A,Clasificaciones!C639,'BG 062021'!C:C),0)</f>
        <v>-326940640</v>
      </c>
      <c r="P639" s="887"/>
      <c r="Q639" s="63">
        <f>-IF(F639="I",SUMIF('BG 062021'!A:A,Clasificaciones!C639,'BG 062021'!D:D),0)</f>
        <v>-50346.49</v>
      </c>
    </row>
    <row r="640" spans="1:18" s="888" customFormat="1">
      <c r="A640" s="885" t="s">
        <v>169</v>
      </c>
      <c r="B640" s="885" t="s">
        <v>117</v>
      </c>
      <c r="C640" s="889">
        <v>403020119</v>
      </c>
      <c r="D640" s="889" t="s">
        <v>1051</v>
      </c>
      <c r="E640" s="886" t="s">
        <v>6</v>
      </c>
      <c r="F640" s="886" t="s">
        <v>271</v>
      </c>
      <c r="G640" s="47">
        <f>-IF(F640="I",IFERROR(VLOOKUP(C640,'BG 062022'!A:C,3,FALSE),0),0)</f>
        <v>-6399</v>
      </c>
      <c r="H640" s="885"/>
      <c r="I640" s="63">
        <f>-IF(F640="I",IFERROR(VLOOKUP(C640,'BG 062022'!A:D,4,FALSE),0),0)</f>
        <v>-1.05</v>
      </c>
      <c r="J640" s="887"/>
      <c r="K640" s="47">
        <f>-IF(F640="I",SUMIF('BG 2021'!B:B,Clasificaciones!C640,'BG 2021'!D:D),0)</f>
        <v>-1253618015</v>
      </c>
      <c r="L640" s="887"/>
      <c r="M640" s="63">
        <f>-IF(F640="I",SUMIF('BG 2021'!B:B,Clasificaciones!C640,'BG 2021'!E:E),0)</f>
        <v>-189291.86</v>
      </c>
      <c r="N640" s="887"/>
      <c r="O640" s="47">
        <f>-IF(F640="I",SUMIF('BG 062021'!A:A,Clasificaciones!C640,'BG 062021'!C:C),0)</f>
        <v>-1241615813</v>
      </c>
      <c r="P640" s="887"/>
      <c r="Q640" s="63">
        <f>-IF(F640="I",SUMIF('BG 062021'!A:A,Clasificaciones!C640,'BG 062021'!D:D),0)</f>
        <v>-187537.6</v>
      </c>
      <c r="R640" s="888">
        <f>+VLOOKUP(C640,'CA EFE'!A:A,1,FALSE)</f>
        <v>403020119</v>
      </c>
    </row>
    <row r="641" spans="1:18" s="888" customFormat="1" ht="12" hidden="1">
      <c r="A641" s="885" t="s">
        <v>169</v>
      </c>
      <c r="B641" s="885" t="s">
        <v>117</v>
      </c>
      <c r="C641" s="889">
        <v>403020120</v>
      </c>
      <c r="D641" s="819" t="s">
        <v>1052</v>
      </c>
      <c r="E641" s="886" t="s">
        <v>186</v>
      </c>
      <c r="F641" s="886" t="s">
        <v>271</v>
      </c>
      <c r="G641" s="47">
        <f>-IF(F641="I",IFERROR(VLOOKUP(C641,'BG 062022'!A:C,3,FALSE),0),0)</f>
        <v>0</v>
      </c>
      <c r="H641" s="885"/>
      <c r="I641" s="63">
        <f>-IF(F641="I",IFERROR(VLOOKUP(C641,'BG 062022'!A:D,4,FALSE),0),0)</f>
        <v>0</v>
      </c>
      <c r="J641" s="887"/>
      <c r="K641" s="47">
        <f>-IF(F641="I",SUMIF('BG 2021'!B:B,Clasificaciones!C641,'BG 2021'!D:D),0)</f>
        <v>0</v>
      </c>
      <c r="L641" s="887"/>
      <c r="M641" s="63">
        <f>-IF(F641="I",SUMIF('BG 2021'!B:B,Clasificaciones!C641,'BG 2021'!E:E),0)</f>
        <v>0</v>
      </c>
      <c r="N641" s="887"/>
      <c r="O641" s="47">
        <f>-IF(F641="I",SUMIF('BG 062021'!A:A,Clasificaciones!C641,'BG 062021'!C:C),0)</f>
        <v>0</v>
      </c>
      <c r="P641" s="887"/>
      <c r="Q641" s="63">
        <f>-IF(F641="I",SUMIF('BG 062021'!A:A,Clasificaciones!C641,'BG 062021'!D:D),0)</f>
        <v>0</v>
      </c>
    </row>
    <row r="642" spans="1:18" s="888" customFormat="1" ht="12" hidden="1">
      <c r="A642" s="885" t="s">
        <v>169</v>
      </c>
      <c r="B642" s="885" t="s">
        <v>117</v>
      </c>
      <c r="C642" s="889">
        <v>403020121</v>
      </c>
      <c r="D642" s="819" t="s">
        <v>782</v>
      </c>
      <c r="E642" s="886" t="s">
        <v>6</v>
      </c>
      <c r="F642" s="886" t="s">
        <v>271</v>
      </c>
      <c r="G642" s="47">
        <f>-IF(F642="I",IFERROR(VLOOKUP(C642,'BG 062022'!A:C,3,FALSE),0),0)</f>
        <v>0</v>
      </c>
      <c r="H642" s="885"/>
      <c r="I642" s="63">
        <f>-IF(F642="I",IFERROR(VLOOKUP(C642,'BG 062022'!A:D,4,FALSE),0),0)</f>
        <v>0</v>
      </c>
      <c r="J642" s="887"/>
      <c r="K642" s="47">
        <f>-IF(F642="I",SUMIF('BG 2021'!B:B,Clasificaciones!C642,'BG 2021'!D:D),0)</f>
        <v>-226700074</v>
      </c>
      <c r="L642" s="887"/>
      <c r="M642" s="63">
        <f>-IF(F642="I",SUMIF('BG 2021'!B:B,Clasificaciones!C642,'BG 2021'!E:E),0)</f>
        <v>-32436.77</v>
      </c>
      <c r="N642" s="887"/>
      <c r="O642" s="47">
        <f>-IF(F642="I",SUMIF('BG 062021'!A:A,Clasificaciones!C642,'BG 062021'!C:C),0)</f>
        <v>-226700074</v>
      </c>
      <c r="P642" s="887"/>
      <c r="Q642" s="63">
        <f>-IF(F642="I",SUMIF('BG 062021'!A:A,Clasificaciones!C642,'BG 062021'!D:D),0)</f>
        <v>-32436.77</v>
      </c>
    </row>
    <row r="643" spans="1:18" s="888" customFormat="1" ht="12" hidden="1">
      <c r="A643" s="885" t="s">
        <v>169</v>
      </c>
      <c r="B643" s="885" t="s">
        <v>117</v>
      </c>
      <c r="C643" s="889">
        <v>403020122</v>
      </c>
      <c r="D643" s="819" t="s">
        <v>944</v>
      </c>
      <c r="E643" s="886" t="s">
        <v>186</v>
      </c>
      <c r="F643" s="886" t="s">
        <v>271</v>
      </c>
      <c r="G643" s="47">
        <f>-IF(F643="I",IFERROR(VLOOKUP(C643,'BG 062022'!A:C,3,FALSE),0),0)</f>
        <v>0</v>
      </c>
      <c r="H643" s="885"/>
      <c r="I643" s="63">
        <f>-IF(F643="I",IFERROR(VLOOKUP(C643,'BG 062022'!A:D,4,FALSE),0),0)</f>
        <v>0</v>
      </c>
      <c r="J643" s="887"/>
      <c r="K643" s="47">
        <f>-IF(F643="I",SUMIF('BG 2021'!B:B,Clasificaciones!C643,'BG 2021'!D:D),0)</f>
        <v>0</v>
      </c>
      <c r="L643" s="887"/>
      <c r="M643" s="63">
        <f>-IF(F643="I",SUMIF('BG 2021'!B:B,Clasificaciones!C643,'BG 2021'!E:E),0)</f>
        <v>0</v>
      </c>
      <c r="N643" s="887"/>
      <c r="O643" s="47">
        <f>-IF(F643="I",SUMIF('BG 062021'!A:A,Clasificaciones!C643,'BG 062021'!C:C),0)</f>
        <v>0</v>
      </c>
      <c r="P643" s="887"/>
      <c r="Q643" s="63">
        <f>-IF(F643="I",SUMIF('BG 062021'!A:A,Clasificaciones!C643,'BG 062021'!D:D),0)</f>
        <v>0</v>
      </c>
    </row>
    <row r="644" spans="1:18" s="888" customFormat="1" ht="12" hidden="1">
      <c r="A644" s="885" t="s">
        <v>169</v>
      </c>
      <c r="B644" s="885" t="s">
        <v>117</v>
      </c>
      <c r="C644" s="889">
        <v>403020123</v>
      </c>
      <c r="D644" s="819" t="s">
        <v>1053</v>
      </c>
      <c r="E644" s="886" t="s">
        <v>6</v>
      </c>
      <c r="F644" s="886" t="s">
        <v>271</v>
      </c>
      <c r="G644" s="47">
        <f>-IF(F644="I",IFERROR(VLOOKUP(C644,'BG 062022'!A:C,3,FALSE),0),0)</f>
        <v>0</v>
      </c>
      <c r="H644" s="885"/>
      <c r="I644" s="63">
        <f>-IF(F644="I",IFERROR(VLOOKUP(C644,'BG 062022'!A:D,4,FALSE),0),0)</f>
        <v>0</v>
      </c>
      <c r="J644" s="887"/>
      <c r="K644" s="47">
        <f>-IF(F644="I",SUMIF('BG 2021'!B:B,Clasificaciones!C644,'BG 2021'!D:D),0)</f>
        <v>0</v>
      </c>
      <c r="L644" s="887"/>
      <c r="M644" s="63">
        <f>-IF(F644="I",SUMIF('BG 2021'!B:B,Clasificaciones!C644,'BG 2021'!E:E),0)</f>
        <v>0</v>
      </c>
      <c r="N644" s="887"/>
      <c r="O644" s="47">
        <f>-IF(F644="I",SUMIF('BG 062021'!A:A,Clasificaciones!C644,'BG 062021'!C:C),0)</f>
        <v>0</v>
      </c>
      <c r="P644" s="887"/>
      <c r="Q644" s="63">
        <f>-IF(F644="I",SUMIF('BG 062021'!A:A,Clasificaciones!C644,'BG 062021'!D:D),0)</f>
        <v>0</v>
      </c>
    </row>
    <row r="645" spans="1:18" s="888" customFormat="1" ht="12" hidden="1">
      <c r="A645" s="885" t="s">
        <v>169</v>
      </c>
      <c r="B645" s="885" t="s">
        <v>117</v>
      </c>
      <c r="C645" s="889">
        <v>403020124</v>
      </c>
      <c r="D645" s="819" t="s">
        <v>1054</v>
      </c>
      <c r="E645" s="886" t="s">
        <v>186</v>
      </c>
      <c r="F645" s="886" t="s">
        <v>271</v>
      </c>
      <c r="G645" s="47">
        <f>-IF(F645="I",IFERROR(VLOOKUP(C645,'BG 062022'!A:C,3,FALSE),0),0)</f>
        <v>0</v>
      </c>
      <c r="H645" s="885"/>
      <c r="I645" s="63">
        <f>-IF(F645="I",IFERROR(VLOOKUP(C645,'BG 062022'!A:D,4,FALSE),0),0)</f>
        <v>0</v>
      </c>
      <c r="J645" s="887"/>
      <c r="K645" s="47">
        <f>-IF(F645="I",SUMIF('BG 2021'!B:B,Clasificaciones!C645,'BG 2021'!D:D),0)</f>
        <v>0</v>
      </c>
      <c r="L645" s="887"/>
      <c r="M645" s="63">
        <f>-IF(F645="I",SUMIF('BG 2021'!B:B,Clasificaciones!C645,'BG 2021'!E:E),0)</f>
        <v>0</v>
      </c>
      <c r="N645" s="887"/>
      <c r="O645" s="47">
        <f>-IF(F645="I",SUMIF('BG 062021'!A:A,Clasificaciones!C645,'BG 062021'!C:C),0)</f>
        <v>0</v>
      </c>
      <c r="P645" s="887"/>
      <c r="Q645" s="63">
        <f>-IF(F645="I",SUMIF('BG 062021'!A:A,Clasificaciones!C645,'BG 062021'!D:D),0)</f>
        <v>0</v>
      </c>
    </row>
    <row r="646" spans="1:18" s="888" customFormat="1" ht="12" hidden="1">
      <c r="A646" s="885" t="s">
        <v>169</v>
      </c>
      <c r="B646" s="885" t="s">
        <v>117</v>
      </c>
      <c r="C646" s="889">
        <v>403020125</v>
      </c>
      <c r="D646" s="819" t="s">
        <v>1055</v>
      </c>
      <c r="E646" s="886" t="s">
        <v>6</v>
      </c>
      <c r="F646" s="886" t="s">
        <v>271</v>
      </c>
      <c r="G646" s="47">
        <f>-IF(F646="I",IFERROR(VLOOKUP(C646,'BG 062022'!A:C,3,FALSE),0),0)</f>
        <v>0</v>
      </c>
      <c r="H646" s="885"/>
      <c r="I646" s="63">
        <f>-IF(F646="I",IFERROR(VLOOKUP(C646,'BG 062022'!A:D,4,FALSE),0),0)</f>
        <v>0</v>
      </c>
      <c r="J646" s="887"/>
      <c r="K646" s="47">
        <f>-IF(F646="I",SUMIF('BG 2021'!B:B,Clasificaciones!C646,'BG 2021'!D:D),0)</f>
        <v>0</v>
      </c>
      <c r="L646" s="887"/>
      <c r="M646" s="63">
        <f>-IF(F646="I",SUMIF('BG 2021'!B:B,Clasificaciones!C646,'BG 2021'!E:E),0)</f>
        <v>0</v>
      </c>
      <c r="N646" s="887"/>
      <c r="O646" s="47">
        <f>-IF(F646="I",SUMIF('BG 062021'!A:A,Clasificaciones!C646,'BG 062021'!C:C),0)</f>
        <v>0</v>
      </c>
      <c r="P646" s="887"/>
      <c r="Q646" s="63">
        <f>-IF(F646="I",SUMIF('BG 062021'!A:A,Clasificaciones!C646,'BG 062021'!D:D),0)</f>
        <v>0</v>
      </c>
    </row>
    <row r="647" spans="1:18" s="888" customFormat="1" ht="12" hidden="1">
      <c r="A647" s="885" t="s">
        <v>169</v>
      </c>
      <c r="B647" s="885" t="s">
        <v>117</v>
      </c>
      <c r="C647" s="889">
        <v>403020126</v>
      </c>
      <c r="D647" s="819" t="s">
        <v>1056</v>
      </c>
      <c r="E647" s="886" t="s">
        <v>186</v>
      </c>
      <c r="F647" s="886" t="s">
        <v>271</v>
      </c>
      <c r="G647" s="47">
        <f>-IF(F647="I",IFERROR(VLOOKUP(C647,'BG 062022'!A:C,3,FALSE),0),0)</f>
        <v>0</v>
      </c>
      <c r="H647" s="885"/>
      <c r="I647" s="63">
        <f>-IF(F647="I",IFERROR(VLOOKUP(C647,'BG 062022'!A:D,4,FALSE),0),0)</f>
        <v>0</v>
      </c>
      <c r="J647" s="887"/>
      <c r="K647" s="47">
        <f>-IF(F647="I",SUMIF('BG 2021'!B:B,Clasificaciones!C647,'BG 2021'!D:D),0)</f>
        <v>0</v>
      </c>
      <c r="L647" s="887"/>
      <c r="M647" s="63">
        <f>-IF(F647="I",SUMIF('BG 2021'!B:B,Clasificaciones!C647,'BG 2021'!E:E),0)</f>
        <v>0</v>
      </c>
      <c r="N647" s="887"/>
      <c r="O647" s="47">
        <f>-IF(F647="I",SUMIF('BG 062021'!A:A,Clasificaciones!C647,'BG 062021'!C:C),0)</f>
        <v>0</v>
      </c>
      <c r="P647" s="887"/>
      <c r="Q647" s="63">
        <f>-IF(F647="I",SUMIF('BG 062021'!A:A,Clasificaciones!C647,'BG 062021'!D:D),0)</f>
        <v>0</v>
      </c>
    </row>
    <row r="648" spans="1:18" s="888" customFormat="1" ht="12" hidden="1">
      <c r="A648" s="885" t="s">
        <v>169</v>
      </c>
      <c r="B648" s="885" t="s">
        <v>117</v>
      </c>
      <c r="C648" s="889">
        <v>403020127</v>
      </c>
      <c r="D648" s="819" t="s">
        <v>1057</v>
      </c>
      <c r="E648" s="886" t="s">
        <v>6</v>
      </c>
      <c r="F648" s="886" t="s">
        <v>271</v>
      </c>
      <c r="G648" s="47">
        <f>-IF(F648="I",IFERROR(VLOOKUP(C648,'BG 062022'!A:C,3,FALSE),0),0)</f>
        <v>0</v>
      </c>
      <c r="H648" s="885"/>
      <c r="I648" s="63">
        <f>-IF(F648="I",IFERROR(VLOOKUP(C648,'BG 062022'!A:D,4,FALSE),0),0)</f>
        <v>0</v>
      </c>
      <c r="J648" s="887"/>
      <c r="K648" s="47">
        <f>-IF(F648="I",SUMIF('BG 2021'!B:B,Clasificaciones!C648,'BG 2021'!D:D),0)</f>
        <v>0</v>
      </c>
      <c r="L648" s="887"/>
      <c r="M648" s="63">
        <f>-IF(F648="I",SUMIF('BG 2021'!B:B,Clasificaciones!C648,'BG 2021'!E:E),0)</f>
        <v>0</v>
      </c>
      <c r="N648" s="887"/>
      <c r="O648" s="47">
        <f>-IF(F648="I",SUMIF('BG 062021'!A:A,Clasificaciones!C648,'BG 062021'!C:C),0)</f>
        <v>0</v>
      </c>
      <c r="P648" s="887"/>
      <c r="Q648" s="63">
        <f>-IF(F648="I",SUMIF('BG 062021'!A:A,Clasificaciones!C648,'BG 062021'!D:D),0)</f>
        <v>0</v>
      </c>
    </row>
    <row r="649" spans="1:18" s="888" customFormat="1" ht="12" hidden="1">
      <c r="A649" s="885" t="s">
        <v>169</v>
      </c>
      <c r="B649" s="885" t="s">
        <v>117</v>
      </c>
      <c r="C649" s="889">
        <v>403020128</v>
      </c>
      <c r="D649" s="819" t="s">
        <v>1058</v>
      </c>
      <c r="E649" s="886" t="s">
        <v>186</v>
      </c>
      <c r="F649" s="886" t="s">
        <v>271</v>
      </c>
      <c r="G649" s="47">
        <f>-IF(F649="I",IFERROR(VLOOKUP(C649,'BG 062022'!A:C,3,FALSE),0),0)</f>
        <v>0</v>
      </c>
      <c r="H649" s="885"/>
      <c r="I649" s="63">
        <f>-IF(F649="I",IFERROR(VLOOKUP(C649,'BG 062022'!A:D,4,FALSE),0),0)</f>
        <v>0</v>
      </c>
      <c r="J649" s="887"/>
      <c r="K649" s="47">
        <f>-IF(F649="I",SUMIF('BG 2021'!B:B,Clasificaciones!C649,'BG 2021'!D:D),0)</f>
        <v>0</v>
      </c>
      <c r="L649" s="887"/>
      <c r="M649" s="63">
        <f>-IF(F649="I",SUMIF('BG 2021'!B:B,Clasificaciones!C649,'BG 2021'!E:E),0)</f>
        <v>0</v>
      </c>
      <c r="N649" s="887"/>
      <c r="O649" s="47">
        <f>-IF(F649="I",SUMIF('BG 062021'!A:A,Clasificaciones!C649,'BG 062021'!C:C),0)</f>
        <v>0</v>
      </c>
      <c r="P649" s="887"/>
      <c r="Q649" s="63">
        <f>-IF(F649="I",SUMIF('BG 062021'!A:A,Clasificaciones!C649,'BG 062021'!D:D),0)</f>
        <v>0</v>
      </c>
    </row>
    <row r="650" spans="1:18" s="888" customFormat="1">
      <c r="A650" s="885" t="s">
        <v>169</v>
      </c>
      <c r="B650" s="885" t="s">
        <v>34</v>
      </c>
      <c r="C650" s="889">
        <v>403020129</v>
      </c>
      <c r="D650" s="889" t="s">
        <v>775</v>
      </c>
      <c r="E650" s="886" t="s">
        <v>6</v>
      </c>
      <c r="F650" s="886" t="s">
        <v>271</v>
      </c>
      <c r="G650" s="47">
        <f>-IF(F650="I",IFERROR(VLOOKUP(C650,'BG 062022'!A:C,3,FALSE),0),0)</f>
        <v>-20252141</v>
      </c>
      <c r="H650" s="885"/>
      <c r="I650" s="63">
        <f>-IF(F650="I",IFERROR(VLOOKUP(C650,'BG 062022'!A:D,4,FALSE),0),0)</f>
        <v>-2896.12</v>
      </c>
      <c r="J650" s="887"/>
      <c r="K650" s="47">
        <f>-IF(F650="I",SUMIF('BG 2021'!B:B,Clasificaciones!C650,'BG 2021'!D:D),0)</f>
        <v>-347379263</v>
      </c>
      <c r="L650" s="887"/>
      <c r="M650" s="63">
        <f>-IF(F650="I",SUMIF('BG 2021'!B:B,Clasificaciones!C650,'BG 2021'!E:E),0)</f>
        <v>-50485.440000000002</v>
      </c>
      <c r="N650" s="887"/>
      <c r="O650" s="47">
        <f>-IF(F650="I",SUMIF('BG 062021'!A:A,Clasificaciones!C650,'BG 062021'!C:C),0)</f>
        <v>-200857319</v>
      </c>
      <c r="P650" s="887"/>
      <c r="Q650" s="63">
        <f>-IF(F650="I",SUMIF('BG 062021'!A:A,Clasificaciones!C650,'BG 062021'!D:D),0)</f>
        <v>-29268.78</v>
      </c>
      <c r="R650" s="888">
        <f>+VLOOKUP(C650,'CA EFE'!A:A,1,FALSE)</f>
        <v>403020129</v>
      </c>
    </row>
    <row r="651" spans="1:18" s="888" customFormat="1" hidden="1">
      <c r="A651" s="885" t="s">
        <v>169</v>
      </c>
      <c r="B651" s="885" t="s">
        <v>34</v>
      </c>
      <c r="C651" s="889">
        <v>403020130</v>
      </c>
      <c r="D651" s="889" t="s">
        <v>1059</v>
      </c>
      <c r="E651" s="886" t="s">
        <v>186</v>
      </c>
      <c r="F651" s="886" t="s">
        <v>271</v>
      </c>
      <c r="G651" s="47">
        <f>-IF(F651="I",IFERROR(VLOOKUP(C651,'BG 062022'!A:C,3,FALSE),0),0)</f>
        <v>0</v>
      </c>
      <c r="H651" s="885"/>
      <c r="I651" s="63">
        <f>-IF(F651="I",IFERROR(VLOOKUP(C651,'BG 062022'!A:D,4,FALSE),0),0)</f>
        <v>0</v>
      </c>
      <c r="J651" s="887"/>
      <c r="K651" s="47">
        <f>-IF(F651="I",SUMIF('BG 2021'!B:B,Clasificaciones!C651,'BG 2021'!D:D),0)</f>
        <v>0</v>
      </c>
      <c r="L651" s="887"/>
      <c r="M651" s="63">
        <f>-IF(F651="I",SUMIF('BG 2021'!B:B,Clasificaciones!C651,'BG 2021'!E:E),0)</f>
        <v>0</v>
      </c>
      <c r="N651" s="887"/>
      <c r="O651" s="47">
        <f>-IF(F651="I",SUMIF('BG 062021'!A:A,Clasificaciones!C651,'BG 062021'!C:C),0)</f>
        <v>0</v>
      </c>
      <c r="P651" s="887"/>
      <c r="Q651" s="63">
        <f>-IF(F651="I",SUMIF('BG 062021'!A:A,Clasificaciones!C651,'BG 062021'!D:D),0)</f>
        <v>0</v>
      </c>
    </row>
    <row r="652" spans="1:18" s="888" customFormat="1" hidden="1">
      <c r="A652" s="885" t="s">
        <v>169</v>
      </c>
      <c r="B652" s="885" t="s">
        <v>34</v>
      </c>
      <c r="C652" s="889">
        <v>403020131</v>
      </c>
      <c r="D652" s="889" t="s">
        <v>783</v>
      </c>
      <c r="E652" s="886" t="s">
        <v>6</v>
      </c>
      <c r="F652" s="886" t="s">
        <v>271</v>
      </c>
      <c r="G652" s="47">
        <f>-IF(F652="I",IFERROR(VLOOKUP(C652,'BG 062022'!A:C,3,FALSE),0),0)</f>
        <v>0</v>
      </c>
      <c r="H652" s="885"/>
      <c r="I652" s="63">
        <f>-IF(F652="I",IFERROR(VLOOKUP(C652,'BG 062022'!A:D,4,FALSE),0),0)</f>
        <v>0</v>
      </c>
      <c r="J652" s="887"/>
      <c r="K652" s="47">
        <f>-IF(F652="I",SUMIF('BG 2021'!B:B,Clasificaciones!C652,'BG 2021'!D:D),0)</f>
        <v>-51189968</v>
      </c>
      <c r="L652" s="887"/>
      <c r="M652" s="63">
        <f>-IF(F652="I",SUMIF('BG 2021'!B:B,Clasificaciones!C652,'BG 2021'!E:E),0)</f>
        <v>-7631.38</v>
      </c>
      <c r="N652" s="887"/>
      <c r="O652" s="47">
        <f>-IF(F652="I",SUMIF('BG 062021'!A:A,Clasificaciones!C652,'BG 062021'!C:C),0)</f>
        <v>-43916900</v>
      </c>
      <c r="P652" s="887"/>
      <c r="Q652" s="63">
        <f>-IF(F652="I",SUMIF('BG 062021'!A:A,Clasificaciones!C652,'BG 062021'!D:D),0)</f>
        <v>-6574.17</v>
      </c>
    </row>
    <row r="653" spans="1:18" s="888" customFormat="1" hidden="1">
      <c r="A653" s="885" t="s">
        <v>169</v>
      </c>
      <c r="B653" s="885" t="s">
        <v>34</v>
      </c>
      <c r="C653" s="889">
        <v>403020132</v>
      </c>
      <c r="D653" s="889" t="s">
        <v>1061</v>
      </c>
      <c r="E653" s="886" t="s">
        <v>186</v>
      </c>
      <c r="F653" s="886" t="s">
        <v>271</v>
      </c>
      <c r="G653" s="47">
        <f>-IF(F653="I",IFERROR(VLOOKUP(C653,'BG 062022'!A:C,3,FALSE),0),0)</f>
        <v>0</v>
      </c>
      <c r="H653" s="885"/>
      <c r="I653" s="63">
        <f>-IF(F653="I",IFERROR(VLOOKUP(C653,'BG 062022'!A:D,4,FALSE),0),0)</f>
        <v>0</v>
      </c>
      <c r="J653" s="887"/>
      <c r="K653" s="47">
        <f>-IF(F653="I",SUMIF('BG 2021'!B:B,Clasificaciones!C653,'BG 2021'!D:D),0)</f>
        <v>0</v>
      </c>
      <c r="L653" s="887"/>
      <c r="M653" s="63">
        <f>-IF(F653="I",SUMIF('BG 2021'!B:B,Clasificaciones!C653,'BG 2021'!E:E),0)</f>
        <v>0</v>
      </c>
      <c r="N653" s="887"/>
      <c r="O653" s="47">
        <f>-IF(F653="I",SUMIF('BG 062021'!A:A,Clasificaciones!C653,'BG 062021'!C:C),0)</f>
        <v>0</v>
      </c>
      <c r="P653" s="887"/>
      <c r="Q653" s="63">
        <f>-IF(F653="I",SUMIF('BG 062021'!A:A,Clasificaciones!C653,'BG 062021'!D:D),0)</f>
        <v>0</v>
      </c>
    </row>
    <row r="654" spans="1:18" s="888" customFormat="1" hidden="1">
      <c r="A654" s="885" t="s">
        <v>169</v>
      </c>
      <c r="B654" s="885" t="s">
        <v>117</v>
      </c>
      <c r="C654" s="889">
        <v>403020133</v>
      </c>
      <c r="D654" s="889" t="s">
        <v>784</v>
      </c>
      <c r="E654" s="886" t="s">
        <v>6</v>
      </c>
      <c r="F654" s="886" t="s">
        <v>271</v>
      </c>
      <c r="G654" s="47">
        <f>-IF(F654="I",IFERROR(VLOOKUP(C654,'BG 062022'!A:C,3,FALSE),0),0)</f>
        <v>0</v>
      </c>
      <c r="H654" s="885"/>
      <c r="I654" s="63">
        <f>-IF(F654="I",IFERROR(VLOOKUP(C654,'BG 062022'!A:D,4,FALSE),0),0)</f>
        <v>0</v>
      </c>
      <c r="J654" s="887"/>
      <c r="K654" s="47">
        <f>-IF(F654="I",SUMIF('BG 2021'!B:B,Clasificaciones!C654,'BG 2021'!D:D),0)</f>
        <v>-610001703</v>
      </c>
      <c r="L654" s="887"/>
      <c r="M654" s="63">
        <f>-IF(F654="I",SUMIF('BG 2021'!B:B,Clasificaciones!C654,'BG 2021'!E:E),0)</f>
        <v>-88117.29</v>
      </c>
      <c r="N654" s="887"/>
      <c r="O654" s="47">
        <f>-IF(F654="I",SUMIF('BG 062021'!A:A,Clasificaciones!C654,'BG 062021'!C:C),0)</f>
        <v>610001703</v>
      </c>
      <c r="P654" s="887"/>
      <c r="Q654" s="63">
        <f>-IF(F654="I",SUMIF('BG 062021'!A:A,Clasificaciones!C654,'BG 062021'!D:D),0)</f>
        <v>88117.29</v>
      </c>
    </row>
    <row r="655" spans="1:18" s="888" customFormat="1" hidden="1">
      <c r="A655" s="885" t="s">
        <v>169</v>
      </c>
      <c r="B655" s="885" t="s">
        <v>117</v>
      </c>
      <c r="C655" s="889">
        <v>403020134</v>
      </c>
      <c r="D655" s="885" t="s">
        <v>1062</v>
      </c>
      <c r="E655" s="886" t="s">
        <v>186</v>
      </c>
      <c r="F655" s="886" t="s">
        <v>271</v>
      </c>
      <c r="G655" s="47">
        <f>-IF(F655="I",IFERROR(VLOOKUP(C655,'BG 062022'!A:C,3,FALSE),0),0)</f>
        <v>0</v>
      </c>
      <c r="H655" s="885"/>
      <c r="I655" s="63">
        <f>-IF(F655="I",IFERROR(VLOOKUP(C655,'BG 062022'!A:D,4,FALSE),0),0)</f>
        <v>0</v>
      </c>
      <c r="J655" s="887"/>
      <c r="K655" s="47">
        <f>-IF(F655="I",SUMIF('BG 2021'!B:B,Clasificaciones!C655,'BG 2021'!D:D),0)</f>
        <v>0</v>
      </c>
      <c r="L655" s="887"/>
      <c r="M655" s="63">
        <f>-IF(F655="I",SUMIF('BG 2021'!B:B,Clasificaciones!C655,'BG 2021'!E:E),0)</f>
        <v>0</v>
      </c>
      <c r="N655" s="887"/>
      <c r="O655" s="47">
        <f>-IF(F655="I",SUMIF('BG 062021'!A:A,Clasificaciones!C655,'BG 062021'!C:C),0)</f>
        <v>0</v>
      </c>
      <c r="P655" s="887"/>
      <c r="Q655" s="63">
        <f>-IF(F655="I",SUMIF('BG 062021'!A:A,Clasificaciones!C655,'BG 062021'!D:D),0)</f>
        <v>0</v>
      </c>
    </row>
    <row r="656" spans="1:18" s="888" customFormat="1" hidden="1">
      <c r="A656" s="885" t="s">
        <v>169</v>
      </c>
      <c r="B656" s="885"/>
      <c r="C656" s="889">
        <v>4030202</v>
      </c>
      <c r="D656" s="889" t="s">
        <v>1063</v>
      </c>
      <c r="E656" s="886" t="s">
        <v>6</v>
      </c>
      <c r="F656" s="886" t="s">
        <v>270</v>
      </c>
      <c r="G656" s="47">
        <f>-IF(F656="I",IFERROR(VLOOKUP(C656,'BG 062022'!A:C,3,FALSE),0),0)</f>
        <v>0</v>
      </c>
      <c r="H656" s="885"/>
      <c r="I656" s="63">
        <f>-IF(F656="I",IFERROR(VLOOKUP(C656,'BG 062022'!A:D,4,FALSE),0),0)</f>
        <v>0</v>
      </c>
      <c r="J656" s="887"/>
      <c r="K656" s="47">
        <f>-IF(F656="I",SUMIF('BG 2021'!B:B,Clasificaciones!C656,'BG 2021'!D:D),0)</f>
        <v>0</v>
      </c>
      <c r="L656" s="887"/>
      <c r="M656" s="63">
        <f>-IF(F656="I",SUMIF('BG 2021'!B:B,Clasificaciones!C656,'BG 2021'!E:E),0)</f>
        <v>0</v>
      </c>
      <c r="N656" s="887"/>
      <c r="O656" s="47">
        <f>-IF(F656="I",SUMIF('BG 062021'!A:A,Clasificaciones!C656,'BG 062021'!C:C),0)</f>
        <v>0</v>
      </c>
      <c r="P656" s="887"/>
      <c r="Q656" s="63">
        <f>-IF(F656="I",SUMIF('BG 062021'!A:A,Clasificaciones!C656,'BG 062021'!D:D),0)</f>
        <v>0</v>
      </c>
    </row>
    <row r="657" spans="1:18" s="888" customFormat="1">
      <c r="A657" s="885" t="s">
        <v>169</v>
      </c>
      <c r="B657" s="885" t="s">
        <v>190</v>
      </c>
      <c r="C657" s="889">
        <v>403020201</v>
      </c>
      <c r="D657" s="889" t="s">
        <v>768</v>
      </c>
      <c r="E657" s="886" t="s">
        <v>186</v>
      </c>
      <c r="F657" s="886" t="s">
        <v>271</v>
      </c>
      <c r="G657" s="47">
        <f>-IF(F657="I",IFERROR(VLOOKUP(C657,'BG 062022'!A:C,3,FALSE),0),0)</f>
        <v>-7717592</v>
      </c>
      <c r="H657" s="885"/>
      <c r="I657" s="63">
        <f>-IF(F657="I",IFERROR(VLOOKUP(C657,'BG 062022'!A:D,4,FALSE),0),0)</f>
        <v>-1119.9100000000001</v>
      </c>
      <c r="J657" s="887"/>
      <c r="K657" s="47">
        <f>-IF(F657="I",SUMIF('BG 2021'!B:B,Clasificaciones!C657,'BG 2021'!D:D),0)</f>
        <v>0</v>
      </c>
      <c r="L657" s="887"/>
      <c r="M657" s="63">
        <f>-IF(F657="I",SUMIF('BG 2021'!B:B,Clasificaciones!C657,'BG 2021'!E:E),0)</f>
        <v>0</v>
      </c>
      <c r="N657" s="887"/>
      <c r="O657" s="47">
        <f>-IF(F657="I",SUMIF('BG 062021'!A:A,Clasificaciones!C657,'BG 062021'!C:C),0)</f>
        <v>0</v>
      </c>
      <c r="P657" s="887"/>
      <c r="Q657" s="63">
        <f>-IF(F657="I",SUMIF('BG 062021'!A:A,Clasificaciones!C657,'BG 062021'!D:D),0)</f>
        <v>0</v>
      </c>
      <c r="R657" s="888">
        <f>+VLOOKUP(C657,'CA EFE'!A:A,1,FALSE)</f>
        <v>403020201</v>
      </c>
    </row>
    <row r="658" spans="1:18" s="888" customFormat="1">
      <c r="A658" s="885" t="s">
        <v>169</v>
      </c>
      <c r="B658" s="885" t="s">
        <v>190</v>
      </c>
      <c r="C658" s="889">
        <v>403020202</v>
      </c>
      <c r="D658" s="889" t="s">
        <v>779</v>
      </c>
      <c r="E658" s="886" t="s">
        <v>6</v>
      </c>
      <c r="F658" s="886" t="s">
        <v>271</v>
      </c>
      <c r="G658" s="47">
        <f>-IF(F658="I",IFERROR(VLOOKUP(C658,'BG 062022'!A:C,3,FALSE),0),0)</f>
        <v>-1381438</v>
      </c>
      <c r="H658" s="885"/>
      <c r="I658" s="63">
        <f>-IF(F658="I",IFERROR(VLOOKUP(C658,'BG 062022'!A:D,4,FALSE),0),0)</f>
        <v>-199.63</v>
      </c>
      <c r="J658" s="887"/>
      <c r="K658" s="47">
        <f>-IF(F658="I",SUMIF('BG 2021'!B:B,Clasificaciones!C658,'BG 2021'!D:D),0)</f>
        <v>-265305</v>
      </c>
      <c r="L658" s="887"/>
      <c r="M658" s="63">
        <f>-IF(F658="I",SUMIF('BG 2021'!B:B,Clasificaciones!C658,'BG 2021'!E:E),0)</f>
        <v>-38.72</v>
      </c>
      <c r="N658" s="887"/>
      <c r="O658" s="47">
        <f>-IF(F658="I",SUMIF('BG 062021'!A:A,Clasificaciones!C658,'BG 062021'!C:C),0)</f>
        <v>0</v>
      </c>
      <c r="P658" s="887"/>
      <c r="Q658" s="63">
        <f>-IF(F658="I",SUMIF('BG 062021'!A:A,Clasificaciones!C658,'BG 062021'!D:D),0)</f>
        <v>0</v>
      </c>
      <c r="R658" s="888">
        <f>+VLOOKUP(C658,'CA EFE'!A:A,1,FALSE)</f>
        <v>403020202</v>
      </c>
    </row>
    <row r="659" spans="1:18" s="888" customFormat="1">
      <c r="A659" s="885" t="s">
        <v>169</v>
      </c>
      <c r="B659" s="885" t="s">
        <v>190</v>
      </c>
      <c r="C659" s="889">
        <v>403020203</v>
      </c>
      <c r="D659" s="889" t="s">
        <v>767</v>
      </c>
      <c r="E659" s="886" t="s">
        <v>6</v>
      </c>
      <c r="F659" s="886" t="s">
        <v>271</v>
      </c>
      <c r="G659" s="47">
        <f>-IF(F659="I",IFERROR(VLOOKUP(C659,'BG 062022'!A:C,3,FALSE),0),0)</f>
        <v>-381987</v>
      </c>
      <c r="H659" s="885"/>
      <c r="I659" s="63">
        <f>-IF(F659="I",IFERROR(VLOOKUP(C659,'BG 062022'!A:D,4,FALSE),0),0)</f>
        <v>-55.92</v>
      </c>
      <c r="J659" s="887"/>
      <c r="K659" s="47">
        <f>-IF(F659="I",SUMIF('BG 2021'!B:B,Clasificaciones!C659,'BG 2021'!D:D),0)</f>
        <v>0</v>
      </c>
      <c r="L659" s="887"/>
      <c r="M659" s="63">
        <f>-IF(F659="I",SUMIF('BG 2021'!B:B,Clasificaciones!C659,'BG 2021'!E:E),0)</f>
        <v>0</v>
      </c>
      <c r="N659" s="887"/>
      <c r="O659" s="47">
        <f>-IF(F659="I",SUMIF('BG 062021'!A:A,Clasificaciones!C659,'BG 062021'!C:C),0)</f>
        <v>0</v>
      </c>
      <c r="P659" s="887"/>
      <c r="Q659" s="63">
        <f>-IF(F659="I",SUMIF('BG 062021'!A:A,Clasificaciones!C659,'BG 062021'!D:D),0)</f>
        <v>0</v>
      </c>
    </row>
    <row r="660" spans="1:18" s="888" customFormat="1">
      <c r="A660" s="885" t="s">
        <v>169</v>
      </c>
      <c r="B660" s="885" t="s">
        <v>190</v>
      </c>
      <c r="C660" s="889">
        <v>403020204</v>
      </c>
      <c r="D660" s="889" t="s">
        <v>1389</v>
      </c>
      <c r="E660" s="886" t="s">
        <v>186</v>
      </c>
      <c r="F660" s="886" t="s">
        <v>271</v>
      </c>
      <c r="G660" s="47">
        <f>-IF(F660="I",IFERROR(VLOOKUP(C660,'BG 062022'!A:C,3,FALSE),0),0)</f>
        <v>-1279279</v>
      </c>
      <c r="H660" s="885"/>
      <c r="I660" s="63">
        <f>-IF(F660="I",IFERROR(VLOOKUP(C660,'BG 062022'!A:D,4,FALSE),0),0)</f>
        <v>-186.52</v>
      </c>
      <c r="J660" s="887"/>
      <c r="K660" s="47">
        <f>-IF(F660="I",SUMIF('BG 2021'!B:B,Clasificaciones!C660,'BG 2021'!D:D),0)</f>
        <v>0</v>
      </c>
      <c r="L660" s="887"/>
      <c r="M660" s="63">
        <f>-IF(F660="I",SUMIF('BG 2021'!B:B,Clasificaciones!C660,'BG 2021'!E:E),0)</f>
        <v>0</v>
      </c>
      <c r="N660" s="887"/>
      <c r="O660" s="47">
        <f>-IF(F660="I",SUMIF('BG 062021'!A:A,Clasificaciones!C660,'BG 062021'!C:C),0)</f>
        <v>0</v>
      </c>
      <c r="P660" s="887"/>
      <c r="Q660" s="63">
        <f>-IF(F660="I",SUMIF('BG 062021'!A:A,Clasificaciones!C660,'BG 062021'!D:D),0)</f>
        <v>0</v>
      </c>
    </row>
    <row r="661" spans="1:18" s="888" customFormat="1" hidden="1">
      <c r="A661" s="885" t="s">
        <v>169</v>
      </c>
      <c r="B661" s="885"/>
      <c r="C661" s="889">
        <v>404</v>
      </c>
      <c r="D661" s="889" t="s">
        <v>1064</v>
      </c>
      <c r="E661" s="886" t="s">
        <v>6</v>
      </c>
      <c r="F661" s="886" t="s">
        <v>270</v>
      </c>
      <c r="G661" s="47">
        <f>-IF(F661="I",IFERROR(VLOOKUP(C661,'BG 062022'!A:C,3,FALSE),0),0)</f>
        <v>0</v>
      </c>
      <c r="H661" s="885"/>
      <c r="I661" s="63">
        <f>-IF(F661="I",IFERROR(VLOOKUP(C661,'BG 062022'!A:D,4,FALSE),0),0)</f>
        <v>0</v>
      </c>
      <c r="J661" s="887"/>
      <c r="K661" s="47">
        <f>-IF(F661="I",SUMIF('BG 2021'!B:B,Clasificaciones!C661,'BG 2021'!D:D),0)</f>
        <v>0</v>
      </c>
      <c r="L661" s="887"/>
      <c r="M661" s="63">
        <f>-IF(F661="I",SUMIF('BG 2021'!B:B,Clasificaciones!C661,'BG 2021'!E:E),0)</f>
        <v>0</v>
      </c>
      <c r="N661" s="887"/>
      <c r="O661" s="47">
        <f>-IF(F661="I",SUMIF('BG 062021'!A:A,Clasificaciones!C661,'BG 062021'!C:C),0)</f>
        <v>0</v>
      </c>
      <c r="P661" s="887"/>
      <c r="Q661" s="63">
        <f>-IF(F661="I",SUMIF('BG 062021'!A:A,Clasificaciones!C661,'BG 062021'!D:D),0)</f>
        <v>0</v>
      </c>
    </row>
    <row r="662" spans="1:18" s="888" customFormat="1" hidden="1">
      <c r="A662" s="885" t="s">
        <v>169</v>
      </c>
      <c r="B662" s="885"/>
      <c r="C662" s="889">
        <v>40401</v>
      </c>
      <c r="D662" s="889" t="s">
        <v>1065</v>
      </c>
      <c r="E662" s="886" t="s">
        <v>6</v>
      </c>
      <c r="F662" s="886" t="s">
        <v>270</v>
      </c>
      <c r="G662" s="47">
        <f>-IF(F662="I",IFERROR(VLOOKUP(C662,'BG 062022'!A:C,3,FALSE),0),0)</f>
        <v>0</v>
      </c>
      <c r="H662" s="885"/>
      <c r="I662" s="63">
        <f>-IF(F662="I",IFERROR(VLOOKUP(C662,'BG 062022'!A:D,4,FALSE),0),0)</f>
        <v>0</v>
      </c>
      <c r="J662" s="887"/>
      <c r="K662" s="47">
        <f>-IF(F662="I",SUMIF('BG 2021'!B:B,Clasificaciones!C662,'BG 2021'!D:D),0)</f>
        <v>0</v>
      </c>
      <c r="L662" s="887"/>
      <c r="M662" s="63">
        <f>-IF(F662="I",SUMIF('BG 2021'!B:B,Clasificaciones!C662,'BG 2021'!E:E),0)</f>
        <v>0</v>
      </c>
      <c r="N662" s="887"/>
      <c r="O662" s="47">
        <f>-IF(F662="I",SUMIF('BG 062021'!A:A,Clasificaciones!C662,'BG 062021'!C:C),0)</f>
        <v>0</v>
      </c>
      <c r="P662" s="887"/>
      <c r="Q662" s="63">
        <f>-IF(F662="I",SUMIF('BG 062021'!A:A,Clasificaciones!C662,'BG 062021'!D:D),0)</f>
        <v>0</v>
      </c>
    </row>
    <row r="663" spans="1:18" s="888" customFormat="1">
      <c r="A663" s="885" t="s">
        <v>169</v>
      </c>
      <c r="B663" s="885" t="s">
        <v>226</v>
      </c>
      <c r="C663" s="889">
        <v>4040101</v>
      </c>
      <c r="D663" s="889" t="s">
        <v>1259</v>
      </c>
      <c r="E663" s="886" t="s">
        <v>186</v>
      </c>
      <c r="F663" s="886" t="s">
        <v>271</v>
      </c>
      <c r="G663" s="47">
        <f>-IF(F663="I",IFERROR(VLOOKUP(C663,'BG 062022'!A:C,3,FALSE),0),0)</f>
        <v>-10364092</v>
      </c>
      <c r="H663" s="885"/>
      <c r="I663" s="63">
        <f>-IF(F663="I",IFERROR(VLOOKUP(C663,'BG 062022'!A:D,4,FALSE),0),0)</f>
        <v>-1500</v>
      </c>
      <c r="J663" s="887"/>
      <c r="K663" s="47">
        <f>-IF(F663="I",SUMIF('BG 2021'!B:B,Clasificaciones!C663,'BG 2021'!D:D),0)</f>
        <v>-11011210</v>
      </c>
      <c r="L663" s="887"/>
      <c r="M663" s="63">
        <f>-IF(F663="I",SUMIF('BG 2021'!B:B,Clasificaciones!C663,'BG 2021'!E:E),0)</f>
        <v>-1600</v>
      </c>
      <c r="N663" s="887"/>
      <c r="O663" s="47">
        <f>-IF(F663="I",SUMIF('BG 062021'!A:A,Clasificaciones!C663,'BG 062021'!C:C),0)</f>
        <v>0</v>
      </c>
      <c r="P663" s="887"/>
      <c r="Q663" s="63">
        <f>-IF(F663="I",SUMIF('BG 062021'!A:A,Clasificaciones!C663,'BG 062021'!D:D),0)</f>
        <v>0</v>
      </c>
      <c r="R663" s="888">
        <f>+VLOOKUP(C663,'CA EFE'!A:A,1,FALSE)</f>
        <v>4040101</v>
      </c>
    </row>
    <row r="664" spans="1:18" s="888" customFormat="1">
      <c r="A664" s="885" t="s">
        <v>169</v>
      </c>
      <c r="B664" s="885" t="s">
        <v>226</v>
      </c>
      <c r="C664" s="889">
        <v>4040102</v>
      </c>
      <c r="D664" s="889" t="s">
        <v>1260</v>
      </c>
      <c r="E664" s="886" t="s">
        <v>186</v>
      </c>
      <c r="F664" s="886" t="s">
        <v>271</v>
      </c>
      <c r="G664" s="47">
        <f>-IF(F664="I",IFERROR(VLOOKUP(C664,'BG 062022'!A:C,3,FALSE),0),0)</f>
        <v>-13830023</v>
      </c>
      <c r="H664" s="885"/>
      <c r="I664" s="63">
        <f>-IF(F664="I",IFERROR(VLOOKUP(C664,'BG 062022'!A:D,4,FALSE),0),0)</f>
        <v>-2000</v>
      </c>
      <c r="J664" s="887"/>
      <c r="K664" s="47">
        <f>-IF(F664="I",SUMIF('BG 2021'!B:B,Clasificaciones!C664,'BG 2021'!D:D),0)</f>
        <v>-16516815</v>
      </c>
      <c r="L664" s="887"/>
      <c r="M664" s="63">
        <f>-IF(F664="I",SUMIF('BG 2021'!B:B,Clasificaciones!C664,'BG 2021'!E:E),0)</f>
        <v>-2400</v>
      </c>
      <c r="N664" s="887"/>
      <c r="O664" s="47">
        <f>-IF(F664="I",SUMIF('BG 062021'!A:A,Clasificaciones!C664,'BG 062021'!C:C),0)</f>
        <v>0</v>
      </c>
      <c r="P664" s="887"/>
      <c r="Q664" s="63">
        <f>-IF(F664="I",SUMIF('BG 062021'!A:A,Clasificaciones!C664,'BG 062021'!D:D),0)</f>
        <v>0</v>
      </c>
      <c r="R664" s="888">
        <f>+VLOOKUP(C664,'CA EFE'!A:A,1,FALSE)</f>
        <v>4040102</v>
      </c>
    </row>
    <row r="665" spans="1:18" s="888" customFormat="1">
      <c r="A665" s="885" t="s">
        <v>169</v>
      </c>
      <c r="B665" s="885" t="s">
        <v>226</v>
      </c>
      <c r="C665" s="889">
        <v>4040103</v>
      </c>
      <c r="D665" s="889" t="s">
        <v>1261</v>
      </c>
      <c r="E665" s="886" t="s">
        <v>186</v>
      </c>
      <c r="F665" s="886" t="s">
        <v>271</v>
      </c>
      <c r="G665" s="47">
        <f>-IF(F665="I",IFERROR(VLOOKUP(C665,'BG 062022'!A:C,3,FALSE),0),0)</f>
        <v>-68981610</v>
      </c>
      <c r="H665" s="885"/>
      <c r="I665" s="63">
        <f>-IF(F665="I",IFERROR(VLOOKUP(C665,'BG 062022'!A:D,4,FALSE),0),0)</f>
        <v>-10000</v>
      </c>
      <c r="J665" s="887"/>
      <c r="K665" s="47">
        <f>-IF(F665="I",SUMIF('BG 2021'!B:B,Clasificaciones!C665,'BG 2021'!D:D),0)</f>
        <v>-55056050</v>
      </c>
      <c r="L665" s="887"/>
      <c r="M665" s="63">
        <f>-IF(F665="I",SUMIF('BG 2021'!B:B,Clasificaciones!C665,'BG 2021'!E:E),0)</f>
        <v>-8000</v>
      </c>
      <c r="N665" s="887"/>
      <c r="O665" s="47">
        <f>-IF(F665="I",SUMIF('BG 062021'!A:A,Clasificaciones!C665,'BG 062021'!C:C),0)</f>
        <v>0</v>
      </c>
      <c r="P665" s="887"/>
      <c r="Q665" s="63">
        <f>-IF(F665="I",SUMIF('BG 062021'!A:A,Clasificaciones!C665,'BG 062021'!D:D),0)</f>
        <v>0</v>
      </c>
      <c r="R665" s="888">
        <f>+VLOOKUP(C665,'CA EFE'!A:A,1,FALSE)</f>
        <v>4040103</v>
      </c>
    </row>
    <row r="666" spans="1:18" s="888" customFormat="1">
      <c r="A666" s="885" t="s">
        <v>169</v>
      </c>
      <c r="B666" s="885" t="s">
        <v>226</v>
      </c>
      <c r="C666" s="889">
        <v>4040104</v>
      </c>
      <c r="D666" s="889" t="s">
        <v>1564</v>
      </c>
      <c r="E666" s="886" t="s">
        <v>186</v>
      </c>
      <c r="F666" s="886" t="s">
        <v>271</v>
      </c>
      <c r="G666" s="47">
        <f>-IF(F666="I",IFERROR(VLOOKUP(C666,'BG 062022'!A:C,3,FALSE),0),0)</f>
        <v>-31818182</v>
      </c>
      <c r="H666" s="885"/>
      <c r="I666" s="63">
        <f>-IF(F666="I",IFERROR(VLOOKUP(C666,'BG 062022'!A:D,4,FALSE),0),0)</f>
        <v>-4626.34</v>
      </c>
      <c r="J666" s="887"/>
      <c r="K666" s="47">
        <f>-IF(F666="I",SUMIF('BG 2021'!B:B,Clasificaciones!C666,'BG 2021'!D:D),0)</f>
        <v>0</v>
      </c>
      <c r="L666" s="887"/>
      <c r="M666" s="63">
        <f>-IF(F666="I",SUMIF('BG 2021'!B:B,Clasificaciones!C666,'BG 2021'!E:E),0)</f>
        <v>0</v>
      </c>
      <c r="N666" s="887"/>
      <c r="O666" s="47">
        <f>-IF(F666="I",SUMIF('BG 062021'!A:A,Clasificaciones!C666,'BG 062021'!C:C),0)</f>
        <v>0</v>
      </c>
      <c r="P666" s="887"/>
      <c r="Q666" s="63">
        <f>-IF(F666="I",SUMIF('BG 062021'!A:A,Clasificaciones!C666,'BG 062021'!D:D),0)</f>
        <v>0</v>
      </c>
    </row>
    <row r="667" spans="1:18" s="888" customFormat="1" hidden="1">
      <c r="A667" s="885" t="s">
        <v>169</v>
      </c>
      <c r="B667" s="885"/>
      <c r="C667" s="889">
        <v>406</v>
      </c>
      <c r="D667" s="889" t="s">
        <v>785</v>
      </c>
      <c r="E667" s="886" t="s">
        <v>6</v>
      </c>
      <c r="F667" s="886" t="s">
        <v>270</v>
      </c>
      <c r="G667" s="47">
        <f>-IF(F667="I",IFERROR(VLOOKUP(C667,'BG 062022'!A:C,3,FALSE),0),0)</f>
        <v>0</v>
      </c>
      <c r="H667" s="885"/>
      <c r="I667" s="63">
        <f>-IF(F667="I",IFERROR(VLOOKUP(C667,'BG 062022'!A:D,4,FALSE),0),0)</f>
        <v>0</v>
      </c>
      <c r="J667" s="887"/>
      <c r="K667" s="47">
        <f>-IF(F667="I",SUMIF('BG 2021'!B:B,Clasificaciones!C667,'BG 2021'!D:D),0)</f>
        <v>0</v>
      </c>
      <c r="L667" s="887"/>
      <c r="M667" s="63">
        <f>-IF(F667="I",SUMIF('BG 2021'!B:B,Clasificaciones!C667,'BG 2021'!E:E),0)</f>
        <v>0</v>
      </c>
      <c r="N667" s="887"/>
      <c r="O667" s="47">
        <f>-IF(F667="I",SUMIF('BG 062021'!A:A,Clasificaciones!C667,'BG 062021'!C:C),0)</f>
        <v>0</v>
      </c>
      <c r="P667" s="887"/>
      <c r="Q667" s="63">
        <f>-IF(F667="I",SUMIF('BG 062021'!A:A,Clasificaciones!C667,'BG 062021'!D:D),0)</f>
        <v>0</v>
      </c>
    </row>
    <row r="668" spans="1:18" s="888" customFormat="1" hidden="1">
      <c r="A668" s="885" t="s">
        <v>169</v>
      </c>
      <c r="B668" s="885"/>
      <c r="C668" s="889">
        <v>40601</v>
      </c>
      <c r="D668" s="889" t="s">
        <v>1066</v>
      </c>
      <c r="E668" s="886" t="s">
        <v>6</v>
      </c>
      <c r="F668" s="886" t="s">
        <v>270</v>
      </c>
      <c r="G668" s="47">
        <f>-IF(F668="I",IFERROR(VLOOKUP(C668,'BG 062022'!A:C,3,FALSE),0),0)</f>
        <v>0</v>
      </c>
      <c r="H668" s="885"/>
      <c r="I668" s="63">
        <f>-IF(F668="I",IFERROR(VLOOKUP(C668,'BG 062022'!A:D,4,FALSE),0),0)</f>
        <v>0</v>
      </c>
      <c r="J668" s="887"/>
      <c r="K668" s="47">
        <f>-IF(F668="I",SUMIF('BG 2021'!B:B,Clasificaciones!C668,'BG 2021'!D:D),0)</f>
        <v>0</v>
      </c>
      <c r="L668" s="887"/>
      <c r="M668" s="63">
        <f>-IF(F668="I",SUMIF('BG 2021'!B:B,Clasificaciones!C668,'BG 2021'!E:E),0)</f>
        <v>0</v>
      </c>
      <c r="N668" s="887"/>
      <c r="O668" s="47">
        <f>-IF(F668="I",SUMIF('BG 062021'!A:A,Clasificaciones!C668,'BG 062021'!C:C),0)</f>
        <v>0</v>
      </c>
      <c r="P668" s="887"/>
      <c r="Q668" s="63">
        <f>-IF(F668="I",SUMIF('BG 062021'!A:A,Clasificaciones!C668,'BG 062021'!D:D),0)</f>
        <v>0</v>
      </c>
    </row>
    <row r="669" spans="1:18" s="888" customFormat="1">
      <c r="A669" s="885" t="s">
        <v>169</v>
      </c>
      <c r="B669" s="885" t="s">
        <v>190</v>
      </c>
      <c r="C669" s="889">
        <v>4060101</v>
      </c>
      <c r="D669" s="889" t="s">
        <v>1067</v>
      </c>
      <c r="E669" s="886" t="s">
        <v>6</v>
      </c>
      <c r="F669" s="886" t="s">
        <v>271</v>
      </c>
      <c r="G669" s="47">
        <f>-IF(F669="I",IFERROR(VLOOKUP(C669,'BG 062022'!A:C,3,FALSE),0),0)</f>
        <v>-6000000</v>
      </c>
      <c r="H669" s="885"/>
      <c r="I669" s="63">
        <f>-IF(F669="I",IFERROR(VLOOKUP(C669,'BG 062022'!A:D,4,FALSE),0),0)</f>
        <v>-866.98</v>
      </c>
      <c r="J669" s="887"/>
      <c r="K669" s="47">
        <f>-IF(F669="I",SUMIF('BG 2021'!B:B,Clasificaciones!C669,'BG 2021'!D:D),0)</f>
        <v>-11000000</v>
      </c>
      <c r="L669" s="887"/>
      <c r="M669" s="63">
        <f>-IF(F669="I",SUMIF('BG 2021'!B:B,Clasificaciones!C669,'BG 2021'!E:E),0)</f>
        <v>-1607.73</v>
      </c>
      <c r="N669" s="887"/>
      <c r="O669" s="47">
        <f>-IF(F669="I",SUMIF('BG 062021'!A:A,Clasificaciones!C669,'BG 062021'!C:C),0)</f>
        <v>-3000000</v>
      </c>
      <c r="P669" s="887"/>
      <c r="Q669" s="63">
        <f>-IF(F669="I",SUMIF('BG 062021'!A:A,Clasificaciones!C669,'BG 062021'!D:D),0)</f>
        <v>-444.76</v>
      </c>
      <c r="R669" s="888">
        <f>+VLOOKUP(C669,'CA EFE'!A:A,1,FALSE)</f>
        <v>4060101</v>
      </c>
    </row>
    <row r="670" spans="1:18" s="888" customFormat="1" hidden="1">
      <c r="A670" s="885" t="s">
        <v>169</v>
      </c>
      <c r="B670" s="885"/>
      <c r="C670" s="889">
        <v>4060102</v>
      </c>
      <c r="D670" s="889" t="s">
        <v>1068</v>
      </c>
      <c r="E670" s="886" t="s">
        <v>6</v>
      </c>
      <c r="F670" s="886" t="s">
        <v>271</v>
      </c>
      <c r="G670" s="47">
        <f>-IF(F670="I",IFERROR(VLOOKUP(C670,'BG 062022'!A:C,3,FALSE),0),0)</f>
        <v>0</v>
      </c>
      <c r="H670" s="885"/>
      <c r="I670" s="63">
        <f>-IF(F670="I",IFERROR(VLOOKUP(C670,'BG 062022'!A:D,4,FALSE),0),0)</f>
        <v>0</v>
      </c>
      <c r="J670" s="887"/>
      <c r="K670" s="47">
        <f>-IF(F670="I",SUMIF('BG 2021'!B:B,Clasificaciones!C670,'BG 2021'!D:D),0)</f>
        <v>0</v>
      </c>
      <c r="L670" s="887"/>
      <c r="M670" s="63">
        <f>-IF(F670="I",SUMIF('BG 2021'!B:B,Clasificaciones!C670,'BG 2021'!E:E),0)</f>
        <v>0</v>
      </c>
      <c r="N670" s="887"/>
      <c r="O670" s="47">
        <f>-IF(F670="I",SUMIF('BG 062021'!A:A,Clasificaciones!C670,'BG 062021'!C:C),0)</f>
        <v>0</v>
      </c>
      <c r="P670" s="887"/>
      <c r="Q670" s="63">
        <f>-IF(F670="I",SUMIF('BG 062021'!A:A,Clasificaciones!C670,'BG 062021'!D:D),0)</f>
        <v>0</v>
      </c>
    </row>
    <row r="671" spans="1:18" s="888" customFormat="1" hidden="1">
      <c r="A671" s="885" t="s">
        <v>169</v>
      </c>
      <c r="B671" s="885"/>
      <c r="C671" s="889">
        <v>40602</v>
      </c>
      <c r="D671" s="889" t="s">
        <v>1069</v>
      </c>
      <c r="E671" s="886" t="s">
        <v>6</v>
      </c>
      <c r="F671" s="886" t="s">
        <v>270</v>
      </c>
      <c r="G671" s="47">
        <f>-IF(F671="I",IFERROR(VLOOKUP(C671,'BG 062022'!A:C,3,FALSE),0),0)</f>
        <v>0</v>
      </c>
      <c r="H671" s="885"/>
      <c r="I671" s="63">
        <f>-IF(F671="I",IFERROR(VLOOKUP(C671,'BG 062022'!A:D,4,FALSE),0),0)</f>
        <v>0</v>
      </c>
      <c r="J671" s="887"/>
      <c r="K671" s="47">
        <f>-IF(F671="I",SUMIF('BG 2021'!B:B,Clasificaciones!C671,'BG 2021'!D:D),0)</f>
        <v>0</v>
      </c>
      <c r="L671" s="887"/>
      <c r="M671" s="63">
        <f>-IF(F671="I",SUMIF('BG 2021'!B:B,Clasificaciones!C671,'BG 2021'!E:E),0)</f>
        <v>0</v>
      </c>
      <c r="N671" s="887"/>
      <c r="O671" s="47">
        <f>-IF(F671="I",SUMIF('BG 062021'!A:A,Clasificaciones!C671,'BG 062021'!C:C),0)</f>
        <v>0</v>
      </c>
      <c r="P671" s="887"/>
      <c r="Q671" s="63">
        <f>-IF(F671="I",SUMIF('BG 062021'!A:A,Clasificaciones!C671,'BG 062021'!D:D),0)</f>
        <v>0</v>
      </c>
    </row>
    <row r="672" spans="1:18" s="888" customFormat="1">
      <c r="A672" s="885" t="s">
        <v>169</v>
      </c>
      <c r="B672" s="885" t="s">
        <v>190</v>
      </c>
      <c r="C672" s="889">
        <v>4060201</v>
      </c>
      <c r="D672" s="889" t="s">
        <v>1069</v>
      </c>
      <c r="E672" s="886" t="s">
        <v>6</v>
      </c>
      <c r="F672" s="886" t="s">
        <v>271</v>
      </c>
      <c r="G672" s="47">
        <f>-IF(F672="I",IFERROR(VLOOKUP(C672,'BG 062022'!A:C,3,FALSE),0),0)</f>
        <v>-272728</v>
      </c>
      <c r="H672" s="885"/>
      <c r="I672" s="63">
        <f>-IF(F672="I",IFERROR(VLOOKUP(C672,'BG 062022'!A:D,4,FALSE),0),0)</f>
        <v>-39.46</v>
      </c>
      <c r="J672" s="887"/>
      <c r="K672" s="47">
        <f>-IF(F672="I",SUMIF('BG 2021'!B:B,Clasificaciones!C672,'BG 2021'!D:D),0)</f>
        <v>0</v>
      </c>
      <c r="L672" s="887"/>
      <c r="M672" s="63">
        <f>-IF(F672="I",SUMIF('BG 2021'!B:B,Clasificaciones!C672,'BG 2021'!E:E),0)</f>
        <v>0</v>
      </c>
      <c r="N672" s="887"/>
      <c r="O672" s="47">
        <f>-IF(F672="I",SUMIF('BG 062021'!A:A,Clasificaciones!C672,'BG 062021'!C:C),0)</f>
        <v>0</v>
      </c>
      <c r="P672" s="887"/>
      <c r="Q672" s="63">
        <f>-IF(F672="I",SUMIF('BG 062021'!A:A,Clasificaciones!C672,'BG 062021'!D:D),0)</f>
        <v>0</v>
      </c>
      <c r="R672" s="888">
        <f>+VLOOKUP(C672,'CA EFE'!A:A,1,FALSE)</f>
        <v>4060201</v>
      </c>
    </row>
    <row r="673" spans="1:18" s="888" customFormat="1" hidden="1">
      <c r="A673" s="885" t="s">
        <v>169</v>
      </c>
      <c r="B673" s="885"/>
      <c r="C673" s="889">
        <v>4060202</v>
      </c>
      <c r="D673" s="889" t="s">
        <v>1070</v>
      </c>
      <c r="E673" s="886" t="s">
        <v>6</v>
      </c>
      <c r="F673" s="886" t="s">
        <v>271</v>
      </c>
      <c r="G673" s="47">
        <f>-IF(F673="I",IFERROR(VLOOKUP(C673,'BG 062022'!A:C,3,FALSE),0),0)</f>
        <v>0</v>
      </c>
      <c r="H673" s="885"/>
      <c r="I673" s="63">
        <f>-IF(F673="I",IFERROR(VLOOKUP(C673,'BG 062022'!A:D,4,FALSE),0),0)</f>
        <v>0</v>
      </c>
      <c r="J673" s="887"/>
      <c r="K673" s="47">
        <f>-IF(F673="I",SUMIF('BG 2021'!B:B,Clasificaciones!C673,'BG 2021'!D:D),0)</f>
        <v>0</v>
      </c>
      <c r="L673" s="887"/>
      <c r="M673" s="63">
        <f>-IF(F673="I",SUMIF('BG 2021'!B:B,Clasificaciones!C673,'BG 2021'!E:E),0)</f>
        <v>0</v>
      </c>
      <c r="N673" s="887"/>
      <c r="O673" s="47">
        <f>-IF(F673="I",SUMIF('BG 062021'!A:A,Clasificaciones!C673,'BG 062021'!C:C),0)</f>
        <v>0</v>
      </c>
      <c r="P673" s="887"/>
      <c r="Q673" s="63">
        <f>-IF(F673="I",SUMIF('BG 062021'!A:A,Clasificaciones!C673,'BG 062021'!D:D),0)</f>
        <v>0</v>
      </c>
    </row>
    <row r="674" spans="1:18" s="888" customFormat="1" hidden="1">
      <c r="A674" s="885" t="s">
        <v>169</v>
      </c>
      <c r="B674" s="885"/>
      <c r="C674" s="889">
        <v>40603</v>
      </c>
      <c r="D674" s="889" t="s">
        <v>1071</v>
      </c>
      <c r="E674" s="886" t="s">
        <v>6</v>
      </c>
      <c r="F674" s="886" t="s">
        <v>270</v>
      </c>
      <c r="G674" s="47">
        <f>-IF(F674="I",IFERROR(VLOOKUP(C674,'BG 062022'!A:C,3,FALSE),0),0)</f>
        <v>0</v>
      </c>
      <c r="H674" s="885"/>
      <c r="I674" s="63">
        <f>-IF(F674="I",IFERROR(VLOOKUP(C674,'BG 062022'!A:D,4,FALSE),0),0)</f>
        <v>0</v>
      </c>
      <c r="J674" s="887"/>
      <c r="K674" s="47">
        <f>-IF(F674="I",SUMIF('BG 2021'!B:B,Clasificaciones!C674,'BG 2021'!D:D),0)</f>
        <v>0</v>
      </c>
      <c r="L674" s="887"/>
      <c r="M674" s="63">
        <f>-IF(F674="I",SUMIF('BG 2021'!B:B,Clasificaciones!C674,'BG 2021'!E:E),0)</f>
        <v>0</v>
      </c>
      <c r="N674" s="887"/>
      <c r="O674" s="47">
        <f>-IF(F674="I",SUMIF('BG 062021'!A:A,Clasificaciones!C674,'BG 062021'!C:C),0)</f>
        <v>0</v>
      </c>
      <c r="P674" s="887"/>
      <c r="Q674" s="63">
        <f>-IF(F674="I",SUMIF('BG 062021'!A:A,Clasificaciones!C674,'BG 062021'!D:D),0)</f>
        <v>0</v>
      </c>
    </row>
    <row r="675" spans="1:18" s="888" customFormat="1" hidden="1">
      <c r="A675" s="885" t="s">
        <v>169</v>
      </c>
      <c r="B675" s="885"/>
      <c r="C675" s="889">
        <v>4060301</v>
      </c>
      <c r="D675" s="889" t="s">
        <v>1072</v>
      </c>
      <c r="E675" s="886" t="s">
        <v>6</v>
      </c>
      <c r="F675" s="886" t="s">
        <v>271</v>
      </c>
      <c r="G675" s="47">
        <f>-IF(F675="I",IFERROR(VLOOKUP(C675,'BG 062022'!A:C,3,FALSE),0),0)</f>
        <v>0</v>
      </c>
      <c r="H675" s="885"/>
      <c r="I675" s="63">
        <f>-IF(F675="I",IFERROR(VLOOKUP(C675,'BG 062022'!A:D,4,FALSE),0),0)</f>
        <v>0</v>
      </c>
      <c r="J675" s="887"/>
      <c r="K675" s="47">
        <f>-IF(F675="I",SUMIF('BG 2021'!B:B,Clasificaciones!C675,'BG 2021'!D:D),0)</f>
        <v>0</v>
      </c>
      <c r="L675" s="887"/>
      <c r="M675" s="63">
        <f>-IF(F675="I",SUMIF('BG 2021'!B:B,Clasificaciones!C675,'BG 2021'!E:E),0)</f>
        <v>0</v>
      </c>
      <c r="N675" s="887"/>
      <c r="O675" s="47">
        <f>-IF(F675="I",SUMIF('BG 062021'!A:A,Clasificaciones!C675,'BG 062021'!C:C),0)</f>
        <v>0</v>
      </c>
      <c r="P675" s="887"/>
      <c r="Q675" s="63">
        <f>-IF(F675="I",SUMIF('BG 062021'!A:A,Clasificaciones!C675,'BG 062021'!D:D),0)</f>
        <v>0</v>
      </c>
    </row>
    <row r="676" spans="1:18" s="888" customFormat="1" hidden="1">
      <c r="A676" s="885" t="s">
        <v>169</v>
      </c>
      <c r="B676" s="885"/>
      <c r="C676" s="889">
        <v>4060302</v>
      </c>
      <c r="D676" s="889" t="s">
        <v>1073</v>
      </c>
      <c r="E676" s="886" t="s">
        <v>6</v>
      </c>
      <c r="F676" s="886" t="s">
        <v>271</v>
      </c>
      <c r="G676" s="47">
        <f>-IF(F676="I",IFERROR(VLOOKUP(C676,'BG 062022'!A:C,3,FALSE),0),0)</f>
        <v>0</v>
      </c>
      <c r="H676" s="885"/>
      <c r="I676" s="63">
        <f>-IF(F676="I",IFERROR(VLOOKUP(C676,'BG 062022'!A:D,4,FALSE),0),0)</f>
        <v>0</v>
      </c>
      <c r="J676" s="887"/>
      <c r="K676" s="47">
        <f>-IF(F676="I",SUMIF('BG 2021'!B:B,Clasificaciones!C676,'BG 2021'!D:D),0)</f>
        <v>0</v>
      </c>
      <c r="L676" s="887"/>
      <c r="M676" s="63">
        <f>-IF(F676="I",SUMIF('BG 2021'!B:B,Clasificaciones!C676,'BG 2021'!E:E),0)</f>
        <v>0</v>
      </c>
      <c r="N676" s="887"/>
      <c r="O676" s="47">
        <f>-IF(F676="I",SUMIF('BG 062021'!A:A,Clasificaciones!C676,'BG 062021'!C:C),0)</f>
        <v>0</v>
      </c>
      <c r="P676" s="887"/>
      <c r="Q676" s="63">
        <f>-IF(F676="I",SUMIF('BG 062021'!A:A,Clasificaciones!C676,'BG 062021'!D:D),0)</f>
        <v>0</v>
      </c>
    </row>
    <row r="677" spans="1:18" s="888" customFormat="1" hidden="1">
      <c r="A677" s="885" t="s">
        <v>169</v>
      </c>
      <c r="B677" s="885"/>
      <c r="C677" s="889">
        <v>40604</v>
      </c>
      <c r="D677" s="889" t="s">
        <v>786</v>
      </c>
      <c r="E677" s="886" t="s">
        <v>6</v>
      </c>
      <c r="F677" s="886" t="s">
        <v>270</v>
      </c>
      <c r="G677" s="47">
        <f>-IF(F677="I",IFERROR(VLOOKUP(C677,'BG 062022'!A:C,3,FALSE),0),0)</f>
        <v>0</v>
      </c>
      <c r="H677" s="885"/>
      <c r="I677" s="63">
        <f>-IF(F677="I",IFERROR(VLOOKUP(C677,'BG 062022'!A:D,4,FALSE),0),0)</f>
        <v>0</v>
      </c>
      <c r="J677" s="887"/>
      <c r="K677" s="47">
        <f>-IF(F677="I",SUMIF('BG 2021'!B:B,Clasificaciones!C677,'BG 2021'!D:D),0)</f>
        <v>0</v>
      </c>
      <c r="L677" s="887"/>
      <c r="M677" s="63">
        <f>-IF(F677="I",SUMIF('BG 2021'!B:B,Clasificaciones!C677,'BG 2021'!E:E),0)</f>
        <v>0</v>
      </c>
      <c r="N677" s="887"/>
      <c r="O677" s="47">
        <f>-IF(F677="I",SUMIF('BG 062021'!A:A,Clasificaciones!C677,'BG 062021'!C:C),0)</f>
        <v>0</v>
      </c>
      <c r="P677" s="887"/>
      <c r="Q677" s="63">
        <f>-IF(F677="I",SUMIF('BG 062021'!A:A,Clasificaciones!C677,'BG 062021'!D:D),0)</f>
        <v>0</v>
      </c>
    </row>
    <row r="678" spans="1:18" s="888" customFormat="1">
      <c r="A678" s="885" t="s">
        <v>169</v>
      </c>
      <c r="B678" s="885" t="s">
        <v>190</v>
      </c>
      <c r="C678" s="889">
        <v>4060401</v>
      </c>
      <c r="D678" s="889" t="s">
        <v>787</v>
      </c>
      <c r="E678" s="886" t="s">
        <v>6</v>
      </c>
      <c r="F678" s="886" t="s">
        <v>271</v>
      </c>
      <c r="G678" s="47">
        <f>-IF(F678="I",IFERROR(VLOOKUP(C678,'BG 062022'!A:C,3,FALSE),0),0)</f>
        <v>-14430803</v>
      </c>
      <c r="H678" s="885"/>
      <c r="I678" s="63">
        <f>-IF(F678="I",IFERROR(VLOOKUP(C678,'BG 062022'!A:D,4,FALSE),0),0)</f>
        <v>-2076.5300000000002</v>
      </c>
      <c r="J678" s="887"/>
      <c r="K678" s="47">
        <f>-IF(F678="I",SUMIF('BG 2021'!B:B,Clasificaciones!C678,'BG 2021'!D:D),0)</f>
        <v>-77220978</v>
      </c>
      <c r="L678" s="887"/>
      <c r="M678" s="63">
        <f>-IF(F678="I",SUMIF('BG 2021'!B:B,Clasificaciones!C678,'BG 2021'!E:E),0)</f>
        <v>-11473.050000000001</v>
      </c>
      <c r="N678" s="887"/>
      <c r="O678" s="47">
        <f>-IF(F678="I",SUMIF('BG 062021'!A:A,Clasificaciones!C678,'BG 062021'!C:C),0)</f>
        <v>-38742703</v>
      </c>
      <c r="P678" s="887"/>
      <c r="Q678" s="63">
        <f>-IF(F678="I",SUMIF('BG 062021'!A:A,Clasificaciones!C678,'BG 062021'!D:D),0)</f>
        <v>-5881.59</v>
      </c>
      <c r="R678" s="888">
        <f>+VLOOKUP(C678,'CA EFE'!A:A,1,FALSE)</f>
        <v>4060401</v>
      </c>
    </row>
    <row r="679" spans="1:18" s="888" customFormat="1">
      <c r="A679" s="885" t="s">
        <v>169</v>
      </c>
      <c r="B679" s="885" t="s">
        <v>190</v>
      </c>
      <c r="C679" s="889">
        <v>4060402</v>
      </c>
      <c r="D679" s="889" t="s">
        <v>1411</v>
      </c>
      <c r="E679" s="886" t="s">
        <v>186</v>
      </c>
      <c r="F679" s="886" t="s">
        <v>271</v>
      </c>
      <c r="G679" s="47">
        <f>-IF(F679="I",IFERROR(VLOOKUP(C679,'BG 062022'!A:C,3,FALSE),0),0)</f>
        <v>-16419272</v>
      </c>
      <c r="H679" s="885"/>
      <c r="I679" s="63">
        <f>-IF(F679="I",IFERROR(VLOOKUP(C679,'BG 062022'!A:D,4,FALSE),0),0)</f>
        <v>-2381.77</v>
      </c>
      <c r="J679" s="887"/>
      <c r="K679" s="47">
        <f>-IF(F679="I",SUMIF('BG 2021'!B:B,Clasificaciones!C679,'BG 2021'!D:D),0)</f>
        <v>-8655356</v>
      </c>
      <c r="L679" s="887"/>
      <c r="M679" s="63">
        <f>-IF(F679="I",SUMIF('BG 2021'!B:B,Clasificaciones!C679,'BG 2021'!E:E),0)</f>
        <v>-1289.23</v>
      </c>
      <c r="N679" s="887"/>
      <c r="O679" s="47">
        <f>-IF(F679="I",SUMIF('BG 062021'!A:A,Clasificaciones!C679,'BG 062021'!C:C),0)</f>
        <v>-4448968</v>
      </c>
      <c r="P679" s="887"/>
      <c r="Q679" s="63">
        <f>-IF(F679="I",SUMIF('BG 062021'!A:A,Clasificaciones!C679,'BG 062021'!D:D),0)</f>
        <v>-675.81</v>
      </c>
      <c r="R679" s="888">
        <f>+VLOOKUP(C679,'CA EFE'!A:A,1,FALSE)</f>
        <v>4060402</v>
      </c>
    </row>
    <row r="680" spans="1:18" s="888" customFormat="1" hidden="1">
      <c r="A680" s="885" t="s">
        <v>169</v>
      </c>
      <c r="B680" s="885"/>
      <c r="C680" s="889">
        <v>40605</v>
      </c>
      <c r="D680" s="889" t="s">
        <v>229</v>
      </c>
      <c r="E680" s="886" t="s">
        <v>6</v>
      </c>
      <c r="F680" s="886" t="s">
        <v>270</v>
      </c>
      <c r="G680" s="47">
        <f>-IF(F680="I",IFERROR(VLOOKUP(C680,'BG 062022'!A:C,3,FALSE),0),0)</f>
        <v>0</v>
      </c>
      <c r="H680" s="885"/>
      <c r="I680" s="63">
        <f>-IF(F680="I",IFERROR(VLOOKUP(C680,'BG 062022'!A:D,4,FALSE),0),0)</f>
        <v>0</v>
      </c>
      <c r="J680" s="887"/>
      <c r="K680" s="47">
        <f>-IF(F680="I",SUMIF('BG 2021'!B:B,Clasificaciones!C680,'BG 2021'!D:D),0)</f>
        <v>0</v>
      </c>
      <c r="L680" s="887"/>
      <c r="M680" s="63">
        <f>-IF(F680="I",SUMIF('BG 2021'!B:B,Clasificaciones!C680,'BG 2021'!E:E),0)</f>
        <v>0</v>
      </c>
      <c r="N680" s="887"/>
      <c r="O680" s="47">
        <f>-IF(F680="I",SUMIF('BG 062021'!A:A,Clasificaciones!C680,'BG 062021'!C:C),0)</f>
        <v>0</v>
      </c>
      <c r="P680" s="887"/>
      <c r="Q680" s="63">
        <f>-IF(F680="I",SUMIF('BG 062021'!A:A,Clasificaciones!C680,'BG 062021'!D:D),0)</f>
        <v>0</v>
      </c>
    </row>
    <row r="681" spans="1:18" s="888" customFormat="1">
      <c r="A681" s="885" t="s">
        <v>169</v>
      </c>
      <c r="B681" s="885" t="s">
        <v>190</v>
      </c>
      <c r="C681" s="889">
        <v>4060501</v>
      </c>
      <c r="D681" s="889" t="s">
        <v>1434</v>
      </c>
      <c r="E681" s="886" t="s">
        <v>6</v>
      </c>
      <c r="F681" s="886" t="s">
        <v>271</v>
      </c>
      <c r="G681" s="47">
        <f>-IF(F681="I",IFERROR(VLOOKUP(C681,'BG 062022'!A:C,3,FALSE),0),0)</f>
        <v>-2680381</v>
      </c>
      <c r="H681" s="885"/>
      <c r="I681" s="63">
        <f>-IF(F681="I",IFERROR(VLOOKUP(C681,'BG 062022'!A:D,4,FALSE),0),0)</f>
        <v>-384.55</v>
      </c>
      <c r="J681" s="887"/>
      <c r="K681" s="47">
        <f>-IF(F681="I",SUMIF('BG 2021'!B:B,Clasificaciones!C681,'BG 2021'!D:D),0)</f>
        <v>-19128253</v>
      </c>
      <c r="L681" s="887"/>
      <c r="M681" s="63">
        <f>-IF(F681="I",SUMIF('BG 2021'!B:B,Clasificaciones!C681,'BG 2021'!E:E),0)</f>
        <v>-2841.54</v>
      </c>
      <c r="N681" s="887"/>
      <c r="O681" s="47">
        <f>-IF(F681="I",SUMIF('BG 062021'!A:A,Clasificaciones!C681,'BG 062021'!C:C),0)</f>
        <v>-9579732</v>
      </c>
      <c r="P681" s="887"/>
      <c r="Q681" s="63">
        <f>-IF(F681="I",SUMIF('BG 062021'!A:A,Clasificaciones!C681,'BG 062021'!D:D),0)</f>
        <v>-1453.93</v>
      </c>
      <c r="R681" s="888">
        <f>+VLOOKUP(C681,'CA EFE'!A:A,1,FALSE)</f>
        <v>4060501</v>
      </c>
    </row>
    <row r="682" spans="1:18" s="888" customFormat="1">
      <c r="A682" s="885" t="s">
        <v>169</v>
      </c>
      <c r="B682" s="885" t="s">
        <v>190</v>
      </c>
      <c r="C682" s="889">
        <v>4060502</v>
      </c>
      <c r="D682" s="889" t="s">
        <v>1435</v>
      </c>
      <c r="E682" s="886" t="s">
        <v>186</v>
      </c>
      <c r="F682" s="886" t="s">
        <v>271</v>
      </c>
      <c r="G682" s="47">
        <f>-IF(F682="I",IFERROR(VLOOKUP(C682,'BG 062022'!A:C,3,FALSE),0),0)</f>
        <v>-2890368</v>
      </c>
      <c r="H682" s="885"/>
      <c r="I682" s="63">
        <f>-IF(F682="I",IFERROR(VLOOKUP(C682,'BG 062022'!A:D,4,FALSE),0),0)</f>
        <v>-419.06</v>
      </c>
      <c r="J682" s="887"/>
      <c r="K682" s="47">
        <f>-IF(F682="I",SUMIF('BG 2021'!B:B,Clasificaciones!C682,'BG 2021'!D:D),0)</f>
        <v>-2090413</v>
      </c>
      <c r="L682" s="887"/>
      <c r="M682" s="63">
        <f>-IF(F682="I",SUMIF('BG 2021'!B:B,Clasificaciones!C682,'BG 2021'!E:E),0)</f>
        <v>-311.55</v>
      </c>
      <c r="N682" s="887"/>
      <c r="O682" s="47">
        <f>-IF(F682="I",SUMIF('BG 062021'!A:A,Clasificaciones!C682,'BG 062021'!C:C),0)</f>
        <v>-1107671</v>
      </c>
      <c r="P682" s="887"/>
      <c r="Q682" s="63">
        <f>-IF(F682="I",SUMIF('BG 062021'!A:A,Clasificaciones!C682,'BG 062021'!D:D),0)</f>
        <v>-168.27</v>
      </c>
      <c r="R682" s="888">
        <f>+VLOOKUP(C682,'CA EFE'!A:A,1,FALSE)</f>
        <v>4060502</v>
      </c>
    </row>
    <row r="683" spans="1:18" s="888" customFormat="1" hidden="1">
      <c r="A683" s="885" t="s">
        <v>169</v>
      </c>
      <c r="B683" s="885"/>
      <c r="C683" s="889">
        <v>40606</v>
      </c>
      <c r="D683" s="889" t="s">
        <v>190</v>
      </c>
      <c r="E683" s="886" t="s">
        <v>6</v>
      </c>
      <c r="F683" s="886" t="s">
        <v>270</v>
      </c>
      <c r="G683" s="47">
        <f>-IF(F683="I",IFERROR(VLOOKUP(C683,'BG 062022'!A:C,3,FALSE),0),0)</f>
        <v>0</v>
      </c>
      <c r="H683" s="885"/>
      <c r="I683" s="63">
        <f>-IF(F683="I",IFERROR(VLOOKUP(C683,'BG 062022'!A:D,4,FALSE),0),0)</f>
        <v>0</v>
      </c>
      <c r="J683" s="887"/>
      <c r="K683" s="47">
        <f>-IF(F683="I",SUMIF('BG 2021'!B:B,Clasificaciones!C683,'BG 2021'!D:D),0)</f>
        <v>0</v>
      </c>
      <c r="L683" s="887"/>
      <c r="M683" s="63">
        <f>-IF(F683="I",SUMIF('BG 2021'!B:B,Clasificaciones!C683,'BG 2021'!E:E),0)</f>
        <v>0</v>
      </c>
      <c r="N683" s="887"/>
      <c r="O683" s="47">
        <f>-IF(F683="I",SUMIF('BG 062021'!A:A,Clasificaciones!C683,'BG 062021'!C:C),0)</f>
        <v>0</v>
      </c>
      <c r="P683" s="887"/>
      <c r="Q683" s="63">
        <f>-IF(F683="I",SUMIF('BG 062021'!A:A,Clasificaciones!C683,'BG 062021'!D:D),0)</f>
        <v>0</v>
      </c>
    </row>
    <row r="684" spans="1:18" s="888" customFormat="1">
      <c r="A684" s="885" t="s">
        <v>169</v>
      </c>
      <c r="B684" s="885" t="s">
        <v>190</v>
      </c>
      <c r="C684" s="889">
        <v>4060601</v>
      </c>
      <c r="D684" s="889" t="s">
        <v>791</v>
      </c>
      <c r="E684" s="886" t="s">
        <v>6</v>
      </c>
      <c r="F684" s="886" t="s">
        <v>271</v>
      </c>
      <c r="G684" s="47">
        <f>-IF(F684="I",IFERROR(VLOOKUP(C684,'BG 062022'!A:C,3,FALSE),0),0)</f>
        <v>-1465821</v>
      </c>
      <c r="H684" s="885"/>
      <c r="I684" s="63">
        <f>-IF(F684="I",IFERROR(VLOOKUP(C684,'BG 062022'!A:D,4,FALSE),0),0)</f>
        <v>-213.08</v>
      </c>
      <c r="J684" s="887"/>
      <c r="K684" s="47">
        <f>-IF(F684="I",SUMIF('BG 2021'!B:B,Clasificaciones!C684,'BG 2021'!D:D),0)</f>
        <v>-235150</v>
      </c>
      <c r="L684" s="887"/>
      <c r="M684" s="63">
        <f>-IF(F684="I",SUMIF('BG 2021'!B:B,Clasificaciones!C684,'BG 2021'!E:E),0)</f>
        <v>-34.090000000000003</v>
      </c>
      <c r="N684" s="887"/>
      <c r="O684" s="47">
        <f>-IF(F684="I",SUMIF('BG 062021'!A:A,Clasificaciones!C684,'BG 062021'!C:C),0)</f>
        <v>-235150</v>
      </c>
      <c r="P684" s="887"/>
      <c r="Q684" s="63">
        <f>-IF(F684="I",SUMIF('BG 062021'!A:A,Clasificaciones!C684,'BG 062021'!D:D),0)</f>
        <v>-34.090000000000003</v>
      </c>
      <c r="R684" s="888">
        <f>+VLOOKUP(C684,'CA EFE'!A:A,1,FALSE)</f>
        <v>4060601</v>
      </c>
    </row>
    <row r="685" spans="1:18" s="888" customFormat="1">
      <c r="A685" s="885" t="s">
        <v>169</v>
      </c>
      <c r="B685" s="885" t="s">
        <v>190</v>
      </c>
      <c r="C685" s="889">
        <v>4060602</v>
      </c>
      <c r="D685" s="889" t="s">
        <v>1413</v>
      </c>
      <c r="E685" s="886" t="s">
        <v>186</v>
      </c>
      <c r="F685" s="886" t="s">
        <v>271</v>
      </c>
      <c r="G685" s="47">
        <f>-IF(F685="I",IFERROR(VLOOKUP(C685,'BG 062022'!A:C,3,FALSE),0),0)</f>
        <v>-6940526</v>
      </c>
      <c r="H685" s="885"/>
      <c r="I685" s="63">
        <f>-IF(F685="I",IFERROR(VLOOKUP(C685,'BG 062022'!A:D,4,FALSE),0),0)</f>
        <v>-1011.92</v>
      </c>
      <c r="J685" s="887"/>
      <c r="K685" s="47">
        <f>-IF(F685="I",SUMIF('BG 2021'!B:B,Clasificaciones!C685,'BG 2021'!D:D),0)</f>
        <v>-2049375</v>
      </c>
      <c r="L685" s="887"/>
      <c r="M685" s="63">
        <f>-IF(F685="I",SUMIF('BG 2021'!B:B,Clasificaciones!C685,'BG 2021'!E:E),0)</f>
        <v>-300</v>
      </c>
      <c r="N685" s="887"/>
      <c r="O685" s="47">
        <f>-IF(F685="I",SUMIF('BG 062021'!A:A,Clasificaciones!C685,'BG 062021'!C:C),0)</f>
        <v>0</v>
      </c>
      <c r="P685" s="887"/>
      <c r="Q685" s="63">
        <f>-IF(F685="I",SUMIF('BG 062021'!A:A,Clasificaciones!C685,'BG 062021'!D:D),0)</f>
        <v>0</v>
      </c>
    </row>
    <row r="686" spans="1:18" s="888" customFormat="1" hidden="1">
      <c r="A686" s="885" t="s">
        <v>169</v>
      </c>
      <c r="B686" s="885"/>
      <c r="C686" s="889">
        <v>407</v>
      </c>
      <c r="D686" s="889" t="s">
        <v>230</v>
      </c>
      <c r="E686" s="886" t="s">
        <v>6</v>
      </c>
      <c r="F686" s="886" t="s">
        <v>270</v>
      </c>
      <c r="G686" s="47">
        <f>-IF(F686="I",IFERROR(VLOOKUP(C686,'BG 062022'!A:C,3,FALSE),0),0)</f>
        <v>0</v>
      </c>
      <c r="H686" s="885"/>
      <c r="I686" s="63">
        <f>-IF(F686="I",IFERROR(VLOOKUP(C686,'BG 062022'!A:D,4,FALSE),0),0)</f>
        <v>0</v>
      </c>
      <c r="J686" s="887"/>
      <c r="K686" s="47">
        <f>-IF(F686="I",SUMIF('BG 2021'!B:B,Clasificaciones!C686,'BG 2021'!D:D),0)</f>
        <v>0</v>
      </c>
      <c r="L686" s="887"/>
      <c r="M686" s="63">
        <f>-IF(F686="I",SUMIF('BG 2021'!B:B,Clasificaciones!C686,'BG 2021'!E:E),0)</f>
        <v>0</v>
      </c>
      <c r="N686" s="887"/>
      <c r="O686" s="47">
        <f>-IF(F686="I",SUMIF('BG 062021'!A:A,Clasificaciones!C686,'BG 062021'!C:C),0)</f>
        <v>0</v>
      </c>
      <c r="P686" s="887"/>
      <c r="Q686" s="63">
        <f>-IF(F686="I",SUMIF('BG 062021'!A:A,Clasificaciones!C686,'BG 062021'!D:D),0)</f>
        <v>0</v>
      </c>
    </row>
    <row r="687" spans="1:18" s="888" customFormat="1">
      <c r="A687" s="885" t="s">
        <v>169</v>
      </c>
      <c r="B687" s="885" t="s">
        <v>121</v>
      </c>
      <c r="C687" s="889">
        <v>40701</v>
      </c>
      <c r="D687" s="889" t="s">
        <v>121</v>
      </c>
      <c r="E687" s="886" t="s">
        <v>6</v>
      </c>
      <c r="F687" s="886" t="s">
        <v>271</v>
      </c>
      <c r="G687" s="47">
        <f>-IF(F687="I",IFERROR(VLOOKUP(C687,'BG 062022'!A:C,3,FALSE),0),0)</f>
        <v>-612814</v>
      </c>
      <c r="H687" s="885"/>
      <c r="I687" s="63">
        <f>-IF(F687="I",IFERROR(VLOOKUP(C687,'BG 062022'!A:D,4,FALSE),0),0)</f>
        <v>-89.04</v>
      </c>
      <c r="J687" s="887"/>
      <c r="K687" s="47">
        <f>-IF(F687="I",SUMIF('BG 2021'!B:B,Clasificaciones!C687,'BG 2021'!D:D),0)</f>
        <v>-3714440</v>
      </c>
      <c r="L687" s="887"/>
      <c r="M687" s="63">
        <f>-IF(F687="I",SUMIF('BG 2021'!B:B,Clasificaciones!C687,'BG 2021'!E:E),0)</f>
        <v>-556.67999999999995</v>
      </c>
      <c r="N687" s="887"/>
      <c r="O687" s="47">
        <f>-IF(F687="I",SUMIF('BG 062021'!A:A,Clasificaciones!C687,'BG 062021'!C:C),0)</f>
        <v>-2985129</v>
      </c>
      <c r="P687" s="887"/>
      <c r="Q687" s="63">
        <f>-IF(F687="I",SUMIF('BG 062021'!A:A,Clasificaciones!C687,'BG 062021'!D:D),0)</f>
        <v>-450.58</v>
      </c>
      <c r="R687" s="888">
        <f>+VLOOKUP(C687,'CA EFE'!A:A,1,FALSE)</f>
        <v>40701</v>
      </c>
    </row>
    <row r="688" spans="1:18" s="888" customFormat="1" hidden="1">
      <c r="A688" s="885" t="s">
        <v>169</v>
      </c>
      <c r="B688" s="885"/>
      <c r="C688" s="889">
        <v>40702</v>
      </c>
      <c r="D688" s="889" t="s">
        <v>792</v>
      </c>
      <c r="E688" s="886" t="s">
        <v>6</v>
      </c>
      <c r="F688" s="886" t="s">
        <v>270</v>
      </c>
      <c r="G688" s="47">
        <f>-IF(F688="I",IFERROR(VLOOKUP(C688,'BG 062022'!A:C,3,FALSE),0),0)</f>
        <v>0</v>
      </c>
      <c r="H688" s="885"/>
      <c r="I688" s="63">
        <f>-IF(F688="I",IFERROR(VLOOKUP(C688,'BG 062022'!A:D,4,FALSE),0),0)</f>
        <v>0</v>
      </c>
      <c r="J688" s="887"/>
      <c r="K688" s="47">
        <f>-IF(F688="I",SUMIF('BG 2021'!B:B,Clasificaciones!C688,'BG 2021'!D:D),0)</f>
        <v>0</v>
      </c>
      <c r="L688" s="887"/>
      <c r="M688" s="63">
        <f>-IF(F688="I",SUMIF('BG 2021'!B:B,Clasificaciones!C688,'BG 2021'!E:E),0)</f>
        <v>0</v>
      </c>
      <c r="N688" s="887"/>
      <c r="O688" s="47">
        <f>-IF(F688="I",SUMIF('BG 062021'!A:A,Clasificaciones!C688,'BG 062021'!C:C),0)</f>
        <v>0</v>
      </c>
      <c r="P688" s="887"/>
      <c r="Q688" s="63">
        <f>-IF(F688="I",SUMIF('BG 062021'!A:A,Clasificaciones!C688,'BG 062021'!D:D),0)</f>
        <v>0</v>
      </c>
    </row>
    <row r="689" spans="1:18" s="888" customFormat="1">
      <c r="A689" s="885" t="s">
        <v>169</v>
      </c>
      <c r="B689" s="885" t="s">
        <v>197</v>
      </c>
      <c r="C689" s="889">
        <v>4070201</v>
      </c>
      <c r="D689" s="889" t="s">
        <v>793</v>
      </c>
      <c r="E689" s="886" t="s">
        <v>6</v>
      </c>
      <c r="F689" s="886" t="s">
        <v>271</v>
      </c>
      <c r="G689" s="47">
        <f>-IF(F689="I",IFERROR(VLOOKUP(C689,'BG 062022'!A:C,3,FALSE),0),0)</f>
        <v>-5940872797</v>
      </c>
      <c r="H689" s="885"/>
      <c r="I689" s="63">
        <f>-IF(F689="I",IFERROR(VLOOKUP(C689,'BG 062022'!A:D,4,FALSE),0),0)</f>
        <v>-1593188.23</v>
      </c>
      <c r="J689" s="887"/>
      <c r="K689" s="47">
        <v>-1066878151</v>
      </c>
      <c r="L689" s="887"/>
      <c r="M689" s="63">
        <f>-IF(F689="I",SUMIF('BG 2021'!B:B,Clasificaciones!C689,'BG 2021'!E:E),0)</f>
        <v>-958555.49</v>
      </c>
      <c r="N689" s="887"/>
      <c r="O689" s="47">
        <f>-IF(F689="I",SUMIF('BG 062021'!A:A,Clasificaciones!C689,'BG 062021'!C:C),0)</f>
        <v>-1584867370</v>
      </c>
      <c r="P689" s="887"/>
      <c r="Q689" s="63">
        <f>-IF(F689="I",SUMIF('BG 062021'!A:A,Clasificaciones!C689,'BG 062021'!D:D),0)</f>
        <v>-513235.26</v>
      </c>
      <c r="R689" s="888">
        <f>+VLOOKUP(C689,'CA EFE'!A:A,1,FALSE)</f>
        <v>4070201</v>
      </c>
    </row>
    <row r="690" spans="1:18" s="888" customFormat="1">
      <c r="A690" s="885" t="s">
        <v>169</v>
      </c>
      <c r="B690" s="885" t="s">
        <v>197</v>
      </c>
      <c r="C690" s="889">
        <v>4070202</v>
      </c>
      <c r="D690" s="889" t="s">
        <v>794</v>
      </c>
      <c r="E690" s="886" t="s">
        <v>6</v>
      </c>
      <c r="F690" s="886" t="s">
        <v>271</v>
      </c>
      <c r="G690" s="47">
        <f>-IF(F690="I",IFERROR(VLOOKUP(C690,'BG 062022'!A:C,3,FALSE),0),0)</f>
        <v>-2884466004</v>
      </c>
      <c r="H690" s="885"/>
      <c r="I690" s="63">
        <f>-IF(F690="I",IFERROR(VLOOKUP(C690,'BG 062022'!A:D,4,FALSE),0),0)</f>
        <v>-146395.32999999999</v>
      </c>
      <c r="J690" s="887"/>
      <c r="K690" s="47">
        <v>-221217283</v>
      </c>
      <c r="L690" s="887"/>
      <c r="M690" s="63">
        <f>-IF(F690="I",SUMIF('BG 2021'!B:B,Clasificaciones!C690,'BG 2021'!E:E),0)</f>
        <v>-1425172.9116</v>
      </c>
      <c r="N690" s="887"/>
      <c r="O690" s="47">
        <f>-IF(F690="I",SUMIF('BG 062021'!A:A,Clasificaciones!C690,'BG 062021'!C:C),0)</f>
        <v>-882822990</v>
      </c>
      <c r="P690" s="887"/>
      <c r="Q690" s="63">
        <f>-IF(F690="I",SUMIF('BG 062021'!A:A,Clasificaciones!C690,'BG 062021'!D:D),0)</f>
        <v>-963489.74</v>
      </c>
      <c r="R690" s="888">
        <f>+VLOOKUP(C690,'CA EFE'!A:A,1,FALSE)</f>
        <v>4070202</v>
      </c>
    </row>
    <row r="691" spans="1:18" s="888" customFormat="1" hidden="1">
      <c r="A691" s="885" t="s">
        <v>169</v>
      </c>
      <c r="B691" s="885"/>
      <c r="C691" s="889">
        <v>408</v>
      </c>
      <c r="D691" s="889" t="s">
        <v>795</v>
      </c>
      <c r="E691" s="886" t="s">
        <v>6</v>
      </c>
      <c r="F691" s="886" t="s">
        <v>270</v>
      </c>
      <c r="G691" s="47">
        <f>-IF(F691="I",IFERROR(VLOOKUP(C691,'BG 062022'!A:C,3,FALSE),0),0)</f>
        <v>0</v>
      </c>
      <c r="H691" s="885"/>
      <c r="I691" s="63">
        <f>-IF(F691="I",IFERROR(VLOOKUP(C691,'BG 062022'!A:D,4,FALSE),0),0)</f>
        <v>0</v>
      </c>
      <c r="J691" s="887"/>
      <c r="K691" s="47">
        <f>-IF(F691="I",SUMIF('BG 2021'!B:B,Clasificaciones!C691,'BG 2021'!D:D),0)</f>
        <v>0</v>
      </c>
      <c r="L691" s="887"/>
      <c r="M691" s="63">
        <f>-IF(F691="I",SUMIF('BG 2021'!B:B,Clasificaciones!C691,'BG 2021'!E:E),0)</f>
        <v>0</v>
      </c>
      <c r="N691" s="887"/>
      <c r="O691" s="47">
        <f>-IF(F691="I",SUMIF('BG 062021'!A:A,Clasificaciones!C691,'BG 062021'!C:C),0)</f>
        <v>0</v>
      </c>
      <c r="P691" s="887"/>
      <c r="Q691" s="63">
        <f>-IF(F691="I",SUMIF('BG 062021'!A:A,Clasificaciones!C691,'BG 062021'!D:D),0)</f>
        <v>0</v>
      </c>
    </row>
    <row r="692" spans="1:18" s="888" customFormat="1">
      <c r="A692" s="885" t="s">
        <v>169</v>
      </c>
      <c r="B692" s="885" t="s">
        <v>161</v>
      </c>
      <c r="C692" s="889">
        <v>40801</v>
      </c>
      <c r="D692" s="889" t="s">
        <v>1075</v>
      </c>
      <c r="E692" s="886" t="s">
        <v>6</v>
      </c>
      <c r="F692" s="886" t="s">
        <v>271</v>
      </c>
      <c r="G692" s="47">
        <f>-IF(F692="I",IFERROR(VLOOKUP(C692,'BG 062022'!A:C,3,FALSE),0),0)</f>
        <v>-5666190</v>
      </c>
      <c r="H692" s="885"/>
      <c r="I692" s="63">
        <f>-IF(F692="I",IFERROR(VLOOKUP(C692,'BG 062022'!A:D,4,FALSE),0),0)</f>
        <v>-820.77</v>
      </c>
      <c r="J692" s="887"/>
      <c r="K692" s="47">
        <f>-IF(F692="I",SUMIF('BG 2021'!B:B,Clasificaciones!C692,'BG 2021'!D:D),0)</f>
        <v>0</v>
      </c>
      <c r="L692" s="887"/>
      <c r="M692" s="63">
        <f>-IF(F692="I",SUMIF('BG 2021'!B:B,Clasificaciones!C692,'BG 2021'!E:E),0)</f>
        <v>0</v>
      </c>
      <c r="N692" s="887"/>
      <c r="O692" s="47">
        <f>-IF(F692="I",SUMIF('BG 062021'!A:A,Clasificaciones!C692,'BG 062021'!C:C),0)</f>
        <v>0</v>
      </c>
      <c r="P692" s="887"/>
      <c r="Q692" s="63">
        <f>-IF(F692="I",SUMIF('BG 062021'!A:A,Clasificaciones!C692,'BG 062021'!D:D),0)</f>
        <v>0</v>
      </c>
    </row>
    <row r="693" spans="1:18" s="888" customFormat="1">
      <c r="A693" s="885" t="s">
        <v>169</v>
      </c>
      <c r="B693" s="885" t="s">
        <v>161</v>
      </c>
      <c r="C693" s="889">
        <v>40802</v>
      </c>
      <c r="D693" s="889" t="s">
        <v>796</v>
      </c>
      <c r="E693" s="886" t="s">
        <v>6</v>
      </c>
      <c r="F693" s="886" t="s">
        <v>271</v>
      </c>
      <c r="G693" s="47">
        <f>-IF(F693="I",IFERROR(VLOOKUP(C693,'BG 062022'!A:C,3,FALSE),0),0)</f>
        <v>-2322</v>
      </c>
      <c r="H693" s="885"/>
      <c r="I693" s="63">
        <f>-IF(F693="I",IFERROR(VLOOKUP(C693,'BG 062022'!A:D,4,FALSE),0),0)</f>
        <v>-0.63</v>
      </c>
      <c r="J693" s="887"/>
      <c r="K693" s="47">
        <f>-IF(F693="I",SUMIF('BG 2021'!B:B,Clasificaciones!C693,'BG 2021'!D:D),0)</f>
        <v>-8177</v>
      </c>
      <c r="L693" s="887"/>
      <c r="M693" s="63">
        <f>-IF(F693="I",SUMIF('BG 2021'!B:B,Clasificaciones!C693,'BG 2021'!E:E),0)</f>
        <v>-4.2489999999999997</v>
      </c>
      <c r="N693" s="887"/>
      <c r="O693" s="47">
        <f>-IF(F693="I",SUMIF('BG 062021'!A:A,Clasificaciones!C693,'BG 062021'!C:C),0)</f>
        <v>-6390</v>
      </c>
      <c r="P693" s="887"/>
      <c r="Q693" s="63">
        <f>-IF(F693="I",SUMIF('BG 062021'!A:A,Clasificaciones!C693,'BG 062021'!D:D),0)</f>
        <v>-1.04</v>
      </c>
      <c r="R693" s="888">
        <f>+VLOOKUP(C693,'CA EFE'!A:A,1,FALSE)</f>
        <v>40802</v>
      </c>
    </row>
    <row r="694" spans="1:18" s="888" customFormat="1">
      <c r="A694" s="885" t="s">
        <v>169</v>
      </c>
      <c r="B694" s="885" t="s">
        <v>614</v>
      </c>
      <c r="C694" s="889">
        <v>40803</v>
      </c>
      <c r="D694" s="889" t="s">
        <v>614</v>
      </c>
      <c r="E694" s="886" t="s">
        <v>6</v>
      </c>
      <c r="F694" s="886" t="s">
        <v>271</v>
      </c>
      <c r="G694" s="47">
        <f>-IF(F694="I",IFERROR(VLOOKUP(C694,'BG 062022'!A:C,3,FALSE),0),0)</f>
        <v>-6473750</v>
      </c>
      <c r="H694" s="885"/>
      <c r="I694" s="63">
        <f>-IF(F694="I",IFERROR(VLOOKUP(C694,'BG 062022'!A:D,4,FALSE),0),0)</f>
        <v>-938.55</v>
      </c>
      <c r="J694" s="887"/>
      <c r="K694" s="47">
        <f>-IF(F694="I",SUMIF('BG 2021'!B:B,Clasificaciones!C694,'BG 2021'!D:D),0)</f>
        <v>-49787771</v>
      </c>
      <c r="L694" s="887"/>
      <c r="M694" s="63">
        <f>-IF(F694="I",SUMIF('BG 2021'!B:B,Clasificaciones!C694,'BG 2021'!E:E),0)</f>
        <v>-5091.71</v>
      </c>
      <c r="N694" s="887"/>
      <c r="O694" s="47">
        <f>-IF(F694="I",SUMIF('BG 062021'!A:A,Clasificaciones!C694,'BG 062021'!C:C),0)</f>
        <v>-441566</v>
      </c>
      <c r="P694" s="887"/>
      <c r="Q694" s="63">
        <f>-IF(F694="I",SUMIF('BG 062021'!A:A,Clasificaciones!C694,'BG 062021'!D:D),0)</f>
        <v>-67.17</v>
      </c>
      <c r="R694" s="888">
        <f>+VLOOKUP(C694,'CA EFE'!A:A,1,FALSE)</f>
        <v>40803</v>
      </c>
    </row>
    <row r="695" spans="1:18" s="888" customFormat="1" hidden="1">
      <c r="A695" s="885" t="s">
        <v>169</v>
      </c>
      <c r="B695" s="885"/>
      <c r="C695" s="889">
        <v>40804</v>
      </c>
      <c r="D695" s="889" t="s">
        <v>1076</v>
      </c>
      <c r="E695" s="886" t="s">
        <v>6</v>
      </c>
      <c r="F695" s="886" t="s">
        <v>271</v>
      </c>
      <c r="G695" s="47">
        <f>-IF(F695="I",IFERROR(VLOOKUP(C695,'BG 062022'!A:C,3,FALSE),0),0)</f>
        <v>0</v>
      </c>
      <c r="H695" s="885"/>
      <c r="I695" s="63">
        <f>-IF(F695="I",IFERROR(VLOOKUP(C695,'BG 062022'!A:D,4,FALSE),0),0)</f>
        <v>0</v>
      </c>
      <c r="J695" s="887"/>
      <c r="K695" s="47">
        <f>-IF(F695="I",SUMIF('BG 2021'!B:B,Clasificaciones!C695,'BG 2021'!D:D),0)</f>
        <v>0</v>
      </c>
      <c r="L695" s="887"/>
      <c r="M695" s="63">
        <f>-IF(F695="I",SUMIF('BG 2021'!B:B,Clasificaciones!C695,'BG 2021'!E:E),0)</f>
        <v>0</v>
      </c>
      <c r="N695" s="887"/>
      <c r="O695" s="47">
        <f>-IF(F695="I",SUMIF('BG 062021'!A:A,Clasificaciones!C695,'BG 062021'!C:C),0)</f>
        <v>0</v>
      </c>
      <c r="P695" s="887"/>
      <c r="Q695" s="63">
        <f>-IF(F695="I",SUMIF('BG 062021'!A:A,Clasificaciones!C695,'BG 062021'!D:D),0)</f>
        <v>0</v>
      </c>
    </row>
    <row r="696" spans="1:18" s="888" customFormat="1" hidden="1">
      <c r="A696" s="885" t="s">
        <v>169</v>
      </c>
      <c r="B696" s="885"/>
      <c r="C696" s="889">
        <v>40805</v>
      </c>
      <c r="D696" s="889" t="s">
        <v>1077</v>
      </c>
      <c r="E696" s="886" t="s">
        <v>6</v>
      </c>
      <c r="F696" s="886" t="s">
        <v>271</v>
      </c>
      <c r="G696" s="47">
        <f>-IF(F696="I",IFERROR(VLOOKUP(C696,'BG 062022'!A:C,3,FALSE),0),0)</f>
        <v>0</v>
      </c>
      <c r="H696" s="885"/>
      <c r="I696" s="63">
        <f>-IF(F696="I",IFERROR(VLOOKUP(C696,'BG 062022'!A:D,4,FALSE),0),0)</f>
        <v>0</v>
      </c>
      <c r="J696" s="887"/>
      <c r="K696" s="47">
        <f>-IF(F696="I",SUMIF('BG 2021'!B:B,Clasificaciones!C696,'BG 2021'!D:D),0)</f>
        <v>0</v>
      </c>
      <c r="L696" s="887"/>
      <c r="M696" s="63">
        <f>-IF(F696="I",SUMIF('BG 2021'!B:B,Clasificaciones!C696,'BG 2021'!E:E),0)</f>
        <v>0</v>
      </c>
      <c r="N696" s="887"/>
      <c r="O696" s="47">
        <f>-IF(F696="I",SUMIF('BG 062021'!A:A,Clasificaciones!C696,'BG 062021'!C:C),0)</f>
        <v>0</v>
      </c>
      <c r="P696" s="887"/>
      <c r="Q696" s="63">
        <f>-IF(F696="I",SUMIF('BG 062021'!A:A,Clasificaciones!C696,'BG 062021'!D:D),0)</f>
        <v>0</v>
      </c>
    </row>
    <row r="697" spans="1:18" s="888" customFormat="1" hidden="1">
      <c r="A697" s="885" t="s">
        <v>169</v>
      </c>
      <c r="B697" s="885"/>
      <c r="C697" s="889">
        <v>40806</v>
      </c>
      <c r="D697" s="889" t="s">
        <v>1078</v>
      </c>
      <c r="E697" s="886" t="s">
        <v>6</v>
      </c>
      <c r="F697" s="886" t="s">
        <v>271</v>
      </c>
      <c r="G697" s="47">
        <f>-IF(F697="I",IFERROR(VLOOKUP(C697,'BG 062022'!A:C,3,FALSE),0),0)</f>
        <v>0</v>
      </c>
      <c r="H697" s="885"/>
      <c r="I697" s="63">
        <f>-IF(F697="I",IFERROR(VLOOKUP(C697,'BG 062022'!A:D,4,FALSE),0),0)</f>
        <v>0</v>
      </c>
      <c r="J697" s="887"/>
      <c r="K697" s="47">
        <f>-IF(F697="I",SUMIF('BG 2021'!B:B,Clasificaciones!C697,'BG 2021'!D:D),0)</f>
        <v>0</v>
      </c>
      <c r="L697" s="887"/>
      <c r="M697" s="63">
        <f>-IF(F697="I",SUMIF('BG 2021'!B:B,Clasificaciones!C697,'BG 2021'!E:E),0)</f>
        <v>0</v>
      </c>
      <c r="N697" s="887"/>
      <c r="O697" s="47">
        <f>-IF(F697="I",SUMIF('BG 062021'!A:A,Clasificaciones!C697,'BG 062021'!C:C),0)</f>
        <v>0</v>
      </c>
      <c r="P697" s="887"/>
      <c r="Q697" s="63">
        <f>-IF(F697="I",SUMIF('BG 062021'!A:A,Clasificaciones!C697,'BG 062021'!D:D),0)</f>
        <v>0</v>
      </c>
    </row>
    <row r="698" spans="1:18" s="888" customFormat="1" hidden="1">
      <c r="A698" s="885" t="s">
        <v>169</v>
      </c>
      <c r="B698" s="885"/>
      <c r="C698" s="889">
        <v>40807</v>
      </c>
      <c r="D698" s="889" t="s">
        <v>1079</v>
      </c>
      <c r="E698" s="886" t="s">
        <v>6</v>
      </c>
      <c r="F698" s="886" t="s">
        <v>271</v>
      </c>
      <c r="G698" s="47">
        <f>-IF(F698="I",IFERROR(VLOOKUP(C698,'BG 062022'!A:C,3,FALSE),0),0)</f>
        <v>0</v>
      </c>
      <c r="H698" s="885"/>
      <c r="I698" s="63">
        <f>-IF(F698="I",IFERROR(VLOOKUP(C698,'BG 062022'!A:D,4,FALSE),0),0)</f>
        <v>0</v>
      </c>
      <c r="J698" s="887"/>
      <c r="K698" s="47">
        <f>-IF(F698="I",SUMIF('BG 2021'!B:B,Clasificaciones!C698,'BG 2021'!D:D),0)</f>
        <v>0</v>
      </c>
      <c r="L698" s="887"/>
      <c r="M698" s="63">
        <f>-IF(F698="I",SUMIF('BG 2021'!B:B,Clasificaciones!C698,'BG 2021'!E:E),0)</f>
        <v>0</v>
      </c>
      <c r="N698" s="887"/>
      <c r="O698" s="47">
        <f>-IF(F698="I",SUMIF('BG 062021'!A:A,Clasificaciones!C698,'BG 062021'!C:C),0)</f>
        <v>0</v>
      </c>
      <c r="P698" s="887"/>
      <c r="Q698" s="63">
        <f>-IF(F698="I",SUMIF('BG 062021'!A:A,Clasificaciones!C698,'BG 062021'!D:D),0)</f>
        <v>0</v>
      </c>
    </row>
    <row r="699" spans="1:18" s="888" customFormat="1">
      <c r="A699" s="885" t="s">
        <v>169</v>
      </c>
      <c r="B699" s="885" t="s">
        <v>161</v>
      </c>
      <c r="C699" s="889">
        <v>40808</v>
      </c>
      <c r="D699" s="889" t="s">
        <v>506</v>
      </c>
      <c r="E699" s="886" t="s">
        <v>6</v>
      </c>
      <c r="F699" s="886" t="s">
        <v>271</v>
      </c>
      <c r="G699" s="47">
        <f>-IF(F699="I",IFERROR(VLOOKUP(C699,'BG 062022'!A:C,3,FALSE),0),0)</f>
        <v>-1406751239</v>
      </c>
      <c r="H699" s="885"/>
      <c r="I699" s="63">
        <f>-IF(F699="I",IFERROR(VLOOKUP(C699,'BG 062022'!A:D,4,FALSE),0),0)</f>
        <v>-202949.55</v>
      </c>
      <c r="J699" s="887"/>
      <c r="K699" s="47">
        <f>-IF(F699="I",SUMIF('BG 2021'!B:B,Clasificaciones!C699,'BG 2021'!D:D),0)</f>
        <v>-1943416237</v>
      </c>
      <c r="L699" s="887"/>
      <c r="M699" s="63">
        <f>-IF(F699="I",SUMIF('BG 2021'!B:B,Clasificaciones!C699,'BG 2021'!E:E),0)</f>
        <v>-289543.25</v>
      </c>
      <c r="N699" s="887"/>
      <c r="O699" s="47">
        <f>-IF(F699="I",SUMIF('BG 062021'!A:A,Clasificaciones!C699,'BG 062021'!C:C),0)</f>
        <v>-843609264</v>
      </c>
      <c r="P699" s="887"/>
      <c r="Q699" s="63">
        <f>-IF(F699="I",SUMIF('BG 062021'!A:A,Clasificaciones!C699,'BG 062021'!D:D),0)</f>
        <v>-129931.27</v>
      </c>
      <c r="R699" s="888">
        <f>+VLOOKUP(C699,'CA EFE'!A:A,1,FALSE)</f>
        <v>40808</v>
      </c>
    </row>
    <row r="700" spans="1:18" s="888" customFormat="1" hidden="1">
      <c r="A700" s="885" t="s">
        <v>169</v>
      </c>
      <c r="B700" s="885" t="s">
        <v>161</v>
      </c>
      <c r="C700" s="889">
        <v>40809</v>
      </c>
      <c r="D700" s="889" t="s">
        <v>1236</v>
      </c>
      <c r="E700" s="886" t="s">
        <v>6</v>
      </c>
      <c r="F700" s="886" t="s">
        <v>271</v>
      </c>
      <c r="G700" s="47">
        <f>-IF(F700="I",IFERROR(VLOOKUP(C700,'BG 062022'!A:C,3,FALSE),0),0)</f>
        <v>0</v>
      </c>
      <c r="H700" s="885"/>
      <c r="I700" s="63">
        <f>-IF(F700="I",IFERROR(VLOOKUP(C700,'BG 062022'!A:D,4,FALSE),0),0)</f>
        <v>0</v>
      </c>
      <c r="J700" s="887"/>
      <c r="K700" s="47">
        <f>-IF(F700="I",SUMIF('BG 2021'!B:B,Clasificaciones!C700,'BG 2021'!D:D),0)</f>
        <v>-12670644</v>
      </c>
      <c r="L700" s="887"/>
      <c r="M700" s="63">
        <f>-IF(F700="I",SUMIF('BG 2021'!B:B,Clasificaciones!C700,'BG 2021'!E:E),0)</f>
        <v>-1881.01</v>
      </c>
      <c r="N700" s="887"/>
      <c r="O700" s="47">
        <f>-IF(F700="I",SUMIF('BG 062021'!A:A,Clasificaciones!C700,'BG 062021'!C:C),0)</f>
        <v>0</v>
      </c>
      <c r="P700" s="887"/>
      <c r="Q700" s="63">
        <f>-IF(F700="I",SUMIF('BG 062021'!A:A,Clasificaciones!C700,'BG 062021'!D:D),0)</f>
        <v>0</v>
      </c>
    </row>
    <row r="701" spans="1:18" s="888" customFormat="1">
      <c r="A701" s="885" t="s">
        <v>169</v>
      </c>
      <c r="B701" s="885" t="s">
        <v>161</v>
      </c>
      <c r="C701" s="889">
        <v>40811</v>
      </c>
      <c r="D701" s="889" t="s">
        <v>1197</v>
      </c>
      <c r="E701" s="886" t="s">
        <v>6</v>
      </c>
      <c r="F701" s="886" t="s">
        <v>271</v>
      </c>
      <c r="G701" s="47">
        <f>-IF(F701="I",IFERROR(VLOOKUP(C701,'BG 062022'!A:C,3,FALSE),0),0)</f>
        <v>-7538594</v>
      </c>
      <c r="H701" s="885"/>
      <c r="I701" s="63">
        <f>-IF(F701="I",IFERROR(VLOOKUP(C701,'BG 062022'!A:D,4,FALSE),0),0)</f>
        <v>-1089.3699999999999</v>
      </c>
      <c r="J701" s="887"/>
      <c r="K701" s="47">
        <f>-IF(F701="I",SUMIF('BG 2021'!B:B,Clasificaciones!C701,'BG 2021'!D:D),0)</f>
        <v>-168921218</v>
      </c>
      <c r="L701" s="887"/>
      <c r="M701" s="63">
        <f>-IF(F701="I",SUMIF('BG 2021'!B:B,Clasificaciones!C701,'BG 2021'!E:E),0)</f>
        <v>-24604.75</v>
      </c>
      <c r="N701" s="887"/>
      <c r="O701" s="47">
        <f>-IF(F701="I",SUMIF('BG 062021'!A:A,Clasificaciones!C701,'BG 062021'!C:C),0)</f>
        <v>27671219</v>
      </c>
      <c r="P701" s="887"/>
      <c r="Q701" s="63">
        <f>-IF(F701="I",SUMIF('BG 062021'!A:A,Clasificaciones!C701,'BG 062021'!D:D),0)</f>
        <v>4107.92</v>
      </c>
      <c r="R701" s="888">
        <f>+VLOOKUP(C701,'CA EFE'!A:A,1,FALSE)</f>
        <v>40811</v>
      </c>
    </row>
    <row r="702" spans="1:18" s="888" customFormat="1" hidden="1">
      <c r="A702" s="885" t="s">
        <v>169</v>
      </c>
      <c r="B702" s="885" t="s">
        <v>161</v>
      </c>
      <c r="C702" s="889">
        <v>40812</v>
      </c>
      <c r="D702" s="889" t="s">
        <v>1237</v>
      </c>
      <c r="E702" s="886" t="s">
        <v>186</v>
      </c>
      <c r="F702" s="886" t="s">
        <v>271</v>
      </c>
      <c r="G702" s="47">
        <f>-IF(F702="I",IFERROR(VLOOKUP(C702,'BG 062022'!A:C,3,FALSE),0),0)</f>
        <v>0</v>
      </c>
      <c r="H702" s="885"/>
      <c r="I702" s="63">
        <f>-IF(F702="I",IFERROR(VLOOKUP(C702,'BG 062022'!A:D,4,FALSE),0),0)</f>
        <v>0</v>
      </c>
      <c r="J702" s="887"/>
      <c r="K702" s="47">
        <f>-IF(F702="I",SUMIF('BG 2021'!B:B,Clasificaciones!C702,'BG 2021'!D:D),0)</f>
        <v>-20514102</v>
      </c>
      <c r="L702" s="887"/>
      <c r="M702" s="63">
        <f>-IF(F702="I",SUMIF('BG 2021'!B:B,Clasificaciones!C702,'BG 2021'!E:E),0)</f>
        <v>-2978.19</v>
      </c>
      <c r="N702" s="887"/>
      <c r="O702" s="47">
        <f>-IF(F702="I",SUMIF('BG 062021'!A:A,Clasificaciones!C702,'BG 062021'!C:C),0)</f>
        <v>0</v>
      </c>
      <c r="P702" s="887"/>
      <c r="Q702" s="63">
        <f>-IF(F702="I",SUMIF('BG 062021'!A:A,Clasificaciones!C702,'BG 062021'!D:D),0)</f>
        <v>0</v>
      </c>
    </row>
    <row r="703" spans="1:18" s="888" customFormat="1" hidden="1">
      <c r="A703" s="885" t="s">
        <v>189</v>
      </c>
      <c r="B703" s="885"/>
      <c r="C703" s="889">
        <v>5</v>
      </c>
      <c r="D703" s="889" t="s">
        <v>189</v>
      </c>
      <c r="E703" s="886" t="s">
        <v>6</v>
      </c>
      <c r="F703" s="886" t="s">
        <v>270</v>
      </c>
      <c r="G703" s="47">
        <f>IF(F703="I",IFERROR(VLOOKUP(C703,'BG 062022'!A:C,3,FALSE),0),0)</f>
        <v>0</v>
      </c>
      <c r="H703" s="885"/>
      <c r="I703" s="63">
        <f>IF(F703="I",IFERROR(VLOOKUP(C703,'BG 062022'!A:D,4,FALSE),0),0)</f>
        <v>0</v>
      </c>
      <c r="J703" s="887"/>
      <c r="K703" s="47">
        <f>IF(F703="I",SUMIF('BG 2021'!B:B,Clasificaciones!C703,'BG 2021'!D:D),0)</f>
        <v>0</v>
      </c>
      <c r="L703" s="887"/>
      <c r="M703" s="63">
        <f>IF(F703="I",SUMIF('BG 2021'!B:B,Clasificaciones!C703,'BG 2021'!E:E),0)</f>
        <v>0</v>
      </c>
      <c r="N703" s="887"/>
      <c r="O703" s="47">
        <f>IF(F703="I",SUMIF('BG 062021'!A:A,Clasificaciones!C703,'BG 062021'!C:C),0)</f>
        <v>0</v>
      </c>
      <c r="P703" s="887"/>
      <c r="Q703" s="63">
        <f>IF(F703="I",SUMIF('BG 062021'!A:A,Clasificaciones!C703,'BG 062021'!D:D),0)</f>
        <v>0</v>
      </c>
    </row>
    <row r="704" spans="1:18" s="888" customFormat="1" hidden="1">
      <c r="A704" s="885" t="s">
        <v>189</v>
      </c>
      <c r="B704" s="885"/>
      <c r="C704" s="889">
        <v>51</v>
      </c>
      <c r="D704" s="889" t="s">
        <v>797</v>
      </c>
      <c r="E704" s="886" t="s">
        <v>6</v>
      </c>
      <c r="F704" s="886" t="s">
        <v>270</v>
      </c>
      <c r="G704" s="47">
        <f>IF(F704="I",IFERROR(VLOOKUP(C704,'BG 062022'!A:C,3,FALSE),0),0)</f>
        <v>0</v>
      </c>
      <c r="H704" s="885"/>
      <c r="I704" s="63">
        <f>IF(F704="I",IFERROR(VLOOKUP(C704,'BG 062022'!A:D,4,FALSE),0),0)</f>
        <v>0</v>
      </c>
      <c r="J704" s="887"/>
      <c r="K704" s="47">
        <f>IF(F704="I",SUMIF('BG 2021'!B:B,Clasificaciones!C704,'BG 2021'!D:D),0)</f>
        <v>0</v>
      </c>
      <c r="L704" s="887"/>
      <c r="M704" s="63">
        <f>IF(F704="I",SUMIF('BG 2021'!B:B,Clasificaciones!C704,'BG 2021'!E:E),0)</f>
        <v>0</v>
      </c>
      <c r="N704" s="887"/>
      <c r="O704" s="47">
        <f>IF(F704="I",SUMIF('BG 062021'!A:A,Clasificaciones!C704,'BG 062021'!C:C),0)</f>
        <v>0</v>
      </c>
      <c r="P704" s="887"/>
      <c r="Q704" s="63">
        <f>IF(F704="I",SUMIF('BG 062021'!A:A,Clasificaciones!C704,'BG 062021'!D:D),0)</f>
        <v>0</v>
      </c>
    </row>
    <row r="705" spans="1:18" s="888" customFormat="1" hidden="1">
      <c r="A705" s="885" t="s">
        <v>189</v>
      </c>
      <c r="B705" s="885"/>
      <c r="C705" s="889">
        <v>511</v>
      </c>
      <c r="D705" s="889" t="s">
        <v>798</v>
      </c>
      <c r="E705" s="886" t="s">
        <v>6</v>
      </c>
      <c r="F705" s="886" t="s">
        <v>270</v>
      </c>
      <c r="G705" s="47">
        <f>IF(F705="I",IFERROR(VLOOKUP(C705,'BG 062022'!A:C,3,FALSE),0),0)</f>
        <v>0</v>
      </c>
      <c r="H705" s="885"/>
      <c r="I705" s="63">
        <f>IF(F705="I",IFERROR(VLOOKUP(C705,'BG 062022'!A:D,4,FALSE),0),0)</f>
        <v>0</v>
      </c>
      <c r="J705" s="887"/>
      <c r="K705" s="47">
        <f>IF(F705="I",SUMIF('BG 2021'!B:B,Clasificaciones!C705,'BG 2021'!D:D),0)</f>
        <v>0</v>
      </c>
      <c r="L705" s="887"/>
      <c r="M705" s="63">
        <f>IF(F705="I",SUMIF('BG 2021'!B:B,Clasificaciones!C705,'BG 2021'!E:E),0)</f>
        <v>0</v>
      </c>
      <c r="N705" s="887"/>
      <c r="O705" s="47">
        <f>IF(F705="I",SUMIF('BG 062021'!A:A,Clasificaciones!C705,'BG 062021'!C:C),0)</f>
        <v>0</v>
      </c>
      <c r="P705" s="887"/>
      <c r="Q705" s="63">
        <f>IF(F705="I",SUMIF('BG 062021'!A:A,Clasificaciones!C705,'BG 062021'!D:D),0)</f>
        <v>0</v>
      </c>
    </row>
    <row r="706" spans="1:18" s="888" customFormat="1" hidden="1">
      <c r="A706" s="885" t="s">
        <v>189</v>
      </c>
      <c r="B706" s="885"/>
      <c r="C706" s="889">
        <v>51101</v>
      </c>
      <c r="D706" s="889" t="s">
        <v>39</v>
      </c>
      <c r="E706" s="886" t="s">
        <v>6</v>
      </c>
      <c r="F706" s="886" t="s">
        <v>270</v>
      </c>
      <c r="G706" s="47">
        <f>IF(F706="I",IFERROR(VLOOKUP(C706,'BG 062022'!A:C,3,FALSE),0),0)</f>
        <v>0</v>
      </c>
      <c r="H706" s="885"/>
      <c r="I706" s="63">
        <f>IF(F706="I",IFERROR(VLOOKUP(C706,'BG 062022'!A:D,4,FALSE),0),0)</f>
        <v>0</v>
      </c>
      <c r="J706" s="887"/>
      <c r="K706" s="47">
        <f>IF(F706="I",SUMIF('BG 2021'!B:B,Clasificaciones!C706,'BG 2021'!D:D),0)</f>
        <v>0</v>
      </c>
      <c r="L706" s="887"/>
      <c r="M706" s="63">
        <f>IF(F706="I",SUMIF('BG 2021'!B:B,Clasificaciones!C706,'BG 2021'!E:E),0)</f>
        <v>0</v>
      </c>
      <c r="N706" s="887"/>
      <c r="O706" s="47">
        <f>IF(F706="I",SUMIF('BG 062021'!A:A,Clasificaciones!C706,'BG 062021'!C:C),0)</f>
        <v>0</v>
      </c>
      <c r="P706" s="887"/>
      <c r="Q706" s="63">
        <f>IF(F706="I",SUMIF('BG 062021'!A:A,Clasificaciones!C706,'BG 062021'!D:D),0)</f>
        <v>0</v>
      </c>
    </row>
    <row r="707" spans="1:18" s="888" customFormat="1" hidden="1">
      <c r="A707" s="885" t="s">
        <v>189</v>
      </c>
      <c r="B707" s="885"/>
      <c r="C707" s="889">
        <v>5110101</v>
      </c>
      <c r="D707" s="889" t="s">
        <v>1080</v>
      </c>
      <c r="E707" s="886" t="s">
        <v>6</v>
      </c>
      <c r="F707" s="886" t="s">
        <v>271</v>
      </c>
      <c r="G707" s="47">
        <f>IF(F707="I",IFERROR(VLOOKUP(C707,'BG 062022'!A:C,3,FALSE),0),0)</f>
        <v>0</v>
      </c>
      <c r="H707" s="885"/>
      <c r="I707" s="63">
        <f>IF(F707="I",IFERROR(VLOOKUP(C707,'BG 062022'!A:D,4,FALSE),0),0)</f>
        <v>0</v>
      </c>
      <c r="J707" s="887"/>
      <c r="K707" s="47">
        <f>IF(F707="I",SUMIF('BG 2021'!B:B,Clasificaciones!C707,'BG 2021'!D:D),0)</f>
        <v>0</v>
      </c>
      <c r="L707" s="887"/>
      <c r="M707" s="63">
        <f>IF(F707="I",SUMIF('BG 2021'!B:B,Clasificaciones!C707,'BG 2021'!E:E),0)</f>
        <v>0</v>
      </c>
      <c r="N707" s="887"/>
      <c r="O707" s="47">
        <f>IF(F707="I",SUMIF('BG 062021'!A:A,Clasificaciones!C707,'BG 062021'!C:C),0)</f>
        <v>0</v>
      </c>
      <c r="P707" s="887"/>
      <c r="Q707" s="63">
        <f>IF(F707="I",SUMIF('BG 062021'!A:A,Clasificaciones!C707,'BG 062021'!D:D),0)</f>
        <v>0</v>
      </c>
    </row>
    <row r="708" spans="1:18" s="888" customFormat="1" hidden="1">
      <c r="A708" s="885" t="s">
        <v>189</v>
      </c>
      <c r="B708" s="885"/>
      <c r="C708" s="889">
        <v>5110102</v>
      </c>
      <c r="D708" s="889" t="s">
        <v>799</v>
      </c>
      <c r="E708" s="886" t="s">
        <v>6</v>
      </c>
      <c r="F708" s="886" t="s">
        <v>270</v>
      </c>
      <c r="G708" s="47">
        <f>IF(F708="I",IFERROR(VLOOKUP(C708,'BG 062022'!A:C,3,FALSE),0),0)</f>
        <v>0</v>
      </c>
      <c r="H708" s="885"/>
      <c r="I708" s="63">
        <f>IF(F708="I",IFERROR(VLOOKUP(C708,'BG 062022'!A:D,4,FALSE),0),0)</f>
        <v>0</v>
      </c>
      <c r="J708" s="887"/>
      <c r="K708" s="47">
        <f>IF(F708="I",SUMIF('BG 2021'!B:B,Clasificaciones!C708,'BG 2021'!D:D),0)</f>
        <v>0</v>
      </c>
      <c r="L708" s="887"/>
      <c r="M708" s="63">
        <f>IF(F708="I",SUMIF('BG 2021'!B:B,Clasificaciones!C708,'BG 2021'!E:E),0)</f>
        <v>0</v>
      </c>
      <c r="N708" s="887"/>
      <c r="O708" s="47">
        <f>IF(F708="I",SUMIF('BG 062021'!A:A,Clasificaciones!C708,'BG 062021'!C:C),0)</f>
        <v>0</v>
      </c>
      <c r="P708" s="887"/>
      <c r="Q708" s="63">
        <f>IF(F708="I",SUMIF('BG 062021'!A:A,Clasificaciones!C708,'BG 062021'!D:D),0)</f>
        <v>0</v>
      </c>
    </row>
    <row r="709" spans="1:18" s="888" customFormat="1" hidden="1">
      <c r="A709" s="885" t="s">
        <v>189</v>
      </c>
      <c r="B709" s="885" t="s">
        <v>39</v>
      </c>
      <c r="C709" s="889">
        <v>511010201</v>
      </c>
      <c r="D709" s="889" t="s">
        <v>800</v>
      </c>
      <c r="E709" s="886" t="s">
        <v>6</v>
      </c>
      <c r="F709" s="886" t="s">
        <v>271</v>
      </c>
      <c r="G709" s="47">
        <f>IF(F709="I",IFERROR(VLOOKUP(C709,'BG 062022'!A:C,3,FALSE),0),0)</f>
        <v>750000</v>
      </c>
      <c r="H709" s="885"/>
      <c r="I709" s="63">
        <f>IF(F709="I",IFERROR(VLOOKUP(C709,'BG 062022'!A:D,4,FALSE),0),0)</f>
        <v>107.6</v>
      </c>
      <c r="J709" s="887"/>
      <c r="K709" s="47">
        <f>IF(F709="I",SUMIF('BG 2021'!B:B,Clasificaciones!C709,'BG 2021'!D:D),0)</f>
        <v>160953638</v>
      </c>
      <c r="L709" s="887"/>
      <c r="M709" s="63">
        <f>IF(F709="I",SUMIF('BG 2021'!B:B,Clasificaciones!C709,'BG 2021'!E:E),0)</f>
        <v>24315.660000000149</v>
      </c>
      <c r="N709" s="887"/>
      <c r="O709" s="47">
        <f>IF(F709="I",SUMIF('BG 062021'!A:A,Clasificaciones!C709,'BG 062021'!C:C),0)</f>
        <v>157953638</v>
      </c>
      <c r="P709" s="887"/>
      <c r="Q709" s="63">
        <f>IF(F709="I",SUMIF('BG 062021'!A:A,Clasificaciones!C709,'BG 062021'!D:D),0)</f>
        <v>23883.14</v>
      </c>
      <c r="R709" s="888">
        <f>+VLOOKUP(C709,'CA EFE'!A:A,1,FALSE)</f>
        <v>511010201</v>
      </c>
    </row>
    <row r="710" spans="1:18" s="888" customFormat="1" hidden="1">
      <c r="A710" s="885" t="s">
        <v>189</v>
      </c>
      <c r="B710" s="885"/>
      <c r="C710" s="889">
        <v>511010202</v>
      </c>
      <c r="D710" s="889" t="s">
        <v>800</v>
      </c>
      <c r="E710" s="886" t="s">
        <v>186</v>
      </c>
      <c r="F710" s="886" t="s">
        <v>271</v>
      </c>
      <c r="G710" s="47">
        <f>IF(F710="I",IFERROR(VLOOKUP(C710,'BG 062022'!A:C,3,FALSE),0),0)</f>
        <v>0</v>
      </c>
      <c r="H710" s="885"/>
      <c r="I710" s="63">
        <f>IF(F710="I",IFERROR(VLOOKUP(C710,'BG 062022'!A:D,4,FALSE),0),0)</f>
        <v>0</v>
      </c>
      <c r="J710" s="887"/>
      <c r="K710" s="47">
        <f>IF(F710="I",SUMIF('BG 2021'!B:B,Clasificaciones!C710,'BG 2021'!D:D),0)</f>
        <v>0</v>
      </c>
      <c r="L710" s="887"/>
      <c r="M710" s="63">
        <f>IF(F710="I",SUMIF('BG 2021'!B:B,Clasificaciones!C710,'BG 2021'!E:E),0)</f>
        <v>0</v>
      </c>
      <c r="N710" s="887"/>
      <c r="O710" s="47">
        <f>IF(F710="I",SUMIF('BG 062021'!A:A,Clasificaciones!C710,'BG 062021'!C:C),0)</f>
        <v>0</v>
      </c>
      <c r="P710" s="887"/>
      <c r="Q710" s="63">
        <f>IF(F710="I",SUMIF('BG 062021'!A:A,Clasificaciones!C710,'BG 062021'!D:D),0)</f>
        <v>0</v>
      </c>
    </row>
    <row r="711" spans="1:18" s="888" customFormat="1" hidden="1">
      <c r="A711" s="885" t="s">
        <v>189</v>
      </c>
      <c r="B711" s="885"/>
      <c r="C711" s="889">
        <v>51102</v>
      </c>
      <c r="D711" s="889" t="s">
        <v>801</v>
      </c>
      <c r="E711" s="886" t="s">
        <v>6</v>
      </c>
      <c r="F711" s="886" t="s">
        <v>270</v>
      </c>
      <c r="G711" s="47">
        <f>IF(F711="I",IFERROR(VLOOKUP(C711,'BG 062022'!A:C,3,FALSE),0),0)</f>
        <v>0</v>
      </c>
      <c r="H711" s="885"/>
      <c r="I711" s="63">
        <f>IF(F711="I",IFERROR(VLOOKUP(C711,'BG 062022'!A:D,4,FALSE),0),0)</f>
        <v>0</v>
      </c>
      <c r="J711" s="887"/>
      <c r="K711" s="47">
        <f>IF(F711="I",SUMIF('BG 2021'!B:B,Clasificaciones!C711,'BG 2021'!D:D),0)</f>
        <v>0</v>
      </c>
      <c r="L711" s="887"/>
      <c r="M711" s="63">
        <f>IF(F711="I",SUMIF('BG 2021'!B:B,Clasificaciones!C711,'BG 2021'!E:E),0)</f>
        <v>0</v>
      </c>
      <c r="N711" s="887"/>
      <c r="O711" s="47">
        <f>IF(F711="I",SUMIF('BG 062021'!A:A,Clasificaciones!C711,'BG 062021'!C:C),0)</f>
        <v>0</v>
      </c>
      <c r="P711" s="887"/>
      <c r="Q711" s="63">
        <f>IF(F711="I",SUMIF('BG 062021'!A:A,Clasificaciones!C711,'BG 062021'!D:D),0)</f>
        <v>0</v>
      </c>
    </row>
    <row r="712" spans="1:18" s="888" customFormat="1" hidden="1">
      <c r="A712" s="885" t="s">
        <v>189</v>
      </c>
      <c r="B712" s="885"/>
      <c r="C712" s="889">
        <v>5110201</v>
      </c>
      <c r="D712" s="889" t="s">
        <v>802</v>
      </c>
      <c r="E712" s="886" t="s">
        <v>6</v>
      </c>
      <c r="F712" s="886" t="s">
        <v>270</v>
      </c>
      <c r="G712" s="47">
        <f>IF(F712="I",IFERROR(VLOOKUP(C712,'BG 062022'!A:C,3,FALSE),0),0)</f>
        <v>0</v>
      </c>
      <c r="H712" s="885"/>
      <c r="I712" s="63">
        <f>IF(F712="I",IFERROR(VLOOKUP(C712,'BG 062022'!A:D,4,FALSE),0),0)</f>
        <v>0</v>
      </c>
      <c r="J712" s="887"/>
      <c r="K712" s="47">
        <f>IF(F712="I",SUMIF('BG 2021'!B:B,Clasificaciones!C712,'BG 2021'!D:D),0)</f>
        <v>0</v>
      </c>
      <c r="L712" s="887"/>
      <c r="M712" s="63">
        <f>IF(F712="I",SUMIF('BG 2021'!B:B,Clasificaciones!C712,'BG 2021'!E:E),0)</f>
        <v>0</v>
      </c>
      <c r="N712" s="887"/>
      <c r="O712" s="47">
        <f>IF(F712="I",SUMIF('BG 062021'!A:A,Clasificaciones!C712,'BG 062021'!C:C),0)</f>
        <v>0</v>
      </c>
      <c r="P712" s="887"/>
      <c r="Q712" s="63">
        <f>IF(F712="I",SUMIF('BG 062021'!A:A,Clasificaciones!C712,'BG 062021'!D:D),0)</f>
        <v>0</v>
      </c>
    </row>
    <row r="713" spans="1:18" s="888" customFormat="1" hidden="1">
      <c r="A713" s="885" t="s">
        <v>189</v>
      </c>
      <c r="B713" s="885" t="s">
        <v>38</v>
      </c>
      <c r="C713" s="889">
        <v>511020101</v>
      </c>
      <c r="D713" s="889" t="s">
        <v>856</v>
      </c>
      <c r="E713" s="886" t="s">
        <v>6</v>
      </c>
      <c r="F713" s="886" t="s">
        <v>271</v>
      </c>
      <c r="G713" s="47">
        <f>IF(F713="I",IFERROR(VLOOKUP(C713,'BG 062022'!A:C,3,FALSE),0),0)</f>
        <v>18170512</v>
      </c>
      <c r="H713" s="885"/>
      <c r="I713" s="63">
        <f>IF(F713="I",IFERROR(VLOOKUP(C713,'BG 062022'!A:D,4,FALSE),0),0)</f>
        <v>2641.91</v>
      </c>
      <c r="J713" s="887"/>
      <c r="K713" s="47">
        <f>IF(F713="I",SUMIF('BG 2021'!B:B,Clasificaciones!C713,'BG 2021'!D:D),0)</f>
        <v>165047513</v>
      </c>
      <c r="L713" s="887"/>
      <c r="M713" s="63">
        <f>IF(F713="I",SUMIF('BG 2021'!B:B,Clasificaciones!C713,'BG 2021'!E:E),0)</f>
        <v>24090.53</v>
      </c>
      <c r="N713" s="887"/>
      <c r="O713" s="47">
        <f>IF(F713="I",SUMIF('BG 062021'!A:A,Clasificaciones!C713,'BG 062021'!C:C),0)</f>
        <v>39307722</v>
      </c>
      <c r="P713" s="887"/>
      <c r="Q713" s="63">
        <f>IF(F713="I",SUMIF('BG 062021'!A:A,Clasificaciones!C713,'BG 062021'!D:D),0)</f>
        <v>5863.47</v>
      </c>
    </row>
    <row r="714" spans="1:18" s="888" customFormat="1" hidden="1">
      <c r="A714" s="885" t="s">
        <v>189</v>
      </c>
      <c r="B714" s="885" t="s">
        <v>38</v>
      </c>
      <c r="C714" s="889">
        <v>511020102</v>
      </c>
      <c r="D714" s="889" t="s">
        <v>1414</v>
      </c>
      <c r="E714" s="886" t="s">
        <v>186</v>
      </c>
      <c r="F714" s="886" t="s">
        <v>271</v>
      </c>
      <c r="G714" s="47">
        <f>IF(F714="I",IFERROR(VLOOKUP(C714,'BG 062022'!A:C,3,FALSE),0),0)</f>
        <v>51409728</v>
      </c>
      <c r="H714" s="885"/>
      <c r="I714" s="63">
        <f>IF(F714="I",IFERROR(VLOOKUP(C714,'BG 062022'!A:D,4,FALSE),0),0)</f>
        <v>7468.02</v>
      </c>
      <c r="J714" s="887"/>
      <c r="K714" s="47">
        <f>IF(F714="I",SUMIF('BG 2021'!B:B,Clasificaciones!C714,'BG 2021'!D:D),0)</f>
        <v>118789281</v>
      </c>
      <c r="L714" s="887"/>
      <c r="M714" s="63">
        <f>IF(F714="I",SUMIF('BG 2021'!B:B,Clasificaciones!C714,'BG 2021'!E:E),0)</f>
        <v>17453.349999999999</v>
      </c>
      <c r="N714" s="887"/>
      <c r="O714" s="47">
        <f>IF(F714="I",SUMIF('BG 062021'!A:A,Clasificaciones!C714,'BG 062021'!C:C),0)</f>
        <v>66443539</v>
      </c>
      <c r="P714" s="887"/>
      <c r="Q714" s="63">
        <f>IF(F714="I",SUMIF('BG 062021'!A:A,Clasificaciones!C714,'BG 062021'!D:D),0)</f>
        <v>10218.06</v>
      </c>
      <c r="R714" s="888">
        <f>+VLOOKUP(C714,'CA EFE'!A:A,1,FALSE)</f>
        <v>511020102</v>
      </c>
    </row>
    <row r="715" spans="1:18" s="888" customFormat="1" hidden="1">
      <c r="A715" s="885" t="s">
        <v>189</v>
      </c>
      <c r="B715" s="885"/>
      <c r="C715" s="889">
        <v>5110202</v>
      </c>
      <c r="D715" s="889" t="s">
        <v>229</v>
      </c>
      <c r="E715" s="886" t="s">
        <v>6</v>
      </c>
      <c r="F715" s="886" t="s">
        <v>270</v>
      </c>
      <c r="G715" s="47">
        <f>IF(F715="I",IFERROR(VLOOKUP(C715,'BG 062022'!A:C,3,FALSE),0),0)</f>
        <v>0</v>
      </c>
      <c r="H715" s="885"/>
      <c r="I715" s="63">
        <f>IF(F715="I",IFERROR(VLOOKUP(C715,'BG 062022'!A:D,4,FALSE),0),0)</f>
        <v>0</v>
      </c>
      <c r="J715" s="887"/>
      <c r="K715" s="47">
        <f>IF(F715="I",SUMIF('BG 2021'!B:B,Clasificaciones!C715,'BG 2021'!D:D),0)</f>
        <v>0</v>
      </c>
      <c r="L715" s="887"/>
      <c r="M715" s="63">
        <f>IF(F715="I",SUMIF('BG 2021'!B:B,Clasificaciones!C715,'BG 2021'!E:E),0)</f>
        <v>0</v>
      </c>
      <c r="N715" s="887"/>
      <c r="O715" s="47">
        <f>IF(F715="I",SUMIF('BG 062021'!A:A,Clasificaciones!C715,'BG 062021'!C:C),0)</f>
        <v>0</v>
      </c>
      <c r="P715" s="887"/>
      <c r="Q715" s="63">
        <f>IF(F715="I",SUMIF('BG 062021'!A:A,Clasificaciones!C715,'BG 062021'!D:D),0)</f>
        <v>0</v>
      </c>
    </row>
    <row r="716" spans="1:18" s="888" customFormat="1" hidden="1">
      <c r="A716" s="885" t="s">
        <v>189</v>
      </c>
      <c r="B716" s="885" t="s">
        <v>38</v>
      </c>
      <c r="C716" s="889">
        <v>511020201</v>
      </c>
      <c r="D716" s="889" t="s">
        <v>789</v>
      </c>
      <c r="E716" s="886" t="s">
        <v>6</v>
      </c>
      <c r="F716" s="886" t="s">
        <v>271</v>
      </c>
      <c r="G716" s="47">
        <f>IF(F716="I",IFERROR(VLOOKUP(C716,'BG 062022'!A:C,3,FALSE),0),0)</f>
        <v>8783330</v>
      </c>
      <c r="H716" s="885"/>
      <c r="I716" s="63">
        <f>IF(F716="I",IFERROR(VLOOKUP(C716,'BG 062022'!A:D,4,FALSE),0),0)</f>
        <v>1272.27</v>
      </c>
      <c r="J716" s="887"/>
      <c r="K716" s="47">
        <f>IF(F716="I",SUMIF('BG 2021'!B:B,Clasificaciones!C716,'BG 2021'!D:D),0)</f>
        <v>56121803</v>
      </c>
      <c r="L716" s="887"/>
      <c r="M716" s="63">
        <f>IF(F716="I",SUMIF('BG 2021'!B:B,Clasificaciones!C716,'BG 2021'!E:E),0)</f>
        <v>8318.68</v>
      </c>
      <c r="N716" s="887"/>
      <c r="O716" s="47">
        <f>IF(F716="I",SUMIF('BG 062021'!A:A,Clasificaciones!C716,'BG 062021'!C:C),0)</f>
        <v>27149521</v>
      </c>
      <c r="P716" s="887"/>
      <c r="Q716" s="63">
        <f>IF(F716="I",SUMIF('BG 062021'!A:A,Clasificaciones!C716,'BG 062021'!D:D),0)</f>
        <v>4115.28</v>
      </c>
      <c r="R716" s="888">
        <f>+VLOOKUP(C716,'CA EFE'!A:A,1,FALSE)</f>
        <v>511020201</v>
      </c>
    </row>
    <row r="717" spans="1:18" s="888" customFormat="1" hidden="1">
      <c r="A717" s="885" t="s">
        <v>189</v>
      </c>
      <c r="B717" s="885" t="s">
        <v>38</v>
      </c>
      <c r="C717" s="889">
        <v>511020202</v>
      </c>
      <c r="D717" s="889" t="s">
        <v>1412</v>
      </c>
      <c r="E717" s="886" t="s">
        <v>186</v>
      </c>
      <c r="F717" s="886" t="s">
        <v>271</v>
      </c>
      <c r="G717" s="47">
        <f>IF(F717="I",IFERROR(VLOOKUP(C717,'BG 062022'!A:C,3,FALSE),0),0)</f>
        <v>5878493</v>
      </c>
      <c r="H717" s="885"/>
      <c r="I717" s="63">
        <f>IF(F717="I",IFERROR(VLOOKUP(C717,'BG 062022'!A:D,4,FALSE),0),0)</f>
        <v>852.57</v>
      </c>
      <c r="J717" s="887"/>
      <c r="K717" s="47">
        <f>IF(F717="I",SUMIF('BG 2021'!B:B,Clasificaciones!C717,'BG 2021'!D:D),0)</f>
        <v>5098164</v>
      </c>
      <c r="L717" s="887"/>
      <c r="M717" s="63">
        <f>IF(F717="I",SUMIF('BG 2021'!B:B,Clasificaciones!C717,'BG 2021'!E:E),0)</f>
        <v>752.71</v>
      </c>
      <c r="N717" s="887"/>
      <c r="O717" s="47">
        <f>IF(F717="I",SUMIF('BG 062021'!A:A,Clasificaciones!C717,'BG 062021'!C:C),0)</f>
        <v>2952470</v>
      </c>
      <c r="P717" s="887"/>
      <c r="Q717" s="63">
        <f>IF(F717="I",SUMIF('BG 062021'!A:A,Clasificaciones!C717,'BG 062021'!D:D),0)</f>
        <v>440.77</v>
      </c>
      <c r="R717" s="888">
        <f>+VLOOKUP(C717,'CA EFE'!A:A,1,FALSE)</f>
        <v>511020202</v>
      </c>
    </row>
    <row r="718" spans="1:18" s="888" customFormat="1" hidden="1">
      <c r="A718" s="885" t="s">
        <v>189</v>
      </c>
      <c r="B718" s="885" t="s">
        <v>610</v>
      </c>
      <c r="C718" s="889">
        <v>5110203</v>
      </c>
      <c r="D718" s="889" t="s">
        <v>232</v>
      </c>
      <c r="E718" s="886" t="s">
        <v>6</v>
      </c>
      <c r="F718" s="886" t="s">
        <v>271</v>
      </c>
      <c r="G718" s="47">
        <f>IF(F718="I",IFERROR(VLOOKUP(C718,'BG 062022'!A:C,3,FALSE),0),0)</f>
        <v>0</v>
      </c>
      <c r="H718" s="885"/>
      <c r="I718" s="63">
        <f>IF(F718="I",IFERROR(VLOOKUP(C718,'BG 062022'!A:D,4,FALSE),0),0)</f>
        <v>0</v>
      </c>
      <c r="J718" s="887"/>
      <c r="K718" s="47">
        <f>IF(F718="I",SUMIF('BG 2021'!B:B,Clasificaciones!C718,'BG 2021'!D:D),0)</f>
        <v>2530200</v>
      </c>
      <c r="L718" s="887"/>
      <c r="M718" s="63">
        <f>IF(F718="I",SUMIF('BG 2021'!B:B,Clasificaciones!C718,'BG 2021'!E:E),0)</f>
        <v>364.4</v>
      </c>
      <c r="N718" s="887"/>
      <c r="O718" s="47">
        <f>IF(F718="I",SUMIF('BG 062021'!A:A,Clasificaciones!C718,'BG 062021'!C:C),0)</f>
        <v>1313100</v>
      </c>
      <c r="P718" s="887"/>
      <c r="Q718" s="63">
        <f>IF(F718="I",SUMIF('BG 062021'!A:A,Clasificaciones!C718,'BG 062021'!D:D),0)</f>
        <v>196.32</v>
      </c>
    </row>
    <row r="719" spans="1:18" s="888" customFormat="1" hidden="1">
      <c r="A719" s="885" t="s">
        <v>189</v>
      </c>
      <c r="B719" s="885"/>
      <c r="C719" s="889">
        <v>51103</v>
      </c>
      <c r="D719" s="889" t="s">
        <v>217</v>
      </c>
      <c r="E719" s="886" t="s">
        <v>6</v>
      </c>
      <c r="F719" s="886" t="s">
        <v>270</v>
      </c>
      <c r="G719" s="47">
        <f>IF(F719="I",IFERROR(VLOOKUP(C719,'BG 062022'!A:C,3,FALSE),0),0)</f>
        <v>0</v>
      </c>
      <c r="H719" s="885"/>
      <c r="I719" s="63">
        <f>IF(F719="I",IFERROR(VLOOKUP(C719,'BG 062022'!A:D,4,FALSE),0),0)</f>
        <v>0</v>
      </c>
      <c r="J719" s="887"/>
      <c r="K719" s="47">
        <f>IF(F719="I",SUMIF('BG 2021'!B:B,Clasificaciones!C719,'BG 2021'!D:D),0)</f>
        <v>0</v>
      </c>
      <c r="L719" s="887"/>
      <c r="M719" s="63">
        <f>IF(F719="I",SUMIF('BG 2021'!B:B,Clasificaciones!C719,'BG 2021'!E:E),0)</f>
        <v>0</v>
      </c>
      <c r="N719" s="887"/>
      <c r="O719" s="47">
        <f>IF(F719="I",SUMIF('BG 062021'!A:A,Clasificaciones!C719,'BG 062021'!C:C),0)</f>
        <v>0</v>
      </c>
      <c r="P719" s="887"/>
      <c r="Q719" s="63">
        <f>IF(F719="I",SUMIF('BG 062021'!A:A,Clasificaciones!C719,'BG 062021'!D:D),0)</f>
        <v>0</v>
      </c>
    </row>
    <row r="720" spans="1:18" s="888" customFormat="1" hidden="1">
      <c r="A720" s="885" t="s">
        <v>189</v>
      </c>
      <c r="B720" s="885"/>
      <c r="C720" s="889">
        <v>5110301</v>
      </c>
      <c r="D720" s="889" t="s">
        <v>777</v>
      </c>
      <c r="E720" s="886" t="s">
        <v>6</v>
      </c>
      <c r="F720" s="886" t="s">
        <v>270</v>
      </c>
      <c r="G720" s="47">
        <f>IF(F720="I",IFERROR(VLOOKUP(C720,'BG 062022'!A:C,3,FALSE),0),0)</f>
        <v>0</v>
      </c>
      <c r="H720" s="885"/>
      <c r="I720" s="63">
        <f>IF(F720="I",IFERROR(VLOOKUP(C720,'BG 062022'!A:D,4,FALSE),0),0)</f>
        <v>0</v>
      </c>
      <c r="J720" s="887"/>
      <c r="K720" s="47">
        <f>IF(F720="I",SUMIF('BG 2021'!B:B,Clasificaciones!C720,'BG 2021'!D:D),0)</f>
        <v>0</v>
      </c>
      <c r="L720" s="887"/>
      <c r="M720" s="63">
        <f>IF(F720="I",SUMIF('BG 2021'!B:B,Clasificaciones!C720,'BG 2021'!E:E),0)</f>
        <v>0</v>
      </c>
      <c r="N720" s="887"/>
      <c r="O720" s="47">
        <f>IF(F720="I",SUMIF('BG 062021'!A:A,Clasificaciones!C720,'BG 062021'!C:C),0)</f>
        <v>0</v>
      </c>
      <c r="P720" s="887"/>
      <c r="Q720" s="63">
        <f>IF(F720="I",SUMIF('BG 062021'!A:A,Clasificaciones!C720,'BG 062021'!D:D),0)</f>
        <v>0</v>
      </c>
    </row>
    <row r="721" spans="1:18" s="824" customFormat="1" ht="12" hidden="1">
      <c r="A721" s="818" t="s">
        <v>189</v>
      </c>
      <c r="B721" s="818"/>
      <c r="C721" s="819">
        <v>511030101</v>
      </c>
      <c r="D721" s="819" t="s">
        <v>1063</v>
      </c>
      <c r="E721" s="820" t="s">
        <v>6</v>
      </c>
      <c r="F721" s="820" t="s">
        <v>270</v>
      </c>
      <c r="G721" s="821">
        <f>IF(F721="I",IFERROR(VLOOKUP(C721,'BG 062022'!A:C,3,FALSE),0),0)</f>
        <v>0</v>
      </c>
      <c r="H721" s="818"/>
      <c r="I721" s="822">
        <f>IF(F721="I",IFERROR(VLOOKUP(C721,'BG 062022'!A:D,4,FALSE),0),0)</f>
        <v>0</v>
      </c>
      <c r="J721" s="823"/>
      <c r="K721" s="821">
        <f>IF(F721="I",SUMIF('BG 2021'!B:B,Clasificaciones!C721,'BG 2021'!D:D),0)</f>
        <v>0</v>
      </c>
      <c r="L721" s="823"/>
      <c r="M721" s="822">
        <f>IF(F721="I",SUMIF('BG 2021'!B:B,Clasificaciones!C721,'BG 2021'!E:E),0)</f>
        <v>0</v>
      </c>
      <c r="N721" s="823"/>
      <c r="O721" s="821">
        <f>IF(F721="I",SUMIF('BG 062021'!A:A,Clasificaciones!C721,'BG 062021'!C:C),0)</f>
        <v>0</v>
      </c>
      <c r="P721" s="823"/>
      <c r="Q721" s="822">
        <f>IF(F721="I",SUMIF('BG 062021'!A:A,Clasificaciones!C721,'BG 062021'!D:D),0)</f>
        <v>0</v>
      </c>
    </row>
    <row r="722" spans="1:18" s="888" customFormat="1" hidden="1">
      <c r="A722" s="885" t="s">
        <v>189</v>
      </c>
      <c r="B722" s="885" t="s">
        <v>610</v>
      </c>
      <c r="C722" s="889">
        <v>51103010101</v>
      </c>
      <c r="D722" s="889" t="s">
        <v>767</v>
      </c>
      <c r="E722" s="886" t="s">
        <v>6</v>
      </c>
      <c r="F722" s="886" t="s">
        <v>271</v>
      </c>
      <c r="G722" s="47">
        <f>IF(F722="I",IFERROR(VLOOKUP(C722,'BG 062022'!A:C,3,FALSE),0),0)</f>
        <v>104367348</v>
      </c>
      <c r="H722" s="885"/>
      <c r="I722" s="63">
        <f>IF(F722="I",IFERROR(VLOOKUP(C722,'BG 062022'!A:D,4,FALSE),0),0)</f>
        <v>15206.16</v>
      </c>
      <c r="J722" s="887"/>
      <c r="K722" s="47">
        <f>IF(F722="I",SUMIF('BG 2021'!B:B,Clasificaciones!C722,'BG 2021'!D:D),0)</f>
        <v>178819883</v>
      </c>
      <c r="L722" s="887"/>
      <c r="M722" s="63">
        <f>IF(F722="I",SUMIF('BG 2021'!B:B,Clasificaciones!C722,'BG 2021'!E:E),0)</f>
        <v>26191.899999999907</v>
      </c>
      <c r="N722" s="887"/>
      <c r="O722" s="47">
        <f>IF(F722="I",SUMIF('BG 062021'!A:A,Clasificaciones!C722,'BG 062021'!C:C),0)</f>
        <v>30743383</v>
      </c>
      <c r="P722" s="887"/>
      <c r="Q722" s="63">
        <f>IF(F722="I",SUMIF('BG 062021'!A:A,Clasificaciones!C722,'BG 062021'!D:D),0)</f>
        <v>4654.68</v>
      </c>
      <c r="R722" s="888">
        <f>+VLOOKUP(C722,'CA EFE'!A:A,1,FALSE)</f>
        <v>51103010101</v>
      </c>
    </row>
    <row r="723" spans="1:18" s="888" customFormat="1" hidden="1">
      <c r="A723" s="885" t="s">
        <v>189</v>
      </c>
      <c r="B723" s="885" t="s">
        <v>610</v>
      </c>
      <c r="C723" s="889">
        <v>51103010102</v>
      </c>
      <c r="D723" s="889" t="s">
        <v>1370</v>
      </c>
      <c r="E723" s="886" t="s">
        <v>186</v>
      </c>
      <c r="F723" s="886" t="s">
        <v>271</v>
      </c>
      <c r="G723" s="47">
        <f>IF(F723="I",IFERROR(VLOOKUP(C723,'BG 062022'!A:C,3,FALSE),0),0)</f>
        <v>782051372</v>
      </c>
      <c r="H723" s="885"/>
      <c r="I723" s="63">
        <f>IF(F723="I",IFERROR(VLOOKUP(C723,'BG 062022'!A:D,4,FALSE),0),0)</f>
        <v>113446.7</v>
      </c>
      <c r="J723" s="887"/>
      <c r="K723" s="47">
        <f>IF(F723="I",SUMIF('BG 2021'!B:B,Clasificaciones!C723,'BG 2021'!D:D),0)</f>
        <v>128059774</v>
      </c>
      <c r="L723" s="887"/>
      <c r="M723" s="63">
        <f>IF(F723="I",SUMIF('BG 2021'!B:B,Clasificaciones!C723,'BG 2021'!E:E),0)</f>
        <v>18696.72</v>
      </c>
      <c r="N723" s="887"/>
      <c r="O723" s="47">
        <f>IF(F723="I",SUMIF('BG 062021'!A:A,Clasificaciones!C723,'BG 062021'!C:C),0)</f>
        <v>8757616</v>
      </c>
      <c r="P723" s="887"/>
      <c r="Q723" s="63">
        <f>IF(F723="I",SUMIF('BG 062021'!A:A,Clasificaciones!C723,'BG 062021'!D:D),0)</f>
        <v>1305.76</v>
      </c>
      <c r="R723" s="888">
        <f>+VLOOKUP(C723,'CA EFE'!A:A,1,FALSE)</f>
        <v>51103010102</v>
      </c>
    </row>
    <row r="724" spans="1:18" s="888" customFormat="1" hidden="1">
      <c r="A724" s="885" t="s">
        <v>189</v>
      </c>
      <c r="B724" s="885" t="s">
        <v>610</v>
      </c>
      <c r="C724" s="889">
        <v>51103010103</v>
      </c>
      <c r="D724" s="889" t="s">
        <v>660</v>
      </c>
      <c r="E724" s="886" t="s">
        <v>6</v>
      </c>
      <c r="F724" s="886" t="s">
        <v>271</v>
      </c>
      <c r="G724" s="47">
        <f>IF(F724="I",IFERROR(VLOOKUP(C724,'BG 062022'!A:C,3,FALSE),0),0)</f>
        <v>214001678</v>
      </c>
      <c r="H724" s="885"/>
      <c r="I724" s="63">
        <f>IF(F724="I",IFERROR(VLOOKUP(C724,'BG 062022'!A:D,4,FALSE),0),0)</f>
        <v>30965.54</v>
      </c>
      <c r="J724" s="887"/>
      <c r="K724" s="47">
        <f>IF(F724="I",SUMIF('BG 2021'!B:B,Clasificaciones!C724,'BG 2021'!D:D),0)</f>
        <v>125180710</v>
      </c>
      <c r="L724" s="887"/>
      <c r="M724" s="63">
        <f>IF(F724="I",SUMIF('BG 2021'!B:B,Clasificaciones!C724,'BG 2021'!E:E),0)</f>
        <v>18206.77</v>
      </c>
      <c r="N724" s="887"/>
      <c r="O724" s="47">
        <f>IF(F724="I",SUMIF('BG 062021'!A:A,Clasificaciones!C724,'BG 062021'!C:C),0)</f>
        <v>15240559</v>
      </c>
      <c r="P724" s="887"/>
      <c r="Q724" s="63">
        <f>IF(F724="I",SUMIF('BG 062021'!A:A,Clasificaciones!C724,'BG 062021'!D:D),0)</f>
        <v>2262.5300000000002</v>
      </c>
      <c r="R724" s="888">
        <f>+VLOOKUP(C724,'CA EFE'!A:A,1,FALSE)</f>
        <v>51103010103</v>
      </c>
    </row>
    <row r="725" spans="1:18" s="888" customFormat="1" hidden="1">
      <c r="A725" s="885" t="s">
        <v>189</v>
      </c>
      <c r="B725" s="885" t="s">
        <v>610</v>
      </c>
      <c r="C725" s="889">
        <v>51103010104</v>
      </c>
      <c r="D725" s="889" t="s">
        <v>764</v>
      </c>
      <c r="E725" s="886" t="s">
        <v>6</v>
      </c>
      <c r="F725" s="886" t="s">
        <v>271</v>
      </c>
      <c r="G725" s="47">
        <f>IF(F725="I",IFERROR(VLOOKUP(C725,'BG 062022'!A:C,3,FALSE),0),0)</f>
        <v>287087011</v>
      </c>
      <c r="H725" s="885"/>
      <c r="I725" s="63">
        <f>IF(F725="I",IFERROR(VLOOKUP(C725,'BG 062022'!A:D,4,FALSE),0),0)</f>
        <v>41585.15</v>
      </c>
      <c r="J725" s="887"/>
      <c r="K725" s="47">
        <f>IF(F725="I",SUMIF('BG 2021'!B:B,Clasificaciones!C725,'BG 2021'!D:D),0)</f>
        <v>169749924</v>
      </c>
      <c r="L725" s="887"/>
      <c r="M725" s="63">
        <f>IF(F725="I",SUMIF('BG 2021'!B:B,Clasificaciones!C725,'BG 2021'!E:E),0)</f>
        <v>24692.720000000001</v>
      </c>
      <c r="N725" s="887"/>
      <c r="O725" s="47">
        <f>IF(F725="I",SUMIF('BG 062021'!A:A,Clasificaciones!C725,'BG 062021'!C:C),0)</f>
        <v>11202903</v>
      </c>
      <c r="P725" s="887"/>
      <c r="Q725" s="63">
        <f>IF(F725="I",SUMIF('BG 062021'!A:A,Clasificaciones!C725,'BG 062021'!D:D),0)</f>
        <v>1658.94</v>
      </c>
      <c r="R725" s="888">
        <f>+VLOOKUP(C725,'CA EFE'!A:A,1,FALSE)</f>
        <v>51103010104</v>
      </c>
    </row>
    <row r="726" spans="1:18" s="888" customFormat="1" hidden="1">
      <c r="A726" s="885" t="s">
        <v>189</v>
      </c>
      <c r="B726" s="885" t="s">
        <v>610</v>
      </c>
      <c r="C726" s="889">
        <v>51103010105</v>
      </c>
      <c r="D726" s="889" t="s">
        <v>1238</v>
      </c>
      <c r="E726" s="886" t="s">
        <v>6</v>
      </c>
      <c r="F726" s="886" t="s">
        <v>271</v>
      </c>
      <c r="G726" s="47">
        <f>IF(F726="I",IFERROR(VLOOKUP(C726,'BG 062022'!A:C,3,FALSE),0),0)</f>
        <v>738893458</v>
      </c>
      <c r="H726" s="885"/>
      <c r="I726" s="63">
        <f>IF(F726="I",IFERROR(VLOOKUP(C726,'BG 062022'!A:D,4,FALSE),0),0)</f>
        <v>107023.06</v>
      </c>
      <c r="J726" s="887"/>
      <c r="K726" s="47">
        <f>IF(F726="I",SUMIF('BG 2021'!B:B,Clasificaciones!C726,'BG 2021'!D:D),0)</f>
        <v>272230702</v>
      </c>
      <c r="L726" s="887"/>
      <c r="M726" s="63">
        <f>IF(F726="I",SUMIF('BG 2021'!B:B,Clasificaciones!C726,'BG 2021'!E:E),0)</f>
        <v>39725.42</v>
      </c>
      <c r="N726" s="887"/>
      <c r="O726" s="47">
        <f>IF(F726="I",SUMIF('BG 062021'!A:A,Clasificaciones!C726,'BG 062021'!C:C),0)</f>
        <v>0</v>
      </c>
      <c r="P726" s="887"/>
      <c r="Q726" s="63">
        <f>IF(F726="I",SUMIF('BG 062021'!A:A,Clasificaciones!C726,'BG 062021'!D:D),0)</f>
        <v>0</v>
      </c>
      <c r="R726" s="888">
        <f>+VLOOKUP(C726,'CA EFE'!A:A,1,FALSE)</f>
        <v>51103010105</v>
      </c>
    </row>
    <row r="727" spans="1:18" s="888" customFormat="1" hidden="1">
      <c r="A727" s="885" t="s">
        <v>189</v>
      </c>
      <c r="B727" s="885" t="s">
        <v>610</v>
      </c>
      <c r="C727" s="889">
        <v>51103010106</v>
      </c>
      <c r="D727" s="889" t="s">
        <v>242</v>
      </c>
      <c r="E727" s="886" t="s">
        <v>186</v>
      </c>
      <c r="F727" s="886" t="s">
        <v>271</v>
      </c>
      <c r="G727" s="47">
        <f>IF(F727="I",IFERROR(VLOOKUP(C727,'BG 062022'!A:C,3,FALSE),0),0)</f>
        <v>28298329</v>
      </c>
      <c r="H727" s="885"/>
      <c r="I727" s="63">
        <f>IF(F727="I",IFERROR(VLOOKUP(C727,'BG 062022'!A:D,4,FALSE),0),0)</f>
        <v>4097.7</v>
      </c>
      <c r="J727" s="887"/>
      <c r="K727" s="47">
        <f>IF(F727="I",SUMIF('BG 2021'!B:B,Clasificaciones!C727,'BG 2021'!D:D),0)</f>
        <v>19678822</v>
      </c>
      <c r="L727" s="887"/>
      <c r="M727" s="63">
        <f>IF(F727="I",SUMIF('BG 2021'!B:B,Clasificaciones!C727,'BG 2021'!E:E),0)</f>
        <v>2881.11</v>
      </c>
      <c r="N727" s="887"/>
      <c r="O727" s="47">
        <f>IF(F727="I",SUMIF('BG 062021'!A:A,Clasificaciones!C727,'BG 062021'!C:C),0)</f>
        <v>0</v>
      </c>
      <c r="P727" s="887"/>
      <c r="Q727" s="63">
        <f>IF(F727="I",SUMIF('BG 062021'!A:A,Clasificaciones!C727,'BG 062021'!D:D),0)</f>
        <v>0</v>
      </c>
      <c r="R727" s="888">
        <f>+VLOOKUP(C727,'CA EFE'!A:A,1,FALSE)</f>
        <v>51103010106</v>
      </c>
    </row>
    <row r="728" spans="1:18" s="888" customFormat="1" hidden="1">
      <c r="A728" s="885" t="s">
        <v>189</v>
      </c>
      <c r="B728" s="885" t="s">
        <v>610</v>
      </c>
      <c r="C728" s="889">
        <v>51103010107</v>
      </c>
      <c r="D728" s="889" t="s">
        <v>1502</v>
      </c>
      <c r="E728" s="886" t="s">
        <v>186</v>
      </c>
      <c r="F728" s="886" t="s">
        <v>271</v>
      </c>
      <c r="G728" s="47">
        <f>IF(F728="I",IFERROR(VLOOKUP(C728,'BG 062022'!A:C,3,FALSE),0),0)</f>
        <v>338516262</v>
      </c>
      <c r="H728" s="885"/>
      <c r="I728" s="63">
        <f>IF(F728="I",IFERROR(VLOOKUP(C728,'BG 062022'!A:D,4,FALSE),0),0)</f>
        <v>49119.95</v>
      </c>
      <c r="J728" s="887"/>
      <c r="K728" s="47">
        <f>IF(F728="I",SUMIF('BG 2021'!B:B,Clasificaciones!C728,'BG 2021'!D:D),0)</f>
        <v>0</v>
      </c>
      <c r="L728" s="887"/>
      <c r="M728" s="63">
        <f>IF(F728="I",SUMIF('BG 2021'!B:B,Clasificaciones!C728,'BG 2021'!E:E),0)</f>
        <v>0</v>
      </c>
      <c r="N728" s="887"/>
      <c r="O728" s="47">
        <f>IF(F728="I",SUMIF('BG 062021'!A:A,Clasificaciones!C728,'BG 062021'!C:C),0)</f>
        <v>0</v>
      </c>
      <c r="P728" s="887"/>
      <c r="Q728" s="63">
        <f>IF(F728="I",SUMIF('BG 062021'!A:A,Clasificaciones!C728,'BG 062021'!D:D),0)</f>
        <v>0</v>
      </c>
      <c r="R728" s="888">
        <f>+VLOOKUP(C728,'CA EFE'!A:A,1,FALSE)</f>
        <v>51103010107</v>
      </c>
    </row>
    <row r="729" spans="1:18" s="824" customFormat="1" ht="12" hidden="1">
      <c r="A729" s="818" t="s">
        <v>189</v>
      </c>
      <c r="B729" s="818"/>
      <c r="C729" s="819">
        <v>511030120</v>
      </c>
      <c r="D729" s="819" t="s">
        <v>804</v>
      </c>
      <c r="E729" s="820" t="s">
        <v>6</v>
      </c>
      <c r="F729" s="820" t="s">
        <v>270</v>
      </c>
      <c r="G729" s="821">
        <f>IF(F729="I",IFERROR(VLOOKUP(C729,'BG 062022'!A:C,3,FALSE),0),0)</f>
        <v>0</v>
      </c>
      <c r="H729" s="818"/>
      <c r="I729" s="822">
        <f>IF(F729="I",IFERROR(VLOOKUP(C729,'BG 062022'!A:D,4,FALSE),0),0)</f>
        <v>0</v>
      </c>
      <c r="J729" s="823"/>
      <c r="K729" s="821">
        <f>IF(F729="I",SUMIF('BG 2021'!B:B,Clasificaciones!C729,'BG 2021'!D:D),0)</f>
        <v>0</v>
      </c>
      <c r="L729" s="823"/>
      <c r="M729" s="822">
        <f>IF(F729="I",SUMIF('BG 2021'!B:B,Clasificaciones!C729,'BG 2021'!E:E),0)</f>
        <v>0</v>
      </c>
      <c r="N729" s="823"/>
      <c r="O729" s="821">
        <f>IF(F729="I",SUMIF('BG 062021'!A:A,Clasificaciones!C729,'BG 062021'!C:C),0)</f>
        <v>0</v>
      </c>
      <c r="P729" s="823"/>
      <c r="Q729" s="822">
        <f>IF(F729="I",SUMIF('BG 062021'!A:A,Clasificaciones!C729,'BG 062021'!D:D),0)</f>
        <v>0</v>
      </c>
    </row>
    <row r="730" spans="1:18" s="888" customFormat="1" hidden="1">
      <c r="A730" s="885" t="s">
        <v>189</v>
      </c>
      <c r="B730" s="885" t="s">
        <v>610</v>
      </c>
      <c r="C730" s="889">
        <v>51103012001</v>
      </c>
      <c r="D730" s="889" t="s">
        <v>764</v>
      </c>
      <c r="E730" s="886" t="s">
        <v>6</v>
      </c>
      <c r="F730" s="886" t="s">
        <v>271</v>
      </c>
      <c r="G730" s="47">
        <f>IF(F730="I",IFERROR(VLOOKUP(C730,'BG 062022'!A:C,3,FALSE),0),0)</f>
        <v>1790228</v>
      </c>
      <c r="H730" s="885"/>
      <c r="I730" s="63">
        <f>IF(F730="I",IFERROR(VLOOKUP(C730,'BG 062022'!A:D,4,FALSE),0),0)</f>
        <v>261.48</v>
      </c>
      <c r="J730" s="887"/>
      <c r="K730" s="47">
        <f>IF(F730="I",SUMIF('BG 2021'!B:B,Clasificaciones!C730,'BG 2021'!D:D),0)</f>
        <v>1824993</v>
      </c>
      <c r="L730" s="887"/>
      <c r="M730" s="63">
        <f>IF(F730="I",SUMIF('BG 2021'!B:B,Clasificaciones!C730,'BG 2021'!E:E),0)</f>
        <v>268.39</v>
      </c>
      <c r="N730" s="887"/>
      <c r="O730" s="47">
        <f>IF(F730="I",SUMIF('BG 062021'!A:A,Clasificaciones!C730,'BG 062021'!C:C),0)</f>
        <v>0</v>
      </c>
      <c r="P730" s="887"/>
      <c r="Q730" s="63">
        <f>IF(F730="I",SUMIF('BG 062021'!A:A,Clasificaciones!C730,'BG 062021'!D:D),0)</f>
        <v>0</v>
      </c>
      <c r="R730" s="888">
        <f>+VLOOKUP(C730,'CA EFE'!A:A,1,FALSE)</f>
        <v>51103012001</v>
      </c>
    </row>
    <row r="731" spans="1:18" s="888" customFormat="1" hidden="1">
      <c r="A731" s="885" t="s">
        <v>189</v>
      </c>
      <c r="B731" s="885" t="s">
        <v>610</v>
      </c>
      <c r="C731" s="889">
        <v>51103012002</v>
      </c>
      <c r="D731" s="889" t="s">
        <v>1399</v>
      </c>
      <c r="E731" s="886" t="s">
        <v>186</v>
      </c>
      <c r="F731" s="886" t="s">
        <v>271</v>
      </c>
      <c r="G731" s="47">
        <f>IF(F731="I",IFERROR(VLOOKUP(C731,'BG 062022'!A:C,3,FALSE),0),0)</f>
        <v>412022</v>
      </c>
      <c r="H731" s="885"/>
      <c r="I731" s="63">
        <f>IF(F731="I",IFERROR(VLOOKUP(C731,'BG 062022'!A:D,4,FALSE),0),0)</f>
        <v>60.01</v>
      </c>
      <c r="J731" s="887"/>
      <c r="K731" s="47">
        <f>IF(F731="I",SUMIF('BG 2021'!B:B,Clasificaciones!C731,'BG 2021'!D:D),0)</f>
        <v>5516245</v>
      </c>
      <c r="L731" s="887"/>
      <c r="M731" s="63">
        <f>IF(F731="I",SUMIF('BG 2021'!B:B,Clasificaciones!C731,'BG 2021'!E:E),0)</f>
        <v>812.75</v>
      </c>
      <c r="N731" s="887"/>
      <c r="O731" s="47">
        <f>IF(F731="I",SUMIF('BG 062021'!A:A,Clasificaciones!C731,'BG 062021'!C:C),0)</f>
        <v>1858249</v>
      </c>
      <c r="P731" s="887"/>
      <c r="Q731" s="63">
        <f>IF(F731="I",SUMIF('BG 062021'!A:A,Clasificaciones!C731,'BG 062021'!D:D),0)</f>
        <v>280.63</v>
      </c>
    </row>
    <row r="732" spans="1:18" s="888" customFormat="1" hidden="1">
      <c r="A732" s="885" t="s">
        <v>189</v>
      </c>
      <c r="B732" s="885"/>
      <c r="C732" s="889">
        <v>51103012003</v>
      </c>
      <c r="D732" s="889" t="s">
        <v>765</v>
      </c>
      <c r="E732" s="886" t="s">
        <v>6</v>
      </c>
      <c r="F732" s="886" t="s">
        <v>271</v>
      </c>
      <c r="G732" s="47">
        <f>IF(F732="I",IFERROR(VLOOKUP(C732,'BG 062022'!A:C,3,FALSE),0),0)</f>
        <v>0</v>
      </c>
      <c r="H732" s="885"/>
      <c r="I732" s="63">
        <f>IF(F732="I",IFERROR(VLOOKUP(C732,'BG 062022'!A:D,4,FALSE),0),0)</f>
        <v>0</v>
      </c>
      <c r="J732" s="887"/>
      <c r="K732" s="47">
        <f>IF(F732="I",SUMIF('BG 2021'!B:B,Clasificaciones!C732,'BG 2021'!D:D),0)</f>
        <v>0</v>
      </c>
      <c r="L732" s="887"/>
      <c r="M732" s="63">
        <f>IF(F732="I",SUMIF('BG 2021'!B:B,Clasificaciones!C732,'BG 2021'!E:E),0)</f>
        <v>0</v>
      </c>
      <c r="N732" s="887"/>
      <c r="O732" s="47">
        <f>IF(F732="I",SUMIF('BG 062021'!A:A,Clasificaciones!C732,'BG 062021'!C:C),0)</f>
        <v>0</v>
      </c>
      <c r="P732" s="887"/>
      <c r="Q732" s="63">
        <f>IF(F732="I",SUMIF('BG 062021'!A:A,Clasificaciones!C732,'BG 062021'!D:D),0)</f>
        <v>0</v>
      </c>
    </row>
    <row r="733" spans="1:18" s="888" customFormat="1" hidden="1">
      <c r="A733" s="885" t="s">
        <v>189</v>
      </c>
      <c r="B733" s="885" t="s">
        <v>610</v>
      </c>
      <c r="C733" s="889">
        <v>51103012004</v>
      </c>
      <c r="D733" s="889" t="s">
        <v>1389</v>
      </c>
      <c r="E733" s="886" t="s">
        <v>186</v>
      </c>
      <c r="F733" s="886" t="s">
        <v>271</v>
      </c>
      <c r="G733" s="47">
        <f>IF(F733="I",IFERROR(VLOOKUP(C733,'BG 062022'!A:C,3,FALSE),0),0)</f>
        <v>225461360</v>
      </c>
      <c r="H733" s="885"/>
      <c r="I733" s="63">
        <f>IF(F733="I",IFERROR(VLOOKUP(C733,'BG 062022'!A:D,4,FALSE),0),0)</f>
        <v>32087.09</v>
      </c>
      <c r="J733" s="887"/>
      <c r="K733" s="47">
        <f>IF(F733="I",SUMIF('BG 2021'!B:B,Clasificaciones!C733,'BG 2021'!D:D),0)</f>
        <v>83121122</v>
      </c>
      <c r="L733" s="887"/>
      <c r="M733" s="63">
        <f>IF(F733="I",SUMIF('BG 2021'!B:B,Clasificaciones!C733,'BG 2021'!E:E),0)</f>
        <v>12220.57</v>
      </c>
      <c r="N733" s="887"/>
      <c r="O733" s="47">
        <f>IF(F733="I",SUMIF('BG 062021'!A:A,Clasificaciones!C733,'BG 062021'!C:C),0)</f>
        <v>75813515</v>
      </c>
      <c r="P733" s="887"/>
      <c r="Q733" s="63">
        <f>IF(F733="I",SUMIF('BG 062021'!A:A,Clasificaciones!C733,'BG 062021'!D:D),0)</f>
        <v>11156.74</v>
      </c>
      <c r="R733" s="888">
        <f>+VLOOKUP(C733,'CA EFE'!A:A,1,FALSE)</f>
        <v>51103012004</v>
      </c>
    </row>
    <row r="734" spans="1:18" s="888" customFormat="1" hidden="1">
      <c r="A734" s="885" t="s">
        <v>189</v>
      </c>
      <c r="B734" s="885" t="s">
        <v>610</v>
      </c>
      <c r="C734" s="889">
        <v>51103012005</v>
      </c>
      <c r="D734" s="889" t="s">
        <v>767</v>
      </c>
      <c r="E734" s="886" t="s">
        <v>6</v>
      </c>
      <c r="F734" s="886" t="s">
        <v>271</v>
      </c>
      <c r="G734" s="47">
        <f>IF(F734="I",IFERROR(VLOOKUP(C734,'BG 062022'!A:C,3,FALSE),0),0)</f>
        <v>199802768</v>
      </c>
      <c r="H734" s="885"/>
      <c r="I734" s="63">
        <f>IF(F734="I",IFERROR(VLOOKUP(C734,'BG 062022'!A:D,4,FALSE),0),0)</f>
        <v>28908.720000000001</v>
      </c>
      <c r="J734" s="887"/>
      <c r="K734" s="47">
        <f>IF(F734="I",SUMIF('BG 2021'!B:B,Clasificaciones!C734,'BG 2021'!D:D),0)</f>
        <v>1429841268</v>
      </c>
      <c r="L734" s="887"/>
      <c r="M734" s="63">
        <f>IF(F734="I",SUMIF('BG 2021'!B:B,Clasificaciones!C734,'BG 2021'!E:E),0)</f>
        <v>209977</v>
      </c>
      <c r="N734" s="887"/>
      <c r="O734" s="47">
        <f>IF(F734="I",SUMIF('BG 062021'!A:A,Clasificaciones!C734,'BG 062021'!C:C),0)</f>
        <v>535827522</v>
      </c>
      <c r="P734" s="887"/>
      <c r="Q734" s="63">
        <f>IF(F734="I",SUMIF('BG 062021'!A:A,Clasificaciones!C734,'BG 062021'!D:D),0)</f>
        <v>80222.17</v>
      </c>
      <c r="R734" s="888">
        <f>+VLOOKUP(C734,'CA EFE'!A:A,1,FALSE)</f>
        <v>51103012005</v>
      </c>
    </row>
    <row r="735" spans="1:18" s="888" customFormat="1" hidden="1">
      <c r="A735" s="885" t="s">
        <v>189</v>
      </c>
      <c r="B735" s="885" t="s">
        <v>610</v>
      </c>
      <c r="C735" s="889">
        <v>51103012006</v>
      </c>
      <c r="D735" s="889" t="s">
        <v>1370</v>
      </c>
      <c r="E735" s="886" t="s">
        <v>186</v>
      </c>
      <c r="F735" s="886" t="s">
        <v>271</v>
      </c>
      <c r="G735" s="47">
        <f>IF(F735="I",IFERROR(VLOOKUP(C735,'BG 062022'!A:C,3,FALSE),0),0)</f>
        <v>691520558</v>
      </c>
      <c r="H735" s="885"/>
      <c r="I735" s="63">
        <f>IF(F735="I",IFERROR(VLOOKUP(C735,'BG 062022'!A:D,4,FALSE),0),0)</f>
        <v>100237.26</v>
      </c>
      <c r="J735" s="887"/>
      <c r="K735" s="47">
        <f>IF(F735="I",SUMIF('BG 2021'!B:B,Clasificaciones!C735,'BG 2021'!D:D),0)</f>
        <v>792603478</v>
      </c>
      <c r="L735" s="887"/>
      <c r="M735" s="63">
        <f>IF(F735="I",SUMIF('BG 2021'!B:B,Clasificaciones!C735,'BG 2021'!E:E),0)</f>
        <v>116002.12</v>
      </c>
      <c r="N735" s="887"/>
      <c r="O735" s="47">
        <f>IF(F735="I",SUMIF('BG 062021'!A:A,Clasificaciones!C735,'BG 062021'!C:C),0)</f>
        <v>207988003</v>
      </c>
      <c r="P735" s="887"/>
      <c r="Q735" s="63">
        <f>IF(F735="I",SUMIF('BG 062021'!A:A,Clasificaciones!C735,'BG 062021'!D:D),0)</f>
        <v>30800.32</v>
      </c>
      <c r="R735" s="888">
        <f>+VLOOKUP(C735,'CA EFE'!A:A,1,FALSE)</f>
        <v>51103012006</v>
      </c>
    </row>
    <row r="736" spans="1:18" s="888" customFormat="1" hidden="1">
      <c r="A736" s="885" t="s">
        <v>189</v>
      </c>
      <c r="B736" s="885" t="s">
        <v>610</v>
      </c>
      <c r="C736" s="889">
        <v>51103012007</v>
      </c>
      <c r="D736" s="889" t="s">
        <v>768</v>
      </c>
      <c r="E736" s="886" t="s">
        <v>6</v>
      </c>
      <c r="F736" s="886" t="s">
        <v>271</v>
      </c>
      <c r="G736" s="47">
        <f>IF(F736="I",IFERROR(VLOOKUP(C736,'BG 062022'!A:C,3,FALSE),0),0)</f>
        <v>207495957</v>
      </c>
      <c r="H736" s="885"/>
      <c r="I736" s="63">
        <f>IF(F736="I",IFERROR(VLOOKUP(C736,'BG 062022'!A:D,4,FALSE),0),0)</f>
        <v>29872.080000000002</v>
      </c>
      <c r="J736" s="887"/>
      <c r="K736" s="47">
        <f>IF(F736="I",SUMIF('BG 2021'!B:B,Clasificaciones!C736,'BG 2021'!D:D),0)</f>
        <v>1298993482</v>
      </c>
      <c r="L736" s="887"/>
      <c r="M736" s="63">
        <f>IF(F736="I",SUMIF('BG 2021'!B:B,Clasificaciones!C736,'BG 2021'!E:E),0)</f>
        <v>193942.19999999998</v>
      </c>
      <c r="N736" s="887"/>
      <c r="O736" s="47">
        <f>IF(F736="I",SUMIF('BG 062021'!A:A,Clasificaciones!C736,'BG 062021'!C:C),0)</f>
        <v>1229565998</v>
      </c>
      <c r="P736" s="887"/>
      <c r="Q736" s="63">
        <f>IF(F736="I",SUMIF('BG 062021'!A:A,Clasificaciones!C736,'BG 062021'!D:D),0)</f>
        <v>185503.34</v>
      </c>
      <c r="R736" s="888">
        <f>+VLOOKUP(C736,'CA EFE'!A:A,1,FALSE)</f>
        <v>51103012007</v>
      </c>
    </row>
    <row r="737" spans="1:18" s="888" customFormat="1" hidden="1">
      <c r="A737" s="885" t="s">
        <v>189</v>
      </c>
      <c r="B737" s="885" t="s">
        <v>610</v>
      </c>
      <c r="C737" s="889">
        <v>51103012008</v>
      </c>
      <c r="D737" s="889" t="s">
        <v>1406</v>
      </c>
      <c r="E737" s="886" t="s">
        <v>186</v>
      </c>
      <c r="F737" s="886" t="s">
        <v>271</v>
      </c>
      <c r="G737" s="47">
        <f>IF(F737="I",IFERROR(VLOOKUP(C737,'BG 062022'!A:C,3,FALSE),0),0)</f>
        <v>8090895</v>
      </c>
      <c r="H737" s="885"/>
      <c r="I737" s="63">
        <f>IF(F737="I",IFERROR(VLOOKUP(C737,'BG 062022'!A:D,4,FALSE),0),0)</f>
        <v>1163.71</v>
      </c>
      <c r="J737" s="887"/>
      <c r="K737" s="47">
        <f>IF(F737="I",SUMIF('BG 2021'!B:B,Clasificaciones!C737,'BG 2021'!D:D),0)</f>
        <v>112716866</v>
      </c>
      <c r="L737" s="887"/>
      <c r="M737" s="63">
        <f>IF(F737="I",SUMIF('BG 2021'!B:B,Clasificaciones!C737,'BG 2021'!E:E),0)</f>
        <v>16350.09</v>
      </c>
      <c r="N737" s="887"/>
      <c r="O737" s="47">
        <f>IF(F737="I",SUMIF('BG 062021'!A:A,Clasificaciones!C737,'BG 062021'!C:C),0)</f>
        <v>0</v>
      </c>
      <c r="P737" s="887"/>
      <c r="Q737" s="63">
        <f>IF(F737="I",SUMIF('BG 062021'!A:A,Clasificaciones!C737,'BG 062021'!D:D),0)</f>
        <v>0</v>
      </c>
      <c r="R737" s="888">
        <f>+VLOOKUP(C737,'CA EFE'!A:A,1,FALSE)</f>
        <v>51103012008</v>
      </c>
    </row>
    <row r="738" spans="1:18" s="888" customFormat="1" hidden="1">
      <c r="A738" s="885" t="s">
        <v>189</v>
      </c>
      <c r="B738" s="885" t="s">
        <v>610</v>
      </c>
      <c r="C738" s="889">
        <v>51103012009</v>
      </c>
      <c r="D738" s="889" t="s">
        <v>770</v>
      </c>
      <c r="E738" s="886" t="s">
        <v>6</v>
      </c>
      <c r="F738" s="886" t="s">
        <v>271</v>
      </c>
      <c r="G738" s="47">
        <f>IF(F738="I",IFERROR(VLOOKUP(C738,'BG 062022'!A:C,3,FALSE),0),0)</f>
        <v>0</v>
      </c>
      <c r="H738" s="885"/>
      <c r="I738" s="63">
        <f>IF(F738="I",IFERROR(VLOOKUP(C738,'BG 062022'!A:D,4,FALSE),0),0)</f>
        <v>0</v>
      </c>
      <c r="J738" s="887"/>
      <c r="K738" s="47">
        <f>IF(F738="I",SUMIF('BG 2021'!B:B,Clasificaciones!C738,'BG 2021'!D:D),0)</f>
        <v>212441006</v>
      </c>
      <c r="L738" s="887"/>
      <c r="M738" s="63">
        <f>IF(F738="I",SUMIF('BG 2021'!B:B,Clasificaciones!C738,'BG 2021'!E:E),0)</f>
        <v>31900.2</v>
      </c>
      <c r="N738" s="887"/>
      <c r="O738" s="47">
        <f>IF(F738="I",SUMIF('BG 062021'!A:A,Clasificaciones!C738,'BG 062021'!C:C),0)</f>
        <v>212441006</v>
      </c>
      <c r="P738" s="887"/>
      <c r="Q738" s="63">
        <f>IF(F738="I",SUMIF('BG 062021'!A:A,Clasificaciones!C738,'BG 062021'!D:D),0)</f>
        <v>31900.2</v>
      </c>
    </row>
    <row r="739" spans="1:18" s="888" customFormat="1" hidden="1">
      <c r="A739" s="885" t="s">
        <v>189</v>
      </c>
      <c r="B739" s="885"/>
      <c r="C739" s="889">
        <v>51103012010</v>
      </c>
      <c r="D739" s="889" t="s">
        <v>880</v>
      </c>
      <c r="E739" s="886" t="s">
        <v>186</v>
      </c>
      <c r="F739" s="886" t="s">
        <v>271</v>
      </c>
      <c r="G739" s="47">
        <f>IF(F739="I",IFERROR(VLOOKUP(C739,'BG 062022'!A:C,3,FALSE),0),0)</f>
        <v>0</v>
      </c>
      <c r="H739" s="885"/>
      <c r="I739" s="63">
        <f>IF(F739="I",IFERROR(VLOOKUP(C739,'BG 062022'!A:D,4,FALSE),0),0)</f>
        <v>0</v>
      </c>
      <c r="J739" s="887"/>
      <c r="K739" s="47">
        <f>IF(F739="I",SUMIF('BG 2021'!B:B,Clasificaciones!C739,'BG 2021'!D:D),0)</f>
        <v>0</v>
      </c>
      <c r="L739" s="887"/>
      <c r="M739" s="63">
        <f>IF(F739="I",SUMIF('BG 2021'!B:B,Clasificaciones!C739,'BG 2021'!E:E),0)</f>
        <v>0</v>
      </c>
      <c r="N739" s="887"/>
      <c r="O739" s="47">
        <f>IF(F739="I",SUMIF('BG 062021'!A:A,Clasificaciones!C739,'BG 062021'!C:C),0)</f>
        <v>0</v>
      </c>
      <c r="P739" s="887"/>
      <c r="Q739" s="63">
        <f>IF(F739="I",SUMIF('BG 062021'!A:A,Clasificaciones!C739,'BG 062021'!D:D),0)</f>
        <v>0</v>
      </c>
    </row>
    <row r="740" spans="1:18" s="888" customFormat="1" hidden="1">
      <c r="A740" s="885" t="s">
        <v>189</v>
      </c>
      <c r="B740" s="885"/>
      <c r="C740" s="889">
        <v>51103012011</v>
      </c>
      <c r="D740" s="889" t="s">
        <v>942</v>
      </c>
      <c r="E740" s="886" t="s">
        <v>6</v>
      </c>
      <c r="F740" s="886" t="s">
        <v>271</v>
      </c>
      <c r="G740" s="47">
        <f>IF(F740="I",IFERROR(VLOOKUP(C740,'BG 062022'!A:C,3,FALSE),0),0)</f>
        <v>0</v>
      </c>
      <c r="H740" s="885"/>
      <c r="I740" s="63">
        <f>IF(F740="I",IFERROR(VLOOKUP(C740,'BG 062022'!A:D,4,FALSE),0),0)</f>
        <v>0</v>
      </c>
      <c r="J740" s="887"/>
      <c r="K740" s="47">
        <f>IF(F740="I",SUMIF('BG 2021'!B:B,Clasificaciones!C740,'BG 2021'!D:D),0)</f>
        <v>0</v>
      </c>
      <c r="L740" s="887"/>
      <c r="M740" s="63">
        <f>IF(F740="I",SUMIF('BG 2021'!B:B,Clasificaciones!C740,'BG 2021'!E:E),0)</f>
        <v>0</v>
      </c>
      <c r="N740" s="887"/>
      <c r="O740" s="47">
        <f>IF(F740="I",SUMIF('BG 062021'!A:A,Clasificaciones!C740,'BG 062021'!C:C),0)</f>
        <v>0</v>
      </c>
      <c r="P740" s="887"/>
      <c r="Q740" s="63">
        <f>IF(F740="I",SUMIF('BG 062021'!A:A,Clasificaciones!C740,'BG 062021'!D:D),0)</f>
        <v>0</v>
      </c>
    </row>
    <row r="741" spans="1:18" s="888" customFormat="1" hidden="1">
      <c r="A741" s="885" t="s">
        <v>189</v>
      </c>
      <c r="B741" s="885"/>
      <c r="C741" s="889">
        <v>51103012012</v>
      </c>
      <c r="D741" s="889" t="s">
        <v>883</v>
      </c>
      <c r="E741" s="886" t="s">
        <v>186</v>
      </c>
      <c r="F741" s="886" t="s">
        <v>271</v>
      </c>
      <c r="G741" s="47">
        <f>IF(F741="I",IFERROR(VLOOKUP(C741,'BG 062022'!A:C,3,FALSE),0),0)</f>
        <v>0</v>
      </c>
      <c r="H741" s="885"/>
      <c r="I741" s="63">
        <f>IF(F741="I",IFERROR(VLOOKUP(C741,'BG 062022'!A:D,4,FALSE),0),0)</f>
        <v>0</v>
      </c>
      <c r="J741" s="887"/>
      <c r="K741" s="47">
        <f>IF(F741="I",SUMIF('BG 2021'!B:B,Clasificaciones!C741,'BG 2021'!D:D),0)</f>
        <v>0</v>
      </c>
      <c r="L741" s="887"/>
      <c r="M741" s="63">
        <f>IF(F741="I",SUMIF('BG 2021'!B:B,Clasificaciones!C741,'BG 2021'!E:E),0)</f>
        <v>0</v>
      </c>
      <c r="N741" s="887"/>
      <c r="O741" s="47">
        <f>IF(F741="I",SUMIF('BG 062021'!A:A,Clasificaciones!C741,'BG 062021'!C:C),0)</f>
        <v>0</v>
      </c>
      <c r="P741" s="887"/>
      <c r="Q741" s="63">
        <f>IF(F741="I",SUMIF('BG 062021'!A:A,Clasificaciones!C741,'BG 062021'!D:D),0)</f>
        <v>0</v>
      </c>
    </row>
    <row r="742" spans="1:18" s="888" customFormat="1" hidden="1">
      <c r="A742" s="885" t="s">
        <v>189</v>
      </c>
      <c r="B742" s="885" t="s">
        <v>610</v>
      </c>
      <c r="C742" s="889">
        <v>51103012013</v>
      </c>
      <c r="D742" s="889" t="s">
        <v>781</v>
      </c>
      <c r="E742" s="886" t="s">
        <v>6</v>
      </c>
      <c r="F742" s="886" t="s">
        <v>271</v>
      </c>
      <c r="G742" s="47">
        <f>IF(F742="I",IFERROR(VLOOKUP(C742,'BG 062022'!A:C,3,FALSE),0),0)</f>
        <v>0</v>
      </c>
      <c r="H742" s="885"/>
      <c r="I742" s="63">
        <f>IF(F742="I",IFERROR(VLOOKUP(C742,'BG 062022'!A:D,4,FALSE),0),0)</f>
        <v>0</v>
      </c>
      <c r="J742" s="887"/>
      <c r="K742" s="47">
        <f>IF(F742="I",SUMIF('BG 2021'!B:B,Clasificaciones!C742,'BG 2021'!D:D),0)</f>
        <v>68</v>
      </c>
      <c r="L742" s="887"/>
      <c r="M742" s="63">
        <f>IF(F742="I",SUMIF('BG 2021'!B:B,Clasificaciones!C742,'BG 2021'!E:E),0)</f>
        <v>0.01</v>
      </c>
      <c r="N742" s="887"/>
      <c r="O742" s="47">
        <f>IF(F742="I",SUMIF('BG 062021'!A:A,Clasificaciones!C742,'BG 062021'!C:C),0)</f>
        <v>68</v>
      </c>
      <c r="P742" s="887"/>
      <c r="Q742" s="63">
        <f>IF(F742="I",SUMIF('BG 062021'!A:A,Clasificaciones!C742,'BG 062021'!D:D),0)</f>
        <v>0.01</v>
      </c>
    </row>
    <row r="743" spans="1:18" s="888" customFormat="1" hidden="1">
      <c r="A743" s="885" t="s">
        <v>189</v>
      </c>
      <c r="B743" s="885"/>
      <c r="C743" s="889">
        <v>51103012014</v>
      </c>
      <c r="D743" s="889" t="s">
        <v>771</v>
      </c>
      <c r="E743" s="886" t="s">
        <v>186</v>
      </c>
      <c r="F743" s="886" t="s">
        <v>271</v>
      </c>
      <c r="G743" s="47">
        <f>IF(F743="I",IFERROR(VLOOKUP(C743,'BG 062022'!A:C,3,FALSE),0),0)</f>
        <v>0</v>
      </c>
      <c r="H743" s="885"/>
      <c r="I743" s="63">
        <f>IF(F743="I",IFERROR(VLOOKUP(C743,'BG 062022'!A:D,4,FALSE),0),0)</f>
        <v>0</v>
      </c>
      <c r="J743" s="887"/>
      <c r="K743" s="47">
        <f>IF(F743="I",SUMIF('BG 2021'!B:B,Clasificaciones!C743,'BG 2021'!D:D),0)</f>
        <v>0</v>
      </c>
      <c r="L743" s="887"/>
      <c r="M743" s="63">
        <f>IF(F743="I",SUMIF('BG 2021'!B:B,Clasificaciones!C743,'BG 2021'!E:E),0)</f>
        <v>0</v>
      </c>
      <c r="N743" s="887"/>
      <c r="O743" s="47">
        <f>IF(F743="I",SUMIF('BG 062021'!A:A,Clasificaciones!C743,'BG 062021'!C:C),0)</f>
        <v>0</v>
      </c>
      <c r="P743" s="887"/>
      <c r="Q743" s="63">
        <f>IF(F743="I",SUMIF('BG 062021'!A:A,Clasificaciones!C743,'BG 062021'!D:D),0)</f>
        <v>0</v>
      </c>
    </row>
    <row r="744" spans="1:18" s="888" customFormat="1" hidden="1">
      <c r="A744" s="885" t="s">
        <v>189</v>
      </c>
      <c r="B744" s="885"/>
      <c r="C744" s="889">
        <v>51103012015</v>
      </c>
      <c r="D744" s="889" t="s">
        <v>1050</v>
      </c>
      <c r="E744" s="886" t="s">
        <v>6</v>
      </c>
      <c r="F744" s="886" t="s">
        <v>271</v>
      </c>
      <c r="G744" s="47">
        <f>IF(F744="I",IFERROR(VLOOKUP(C744,'BG 062022'!A:C,3,FALSE),0),0)</f>
        <v>0</v>
      </c>
      <c r="H744" s="885"/>
      <c r="I744" s="63">
        <f>IF(F744="I",IFERROR(VLOOKUP(C744,'BG 062022'!A:D,4,FALSE),0),0)</f>
        <v>0</v>
      </c>
      <c r="J744" s="887"/>
      <c r="K744" s="47">
        <f>IF(F744="I",SUMIF('BG 2021'!B:B,Clasificaciones!C744,'BG 2021'!D:D),0)</f>
        <v>0</v>
      </c>
      <c r="L744" s="887"/>
      <c r="M744" s="63">
        <f>IF(F744="I",SUMIF('BG 2021'!B:B,Clasificaciones!C744,'BG 2021'!E:E),0)</f>
        <v>0</v>
      </c>
      <c r="N744" s="887"/>
      <c r="O744" s="47">
        <f>IF(F744="I",SUMIF('BG 062021'!A:A,Clasificaciones!C744,'BG 062021'!C:C),0)</f>
        <v>0</v>
      </c>
      <c r="P744" s="887"/>
      <c r="Q744" s="63">
        <f>IF(F744="I",SUMIF('BG 062021'!A:A,Clasificaciones!C744,'BG 062021'!D:D),0)</f>
        <v>0</v>
      </c>
    </row>
    <row r="745" spans="1:18" s="888" customFormat="1" hidden="1">
      <c r="A745" s="885" t="s">
        <v>189</v>
      </c>
      <c r="B745" s="885"/>
      <c r="C745" s="889">
        <v>51103012016</v>
      </c>
      <c r="D745" s="889" t="s">
        <v>772</v>
      </c>
      <c r="E745" s="886" t="s">
        <v>186</v>
      </c>
      <c r="F745" s="886" t="s">
        <v>271</v>
      </c>
      <c r="G745" s="47">
        <f>IF(F745="I",IFERROR(VLOOKUP(C745,'BG 062022'!A:C,3,FALSE),0),0)</f>
        <v>0</v>
      </c>
      <c r="H745" s="885"/>
      <c r="I745" s="63">
        <f>IF(F745="I",IFERROR(VLOOKUP(C745,'BG 062022'!A:D,4,FALSE),0),0)</f>
        <v>0</v>
      </c>
      <c r="J745" s="887"/>
      <c r="K745" s="47">
        <f>IF(F745="I",SUMIF('BG 2021'!B:B,Clasificaciones!C745,'BG 2021'!D:D),0)</f>
        <v>0</v>
      </c>
      <c r="L745" s="887"/>
      <c r="M745" s="63">
        <f>IF(F745="I",SUMIF('BG 2021'!B:B,Clasificaciones!C745,'BG 2021'!E:E),0)</f>
        <v>0</v>
      </c>
      <c r="N745" s="887"/>
      <c r="O745" s="47">
        <f>IF(F745="I",SUMIF('BG 062021'!A:A,Clasificaciones!C745,'BG 062021'!C:C),0)</f>
        <v>0</v>
      </c>
      <c r="P745" s="887"/>
      <c r="Q745" s="63">
        <f>IF(F745="I",SUMIF('BG 062021'!A:A,Clasificaciones!C745,'BG 062021'!D:D),0)</f>
        <v>0</v>
      </c>
    </row>
    <row r="746" spans="1:18" s="888" customFormat="1" hidden="1">
      <c r="A746" s="885" t="s">
        <v>189</v>
      </c>
      <c r="B746" s="885" t="s">
        <v>610</v>
      </c>
      <c r="C746" s="889">
        <v>51103012017</v>
      </c>
      <c r="D746" s="889" t="s">
        <v>773</v>
      </c>
      <c r="E746" s="886" t="s">
        <v>6</v>
      </c>
      <c r="F746" s="886" t="s">
        <v>271</v>
      </c>
      <c r="G746" s="47">
        <f>IF(F746="I",IFERROR(VLOOKUP(C746,'BG 062022'!A:C,3,FALSE),0),0)</f>
        <v>136176813</v>
      </c>
      <c r="H746" s="885"/>
      <c r="I746" s="63">
        <f>IF(F746="I",IFERROR(VLOOKUP(C746,'BG 062022'!A:D,4,FALSE),0),0)</f>
        <v>19578.87</v>
      </c>
      <c r="J746" s="887"/>
      <c r="K746" s="47">
        <f>IF(F746="I",SUMIF('BG 2021'!B:B,Clasificaciones!C746,'BG 2021'!D:D),0)</f>
        <v>4482435203</v>
      </c>
      <c r="L746" s="887"/>
      <c r="M746" s="63">
        <f>IF(F746="I",SUMIF('BG 2021'!B:B,Clasificaciones!C746,'BG 2021'!E:E),0)</f>
        <v>665540.79</v>
      </c>
      <c r="N746" s="887"/>
      <c r="O746" s="47">
        <f>IF(F746="I",SUMIF('BG 062021'!A:A,Clasificaciones!C746,'BG 062021'!C:C),0)</f>
        <v>4288123636</v>
      </c>
      <c r="P746" s="887"/>
      <c r="Q746" s="63">
        <f>IF(F746="I",SUMIF('BG 062021'!A:A,Clasificaciones!C746,'BG 062021'!D:D),0)</f>
        <v>637108.24</v>
      </c>
      <c r="R746" s="888">
        <f>+VLOOKUP(C746,'CA EFE'!A:A,1,FALSE)</f>
        <v>51103012017</v>
      </c>
    </row>
    <row r="747" spans="1:18" s="888" customFormat="1" hidden="1">
      <c r="A747" s="885" t="s">
        <v>189</v>
      </c>
      <c r="B747" s="885" t="s">
        <v>610</v>
      </c>
      <c r="C747" s="889">
        <v>51103012018</v>
      </c>
      <c r="D747" s="889" t="s">
        <v>1409</v>
      </c>
      <c r="E747" s="886" t="s">
        <v>186</v>
      </c>
      <c r="F747" s="886" t="s">
        <v>271</v>
      </c>
      <c r="G747" s="47">
        <f>IF(F747="I",IFERROR(VLOOKUP(C747,'BG 062022'!A:C,3,FALSE),0),0)</f>
        <v>0</v>
      </c>
      <c r="H747" s="885"/>
      <c r="I747" s="63">
        <f>IF(F747="I",IFERROR(VLOOKUP(C747,'BG 062022'!A:D,4,FALSE),0),0)</f>
        <v>0</v>
      </c>
      <c r="J747" s="887"/>
      <c r="K747" s="47">
        <f>IF(F747="I",SUMIF('BG 2021'!B:B,Clasificaciones!C747,'BG 2021'!D:D),0)</f>
        <v>345573068</v>
      </c>
      <c r="L747" s="887"/>
      <c r="M747" s="63">
        <f>IF(F747="I",SUMIF('BG 2021'!B:B,Clasificaciones!C747,'BG 2021'!E:E),0)</f>
        <v>52385.99</v>
      </c>
      <c r="N747" s="887"/>
      <c r="O747" s="47">
        <f>IF(F747="I",SUMIF('BG 062021'!A:A,Clasificaciones!C747,'BG 062021'!C:C),0)</f>
        <v>351672087</v>
      </c>
      <c r="P747" s="887"/>
      <c r="Q747" s="63">
        <f>IF(F747="I",SUMIF('BG 062021'!A:A,Clasificaciones!C747,'BG 062021'!D:D),0)</f>
        <v>53277.760000000002</v>
      </c>
    </row>
    <row r="748" spans="1:18" s="888" customFormat="1" hidden="1">
      <c r="A748" s="885" t="s">
        <v>189</v>
      </c>
      <c r="B748" s="885" t="s">
        <v>610</v>
      </c>
      <c r="C748" s="889">
        <v>51103012019</v>
      </c>
      <c r="D748" s="889" t="s">
        <v>1051</v>
      </c>
      <c r="E748" s="886" t="s">
        <v>6</v>
      </c>
      <c r="F748" s="886" t="s">
        <v>271</v>
      </c>
      <c r="G748" s="47">
        <f>IF(F748="I",IFERROR(VLOOKUP(C748,'BG 062022'!A:C,3,FALSE),0),0)</f>
        <v>1096</v>
      </c>
      <c r="H748" s="885"/>
      <c r="I748" s="63">
        <f>IF(F748="I",IFERROR(VLOOKUP(C748,'BG 062022'!A:D,4,FALSE),0),0)</f>
        <v>0.15</v>
      </c>
      <c r="J748" s="887"/>
      <c r="K748" s="47">
        <f>IF(F748="I",SUMIF('BG 2021'!B:B,Clasificaciones!C748,'BG 2021'!D:D),0)</f>
        <v>887392189</v>
      </c>
      <c r="L748" s="887"/>
      <c r="M748" s="63">
        <f>IF(F748="I",SUMIF('BG 2021'!B:B,Clasificaciones!C748,'BG 2021'!E:E),0)</f>
        <v>128649.97</v>
      </c>
      <c r="N748" s="887"/>
      <c r="O748" s="47">
        <f>IF(F748="I",SUMIF('BG 062021'!A:A,Clasificaciones!C748,'BG 062021'!C:C),0)</f>
        <v>59614416</v>
      </c>
      <c r="P748" s="887"/>
      <c r="Q748" s="63">
        <f>IF(F748="I",SUMIF('BG 062021'!A:A,Clasificaciones!C748,'BG 062021'!D:D),0)</f>
        <v>8836.64</v>
      </c>
      <c r="R748" s="888">
        <f>+VLOOKUP(C748,'CA EFE'!A:A,1,FALSE)</f>
        <v>51103012019</v>
      </c>
    </row>
    <row r="749" spans="1:18" s="888" customFormat="1" hidden="1">
      <c r="A749" s="885" t="s">
        <v>189</v>
      </c>
      <c r="B749" s="885"/>
      <c r="C749" s="889">
        <v>51103012020</v>
      </c>
      <c r="D749" s="889" t="s">
        <v>1052</v>
      </c>
      <c r="E749" s="886" t="s">
        <v>186</v>
      </c>
      <c r="F749" s="886" t="s">
        <v>271</v>
      </c>
      <c r="G749" s="47">
        <f>IF(F749="I",IFERROR(VLOOKUP(C749,'BG 062022'!A:C,3,FALSE),0),0)</f>
        <v>0</v>
      </c>
      <c r="H749" s="885"/>
      <c r="I749" s="63">
        <f>IF(F749="I",IFERROR(VLOOKUP(C749,'BG 062022'!A:D,4,FALSE),0),0)</f>
        <v>0</v>
      </c>
      <c r="J749" s="887"/>
      <c r="K749" s="47">
        <f>IF(F749="I",SUMIF('BG 2021'!B:B,Clasificaciones!C749,'BG 2021'!D:D),0)</f>
        <v>0</v>
      </c>
      <c r="L749" s="887"/>
      <c r="M749" s="63">
        <f>IF(F749="I",SUMIF('BG 2021'!B:B,Clasificaciones!C749,'BG 2021'!E:E),0)</f>
        <v>0</v>
      </c>
      <c r="N749" s="887"/>
      <c r="O749" s="47">
        <f>IF(F749="I",SUMIF('BG 062021'!A:A,Clasificaciones!C749,'BG 062021'!C:C),0)</f>
        <v>0</v>
      </c>
      <c r="P749" s="887"/>
      <c r="Q749" s="63">
        <f>IF(F749="I",SUMIF('BG 062021'!A:A,Clasificaciones!C749,'BG 062021'!D:D),0)</f>
        <v>0</v>
      </c>
    </row>
    <row r="750" spans="1:18" s="888" customFormat="1" hidden="1">
      <c r="A750" s="885" t="s">
        <v>189</v>
      </c>
      <c r="B750" s="885"/>
      <c r="C750" s="889">
        <v>51103012021</v>
      </c>
      <c r="D750" s="889" t="s">
        <v>782</v>
      </c>
      <c r="E750" s="886" t="s">
        <v>6</v>
      </c>
      <c r="F750" s="886" t="s">
        <v>271</v>
      </c>
      <c r="G750" s="47">
        <f>IF(F750="I",IFERROR(VLOOKUP(C750,'BG 062022'!A:C,3,FALSE),0),0)</f>
        <v>0</v>
      </c>
      <c r="H750" s="885"/>
      <c r="I750" s="63">
        <f>IF(F750="I",IFERROR(VLOOKUP(C750,'BG 062022'!A:D,4,FALSE),0),0)</f>
        <v>0</v>
      </c>
      <c r="J750" s="887"/>
      <c r="K750" s="47">
        <f>IF(F750="I",SUMIF('BG 2021'!B:B,Clasificaciones!C750,'BG 2021'!D:D),0)</f>
        <v>0</v>
      </c>
      <c r="L750" s="887"/>
      <c r="M750" s="63">
        <f>IF(F750="I",SUMIF('BG 2021'!B:B,Clasificaciones!C750,'BG 2021'!E:E),0)</f>
        <v>0</v>
      </c>
      <c r="N750" s="887"/>
      <c r="O750" s="47">
        <f>IF(F750="I",SUMIF('BG 062021'!A:A,Clasificaciones!C750,'BG 062021'!C:C),0)</f>
        <v>0</v>
      </c>
      <c r="P750" s="887"/>
      <c r="Q750" s="63">
        <f>IF(F750="I",SUMIF('BG 062021'!A:A,Clasificaciones!C750,'BG 062021'!D:D),0)</f>
        <v>0</v>
      </c>
    </row>
    <row r="751" spans="1:18" s="888" customFormat="1" hidden="1">
      <c r="A751" s="885" t="s">
        <v>189</v>
      </c>
      <c r="B751" s="885"/>
      <c r="C751" s="889">
        <v>51103012022</v>
      </c>
      <c r="D751" s="889" t="s">
        <v>944</v>
      </c>
      <c r="E751" s="886" t="s">
        <v>186</v>
      </c>
      <c r="F751" s="886" t="s">
        <v>271</v>
      </c>
      <c r="G751" s="47">
        <f>IF(F751="I",IFERROR(VLOOKUP(C751,'BG 062022'!A:C,3,FALSE),0),0)</f>
        <v>0</v>
      </c>
      <c r="H751" s="885"/>
      <c r="I751" s="63">
        <f>IF(F751="I",IFERROR(VLOOKUP(C751,'BG 062022'!A:D,4,FALSE),0),0)</f>
        <v>0</v>
      </c>
      <c r="J751" s="887"/>
      <c r="K751" s="47">
        <f>IF(F751="I",SUMIF('BG 2021'!B:B,Clasificaciones!C751,'BG 2021'!D:D),0)</f>
        <v>0</v>
      </c>
      <c r="L751" s="887"/>
      <c r="M751" s="63">
        <f>IF(F751="I",SUMIF('BG 2021'!B:B,Clasificaciones!C751,'BG 2021'!E:E),0)</f>
        <v>0</v>
      </c>
      <c r="N751" s="887"/>
      <c r="O751" s="47">
        <f>IF(F751="I",SUMIF('BG 062021'!A:A,Clasificaciones!C751,'BG 062021'!C:C),0)</f>
        <v>0</v>
      </c>
      <c r="P751" s="887"/>
      <c r="Q751" s="63">
        <f>IF(F751="I",SUMIF('BG 062021'!A:A,Clasificaciones!C751,'BG 062021'!D:D),0)</f>
        <v>0</v>
      </c>
    </row>
    <row r="752" spans="1:18" s="888" customFormat="1" hidden="1">
      <c r="A752" s="885" t="s">
        <v>189</v>
      </c>
      <c r="B752" s="885"/>
      <c r="C752" s="889">
        <v>51103012023</v>
      </c>
      <c r="D752" s="889" t="s">
        <v>1053</v>
      </c>
      <c r="E752" s="886" t="s">
        <v>6</v>
      </c>
      <c r="F752" s="886" t="s">
        <v>271</v>
      </c>
      <c r="G752" s="47">
        <f>IF(F752="I",IFERROR(VLOOKUP(C752,'BG 062022'!A:C,3,FALSE),0),0)</f>
        <v>0</v>
      </c>
      <c r="H752" s="885"/>
      <c r="I752" s="63">
        <f>IF(F752="I",IFERROR(VLOOKUP(C752,'BG 062022'!A:D,4,FALSE),0),0)</f>
        <v>0</v>
      </c>
      <c r="J752" s="887"/>
      <c r="K752" s="47">
        <f>IF(F752="I",SUMIF('BG 2021'!B:B,Clasificaciones!C752,'BG 2021'!D:D),0)</f>
        <v>0</v>
      </c>
      <c r="L752" s="887"/>
      <c r="M752" s="63">
        <f>IF(F752="I",SUMIF('BG 2021'!B:B,Clasificaciones!C752,'BG 2021'!E:E),0)</f>
        <v>0</v>
      </c>
      <c r="N752" s="887"/>
      <c r="O752" s="47">
        <f>IF(F752="I",SUMIF('BG 062021'!A:A,Clasificaciones!C752,'BG 062021'!C:C),0)</f>
        <v>0</v>
      </c>
      <c r="P752" s="887"/>
      <c r="Q752" s="63">
        <f>IF(F752="I",SUMIF('BG 062021'!A:A,Clasificaciones!C752,'BG 062021'!D:D),0)</f>
        <v>0</v>
      </c>
    </row>
    <row r="753" spans="1:18" s="888" customFormat="1" hidden="1">
      <c r="A753" s="885" t="s">
        <v>189</v>
      </c>
      <c r="B753" s="885"/>
      <c r="C753" s="889">
        <v>51103012024</v>
      </c>
      <c r="D753" s="889" t="s">
        <v>1054</v>
      </c>
      <c r="E753" s="886" t="s">
        <v>186</v>
      </c>
      <c r="F753" s="886" t="s">
        <v>271</v>
      </c>
      <c r="G753" s="47">
        <f>IF(F753="I",IFERROR(VLOOKUP(C753,'BG 062022'!A:C,3,FALSE),0),0)</f>
        <v>0</v>
      </c>
      <c r="H753" s="885"/>
      <c r="I753" s="63">
        <f>IF(F753="I",IFERROR(VLOOKUP(C753,'BG 062022'!A:D,4,FALSE),0),0)</f>
        <v>0</v>
      </c>
      <c r="J753" s="887"/>
      <c r="K753" s="47">
        <f>IF(F753="I",SUMIF('BG 2021'!B:B,Clasificaciones!C753,'BG 2021'!D:D),0)</f>
        <v>0</v>
      </c>
      <c r="L753" s="887"/>
      <c r="M753" s="63">
        <f>IF(F753="I",SUMIF('BG 2021'!B:B,Clasificaciones!C753,'BG 2021'!E:E),0)</f>
        <v>0</v>
      </c>
      <c r="N753" s="887"/>
      <c r="O753" s="47">
        <f>IF(F753="I",SUMIF('BG 062021'!A:A,Clasificaciones!C753,'BG 062021'!C:C),0)</f>
        <v>0</v>
      </c>
      <c r="P753" s="887"/>
      <c r="Q753" s="63">
        <f>IF(F753="I",SUMIF('BG 062021'!A:A,Clasificaciones!C753,'BG 062021'!D:D),0)</f>
        <v>0</v>
      </c>
    </row>
    <row r="754" spans="1:18" s="888" customFormat="1" hidden="1">
      <c r="A754" s="885" t="s">
        <v>189</v>
      </c>
      <c r="B754" s="885"/>
      <c r="C754" s="889">
        <v>51103012025</v>
      </c>
      <c r="D754" s="889" t="s">
        <v>1055</v>
      </c>
      <c r="E754" s="886" t="s">
        <v>6</v>
      </c>
      <c r="F754" s="886" t="s">
        <v>271</v>
      </c>
      <c r="G754" s="47">
        <f>IF(F754="I",IFERROR(VLOOKUP(C754,'BG 062022'!A:C,3,FALSE),0),0)</f>
        <v>0</v>
      </c>
      <c r="H754" s="885"/>
      <c r="I754" s="63">
        <f>IF(F754="I",IFERROR(VLOOKUP(C754,'BG 062022'!A:D,4,FALSE),0),0)</f>
        <v>0</v>
      </c>
      <c r="J754" s="887"/>
      <c r="K754" s="47">
        <f>IF(F754="I",SUMIF('BG 2021'!B:B,Clasificaciones!C754,'BG 2021'!D:D),0)</f>
        <v>0</v>
      </c>
      <c r="L754" s="887"/>
      <c r="M754" s="63">
        <f>IF(F754="I",SUMIF('BG 2021'!B:B,Clasificaciones!C754,'BG 2021'!E:E),0)</f>
        <v>0</v>
      </c>
      <c r="N754" s="887"/>
      <c r="O754" s="47">
        <f>IF(F754="I",SUMIF('BG 062021'!A:A,Clasificaciones!C754,'BG 062021'!C:C),0)</f>
        <v>0</v>
      </c>
      <c r="P754" s="887"/>
      <c r="Q754" s="63">
        <f>IF(F754="I",SUMIF('BG 062021'!A:A,Clasificaciones!C754,'BG 062021'!D:D),0)</f>
        <v>0</v>
      </c>
    </row>
    <row r="755" spans="1:18" s="888" customFormat="1" hidden="1">
      <c r="A755" s="885" t="s">
        <v>189</v>
      </c>
      <c r="B755" s="885"/>
      <c r="C755" s="889">
        <v>51103012026</v>
      </c>
      <c r="D755" s="889" t="s">
        <v>1056</v>
      </c>
      <c r="E755" s="886" t="s">
        <v>186</v>
      </c>
      <c r="F755" s="886" t="s">
        <v>271</v>
      </c>
      <c r="G755" s="47">
        <f>IF(F755="I",IFERROR(VLOOKUP(C755,'BG 062022'!A:C,3,FALSE),0),0)</f>
        <v>0</v>
      </c>
      <c r="H755" s="885"/>
      <c r="I755" s="63">
        <f>IF(F755="I",IFERROR(VLOOKUP(C755,'BG 062022'!A:D,4,FALSE),0),0)</f>
        <v>0</v>
      </c>
      <c r="J755" s="887"/>
      <c r="K755" s="47">
        <f>IF(F755="I",SUMIF('BG 2021'!B:B,Clasificaciones!C755,'BG 2021'!D:D),0)</f>
        <v>0</v>
      </c>
      <c r="L755" s="887"/>
      <c r="M755" s="63">
        <f>IF(F755="I",SUMIF('BG 2021'!B:B,Clasificaciones!C755,'BG 2021'!E:E),0)</f>
        <v>0</v>
      </c>
      <c r="N755" s="887"/>
      <c r="O755" s="47">
        <f>IF(F755="I",SUMIF('BG 062021'!A:A,Clasificaciones!C755,'BG 062021'!C:C),0)</f>
        <v>0</v>
      </c>
      <c r="P755" s="887"/>
      <c r="Q755" s="63">
        <f>IF(F755="I",SUMIF('BG 062021'!A:A,Clasificaciones!C755,'BG 062021'!D:D),0)</f>
        <v>0</v>
      </c>
    </row>
    <row r="756" spans="1:18" s="888" customFormat="1" hidden="1">
      <c r="A756" s="885" t="s">
        <v>189</v>
      </c>
      <c r="B756" s="885"/>
      <c r="C756" s="889">
        <v>51103012027</v>
      </c>
      <c r="D756" s="889" t="s">
        <v>1057</v>
      </c>
      <c r="E756" s="886" t="s">
        <v>6</v>
      </c>
      <c r="F756" s="886" t="s">
        <v>271</v>
      </c>
      <c r="G756" s="47">
        <f>IF(F756="I",IFERROR(VLOOKUP(C756,'BG 062022'!A:C,3,FALSE),0),0)</f>
        <v>0</v>
      </c>
      <c r="H756" s="885"/>
      <c r="I756" s="63">
        <f>IF(F756="I",IFERROR(VLOOKUP(C756,'BG 062022'!A:D,4,FALSE),0),0)</f>
        <v>0</v>
      </c>
      <c r="J756" s="887"/>
      <c r="K756" s="47">
        <f>IF(F756="I",SUMIF('BG 2021'!B:B,Clasificaciones!C756,'BG 2021'!D:D),0)</f>
        <v>0</v>
      </c>
      <c r="L756" s="887"/>
      <c r="M756" s="63">
        <f>IF(F756="I",SUMIF('BG 2021'!B:B,Clasificaciones!C756,'BG 2021'!E:E),0)</f>
        <v>0</v>
      </c>
      <c r="N756" s="887"/>
      <c r="O756" s="47">
        <f>IF(F756="I",SUMIF('BG 062021'!A:A,Clasificaciones!C756,'BG 062021'!C:C),0)</f>
        <v>0</v>
      </c>
      <c r="P756" s="887"/>
      <c r="Q756" s="63">
        <f>IF(F756="I",SUMIF('BG 062021'!A:A,Clasificaciones!C756,'BG 062021'!D:D),0)</f>
        <v>0</v>
      </c>
    </row>
    <row r="757" spans="1:18" s="888" customFormat="1" hidden="1">
      <c r="A757" s="885" t="s">
        <v>189</v>
      </c>
      <c r="B757" s="885"/>
      <c r="C757" s="889">
        <v>51103012028</v>
      </c>
      <c r="D757" s="889" t="s">
        <v>1058</v>
      </c>
      <c r="E757" s="886" t="s">
        <v>186</v>
      </c>
      <c r="F757" s="886" t="s">
        <v>271</v>
      </c>
      <c r="G757" s="47">
        <f>IF(F757="I",IFERROR(VLOOKUP(C757,'BG 062022'!A:C,3,FALSE),0),0)</f>
        <v>0</v>
      </c>
      <c r="H757" s="885"/>
      <c r="I757" s="63">
        <f>IF(F757="I",IFERROR(VLOOKUP(C757,'BG 062022'!A:D,4,FALSE),0),0)</f>
        <v>0</v>
      </c>
      <c r="J757" s="887"/>
      <c r="K757" s="47">
        <f>IF(F757="I",SUMIF('BG 2021'!B:B,Clasificaciones!C757,'BG 2021'!D:D),0)</f>
        <v>0</v>
      </c>
      <c r="L757" s="887"/>
      <c r="M757" s="63">
        <f>IF(F757="I",SUMIF('BG 2021'!B:B,Clasificaciones!C757,'BG 2021'!E:E),0)</f>
        <v>0</v>
      </c>
      <c r="N757" s="887"/>
      <c r="O757" s="47">
        <f>IF(F757="I",SUMIF('BG 062021'!A:A,Clasificaciones!C757,'BG 062021'!C:C),0)</f>
        <v>0</v>
      </c>
      <c r="P757" s="887"/>
      <c r="Q757" s="63">
        <f>IF(F757="I",SUMIF('BG 062021'!A:A,Clasificaciones!C757,'BG 062021'!D:D),0)</f>
        <v>0</v>
      </c>
    </row>
    <row r="758" spans="1:18" s="888" customFormat="1" hidden="1">
      <c r="A758" s="885" t="s">
        <v>189</v>
      </c>
      <c r="B758" s="885" t="s">
        <v>610</v>
      </c>
      <c r="C758" s="889">
        <v>51103012029</v>
      </c>
      <c r="D758" s="889" t="s">
        <v>648</v>
      </c>
      <c r="E758" s="886" t="s">
        <v>6</v>
      </c>
      <c r="F758" s="886" t="s">
        <v>271</v>
      </c>
      <c r="G758" s="47">
        <f>IF(F758="I",IFERROR(VLOOKUP(C758,'BG 062022'!A:C,3,FALSE),0),0)</f>
        <v>33750148</v>
      </c>
      <c r="H758" s="885"/>
      <c r="I758" s="63">
        <f>IF(F758="I",IFERROR(VLOOKUP(C758,'BG 062022'!A:D,4,FALSE),0),0)</f>
        <v>4856.22</v>
      </c>
      <c r="J758" s="887"/>
      <c r="K758" s="47">
        <f>IF(F758="I",SUMIF('BG 2021'!B:B,Clasificaciones!C758,'BG 2021'!D:D),0)</f>
        <v>664723895</v>
      </c>
      <c r="L758" s="887"/>
      <c r="M758" s="63">
        <f>IF(F758="I",SUMIF('BG 2021'!B:B,Clasificaciones!C758,'BG 2021'!E:E),0)</f>
        <v>96067.6</v>
      </c>
      <c r="N758" s="887"/>
      <c r="O758" s="47">
        <f>IF(F758="I",SUMIF('BG 062021'!A:A,Clasificaciones!C758,'BG 062021'!C:C),0)</f>
        <v>533996195</v>
      </c>
      <c r="P758" s="887"/>
      <c r="Q758" s="63">
        <f>IF(F758="I",SUMIF('BG 062021'!A:A,Clasificaciones!C758,'BG 062021'!D:D),0)</f>
        <v>77137.98</v>
      </c>
      <c r="R758" s="888">
        <f>+VLOOKUP(C758,'CA EFE'!A:A,1,FALSE)</f>
        <v>51103012029</v>
      </c>
    </row>
    <row r="759" spans="1:18" s="888" customFormat="1" hidden="1">
      <c r="A759" s="885" t="s">
        <v>189</v>
      </c>
      <c r="B759" s="885" t="s">
        <v>610</v>
      </c>
      <c r="C759" s="889">
        <v>51103012030</v>
      </c>
      <c r="D759" s="889" t="s">
        <v>877</v>
      </c>
      <c r="E759" s="886" t="s">
        <v>186</v>
      </c>
      <c r="F759" s="886" t="s">
        <v>271</v>
      </c>
      <c r="G759" s="47">
        <f>IF(F759="I",IFERROR(VLOOKUP(C759,'BG 062022'!A:C,3,FALSE),0),0)</f>
        <v>0</v>
      </c>
      <c r="H759" s="885"/>
      <c r="I759" s="63">
        <f>IF(F759="I",IFERROR(VLOOKUP(C759,'BG 062022'!A:D,4,FALSE),0),0)</f>
        <v>0</v>
      </c>
      <c r="J759" s="887"/>
      <c r="K759" s="47">
        <f>IF(F759="I",SUMIF('BG 2021'!B:B,Clasificaciones!C759,'BG 2021'!D:D),0)</f>
        <v>0</v>
      </c>
      <c r="L759" s="887"/>
      <c r="M759" s="63">
        <f>IF(F759="I",SUMIF('BG 2021'!B:B,Clasificaciones!C759,'BG 2021'!E:E),0)</f>
        <v>0</v>
      </c>
      <c r="N759" s="887"/>
      <c r="O759" s="47">
        <f>IF(F759="I",SUMIF('BG 062021'!A:A,Clasificaciones!C759,'BG 062021'!C:C),0)</f>
        <v>0</v>
      </c>
      <c r="P759" s="887"/>
      <c r="Q759" s="63">
        <f>IF(F759="I",SUMIF('BG 062021'!A:A,Clasificaciones!C759,'BG 062021'!D:D),0)</f>
        <v>0</v>
      </c>
    </row>
    <row r="760" spans="1:18" s="888" customFormat="1" hidden="1">
      <c r="A760" s="885" t="s">
        <v>189</v>
      </c>
      <c r="B760" s="885"/>
      <c r="C760" s="889">
        <v>51103012031</v>
      </c>
      <c r="D760" s="889" t="s">
        <v>935</v>
      </c>
      <c r="E760" s="886" t="s">
        <v>6</v>
      </c>
      <c r="F760" s="886" t="s">
        <v>271</v>
      </c>
      <c r="G760" s="47">
        <f>IF(F760="I",IFERROR(VLOOKUP(C760,'BG 062022'!A:C,3,FALSE),0),0)</f>
        <v>0</v>
      </c>
      <c r="H760" s="885"/>
      <c r="I760" s="63">
        <f>IF(F760="I",IFERROR(VLOOKUP(C760,'BG 062022'!A:D,4,FALSE),0),0)</f>
        <v>0</v>
      </c>
      <c r="J760" s="887"/>
      <c r="K760" s="47">
        <f>IF(F760="I",SUMIF('BG 2021'!B:B,Clasificaciones!C760,'BG 2021'!D:D),0)</f>
        <v>0</v>
      </c>
      <c r="L760" s="887"/>
      <c r="M760" s="63">
        <f>IF(F760="I",SUMIF('BG 2021'!B:B,Clasificaciones!C760,'BG 2021'!E:E),0)</f>
        <v>0</v>
      </c>
      <c r="N760" s="887"/>
      <c r="O760" s="47">
        <f>IF(F760="I",SUMIF('BG 062021'!A:A,Clasificaciones!C760,'BG 062021'!C:C),0)</f>
        <v>0</v>
      </c>
      <c r="P760" s="887"/>
      <c r="Q760" s="63">
        <f>IF(F760="I",SUMIF('BG 062021'!A:A,Clasificaciones!C760,'BG 062021'!D:D),0)</f>
        <v>0</v>
      </c>
    </row>
    <row r="761" spans="1:18" s="888" customFormat="1" hidden="1">
      <c r="A761" s="885" t="s">
        <v>189</v>
      </c>
      <c r="B761" s="885" t="s">
        <v>610</v>
      </c>
      <c r="C761" s="889">
        <v>51103012032</v>
      </c>
      <c r="D761" s="889" t="s">
        <v>784</v>
      </c>
      <c r="E761" s="886" t="s">
        <v>6</v>
      </c>
      <c r="F761" s="886" t="s">
        <v>271</v>
      </c>
      <c r="G761" s="47">
        <f>IF(F761="I",IFERROR(VLOOKUP(C761,'BG 062022'!A:C,3,FALSE),0),0)</f>
        <v>0</v>
      </c>
      <c r="H761" s="885"/>
      <c r="I761" s="63">
        <f>IF(F761="I",IFERROR(VLOOKUP(C761,'BG 062022'!A:D,4,FALSE),0),0)</f>
        <v>0</v>
      </c>
      <c r="J761" s="887"/>
      <c r="K761" s="47">
        <f>IF(F761="I",SUMIF('BG 2021'!B:B,Clasificaciones!C761,'BG 2021'!D:D),0)</f>
        <v>168257336</v>
      </c>
      <c r="L761" s="887"/>
      <c r="M761" s="63">
        <f>IF(F761="I",SUMIF('BG 2021'!B:B,Clasificaciones!C761,'BG 2021'!E:E),0)</f>
        <v>24518.33</v>
      </c>
      <c r="N761" s="887"/>
      <c r="O761" s="47">
        <f>IF(F761="I",SUMIF('BG 062021'!A:A,Clasificaciones!C761,'BG 062021'!C:C),0)</f>
        <v>168257336</v>
      </c>
      <c r="P761" s="887"/>
      <c r="Q761" s="63">
        <f>IF(F761="I",SUMIF('BG 062021'!A:A,Clasificaciones!C761,'BG 062021'!D:D),0)</f>
        <v>24518.33</v>
      </c>
    </row>
    <row r="762" spans="1:18" s="888" customFormat="1" hidden="1">
      <c r="A762" s="885" t="s">
        <v>189</v>
      </c>
      <c r="B762" s="885"/>
      <c r="C762" s="889">
        <v>51103012033</v>
      </c>
      <c r="D762" s="889" t="s">
        <v>1062</v>
      </c>
      <c r="E762" s="886" t="s">
        <v>186</v>
      </c>
      <c r="F762" s="886" t="s">
        <v>271</v>
      </c>
      <c r="G762" s="47">
        <f>IF(F762="I",IFERROR(VLOOKUP(C762,'BG 062022'!A:C,3,FALSE),0),0)</f>
        <v>0</v>
      </c>
      <c r="H762" s="885"/>
      <c r="I762" s="63">
        <f>IF(F762="I",IFERROR(VLOOKUP(C762,'BG 062022'!A:D,4,FALSE),0),0)</f>
        <v>0</v>
      </c>
      <c r="J762" s="887"/>
      <c r="K762" s="47">
        <f>IF(F762="I",SUMIF('BG 2021'!B:B,Clasificaciones!C762,'BG 2021'!D:D),0)</f>
        <v>0</v>
      </c>
      <c r="L762" s="887"/>
      <c r="M762" s="63">
        <f>IF(F762="I",SUMIF('BG 2021'!B:B,Clasificaciones!C762,'BG 2021'!E:E),0)</f>
        <v>0</v>
      </c>
      <c r="N762" s="887"/>
      <c r="O762" s="47">
        <f>IF(F762="I",SUMIF('BG 062021'!A:A,Clasificaciones!C762,'BG 062021'!C:C),0)</f>
        <v>0</v>
      </c>
      <c r="P762" s="887"/>
      <c r="Q762" s="63">
        <f>IF(F762="I",SUMIF('BG 062021'!A:A,Clasificaciones!C762,'BG 062021'!D:D),0)</f>
        <v>0</v>
      </c>
    </row>
    <row r="763" spans="1:18" s="888" customFormat="1" hidden="1">
      <c r="A763" s="885" t="s">
        <v>189</v>
      </c>
      <c r="B763" s="885"/>
      <c r="C763" s="889">
        <v>511030130</v>
      </c>
      <c r="D763" s="889" t="s">
        <v>1198</v>
      </c>
      <c r="E763" s="886" t="s">
        <v>6</v>
      </c>
      <c r="F763" s="886" t="s">
        <v>270</v>
      </c>
      <c r="G763" s="47">
        <f>IF(F763="I",IFERROR(VLOOKUP(C763,'BG 062022'!A:C,3,FALSE),0),0)</f>
        <v>0</v>
      </c>
      <c r="H763" s="885"/>
      <c r="I763" s="63">
        <f>IF(F763="I",IFERROR(VLOOKUP(C763,'BG 062022'!A:D,4,FALSE),0),0)</f>
        <v>0</v>
      </c>
      <c r="J763" s="887"/>
      <c r="K763" s="47">
        <f>IF(F763="I",SUMIF('BG 2021'!B:B,Clasificaciones!C763,'BG 2021'!D:D),0)</f>
        <v>0</v>
      </c>
      <c r="L763" s="887"/>
      <c r="M763" s="63">
        <f>IF(F763="I",SUMIF('BG 2021'!B:B,Clasificaciones!C763,'BG 2021'!E:E),0)</f>
        <v>0</v>
      </c>
      <c r="N763" s="887"/>
      <c r="O763" s="47">
        <f>IF(F763="I",SUMIF('BG 062021'!A:A,Clasificaciones!C763,'BG 062021'!C:C),0)</f>
        <v>0</v>
      </c>
      <c r="P763" s="887"/>
      <c r="Q763" s="63">
        <f>IF(F763="I",SUMIF('BG 062021'!A:A,Clasificaciones!C763,'BG 062021'!D:D),0)</f>
        <v>0</v>
      </c>
    </row>
    <row r="764" spans="1:18" s="888" customFormat="1" hidden="1">
      <c r="A764" s="885" t="s">
        <v>189</v>
      </c>
      <c r="B764" s="885" t="s">
        <v>610</v>
      </c>
      <c r="C764" s="889">
        <v>51103013001</v>
      </c>
      <c r="D764" s="889" t="s">
        <v>1199</v>
      </c>
      <c r="E764" s="886" t="s">
        <v>6</v>
      </c>
      <c r="F764" s="886" t="s">
        <v>271</v>
      </c>
      <c r="G764" s="47">
        <f>IF(F764="I",IFERROR(VLOOKUP(C764,'BG 062022'!A:C,3,FALSE),0),0)</f>
        <v>0</v>
      </c>
      <c r="H764" s="885"/>
      <c r="I764" s="63">
        <f>IF(F764="I",IFERROR(VLOOKUP(C764,'BG 062022'!A:D,4,FALSE),0),0)</f>
        <v>0</v>
      </c>
      <c r="J764" s="887"/>
      <c r="K764" s="47">
        <f>IF(F764="I",SUMIF('BG 2021'!B:B,Clasificaciones!C764,'BG 2021'!D:D),0)</f>
        <v>0</v>
      </c>
      <c r="L764" s="887"/>
      <c r="M764" s="63">
        <f>IF(F764="I",SUMIF('BG 2021'!B:B,Clasificaciones!C764,'BG 2021'!E:E),0)</f>
        <v>0</v>
      </c>
      <c r="N764" s="887"/>
      <c r="O764" s="47">
        <f>IF(F764="I",SUMIF('BG 062021'!A:A,Clasificaciones!C764,'BG 062021'!C:C),0)</f>
        <v>170000000</v>
      </c>
      <c r="P764" s="887"/>
      <c r="Q764" s="63">
        <f>IF(F764="I",SUMIF('BG 062021'!A:A,Clasificaciones!C764,'BG 062021'!D:D),0)</f>
        <v>25142.83</v>
      </c>
    </row>
    <row r="765" spans="1:18" s="888" customFormat="1" hidden="1">
      <c r="A765" s="885" t="s">
        <v>189</v>
      </c>
      <c r="B765" s="885"/>
      <c r="C765" s="889">
        <v>51104</v>
      </c>
      <c r="D765" s="889" t="s">
        <v>805</v>
      </c>
      <c r="E765" s="886" t="s">
        <v>6</v>
      </c>
      <c r="F765" s="886" t="s">
        <v>270</v>
      </c>
      <c r="G765" s="47">
        <f>IF(F765="I",IFERROR(VLOOKUP(C765,'BG 062022'!A:C,3,FALSE),0),0)</f>
        <v>0</v>
      </c>
      <c r="H765" s="885"/>
      <c r="I765" s="63">
        <f>IF(F765="I",IFERROR(VLOOKUP(C765,'BG 062022'!A:D,4,FALSE),0),0)</f>
        <v>0</v>
      </c>
      <c r="J765" s="887"/>
      <c r="K765" s="47">
        <f>IF(F765="I",SUMIF('BG 2021'!B:B,Clasificaciones!C765,'BG 2021'!D:D),0)</f>
        <v>0</v>
      </c>
      <c r="L765" s="887"/>
      <c r="M765" s="63">
        <f>IF(F765="I",SUMIF('BG 2021'!B:B,Clasificaciones!C765,'BG 2021'!E:E),0)</f>
        <v>0</v>
      </c>
      <c r="N765" s="887"/>
      <c r="O765" s="47">
        <f>IF(F765="I",SUMIF('BG 062021'!A:A,Clasificaciones!C765,'BG 062021'!C:C),0)</f>
        <v>0</v>
      </c>
      <c r="P765" s="887"/>
      <c r="Q765" s="63">
        <f>IF(F765="I",SUMIF('BG 062021'!A:A,Clasificaciones!C765,'BG 062021'!D:D),0)</f>
        <v>0</v>
      </c>
    </row>
    <row r="766" spans="1:18" s="888" customFormat="1" hidden="1">
      <c r="A766" s="885" t="s">
        <v>189</v>
      </c>
      <c r="B766" s="885" t="s">
        <v>610</v>
      </c>
      <c r="C766" s="889">
        <v>5110401</v>
      </c>
      <c r="D766" s="889" t="s">
        <v>805</v>
      </c>
      <c r="E766" s="886" t="s">
        <v>6</v>
      </c>
      <c r="F766" s="886" t="s">
        <v>271</v>
      </c>
      <c r="G766" s="47">
        <f>IF(F766="I",IFERROR(VLOOKUP(C766,'BG 062022'!A:C,3,FALSE),0),0)</f>
        <v>3641710</v>
      </c>
      <c r="H766" s="885"/>
      <c r="I766" s="63">
        <f>IF(F766="I",IFERROR(VLOOKUP(C766,'BG 062022'!A:D,4,FALSE),0),0)</f>
        <v>522.89</v>
      </c>
      <c r="J766" s="887"/>
      <c r="K766" s="47">
        <f>IF(F766="I",SUMIF('BG 2021'!B:B,Clasificaciones!C766,'BG 2021'!D:D),0)</f>
        <v>3409841</v>
      </c>
      <c r="L766" s="887"/>
      <c r="M766" s="63">
        <f>IF(F766="I",SUMIF('BG 2021'!B:B,Clasificaciones!C766,'BG 2021'!E:E),0)</f>
        <v>516.46</v>
      </c>
      <c r="N766" s="887"/>
      <c r="O766" s="47">
        <f>IF(F766="I",SUMIF('BG 062021'!A:A,Clasificaciones!C766,'BG 062021'!C:C),0)</f>
        <v>3409841</v>
      </c>
      <c r="P766" s="887"/>
      <c r="Q766" s="63">
        <f>IF(F766="I",SUMIF('BG 062021'!A:A,Clasificaciones!C766,'BG 062021'!D:D),0)</f>
        <v>516.46</v>
      </c>
      <c r="R766" s="888">
        <f>+VLOOKUP(C766,'CA EFE'!A:A,1,FALSE)</f>
        <v>5110401</v>
      </c>
    </row>
    <row r="767" spans="1:18" s="888" customFormat="1" hidden="1">
      <c r="A767" s="885" t="s">
        <v>189</v>
      </c>
      <c r="B767" s="885"/>
      <c r="C767" s="889">
        <v>512</v>
      </c>
      <c r="D767" s="889" t="s">
        <v>233</v>
      </c>
      <c r="E767" s="886" t="s">
        <v>6</v>
      </c>
      <c r="F767" s="886" t="s">
        <v>270</v>
      </c>
      <c r="G767" s="47">
        <f>IF(F767="I",IFERROR(VLOOKUP(C767,'BG 062022'!A:C,3,FALSE),0),0)</f>
        <v>0</v>
      </c>
      <c r="H767" s="885"/>
      <c r="I767" s="63">
        <f>IF(F767="I",IFERROR(VLOOKUP(C767,'BG 062022'!A:D,4,FALSE),0),0)</f>
        <v>0</v>
      </c>
      <c r="J767" s="887"/>
      <c r="K767" s="47">
        <f>IF(F767="I",SUMIF('BG 2021'!B:B,Clasificaciones!C767,'BG 2021'!D:D),0)</f>
        <v>0</v>
      </c>
      <c r="L767" s="887"/>
      <c r="M767" s="63">
        <f>IF(F767="I",SUMIF('BG 2021'!B:B,Clasificaciones!C767,'BG 2021'!E:E),0)</f>
        <v>0</v>
      </c>
      <c r="N767" s="887"/>
      <c r="O767" s="47">
        <f>IF(F767="I",SUMIF('BG 062021'!A:A,Clasificaciones!C767,'BG 062021'!C:C),0)</f>
        <v>0</v>
      </c>
      <c r="P767" s="887"/>
      <c r="Q767" s="63">
        <f>IF(F767="I",SUMIF('BG 062021'!A:A,Clasificaciones!C767,'BG 062021'!D:D),0)</f>
        <v>0</v>
      </c>
    </row>
    <row r="768" spans="1:18" s="888" customFormat="1" hidden="1">
      <c r="A768" s="885" t="s">
        <v>189</v>
      </c>
      <c r="B768" s="885" t="s">
        <v>42</v>
      </c>
      <c r="C768" s="889">
        <v>51201</v>
      </c>
      <c r="D768" s="889" t="s">
        <v>806</v>
      </c>
      <c r="E768" s="886" t="s">
        <v>6</v>
      </c>
      <c r="F768" s="886" t="s">
        <v>271</v>
      </c>
      <c r="G768" s="47">
        <f>IF(F768="I",IFERROR(VLOOKUP(C768,'BG 062022'!A:C,3,FALSE),0),0)</f>
        <v>163174020</v>
      </c>
      <c r="H768" s="885"/>
      <c r="I768" s="63">
        <f>IF(F768="I",IFERROR(VLOOKUP(C768,'BG 062022'!A:D,4,FALSE),0),0)</f>
        <v>23256.41</v>
      </c>
      <c r="J768" s="887"/>
      <c r="K768" s="47">
        <f>IF(F768="I",SUMIF('BG 2021'!B:B,Clasificaciones!C768,'BG 2021'!D:D),0)</f>
        <v>159343543</v>
      </c>
      <c r="L768" s="887"/>
      <c r="M768" s="63">
        <f>IF(F768="I",SUMIF('BG 2021'!B:B,Clasificaciones!C768,'BG 2021'!E:E),0)</f>
        <v>23850.829999999998</v>
      </c>
      <c r="N768" s="887"/>
      <c r="O768" s="47">
        <f>IF(F768="I",SUMIF('BG 062021'!A:A,Clasificaciones!C768,'BG 062021'!C:C),0)</f>
        <v>120000000</v>
      </c>
      <c r="P768" s="887"/>
      <c r="Q768" s="63">
        <f>IF(F768="I",SUMIF('BG 062021'!A:A,Clasificaciones!C768,'BG 062021'!D:D),0)</f>
        <v>18164.5</v>
      </c>
      <c r="R768" s="888">
        <f>+VLOOKUP(C768,'CA EFE'!A:A,1,FALSE)</f>
        <v>51201</v>
      </c>
    </row>
    <row r="769" spans="1:18" s="888" customFormat="1" hidden="1">
      <c r="A769" s="885" t="s">
        <v>189</v>
      </c>
      <c r="B769" s="885"/>
      <c r="C769" s="889">
        <v>51202</v>
      </c>
      <c r="D769" s="889" t="s">
        <v>1081</v>
      </c>
      <c r="E769" s="886" t="s">
        <v>6</v>
      </c>
      <c r="F769" s="886" t="s">
        <v>271</v>
      </c>
      <c r="G769" s="47">
        <f>IF(F769="I",IFERROR(VLOOKUP(C769,'BG 062022'!A:C,3,FALSE),0),0)</f>
        <v>0</v>
      </c>
      <c r="H769" s="885"/>
      <c r="I769" s="63">
        <f>IF(F769="I",IFERROR(VLOOKUP(C769,'BG 062022'!A:D,4,FALSE),0),0)</f>
        <v>0</v>
      </c>
      <c r="J769" s="887"/>
      <c r="K769" s="47">
        <f>IF(F769="I",SUMIF('BG 2021'!B:B,Clasificaciones!C769,'BG 2021'!D:D),0)</f>
        <v>0</v>
      </c>
      <c r="L769" s="887"/>
      <c r="M769" s="63">
        <f>IF(F769="I",SUMIF('BG 2021'!B:B,Clasificaciones!C769,'BG 2021'!E:E),0)</f>
        <v>0</v>
      </c>
      <c r="N769" s="887"/>
      <c r="O769" s="47">
        <f>IF(F769="I",SUMIF('BG 062021'!A:A,Clasificaciones!C769,'BG 062021'!C:C),0)</f>
        <v>0</v>
      </c>
      <c r="P769" s="887"/>
      <c r="Q769" s="63">
        <f>IF(F769="I",SUMIF('BG 062021'!A:A,Clasificaciones!C769,'BG 062021'!D:D),0)</f>
        <v>0</v>
      </c>
    </row>
    <row r="770" spans="1:18" s="888" customFormat="1" hidden="1">
      <c r="A770" s="885" t="s">
        <v>189</v>
      </c>
      <c r="B770" s="885" t="s">
        <v>43</v>
      </c>
      <c r="C770" s="889">
        <v>51203</v>
      </c>
      <c r="D770" s="889" t="s">
        <v>177</v>
      </c>
      <c r="E770" s="886" t="s">
        <v>6</v>
      </c>
      <c r="F770" s="886" t="s">
        <v>271</v>
      </c>
      <c r="G770" s="47">
        <f>IF(F770="I",IFERROR(VLOOKUP(C770,'BG 062022'!A:C,3,FALSE),0),0)</f>
        <v>45608034</v>
      </c>
      <c r="H770" s="885"/>
      <c r="I770" s="63">
        <f>IF(F770="I",IFERROR(VLOOKUP(C770,'BG 062022'!A:D,4,FALSE),0),0)</f>
        <v>6608.17</v>
      </c>
      <c r="J770" s="887"/>
      <c r="K770" s="47">
        <f>IF(F770="I",SUMIF('BG 2021'!B:B,Clasificaciones!C770,'BG 2021'!D:D),0)</f>
        <v>14367957</v>
      </c>
      <c r="L770" s="887"/>
      <c r="M770" s="63">
        <f>IF(F770="I",SUMIF('BG 2021'!B:B,Clasificaciones!C770,'BG 2021'!E:E),0)</f>
        <v>2097.36</v>
      </c>
      <c r="N770" s="887"/>
      <c r="O770" s="47">
        <f>IF(F770="I",SUMIF('BG 062021'!A:A,Clasificaciones!C770,'BG 062021'!C:C),0)</f>
        <v>0</v>
      </c>
      <c r="P770" s="887"/>
      <c r="Q770" s="63">
        <f>IF(F770="I",SUMIF('BG 062021'!A:A,Clasificaciones!C770,'BG 062021'!D:D),0)</f>
        <v>0</v>
      </c>
      <c r="R770" s="888">
        <f>+VLOOKUP(C770,'CA EFE'!A:A,1,FALSE)</f>
        <v>51203</v>
      </c>
    </row>
    <row r="771" spans="1:18" s="888" customFormat="1" hidden="1">
      <c r="A771" s="885" t="s">
        <v>189</v>
      </c>
      <c r="B771" s="885" t="s">
        <v>43</v>
      </c>
      <c r="C771" s="889">
        <v>51204</v>
      </c>
      <c r="D771" s="889" t="s">
        <v>807</v>
      </c>
      <c r="E771" s="886" t="s">
        <v>6</v>
      </c>
      <c r="F771" s="886" t="s">
        <v>271</v>
      </c>
      <c r="G771" s="47">
        <f>IF(F771="I",IFERROR(VLOOKUP(C771,'BG 062022'!A:C,3,FALSE),0),0)</f>
        <v>49788329</v>
      </c>
      <c r="H771" s="885"/>
      <c r="I771" s="63">
        <f>IF(F771="I",IFERROR(VLOOKUP(C771,'BG 062022'!A:D,4,FALSE),0),0)</f>
        <v>7220.45</v>
      </c>
      <c r="J771" s="887"/>
      <c r="K771" s="47">
        <f>IF(F771="I",SUMIF('BG 2021'!B:B,Clasificaciones!C771,'BG 2021'!D:D),0)</f>
        <v>9420248</v>
      </c>
      <c r="L771" s="887"/>
      <c r="M771" s="63">
        <f>IF(F771="I",SUMIF('BG 2021'!B:B,Clasificaciones!C771,'BG 2021'!E:E),0)</f>
        <v>1568.2700000000002</v>
      </c>
      <c r="N771" s="887"/>
      <c r="O771" s="47">
        <f>IF(F771="I",SUMIF('BG 062021'!A:A,Clasificaciones!C771,'BG 062021'!C:C),0)</f>
        <v>36000000</v>
      </c>
      <c r="P771" s="887"/>
      <c r="Q771" s="63">
        <f>IF(F771="I",SUMIF('BG 062021'!A:A,Clasificaciones!C771,'BG 062021'!D:D),0)</f>
        <v>5449.35</v>
      </c>
      <c r="R771" s="888">
        <f>+VLOOKUP(C771,'CA EFE'!A:A,1,FALSE)</f>
        <v>51204</v>
      </c>
    </row>
    <row r="772" spans="1:18" s="888" customFormat="1" hidden="1">
      <c r="A772" s="885" t="s">
        <v>189</v>
      </c>
      <c r="B772" s="885"/>
      <c r="C772" s="889">
        <v>51205</v>
      </c>
      <c r="D772" s="889" t="s">
        <v>1082</v>
      </c>
      <c r="E772" s="886" t="s">
        <v>6</v>
      </c>
      <c r="F772" s="886" t="s">
        <v>271</v>
      </c>
      <c r="G772" s="47">
        <f>IF(F772="I",IFERROR(VLOOKUP(C772,'BG 062022'!A:C,3,FALSE),0),0)</f>
        <v>0</v>
      </c>
      <c r="H772" s="885"/>
      <c r="I772" s="63">
        <f>IF(F772="I",IFERROR(VLOOKUP(C772,'BG 062022'!A:D,4,FALSE),0),0)</f>
        <v>0</v>
      </c>
      <c r="J772" s="887"/>
      <c r="K772" s="47">
        <f>IF(F772="I",SUMIF('BG 2021'!B:B,Clasificaciones!C772,'BG 2021'!D:D),0)</f>
        <v>0</v>
      </c>
      <c r="L772" s="887"/>
      <c r="M772" s="63">
        <f>IF(F772="I",SUMIF('BG 2021'!B:B,Clasificaciones!C772,'BG 2021'!E:E),0)</f>
        <v>0</v>
      </c>
      <c r="N772" s="887"/>
      <c r="O772" s="47">
        <f>IF(F772="I",SUMIF('BG 062021'!A:A,Clasificaciones!C772,'BG 062021'!C:C),0)</f>
        <v>0</v>
      </c>
      <c r="P772" s="887"/>
      <c r="Q772" s="63">
        <f>IF(F772="I",SUMIF('BG 062021'!A:A,Clasificaciones!C772,'BG 062021'!D:D),0)</f>
        <v>0</v>
      </c>
    </row>
    <row r="773" spans="1:18" s="888" customFormat="1" hidden="1">
      <c r="A773" s="885" t="s">
        <v>189</v>
      </c>
      <c r="B773" s="885" t="s">
        <v>43</v>
      </c>
      <c r="C773" s="889">
        <v>51206</v>
      </c>
      <c r="D773" s="889" t="s">
        <v>234</v>
      </c>
      <c r="E773" s="886" t="s">
        <v>6</v>
      </c>
      <c r="F773" s="886" t="s">
        <v>271</v>
      </c>
      <c r="G773" s="47">
        <f>IF(F773="I",IFERROR(VLOOKUP(C773,'BG 062022'!A:C,3,FALSE),0),0)</f>
        <v>200000000</v>
      </c>
      <c r="H773" s="885"/>
      <c r="I773" s="63">
        <f>IF(F773="I",IFERROR(VLOOKUP(C773,'BG 062022'!A:D,4,FALSE),0),0)</f>
        <v>28831.09</v>
      </c>
      <c r="J773" s="887"/>
      <c r="K773" s="47">
        <f>IF(F773="I",SUMIF('BG 2021'!B:B,Clasificaciones!C773,'BG 2021'!D:D),0)</f>
        <v>20000000</v>
      </c>
      <c r="L773" s="887"/>
      <c r="M773" s="63">
        <f>IF(F773="I",SUMIF('BG 2021'!B:B,Clasificaciones!C773,'BG 2021'!E:E),0)</f>
        <v>2886.51</v>
      </c>
      <c r="N773" s="887"/>
      <c r="O773" s="47">
        <f>IF(F773="I",SUMIF('BG 062021'!A:A,Clasificaciones!C773,'BG 062021'!C:C),0)</f>
        <v>20000000</v>
      </c>
      <c r="P773" s="887"/>
      <c r="Q773" s="63">
        <f>IF(F773="I",SUMIF('BG 062021'!A:A,Clasificaciones!C773,'BG 062021'!D:D),0)</f>
        <v>2886.51</v>
      </c>
      <c r="R773" s="888">
        <f>+VLOOKUP(C773,'CA EFE'!A:A,1,FALSE)</f>
        <v>51206</v>
      </c>
    </row>
    <row r="774" spans="1:18" s="888" customFormat="1" hidden="1">
      <c r="A774" s="885" t="s">
        <v>189</v>
      </c>
      <c r="B774" s="885" t="s">
        <v>43</v>
      </c>
      <c r="C774" s="889">
        <v>51207</v>
      </c>
      <c r="D774" s="889" t="s">
        <v>298</v>
      </c>
      <c r="E774" s="886" t="s">
        <v>6</v>
      </c>
      <c r="F774" s="886" t="s">
        <v>271</v>
      </c>
      <c r="G774" s="47">
        <f>IF(F774="I",IFERROR(VLOOKUP(C774,'BG 062022'!A:C,3,FALSE),0),0)</f>
        <v>41666665</v>
      </c>
      <c r="H774" s="885"/>
      <c r="I774" s="63">
        <f>IF(F774="I",IFERROR(VLOOKUP(C774,'BG 062022'!A:D,4,FALSE),0),0)</f>
        <v>6006.47</v>
      </c>
      <c r="J774" s="887"/>
      <c r="K774" s="47">
        <f>IF(F774="I",SUMIF('BG 2021'!B:B,Clasificaciones!C774,'BG 2021'!D:D),0)</f>
        <v>0</v>
      </c>
      <c r="L774" s="887"/>
      <c r="M774" s="63">
        <f>IF(F774="I",SUMIF('BG 2021'!B:B,Clasificaciones!C774,'BG 2021'!E:E),0)</f>
        <v>0</v>
      </c>
      <c r="N774" s="887"/>
      <c r="O774" s="47">
        <f>IF(F774="I",SUMIF('BG 062021'!A:A,Clasificaciones!C774,'BG 062021'!C:C),0)</f>
        <v>200000000</v>
      </c>
      <c r="P774" s="887"/>
      <c r="Q774" s="63">
        <f>IF(F774="I",SUMIF('BG 062021'!A:A,Clasificaciones!C774,'BG 062021'!D:D),0)</f>
        <v>30402.21</v>
      </c>
      <c r="R774" s="888">
        <f>+VLOOKUP(C774,'CA EFE'!A:A,1,FALSE)</f>
        <v>51207</v>
      </c>
    </row>
    <row r="775" spans="1:18" s="888" customFormat="1" hidden="1">
      <c r="A775" s="885" t="s">
        <v>189</v>
      </c>
      <c r="B775" s="885"/>
      <c r="C775" s="889">
        <v>51210</v>
      </c>
      <c r="D775" s="889" t="s">
        <v>1083</v>
      </c>
      <c r="E775" s="886" t="s">
        <v>6</v>
      </c>
      <c r="F775" s="886" t="s">
        <v>271</v>
      </c>
      <c r="G775" s="47">
        <f>IF(F775="I",IFERROR(VLOOKUP(C775,'BG 062022'!A:C,3,FALSE),0),0)</f>
        <v>0</v>
      </c>
      <c r="H775" s="885"/>
      <c r="I775" s="63">
        <f>IF(F775="I",IFERROR(VLOOKUP(C775,'BG 062022'!A:D,4,FALSE),0),0)</f>
        <v>0</v>
      </c>
      <c r="J775" s="887"/>
      <c r="K775" s="47">
        <f>IF(F775="I",SUMIF('BG 2021'!B:B,Clasificaciones!C775,'BG 2021'!D:D),0)</f>
        <v>0</v>
      </c>
      <c r="L775" s="887"/>
      <c r="M775" s="63">
        <f>IF(F775="I",SUMIF('BG 2021'!B:B,Clasificaciones!C775,'BG 2021'!E:E),0)</f>
        <v>0</v>
      </c>
      <c r="N775" s="887"/>
      <c r="O775" s="47">
        <f>IF(F775="I",SUMIF('BG 062021'!A:A,Clasificaciones!C775,'BG 062021'!C:C),0)</f>
        <v>0</v>
      </c>
      <c r="P775" s="887"/>
      <c r="Q775" s="63">
        <f>IF(F775="I",SUMIF('BG 062021'!A:A,Clasificaciones!C775,'BG 062021'!D:D),0)</f>
        <v>0</v>
      </c>
    </row>
    <row r="776" spans="1:18" s="888" customFormat="1" hidden="1">
      <c r="A776" s="885" t="s">
        <v>189</v>
      </c>
      <c r="B776" s="885"/>
      <c r="C776" s="889">
        <v>513</v>
      </c>
      <c r="D776" s="889" t="s">
        <v>14</v>
      </c>
      <c r="E776" s="886" t="s">
        <v>6</v>
      </c>
      <c r="F776" s="886" t="s">
        <v>270</v>
      </c>
      <c r="G776" s="47">
        <f>IF(F776="I",IFERROR(VLOOKUP(C776,'BG 062022'!A:C,3,FALSE),0),0)</f>
        <v>0</v>
      </c>
      <c r="H776" s="885"/>
      <c r="I776" s="63">
        <f>IF(F776="I",IFERROR(VLOOKUP(C776,'BG 062022'!A:D,4,FALSE),0),0)</f>
        <v>0</v>
      </c>
      <c r="J776" s="887"/>
      <c r="K776" s="47">
        <f>IF(F776="I",SUMIF('BG 2021'!B:B,Clasificaciones!C776,'BG 2021'!D:D),0)</f>
        <v>0</v>
      </c>
      <c r="L776" s="887"/>
      <c r="M776" s="63">
        <f>IF(F776="I",SUMIF('BG 2021'!B:B,Clasificaciones!C776,'BG 2021'!E:E),0)</f>
        <v>0</v>
      </c>
      <c r="N776" s="887"/>
      <c r="O776" s="47">
        <f>IF(F776="I",SUMIF('BG 062021'!A:A,Clasificaciones!C776,'BG 062021'!C:C),0)</f>
        <v>0</v>
      </c>
      <c r="P776" s="887"/>
      <c r="Q776" s="63">
        <f>IF(F776="I",SUMIF('BG 062021'!A:A,Clasificaciones!C776,'BG 062021'!D:D),0)</f>
        <v>0</v>
      </c>
    </row>
    <row r="777" spans="1:18" s="888" customFormat="1" hidden="1">
      <c r="A777" s="885" t="s">
        <v>189</v>
      </c>
      <c r="B777" s="885"/>
      <c r="C777" s="889">
        <v>51301</v>
      </c>
      <c r="D777" s="889" t="s">
        <v>235</v>
      </c>
      <c r="E777" s="886" t="s">
        <v>6</v>
      </c>
      <c r="F777" s="886" t="s">
        <v>270</v>
      </c>
      <c r="G777" s="47">
        <f>IF(F777="I",IFERROR(VLOOKUP(C777,'BG 062022'!A:C,3,FALSE),0),0)</f>
        <v>0</v>
      </c>
      <c r="H777" s="885"/>
      <c r="I777" s="63">
        <f>IF(F777="I",IFERROR(VLOOKUP(C777,'BG 062022'!A:D,4,FALSE),0),0)</f>
        <v>0</v>
      </c>
      <c r="J777" s="887"/>
      <c r="K777" s="47">
        <f>IF(F777="I",SUMIF('BG 2021'!B:B,Clasificaciones!C777,'BG 2021'!D:D),0)</f>
        <v>0</v>
      </c>
      <c r="L777" s="887"/>
      <c r="M777" s="63">
        <f>IF(F777="I",SUMIF('BG 2021'!B:B,Clasificaciones!C777,'BG 2021'!E:E),0)</f>
        <v>0</v>
      </c>
      <c r="N777" s="887"/>
      <c r="O777" s="47">
        <f>IF(F777="I",SUMIF('BG 062021'!A:A,Clasificaciones!C777,'BG 062021'!C:C),0)</f>
        <v>0</v>
      </c>
      <c r="P777" s="887"/>
      <c r="Q777" s="63">
        <f>IF(F777="I",SUMIF('BG 062021'!A:A,Clasificaciones!C777,'BG 062021'!D:D),0)</f>
        <v>0</v>
      </c>
    </row>
    <row r="778" spans="1:18" s="888" customFormat="1" hidden="1">
      <c r="A778" s="885" t="s">
        <v>189</v>
      </c>
      <c r="B778" s="885" t="s">
        <v>118</v>
      </c>
      <c r="C778" s="889">
        <v>5130101</v>
      </c>
      <c r="D778" s="889" t="s">
        <v>172</v>
      </c>
      <c r="E778" s="886" t="s">
        <v>6</v>
      </c>
      <c r="F778" s="886" t="s">
        <v>271</v>
      </c>
      <c r="G778" s="47">
        <f>IF(F778="I",IFERROR(VLOOKUP(C778,'BG 062022'!A:C,3,FALSE),0),0)</f>
        <v>1477878666</v>
      </c>
      <c r="H778" s="885"/>
      <c r="I778" s="63">
        <f>IF(F778="I",IFERROR(VLOOKUP(C778,'BG 062022'!A:D,4,FALSE),0),0)</f>
        <v>213849.68</v>
      </c>
      <c r="J778" s="887"/>
      <c r="K778" s="47">
        <f>IF(F778="I",SUMIF('BG 2021'!B:B,Clasificaciones!C778,'BG 2021'!D:D),0)</f>
        <v>2385209049</v>
      </c>
      <c r="L778" s="887"/>
      <c r="M778" s="63">
        <f>IF(F778="I",SUMIF('BG 2021'!B:B,Clasificaciones!C778,'BG 2021'!E:E),0)</f>
        <v>352346.98</v>
      </c>
      <c r="N778" s="887"/>
      <c r="O778" s="47">
        <f>IF(F778="I",SUMIF('BG 062021'!A:A,Clasificaciones!C778,'BG 062021'!C:C),0)</f>
        <v>1091325715</v>
      </c>
      <c r="P778" s="887"/>
      <c r="Q778" s="63">
        <f>IF(F778="I",SUMIF('BG 062021'!A:A,Clasificaciones!C778,'BG 062021'!D:D),0)</f>
        <v>164101.31</v>
      </c>
      <c r="R778" s="888">
        <f>+VLOOKUP(C778,'CA EFE'!A:A,1,FALSE)</f>
        <v>5130101</v>
      </c>
    </row>
    <row r="779" spans="1:18" s="888" customFormat="1" hidden="1">
      <c r="A779" s="885" t="s">
        <v>189</v>
      </c>
      <c r="B779" s="885"/>
      <c r="C779" s="889">
        <v>5130102</v>
      </c>
      <c r="D779" s="889" t="s">
        <v>1084</v>
      </c>
      <c r="E779" s="886" t="s">
        <v>6</v>
      </c>
      <c r="F779" s="886" t="s">
        <v>271</v>
      </c>
      <c r="G779" s="47">
        <f>IF(F779="I",IFERROR(VLOOKUP(C779,'BG 062022'!A:C,3,FALSE),0),0)</f>
        <v>0</v>
      </c>
      <c r="H779" s="885"/>
      <c r="I779" s="63">
        <f>IF(F779="I",IFERROR(VLOOKUP(C779,'BG 062022'!A:D,4,FALSE),0),0)</f>
        <v>0</v>
      </c>
      <c r="J779" s="887"/>
      <c r="K779" s="47">
        <f>IF(F779="I",SUMIF('BG 2021'!B:B,Clasificaciones!C779,'BG 2021'!D:D),0)</f>
        <v>0</v>
      </c>
      <c r="L779" s="887"/>
      <c r="M779" s="63">
        <f>IF(F779="I",SUMIF('BG 2021'!B:B,Clasificaciones!C779,'BG 2021'!E:E),0)</f>
        <v>0</v>
      </c>
      <c r="N779" s="887"/>
      <c r="O779" s="47">
        <f>IF(F779="I",SUMIF('BG 062021'!A:A,Clasificaciones!C779,'BG 062021'!C:C),0)</f>
        <v>0</v>
      </c>
      <c r="P779" s="887"/>
      <c r="Q779" s="63">
        <f>IF(F779="I",SUMIF('BG 062021'!A:A,Clasificaciones!C779,'BG 062021'!D:D),0)</f>
        <v>0</v>
      </c>
    </row>
    <row r="780" spans="1:18" s="888" customFormat="1" hidden="1">
      <c r="A780" s="885" t="s">
        <v>189</v>
      </c>
      <c r="B780" s="885"/>
      <c r="C780" s="889">
        <v>5130103</v>
      </c>
      <c r="D780" s="889" t="s">
        <v>1085</v>
      </c>
      <c r="E780" s="886" t="s">
        <v>6</v>
      </c>
      <c r="F780" s="886" t="s">
        <v>271</v>
      </c>
      <c r="G780" s="47">
        <f>IF(F780="I",IFERROR(VLOOKUP(C780,'BG 062022'!A:C,3,FALSE),0),0)</f>
        <v>0</v>
      </c>
      <c r="H780" s="885"/>
      <c r="I780" s="63">
        <f>IF(F780="I",IFERROR(VLOOKUP(C780,'BG 062022'!A:D,4,FALSE),0),0)</f>
        <v>0</v>
      </c>
      <c r="J780" s="887"/>
      <c r="K780" s="47">
        <f>IF(F780="I",SUMIF('BG 2021'!B:B,Clasificaciones!C780,'BG 2021'!D:D),0)</f>
        <v>0</v>
      </c>
      <c r="L780" s="887"/>
      <c r="M780" s="63">
        <f>IF(F780="I",SUMIF('BG 2021'!B:B,Clasificaciones!C780,'BG 2021'!E:E),0)</f>
        <v>0</v>
      </c>
      <c r="N780" s="887"/>
      <c r="O780" s="47">
        <f>IF(F780="I",SUMIF('BG 062021'!A:A,Clasificaciones!C780,'BG 062021'!C:C),0)</f>
        <v>0</v>
      </c>
      <c r="P780" s="887"/>
      <c r="Q780" s="63">
        <f>IF(F780="I",SUMIF('BG 062021'!A:A,Clasificaciones!C780,'BG 062021'!D:D),0)</f>
        <v>0</v>
      </c>
    </row>
    <row r="781" spans="1:18" s="888" customFormat="1" hidden="1">
      <c r="A781" s="885" t="s">
        <v>189</v>
      </c>
      <c r="B781" s="885" t="s">
        <v>118</v>
      </c>
      <c r="C781" s="889">
        <v>5130104</v>
      </c>
      <c r="D781" s="889" t="s">
        <v>174</v>
      </c>
      <c r="E781" s="886" t="s">
        <v>6</v>
      </c>
      <c r="F781" s="886" t="s">
        <v>271</v>
      </c>
      <c r="G781" s="47">
        <f>IF(F781="I",IFERROR(VLOOKUP(C781,'BG 062022'!A:C,3,FALSE),0),0)</f>
        <v>136991991</v>
      </c>
      <c r="H781" s="885"/>
      <c r="I781" s="63">
        <f>IF(F781="I",IFERROR(VLOOKUP(C781,'BG 062022'!A:D,4,FALSE),0),0)</f>
        <v>19810.66</v>
      </c>
      <c r="J781" s="887"/>
      <c r="K781" s="47">
        <f>IF(F781="I",SUMIF('BG 2021'!B:B,Clasificaciones!C781,'BG 2021'!D:D),0)</f>
        <v>219330055</v>
      </c>
      <c r="L781" s="887"/>
      <c r="M781" s="63">
        <f>IF(F781="I",SUMIF('BG 2021'!B:B,Clasificaciones!C781,'BG 2021'!E:E),0)</f>
        <v>32369.58</v>
      </c>
      <c r="N781" s="887"/>
      <c r="O781" s="47">
        <f>IF(F781="I",SUMIF('BG 062021'!A:A,Clasificaciones!C781,'BG 062021'!C:C),0)</f>
        <v>100913484</v>
      </c>
      <c r="P781" s="887"/>
      <c r="Q781" s="63">
        <f>IF(F781="I",SUMIF('BG 062021'!A:A,Clasificaciones!C781,'BG 062021'!D:D),0)</f>
        <v>15140.68</v>
      </c>
      <c r="R781" s="888">
        <f>+VLOOKUP(C781,'CA EFE'!A:A,1,FALSE)</f>
        <v>5130104</v>
      </c>
    </row>
    <row r="782" spans="1:18" s="888" customFormat="1" hidden="1">
      <c r="A782" s="885" t="s">
        <v>189</v>
      </c>
      <c r="B782" s="885" t="s">
        <v>118</v>
      </c>
      <c r="C782" s="889">
        <v>5130105</v>
      </c>
      <c r="D782" s="889" t="s">
        <v>175</v>
      </c>
      <c r="E782" s="886" t="s">
        <v>6</v>
      </c>
      <c r="F782" s="886" t="s">
        <v>271</v>
      </c>
      <c r="G782" s="47">
        <f>IF(F782="I",IFERROR(VLOOKUP(C782,'BG 062022'!A:C,3,FALSE),0),0)</f>
        <v>21541334</v>
      </c>
      <c r="H782" s="885"/>
      <c r="I782" s="63">
        <f>IF(F782="I",IFERROR(VLOOKUP(C782,'BG 062022'!A:D,4,FALSE),0),0)</f>
        <v>3077.75</v>
      </c>
      <c r="J782" s="887"/>
      <c r="K782" s="47">
        <f>IF(F782="I",SUMIF('BG 2021'!B:B,Clasificaciones!C782,'BG 2021'!D:D),0)</f>
        <v>162943333</v>
      </c>
      <c r="L782" s="887"/>
      <c r="M782" s="63">
        <f>IF(F782="I",SUMIF('BG 2021'!B:B,Clasificaciones!C782,'BG 2021'!E:E),0)</f>
        <v>23879.67</v>
      </c>
      <c r="N782" s="887"/>
      <c r="O782" s="47">
        <f>IF(F782="I",SUMIF('BG 062021'!A:A,Clasificaciones!C782,'BG 062021'!C:C),0)</f>
        <v>35686667</v>
      </c>
      <c r="P782" s="887"/>
      <c r="Q782" s="63">
        <f>IF(F782="I",SUMIF('BG 062021'!A:A,Clasificaciones!C782,'BG 062021'!D:D),0)</f>
        <v>5355.92</v>
      </c>
      <c r="R782" s="888">
        <f>+VLOOKUP(C782,'CA EFE'!A:A,1,FALSE)</f>
        <v>5130105</v>
      </c>
    </row>
    <row r="783" spans="1:18" s="888" customFormat="1" hidden="1">
      <c r="A783" s="885" t="s">
        <v>189</v>
      </c>
      <c r="B783" s="885"/>
      <c r="C783" s="889">
        <v>5130106</v>
      </c>
      <c r="D783" s="889" t="s">
        <v>1086</v>
      </c>
      <c r="E783" s="886" t="s">
        <v>6</v>
      </c>
      <c r="F783" s="886" t="s">
        <v>271</v>
      </c>
      <c r="G783" s="47">
        <f>IF(F783="I",IFERROR(VLOOKUP(C783,'BG 062022'!A:C,3,FALSE),0),0)</f>
        <v>0</v>
      </c>
      <c r="H783" s="885"/>
      <c r="I783" s="63">
        <f>IF(F783="I",IFERROR(VLOOKUP(C783,'BG 062022'!A:D,4,FALSE),0),0)</f>
        <v>0</v>
      </c>
      <c r="J783" s="887"/>
      <c r="K783" s="47">
        <f>IF(F783="I",SUMIF('BG 2021'!B:B,Clasificaciones!C783,'BG 2021'!D:D),0)</f>
        <v>0</v>
      </c>
      <c r="L783" s="887"/>
      <c r="M783" s="63">
        <f>IF(F783="I",SUMIF('BG 2021'!B:B,Clasificaciones!C783,'BG 2021'!E:E),0)</f>
        <v>0</v>
      </c>
      <c r="N783" s="887"/>
      <c r="O783" s="47">
        <f>IF(F783="I",SUMIF('BG 062021'!A:A,Clasificaciones!C783,'BG 062021'!C:C),0)</f>
        <v>0</v>
      </c>
      <c r="P783" s="887"/>
      <c r="Q783" s="63">
        <f>IF(F783="I",SUMIF('BG 062021'!A:A,Clasificaciones!C783,'BG 062021'!D:D),0)</f>
        <v>0</v>
      </c>
    </row>
    <row r="784" spans="1:18" s="888" customFormat="1" hidden="1">
      <c r="A784" s="885" t="s">
        <v>189</v>
      </c>
      <c r="B784" s="885"/>
      <c r="C784" s="889">
        <v>51302</v>
      </c>
      <c r="D784" s="889" t="s">
        <v>808</v>
      </c>
      <c r="E784" s="886" t="s">
        <v>6</v>
      </c>
      <c r="F784" s="886" t="s">
        <v>270</v>
      </c>
      <c r="G784" s="47">
        <f>IF(F784="I",IFERROR(VLOOKUP(C784,'BG 062022'!A:C,3,FALSE),0),0)</f>
        <v>0</v>
      </c>
      <c r="H784" s="885"/>
      <c r="I784" s="63">
        <f>IF(F784="I",IFERROR(VLOOKUP(C784,'BG 062022'!A:D,4,FALSE),0),0)</f>
        <v>0</v>
      </c>
      <c r="J784" s="887"/>
      <c r="K784" s="47">
        <f>IF(F784="I",SUMIF('BG 2021'!B:B,Clasificaciones!C784,'BG 2021'!D:D),0)</f>
        <v>0</v>
      </c>
      <c r="L784" s="887"/>
      <c r="M784" s="63">
        <f>IF(F784="I",SUMIF('BG 2021'!B:B,Clasificaciones!C784,'BG 2021'!E:E),0)</f>
        <v>0</v>
      </c>
      <c r="N784" s="887"/>
      <c r="O784" s="47">
        <f>IF(F784="I",SUMIF('BG 062021'!A:A,Clasificaciones!C784,'BG 062021'!C:C),0)</f>
        <v>0</v>
      </c>
      <c r="P784" s="887"/>
      <c r="Q784" s="63">
        <f>IF(F784="I",SUMIF('BG 062021'!A:A,Clasificaciones!C784,'BG 062021'!D:D),0)</f>
        <v>0</v>
      </c>
    </row>
    <row r="785" spans="1:18" s="888" customFormat="1" hidden="1">
      <c r="A785" s="885" t="s">
        <v>189</v>
      </c>
      <c r="B785" s="885" t="s">
        <v>611</v>
      </c>
      <c r="C785" s="889">
        <v>5130201</v>
      </c>
      <c r="D785" s="889" t="s">
        <v>809</v>
      </c>
      <c r="E785" s="886" t="s">
        <v>6</v>
      </c>
      <c r="F785" s="886" t="s">
        <v>271</v>
      </c>
      <c r="G785" s="47">
        <f>IF(F785="I",IFERROR(VLOOKUP(C785,'BG 062022'!A:C,3,FALSE),0),0)</f>
        <v>272275272</v>
      </c>
      <c r="H785" s="885"/>
      <c r="I785" s="63">
        <f>IF(F785="I",IFERROR(VLOOKUP(C785,'BG 062022'!A:D,4,FALSE),0),0)</f>
        <v>39384.67</v>
      </c>
      <c r="J785" s="887"/>
      <c r="K785" s="47">
        <f>IF(F785="I",SUMIF('BG 2021'!B:B,Clasificaciones!C785,'BG 2021'!D:D),0)</f>
        <v>439114057</v>
      </c>
      <c r="L785" s="887"/>
      <c r="M785" s="63">
        <f>IF(F785="I",SUMIF('BG 2021'!B:B,Clasificaciones!C785,'BG 2021'!E:E),0)</f>
        <v>64868.56</v>
      </c>
      <c r="N785" s="887"/>
      <c r="O785" s="47">
        <f>IF(F785="I",SUMIF('BG 062021'!A:A,Clasificaciones!C785,'BG 062021'!C:C),0)</f>
        <v>203246750</v>
      </c>
      <c r="P785" s="887"/>
      <c r="Q785" s="63">
        <f>IF(F785="I",SUMIF('BG 062021'!A:A,Clasificaciones!C785,'BG 062021'!D:D),0)</f>
        <v>30553.37</v>
      </c>
      <c r="R785" s="888">
        <f>+VLOOKUP(C785,'CA EFE'!A:A,1,FALSE)</f>
        <v>5130201</v>
      </c>
    </row>
    <row r="786" spans="1:18" s="888" customFormat="1" hidden="1">
      <c r="A786" s="885" t="s">
        <v>189</v>
      </c>
      <c r="B786" s="885" t="s">
        <v>118</v>
      </c>
      <c r="C786" s="889">
        <v>5130202</v>
      </c>
      <c r="D786" s="889" t="s">
        <v>1087</v>
      </c>
      <c r="E786" s="886" t="s">
        <v>6</v>
      </c>
      <c r="F786" s="886" t="s">
        <v>271</v>
      </c>
      <c r="G786" s="47">
        <f>IF(F786="I",IFERROR(VLOOKUP(C786,'BG 062022'!A:C,3,FALSE),0),0)</f>
        <v>4500000</v>
      </c>
      <c r="H786" s="885"/>
      <c r="I786" s="63">
        <f>IF(F786="I",IFERROR(VLOOKUP(C786,'BG 062022'!A:D,4,FALSE),0),0)</f>
        <v>657.31</v>
      </c>
      <c r="J786" s="887"/>
      <c r="K786" s="47">
        <f>IF(F786="I",SUMIF('BG 2021'!B:B,Clasificaciones!C786,'BG 2021'!D:D),0)</f>
        <v>7500000</v>
      </c>
      <c r="L786" s="887"/>
      <c r="M786" s="63">
        <f>IF(F786="I",SUMIF('BG 2021'!B:B,Clasificaciones!C786,'BG 2021'!E:E),0)</f>
        <v>1085.21</v>
      </c>
      <c r="N786" s="887"/>
      <c r="O786" s="47">
        <f>IF(F786="I",SUMIF('BG 062021'!A:A,Clasificaciones!C786,'BG 062021'!C:C),0)</f>
        <v>0</v>
      </c>
      <c r="P786" s="887"/>
      <c r="Q786" s="63">
        <f>IF(F786="I",SUMIF('BG 062021'!A:A,Clasificaciones!C786,'BG 062021'!D:D),0)</f>
        <v>0</v>
      </c>
    </row>
    <row r="787" spans="1:18" s="888" customFormat="1" hidden="1">
      <c r="A787" s="885" t="s">
        <v>189</v>
      </c>
      <c r="B787" s="885" t="s">
        <v>118</v>
      </c>
      <c r="C787" s="889">
        <v>5130203</v>
      </c>
      <c r="D787" s="889" t="s">
        <v>810</v>
      </c>
      <c r="E787" s="886" t="s">
        <v>6</v>
      </c>
      <c r="F787" s="886" t="s">
        <v>271</v>
      </c>
      <c r="G787" s="47">
        <f>IF(F787="I",IFERROR(VLOOKUP(C787,'BG 062022'!A:C,3,FALSE),0),0)</f>
        <v>412916665</v>
      </c>
      <c r="H787" s="885"/>
      <c r="I787" s="63">
        <f>IF(F787="I",IFERROR(VLOOKUP(C787,'BG 062022'!A:D,4,FALSE),0),0)</f>
        <v>59524.17</v>
      </c>
      <c r="J787" s="887"/>
      <c r="K787" s="47">
        <f>IF(F787="I",SUMIF('BG 2021'!B:B,Clasificaciones!C787,'BG 2021'!D:D),0)</f>
        <v>919996500</v>
      </c>
      <c r="L787" s="887"/>
      <c r="M787" s="63">
        <f>IF(F787="I",SUMIF('BG 2021'!B:B,Clasificaciones!C787,'BG 2021'!E:E),0)</f>
        <v>135164.42000000001</v>
      </c>
      <c r="N787" s="887"/>
      <c r="O787" s="47">
        <f>IF(F787="I",SUMIF('BG 062021'!A:A,Clasificaciones!C787,'BG 062021'!C:C),0)</f>
        <v>250000000</v>
      </c>
      <c r="P787" s="887"/>
      <c r="Q787" s="63">
        <f>IF(F787="I",SUMIF('BG 062021'!A:A,Clasificaciones!C787,'BG 062021'!D:D),0)</f>
        <v>37787.86</v>
      </c>
      <c r="R787" s="888">
        <f>+VLOOKUP(C787,'CA EFE'!A:A,1,FALSE)</f>
        <v>5130203</v>
      </c>
    </row>
    <row r="788" spans="1:18" s="888" customFormat="1" hidden="1">
      <c r="A788" s="885" t="s">
        <v>189</v>
      </c>
      <c r="B788" s="885" t="s">
        <v>611</v>
      </c>
      <c r="C788" s="889">
        <v>5130204</v>
      </c>
      <c r="D788" s="889" t="s">
        <v>520</v>
      </c>
      <c r="E788" s="886" t="s">
        <v>6</v>
      </c>
      <c r="F788" s="886" t="s">
        <v>271</v>
      </c>
      <c r="G788" s="47">
        <f>IF(F788="I",IFERROR(VLOOKUP(C788,'BG 062022'!A:C,3,FALSE),0),0)</f>
        <v>45583335</v>
      </c>
      <c r="H788" s="885"/>
      <c r="I788" s="63">
        <f>IF(F788="I",IFERROR(VLOOKUP(C788,'BG 062022'!A:D,4,FALSE),0),0)</f>
        <v>6500.07</v>
      </c>
      <c r="J788" s="887"/>
      <c r="K788" s="47">
        <f>IF(F788="I",SUMIF('BG 2021'!B:B,Clasificaciones!C788,'BG 2021'!D:D),0)</f>
        <v>45357573</v>
      </c>
      <c r="L788" s="887"/>
      <c r="M788" s="63">
        <f>IF(F788="I",SUMIF('BG 2021'!B:B,Clasificaciones!C788,'BG 2021'!E:E),0)</f>
        <v>6685.89</v>
      </c>
      <c r="N788" s="887"/>
      <c r="O788" s="47">
        <f>IF(F788="I",SUMIF('BG 062021'!A:A,Clasificaciones!C788,'BG 062021'!C:C),0)</f>
        <v>18000000</v>
      </c>
      <c r="P788" s="887"/>
      <c r="Q788" s="63">
        <f>IF(F788="I",SUMIF('BG 062021'!A:A,Clasificaciones!C788,'BG 062021'!D:D),0)</f>
        <v>2724.67</v>
      </c>
      <c r="R788" s="888">
        <f>+VLOOKUP(C788,'CA EFE'!A:A,1,FALSE)</f>
        <v>5130204</v>
      </c>
    </row>
    <row r="789" spans="1:18" s="888" customFormat="1" hidden="1">
      <c r="A789" s="885" t="s">
        <v>189</v>
      </c>
      <c r="B789" s="885" t="s">
        <v>611</v>
      </c>
      <c r="C789" s="889">
        <v>5130205</v>
      </c>
      <c r="D789" s="889" t="s">
        <v>1088</v>
      </c>
      <c r="E789" s="886" t="s">
        <v>6</v>
      </c>
      <c r="F789" s="886" t="s">
        <v>271</v>
      </c>
      <c r="G789" s="47">
        <f>IF(F789="I",IFERROR(VLOOKUP(C789,'BG 062022'!A:C,3,FALSE),0),0)</f>
        <v>4120908</v>
      </c>
      <c r="H789" s="885"/>
      <c r="I789" s="63">
        <f>IF(F789="I",IFERROR(VLOOKUP(C789,'BG 062022'!A:D,4,FALSE),0),0)</f>
        <v>597.04999999999995</v>
      </c>
      <c r="J789" s="887"/>
      <c r="K789" s="47">
        <f>IF(F789="I",SUMIF('BG 2021'!B:B,Clasificaciones!C789,'BG 2021'!D:D),0)</f>
        <v>19675318</v>
      </c>
      <c r="L789" s="887"/>
      <c r="M789" s="63">
        <f>IF(F789="I",SUMIF('BG 2021'!B:B,Clasificaciones!C789,'BG 2021'!E:E),0)</f>
        <v>2858.19</v>
      </c>
      <c r="N789" s="887"/>
      <c r="O789" s="47">
        <f>IF(F789="I",SUMIF('BG 062021'!A:A,Clasificaciones!C789,'BG 062021'!C:C),0)</f>
        <v>0</v>
      </c>
      <c r="P789" s="887"/>
      <c r="Q789" s="63">
        <f>IF(F789="I",SUMIF('BG 062021'!A:A,Clasificaciones!C789,'BG 062021'!D:D),0)</f>
        <v>0</v>
      </c>
      <c r="R789" s="888">
        <f>+VLOOKUP(C789,'CA EFE'!A:A,1,FALSE)</f>
        <v>5130205</v>
      </c>
    </row>
    <row r="790" spans="1:18" s="888" customFormat="1" hidden="1">
      <c r="A790" s="885" t="s">
        <v>189</v>
      </c>
      <c r="B790" s="885" t="s">
        <v>611</v>
      </c>
      <c r="C790" s="889">
        <v>5130206</v>
      </c>
      <c r="D790" s="889" t="s">
        <v>811</v>
      </c>
      <c r="E790" s="886" t="s">
        <v>6</v>
      </c>
      <c r="F790" s="886" t="s">
        <v>271</v>
      </c>
      <c r="G790" s="47">
        <f>IF(F790="I",IFERROR(VLOOKUP(C790,'BG 062022'!A:C,3,FALSE),0),0)</f>
        <v>93253333</v>
      </c>
      <c r="H790" s="885"/>
      <c r="I790" s="63">
        <f>IF(F790="I",IFERROR(VLOOKUP(C790,'BG 062022'!A:D,4,FALSE),0),0)</f>
        <v>13511.83</v>
      </c>
      <c r="J790" s="887"/>
      <c r="K790" s="47">
        <f>IF(F790="I",SUMIF('BG 2021'!B:B,Clasificaciones!C790,'BG 2021'!D:D),0)</f>
        <v>128652468</v>
      </c>
      <c r="L790" s="887"/>
      <c r="M790" s="63">
        <f>IF(F790="I",SUMIF('BG 2021'!B:B,Clasificaciones!C790,'BG 2021'!E:E),0)</f>
        <v>18934.87</v>
      </c>
      <c r="N790" s="887"/>
      <c r="O790" s="47">
        <f>IF(F790="I",SUMIF('BG 062021'!A:A,Clasificaciones!C790,'BG 062021'!C:C),0)</f>
        <v>51950776</v>
      </c>
      <c r="P790" s="887"/>
      <c r="Q790" s="63">
        <f>IF(F790="I",SUMIF('BG 062021'!A:A,Clasificaciones!C790,'BG 062021'!D:D),0)</f>
        <v>7775.64</v>
      </c>
      <c r="R790" s="888">
        <f>+VLOOKUP(C790,'CA EFE'!A:A,1,FALSE)</f>
        <v>5130206</v>
      </c>
    </row>
    <row r="791" spans="1:18" s="888" customFormat="1" hidden="1">
      <c r="A791" s="885" t="s">
        <v>189</v>
      </c>
      <c r="B791" s="885" t="s">
        <v>611</v>
      </c>
      <c r="C791" s="889">
        <v>5130207</v>
      </c>
      <c r="D791" s="889" t="s">
        <v>407</v>
      </c>
      <c r="E791" s="886" t="s">
        <v>6</v>
      </c>
      <c r="F791" s="886" t="s">
        <v>271</v>
      </c>
      <c r="G791" s="47">
        <f>IF(F791="I",IFERROR(VLOOKUP(C791,'BG 062022'!A:C,3,FALSE),0),0)</f>
        <v>101957334</v>
      </c>
      <c r="H791" s="885"/>
      <c r="I791" s="63">
        <f>IF(F791="I",IFERROR(VLOOKUP(C791,'BG 062022'!A:D,4,FALSE),0),0)</f>
        <v>14739.98</v>
      </c>
      <c r="J791" s="887"/>
      <c r="K791" s="47">
        <f>IF(F791="I",SUMIF('BG 2021'!B:B,Clasificaciones!C791,'BG 2021'!D:D),0)</f>
        <v>162307818</v>
      </c>
      <c r="L791" s="887"/>
      <c r="M791" s="63">
        <f>IF(F791="I",SUMIF('BG 2021'!B:B,Clasificaciones!C791,'BG 2021'!E:E),0)</f>
        <v>24004.080000000002</v>
      </c>
      <c r="N791" s="887"/>
      <c r="O791" s="47">
        <f>IF(F791="I",SUMIF('BG 062021'!A:A,Clasificaciones!C791,'BG 062021'!C:C),0)</f>
        <v>74331818</v>
      </c>
      <c r="P791" s="887"/>
      <c r="Q791" s="63">
        <f>IF(F791="I",SUMIF('BG 062021'!A:A,Clasificaciones!C791,'BG 062021'!D:D),0)</f>
        <v>11197.42</v>
      </c>
      <c r="R791" s="888">
        <f>+VLOOKUP(C791,'CA EFE'!A:A,1,FALSE)</f>
        <v>5130207</v>
      </c>
    </row>
    <row r="792" spans="1:18" s="888" customFormat="1" hidden="1">
      <c r="A792" s="885" t="s">
        <v>189</v>
      </c>
      <c r="B792" s="885" t="s">
        <v>611</v>
      </c>
      <c r="C792" s="889">
        <v>5130208</v>
      </c>
      <c r="D792" s="889" t="s">
        <v>406</v>
      </c>
      <c r="E792" s="886" t="s">
        <v>6</v>
      </c>
      <c r="F792" s="886" t="s">
        <v>271</v>
      </c>
      <c r="G792" s="47">
        <f>IF(F792="I",IFERROR(VLOOKUP(C792,'BG 062022'!A:C,3,FALSE),0),0)</f>
        <v>0</v>
      </c>
      <c r="H792" s="885"/>
      <c r="I792" s="63">
        <f>IF(F792="I",IFERROR(VLOOKUP(C792,'BG 062022'!A:D,4,FALSE),0),0)</f>
        <v>0</v>
      </c>
      <c r="J792" s="887"/>
      <c r="K792" s="47">
        <f>IF(F792="I",SUMIF('BG 2021'!B:B,Clasificaciones!C792,'BG 2021'!D:D),0)</f>
        <v>0</v>
      </c>
      <c r="L792" s="887"/>
      <c r="M792" s="63">
        <f>IF(F792="I",SUMIF('BG 2021'!B:B,Clasificaciones!C792,'BG 2021'!E:E),0)</f>
        <v>0</v>
      </c>
      <c r="N792" s="887"/>
      <c r="O792" s="47">
        <f>IF(F792="I",SUMIF('BG 062021'!A:A,Clasificaciones!C792,'BG 062021'!C:C),0)</f>
        <v>0</v>
      </c>
      <c r="P792" s="887"/>
      <c r="Q792" s="63">
        <f>IF(F792="I",SUMIF('BG 062021'!A:A,Clasificaciones!C792,'BG 062021'!D:D),0)</f>
        <v>0</v>
      </c>
    </row>
    <row r="793" spans="1:18" s="888" customFormat="1" hidden="1">
      <c r="A793" s="885" t="s">
        <v>189</v>
      </c>
      <c r="B793" s="885"/>
      <c r="C793" s="889">
        <v>51303</v>
      </c>
      <c r="D793" s="889" t="s">
        <v>173</v>
      </c>
      <c r="E793" s="886" t="s">
        <v>6</v>
      </c>
      <c r="F793" s="886" t="s">
        <v>270</v>
      </c>
      <c r="G793" s="47">
        <f>IF(F793="I",IFERROR(VLOOKUP(C793,'BG 062022'!A:C,3,FALSE),0),0)</f>
        <v>0</v>
      </c>
      <c r="H793" s="885"/>
      <c r="I793" s="63">
        <f>IF(F793="I",IFERROR(VLOOKUP(C793,'BG 062022'!A:D,4,FALSE),0),0)</f>
        <v>0</v>
      </c>
      <c r="J793" s="887"/>
      <c r="K793" s="47">
        <f>IF(F793="I",SUMIF('BG 2021'!B:B,Clasificaciones!C793,'BG 2021'!D:D),0)</f>
        <v>0</v>
      </c>
      <c r="L793" s="887"/>
      <c r="M793" s="63">
        <f>IF(F793="I",SUMIF('BG 2021'!B:B,Clasificaciones!C793,'BG 2021'!E:E),0)</f>
        <v>0</v>
      </c>
      <c r="N793" s="887"/>
      <c r="O793" s="47">
        <f>IF(F793="I",SUMIF('BG 062021'!A:A,Clasificaciones!C793,'BG 062021'!C:C),0)</f>
        <v>0</v>
      </c>
      <c r="P793" s="887"/>
      <c r="Q793" s="63">
        <f>IF(F793="I",SUMIF('BG 062021'!A:A,Clasificaciones!C793,'BG 062021'!D:D),0)</f>
        <v>0</v>
      </c>
    </row>
    <row r="794" spans="1:18" s="888" customFormat="1" hidden="1">
      <c r="A794" s="885" t="s">
        <v>189</v>
      </c>
      <c r="B794" s="885" t="s">
        <v>118</v>
      </c>
      <c r="C794" s="889">
        <v>5130301</v>
      </c>
      <c r="D794" s="889" t="s">
        <v>269</v>
      </c>
      <c r="E794" s="886" t="s">
        <v>6</v>
      </c>
      <c r="F794" s="886" t="s">
        <v>271</v>
      </c>
      <c r="G794" s="47">
        <f>IF(F794="I",IFERROR(VLOOKUP(C794,'BG 062022'!A:C,3,FALSE),0),0)</f>
        <v>332926850</v>
      </c>
      <c r="H794" s="885"/>
      <c r="I794" s="63">
        <f>IF(F794="I",IFERROR(VLOOKUP(C794,'BG 062022'!A:D,4,FALSE),0),0)</f>
        <v>48008.87</v>
      </c>
      <c r="J794" s="887"/>
      <c r="K794" s="47">
        <f>IF(F794="I",SUMIF('BG 2021'!B:B,Clasificaciones!C794,'BG 2021'!D:D),0)</f>
        <v>635926380</v>
      </c>
      <c r="L794" s="887"/>
      <c r="M794" s="63">
        <f>IF(F794="I",SUMIF('BG 2021'!B:B,Clasificaciones!C794,'BG 2021'!E:E),0)</f>
        <v>93500</v>
      </c>
      <c r="N794" s="887"/>
      <c r="O794" s="47">
        <f>IF(F794="I",SUMIF('BG 062021'!A:A,Clasificaciones!C794,'BG 062021'!C:C),0)</f>
        <v>275782820</v>
      </c>
      <c r="P794" s="887"/>
      <c r="Q794" s="63">
        <f>IF(F794="I",SUMIF('BG 062021'!A:A,Clasificaciones!C794,'BG 062021'!D:D),0)</f>
        <v>41125</v>
      </c>
      <c r="R794" s="888">
        <f>+VLOOKUP(C794,'CA EFE'!A:A,1,FALSE)</f>
        <v>5130301</v>
      </c>
    </row>
    <row r="795" spans="1:18" s="888" customFormat="1" hidden="1">
      <c r="A795" s="885" t="s">
        <v>189</v>
      </c>
      <c r="B795" s="885"/>
      <c r="C795" s="889">
        <v>5130302</v>
      </c>
      <c r="D795" s="889" t="s">
        <v>1089</v>
      </c>
      <c r="E795" s="886" t="s">
        <v>6</v>
      </c>
      <c r="F795" s="886" t="s">
        <v>271</v>
      </c>
      <c r="G795" s="47">
        <f>IF(F795="I",IFERROR(VLOOKUP(C795,'BG 062022'!A:C,3,FALSE),0),0)</f>
        <v>0</v>
      </c>
      <c r="H795" s="885"/>
      <c r="I795" s="63">
        <f>IF(F795="I",IFERROR(VLOOKUP(C795,'BG 062022'!A:D,4,FALSE),0),0)</f>
        <v>0</v>
      </c>
      <c r="J795" s="887"/>
      <c r="K795" s="47">
        <f>IF(F795="I",SUMIF('BG 2021'!B:B,Clasificaciones!C795,'BG 2021'!D:D),0)</f>
        <v>0</v>
      </c>
      <c r="L795" s="887"/>
      <c r="M795" s="63">
        <f>IF(F795="I",SUMIF('BG 2021'!B:B,Clasificaciones!C795,'BG 2021'!E:E),0)</f>
        <v>0</v>
      </c>
      <c r="N795" s="887"/>
      <c r="O795" s="47">
        <f>IF(F795="I",SUMIF('BG 062021'!A:A,Clasificaciones!C795,'BG 062021'!C:C),0)</f>
        <v>0</v>
      </c>
      <c r="P795" s="887"/>
      <c r="Q795" s="63">
        <f>IF(F795="I",SUMIF('BG 062021'!A:A,Clasificaciones!C795,'BG 062021'!D:D),0)</f>
        <v>0</v>
      </c>
    </row>
    <row r="796" spans="1:18" s="888" customFormat="1" hidden="1">
      <c r="A796" s="885" t="s">
        <v>189</v>
      </c>
      <c r="B796" s="885" t="s">
        <v>118</v>
      </c>
      <c r="C796" s="889">
        <v>5130303</v>
      </c>
      <c r="D796" s="889" t="s">
        <v>812</v>
      </c>
      <c r="E796" s="886" t="s">
        <v>6</v>
      </c>
      <c r="F796" s="886" t="s">
        <v>271</v>
      </c>
      <c r="G796" s="47">
        <f>IF(F796="I",IFERROR(VLOOKUP(C796,'BG 062022'!A:C,3,FALSE),0),0)</f>
        <v>20822440</v>
      </c>
      <c r="H796" s="885"/>
      <c r="I796" s="63">
        <f>IF(F796="I",IFERROR(VLOOKUP(C796,'BG 062022'!A:D,4,FALSE),0),0)</f>
        <v>3000</v>
      </c>
      <c r="J796" s="887"/>
      <c r="K796" s="47">
        <f>IF(F796="I",SUMIF('BG 2021'!B:B,Clasificaciones!C796,'BG 2021'!D:D),0)</f>
        <v>40670370</v>
      </c>
      <c r="L796" s="887"/>
      <c r="M796" s="63">
        <f>IF(F796="I",SUMIF('BG 2021'!B:B,Clasificaciones!C796,'BG 2021'!E:E),0)</f>
        <v>6000</v>
      </c>
      <c r="N796" s="887"/>
      <c r="O796" s="47">
        <f>IF(F796="I",SUMIF('BG 062021'!A:A,Clasificaciones!C796,'BG 062021'!C:C),0)</f>
        <v>20039510</v>
      </c>
      <c r="P796" s="887"/>
      <c r="Q796" s="63">
        <f>IF(F796="I",SUMIF('BG 062021'!A:A,Clasificaciones!C796,'BG 062021'!D:D),0)</f>
        <v>3000</v>
      </c>
      <c r="R796" s="888">
        <f>+VLOOKUP(C796,'CA EFE'!A:A,1,FALSE)</f>
        <v>5130303</v>
      </c>
    </row>
    <row r="797" spans="1:18" s="888" customFormat="1" hidden="1">
      <c r="A797" s="885" t="s">
        <v>189</v>
      </c>
      <c r="B797" s="885" t="s">
        <v>118</v>
      </c>
      <c r="C797" s="889">
        <v>5130304</v>
      </c>
      <c r="D797" s="889" t="s">
        <v>173</v>
      </c>
      <c r="E797" s="886" t="s">
        <v>6</v>
      </c>
      <c r="F797" s="886" t="s">
        <v>271</v>
      </c>
      <c r="G797" s="47">
        <f>IF(F797="I",IFERROR(VLOOKUP(C797,'BG 062022'!A:C,3,FALSE),0),0)</f>
        <v>114040548</v>
      </c>
      <c r="H797" s="885"/>
      <c r="I797" s="63">
        <f>IF(F797="I",IFERROR(VLOOKUP(C797,'BG 062022'!A:D,4,FALSE),0),0)</f>
        <v>16482.86</v>
      </c>
      <c r="J797" s="887"/>
      <c r="K797" s="47">
        <f>IF(F797="I",SUMIF('BG 2021'!B:B,Clasificaciones!C797,'BG 2021'!D:D),0)</f>
        <v>218434941</v>
      </c>
      <c r="L797" s="887"/>
      <c r="M797" s="63">
        <f>IF(F797="I",SUMIF('BG 2021'!B:B,Clasificaciones!C797,'BG 2021'!E:E),0)</f>
        <v>32246.6</v>
      </c>
      <c r="N797" s="887"/>
      <c r="O797" s="47">
        <f>IF(F797="I",SUMIF('BG 062021'!A:A,Clasificaciones!C797,'BG 062021'!C:C),0)</f>
        <v>104786102</v>
      </c>
      <c r="P797" s="887"/>
      <c r="Q797" s="63">
        <f>IF(F797="I",SUMIF('BG 062021'!A:A,Clasificaciones!C797,'BG 062021'!D:D),0)</f>
        <v>15714.59</v>
      </c>
      <c r="R797" s="888">
        <f>+VLOOKUP(C797,'CA EFE'!A:A,1,FALSE)</f>
        <v>5130304</v>
      </c>
    </row>
    <row r="798" spans="1:18" s="888" customFormat="1" hidden="1">
      <c r="A798" s="885" t="s">
        <v>189</v>
      </c>
      <c r="B798" s="885"/>
      <c r="C798" s="889">
        <v>51304</v>
      </c>
      <c r="D798" s="889" t="s">
        <v>191</v>
      </c>
      <c r="E798" s="886" t="s">
        <v>6</v>
      </c>
      <c r="F798" s="886" t="s">
        <v>270</v>
      </c>
      <c r="G798" s="47">
        <f>IF(F798="I",IFERROR(VLOOKUP(C798,'BG 062022'!A:C,3,FALSE),0),0)</f>
        <v>0</v>
      </c>
      <c r="H798" s="885"/>
      <c r="I798" s="63">
        <f>IF(F798="I",IFERROR(VLOOKUP(C798,'BG 062022'!A:D,4,FALSE),0),0)</f>
        <v>0</v>
      </c>
      <c r="J798" s="887"/>
      <c r="K798" s="47">
        <f>IF(F798="I",SUMIF('BG 2021'!B:B,Clasificaciones!C798,'BG 2021'!D:D),0)</f>
        <v>0</v>
      </c>
      <c r="L798" s="887"/>
      <c r="M798" s="63">
        <f>IF(F798="I",SUMIF('BG 2021'!B:B,Clasificaciones!C798,'BG 2021'!E:E),0)</f>
        <v>0</v>
      </c>
      <c r="N798" s="887"/>
      <c r="O798" s="47">
        <f>IF(F798="I",SUMIF('BG 062021'!A:A,Clasificaciones!C798,'BG 062021'!C:C),0)</f>
        <v>0</v>
      </c>
      <c r="P798" s="887"/>
      <c r="Q798" s="63">
        <f>IF(F798="I",SUMIF('BG 062021'!A:A,Clasificaciones!C798,'BG 062021'!D:D),0)</f>
        <v>0</v>
      </c>
    </row>
    <row r="799" spans="1:18" s="888" customFormat="1" hidden="1">
      <c r="A799" s="885" t="s">
        <v>189</v>
      </c>
      <c r="B799" s="885" t="s">
        <v>118</v>
      </c>
      <c r="C799" s="889">
        <v>5130401</v>
      </c>
      <c r="D799" s="889" t="s">
        <v>1032</v>
      </c>
      <c r="E799" s="886" t="s">
        <v>6</v>
      </c>
      <c r="F799" s="886" t="s">
        <v>271</v>
      </c>
      <c r="G799" s="47">
        <f>IF(F799="I",IFERROR(VLOOKUP(C799,'BG 062022'!A:C,3,FALSE),0),0)</f>
        <v>75000000</v>
      </c>
      <c r="H799" s="885"/>
      <c r="I799" s="63">
        <f>IF(F799="I",IFERROR(VLOOKUP(C799,'BG 062022'!A:D,4,FALSE),0),0)</f>
        <v>10811.65</v>
      </c>
      <c r="J799" s="887"/>
      <c r="K799" s="47">
        <f>IF(F799="I",SUMIF('BG 2021'!B:B,Clasificaciones!C799,'BG 2021'!D:D),0)</f>
        <v>44703500</v>
      </c>
      <c r="L799" s="887"/>
      <c r="M799" s="63">
        <f>IF(F799="I",SUMIF('BG 2021'!B:B,Clasificaciones!C799,'BG 2021'!E:E),0)</f>
        <v>6578.0299999999988</v>
      </c>
      <c r="N799" s="887"/>
      <c r="O799" s="47">
        <f>IF(F799="I",SUMIF('BG 062021'!A:A,Clasificaciones!C799,'BG 062021'!C:C),0)</f>
        <v>60000000</v>
      </c>
      <c r="P799" s="887"/>
      <c r="Q799" s="63">
        <f>IF(F799="I",SUMIF('BG 062021'!A:A,Clasificaciones!C799,'BG 062021'!D:D),0)</f>
        <v>8907.27</v>
      </c>
      <c r="R799" s="888">
        <f>+VLOOKUP(C799,'CA EFE'!A:A,1,FALSE)</f>
        <v>5130401</v>
      </c>
    </row>
    <row r="800" spans="1:18" s="888" customFormat="1" hidden="1">
      <c r="A800" s="885" t="s">
        <v>189</v>
      </c>
      <c r="B800" s="885" t="s">
        <v>118</v>
      </c>
      <c r="C800" s="889">
        <v>5130402</v>
      </c>
      <c r="D800" s="889" t="s">
        <v>180</v>
      </c>
      <c r="E800" s="886" t="s">
        <v>6</v>
      </c>
      <c r="F800" s="886" t="s">
        <v>271</v>
      </c>
      <c r="G800" s="47">
        <f>IF(F800="I",IFERROR(VLOOKUP(C800,'BG 062022'!A:C,3,FALSE),0),0)</f>
        <v>0</v>
      </c>
      <c r="H800" s="885"/>
      <c r="I800" s="63">
        <f>IF(F800="I",IFERROR(VLOOKUP(C800,'BG 062022'!A:D,4,FALSE),0),0)</f>
        <v>0</v>
      </c>
      <c r="J800" s="887"/>
      <c r="K800" s="47">
        <f>IF(F800="I",SUMIF('BG 2021'!B:B,Clasificaciones!C800,'BG 2021'!D:D),0)</f>
        <v>327379495</v>
      </c>
      <c r="L800" s="887"/>
      <c r="M800" s="63">
        <f>IF(F800="I",SUMIF('BG 2021'!B:B,Clasificaciones!C800,'BG 2021'!E:E),0)</f>
        <v>48985.71</v>
      </c>
      <c r="N800" s="887"/>
      <c r="O800" s="47">
        <f>IF(F800="I",SUMIF('BG 062021'!A:A,Clasificaciones!C800,'BG 062021'!C:C),0)</f>
        <v>200000000</v>
      </c>
      <c r="P800" s="887"/>
      <c r="Q800" s="63">
        <f>IF(F800="I",SUMIF('BG 062021'!A:A,Clasificaciones!C800,'BG 062021'!D:D),0)</f>
        <v>30556.01</v>
      </c>
    </row>
    <row r="801" spans="1:18" s="888" customFormat="1" hidden="1">
      <c r="A801" s="885" t="s">
        <v>189</v>
      </c>
      <c r="B801" s="885" t="s">
        <v>118</v>
      </c>
      <c r="C801" s="889">
        <v>5130403</v>
      </c>
      <c r="D801" s="889" t="s">
        <v>1090</v>
      </c>
      <c r="E801" s="886" t="s">
        <v>6</v>
      </c>
      <c r="F801" s="886" t="s">
        <v>271</v>
      </c>
      <c r="G801" s="47">
        <f>IF(F801="I",IFERROR(VLOOKUP(C801,'BG 062022'!A:C,3,FALSE),0),0)</f>
        <v>0</v>
      </c>
      <c r="H801" s="885"/>
      <c r="I801" s="63">
        <f>IF(F801="I",IFERROR(VLOOKUP(C801,'BG 062022'!A:D,4,FALSE),0),0)</f>
        <v>0</v>
      </c>
      <c r="J801" s="887"/>
      <c r="K801" s="47">
        <f>IF(F801="I",SUMIF('BG 2021'!B:B,Clasificaciones!C801,'BG 2021'!D:D),0)</f>
        <v>10272727</v>
      </c>
      <c r="L801" s="887"/>
      <c r="M801" s="63">
        <f>IF(F801="I",SUMIF('BG 2021'!B:B,Clasificaciones!C801,'BG 2021'!E:E),0)</f>
        <v>1502.89</v>
      </c>
      <c r="N801" s="887"/>
      <c r="O801" s="47">
        <f>IF(F801="I",SUMIF('BG 062021'!A:A,Clasificaciones!C801,'BG 062021'!C:C),0)</f>
        <v>0</v>
      </c>
      <c r="P801" s="887"/>
      <c r="Q801" s="63">
        <f>IF(F801="I",SUMIF('BG 062021'!A:A,Clasificaciones!C801,'BG 062021'!D:D),0)</f>
        <v>0</v>
      </c>
    </row>
    <row r="802" spans="1:18" s="888" customFormat="1" hidden="1">
      <c r="A802" s="885" t="s">
        <v>189</v>
      </c>
      <c r="B802" s="885" t="s">
        <v>118</v>
      </c>
      <c r="C802" s="889">
        <v>5130404</v>
      </c>
      <c r="D802" s="889" t="s">
        <v>813</v>
      </c>
      <c r="E802" s="886" t="s">
        <v>6</v>
      </c>
      <c r="F802" s="886" t="s">
        <v>271</v>
      </c>
      <c r="G802" s="47">
        <f>IF(F802="I",IFERROR(VLOOKUP(C802,'BG 062022'!A:C,3,FALSE),0),0)</f>
        <v>2864657</v>
      </c>
      <c r="H802" s="885"/>
      <c r="I802" s="63">
        <f>IF(F802="I",IFERROR(VLOOKUP(C802,'BG 062022'!A:D,4,FALSE),0),0)</f>
        <v>413.22</v>
      </c>
      <c r="J802" s="887"/>
      <c r="K802" s="47">
        <f>IF(F802="I",SUMIF('BG 2021'!B:B,Clasificaciones!C802,'BG 2021'!D:D),0)</f>
        <v>38216035</v>
      </c>
      <c r="L802" s="887"/>
      <c r="M802" s="63">
        <f>IF(F802="I",SUMIF('BG 2021'!B:B,Clasificaciones!C802,'BG 2021'!E:E),0)</f>
        <v>5547.72</v>
      </c>
      <c r="N802" s="887"/>
      <c r="O802" s="47">
        <f>IF(F802="I",SUMIF('BG 062021'!A:A,Clasificaciones!C802,'BG 062021'!C:C),0)</f>
        <v>3658986</v>
      </c>
      <c r="P802" s="887"/>
      <c r="Q802" s="63">
        <f>IF(F802="I",SUMIF('BG 062021'!A:A,Clasificaciones!C802,'BG 062021'!D:D),0)</f>
        <v>545.71</v>
      </c>
      <c r="R802" s="888">
        <f>+VLOOKUP(C802,'CA EFE'!A:A,1,FALSE)</f>
        <v>5130404</v>
      </c>
    </row>
    <row r="803" spans="1:18" s="888" customFormat="1" hidden="1">
      <c r="A803" s="885" t="s">
        <v>189</v>
      </c>
      <c r="B803" s="885" t="s">
        <v>118</v>
      </c>
      <c r="C803" s="889">
        <v>5130405</v>
      </c>
      <c r="D803" s="889" t="s">
        <v>814</v>
      </c>
      <c r="E803" s="886" t="s">
        <v>6</v>
      </c>
      <c r="F803" s="886" t="s">
        <v>271</v>
      </c>
      <c r="G803" s="47">
        <f>IF(F803="I",IFERROR(VLOOKUP(C803,'BG 062022'!A:C,3,FALSE),0),0)</f>
        <v>252244377</v>
      </c>
      <c r="H803" s="885"/>
      <c r="I803" s="63">
        <f>IF(F803="I",IFERROR(VLOOKUP(C803,'BG 062022'!A:D,4,FALSE),0),0)</f>
        <v>36481.67</v>
      </c>
      <c r="J803" s="887"/>
      <c r="K803" s="47">
        <f>IF(F803="I",SUMIF('BG 2021'!B:B,Clasificaciones!C803,'BG 2021'!D:D),0)</f>
        <v>388197452</v>
      </c>
      <c r="L803" s="887"/>
      <c r="M803" s="63">
        <f>IF(F803="I",SUMIF('BG 2021'!B:B,Clasificaciones!C803,'BG 2021'!E:E),0)</f>
        <v>57365.36</v>
      </c>
      <c r="N803" s="887"/>
      <c r="O803" s="47">
        <f>IF(F803="I",SUMIF('BG 062021'!A:A,Clasificaciones!C803,'BG 062021'!C:C),0)</f>
        <v>177914228</v>
      </c>
      <c r="P803" s="887"/>
      <c r="Q803" s="63">
        <f>IF(F803="I",SUMIF('BG 062021'!A:A,Clasificaciones!C803,'BG 062021'!D:D),0)</f>
        <v>26783.5</v>
      </c>
      <c r="R803" s="888">
        <f>+VLOOKUP(C803,'CA EFE'!A:A,1,FALSE)</f>
        <v>5130405</v>
      </c>
    </row>
    <row r="804" spans="1:18" s="888" customFormat="1" hidden="1">
      <c r="A804" s="885" t="s">
        <v>189</v>
      </c>
      <c r="B804" s="885" t="s">
        <v>118</v>
      </c>
      <c r="C804" s="889">
        <v>5130406</v>
      </c>
      <c r="D804" s="889" t="s">
        <v>1503</v>
      </c>
      <c r="E804" s="886" t="s">
        <v>186</v>
      </c>
      <c r="F804" s="886" t="s">
        <v>271</v>
      </c>
      <c r="G804" s="47">
        <f>IF(F804="I",IFERROR(VLOOKUP(C804,'BG 062022'!A:C,3,FALSE),0),0)</f>
        <v>12554424</v>
      </c>
      <c r="H804" s="885"/>
      <c r="I804" s="63">
        <f>IF(F804="I",IFERROR(VLOOKUP(C804,'BG 062022'!A:D,4,FALSE),0),0)</f>
        <v>1800</v>
      </c>
      <c r="J804" s="887"/>
      <c r="K804" s="47">
        <f>IF(F804="I",SUMIF('BG 2021'!B:B,Clasificaciones!C804,'BG 2021'!D:D),0)</f>
        <v>0</v>
      </c>
      <c r="L804" s="887"/>
      <c r="M804" s="63">
        <f>IF(F804="I",SUMIF('BG 2021'!B:B,Clasificaciones!C804,'BG 2021'!E:E),0)</f>
        <v>0</v>
      </c>
      <c r="N804" s="887"/>
      <c r="O804" s="47">
        <f>IF(F804="I",SUMIF('BG 062021'!A:A,Clasificaciones!C804,'BG 062021'!C:C),0)</f>
        <v>0</v>
      </c>
      <c r="P804" s="887"/>
      <c r="Q804" s="63">
        <f>IF(F804="I",SUMIF('BG 062021'!A:A,Clasificaciones!C804,'BG 062021'!D:D),0)</f>
        <v>0</v>
      </c>
      <c r="R804" s="888">
        <f>+VLOOKUP(C804,'CA EFE'!A:A,1,FALSE)</f>
        <v>5130406</v>
      </c>
    </row>
    <row r="805" spans="1:18" s="888" customFormat="1" hidden="1">
      <c r="A805" s="885" t="s">
        <v>189</v>
      </c>
      <c r="B805" s="885" t="s">
        <v>118</v>
      </c>
      <c r="C805" s="889">
        <v>5130407</v>
      </c>
      <c r="D805" s="889" t="s">
        <v>1240</v>
      </c>
      <c r="E805" s="886" t="s">
        <v>6</v>
      </c>
      <c r="F805" s="886" t="s">
        <v>271</v>
      </c>
      <c r="G805" s="47">
        <f>IF(F805="I",IFERROR(VLOOKUP(C805,'BG 062022'!A:C,3,FALSE),0),0)</f>
        <v>19461173</v>
      </c>
      <c r="H805" s="885"/>
      <c r="I805" s="63">
        <f>IF(F805="I",IFERROR(VLOOKUP(C805,'BG 062022'!A:D,4,FALSE),0),0)</f>
        <v>2806.51</v>
      </c>
      <c r="J805" s="887"/>
      <c r="K805" s="47">
        <f>IF(F805="I",SUMIF('BG 2021'!B:B,Clasificaciones!C805,'BG 2021'!D:D),0)</f>
        <v>20755777</v>
      </c>
      <c r="L805" s="887"/>
      <c r="M805" s="63">
        <f>IF(F805="I",SUMIF('BG 2021'!B:B,Clasificaciones!C805,'BG 2021'!E:E),0)</f>
        <v>3016.24</v>
      </c>
      <c r="N805" s="887"/>
      <c r="O805" s="47">
        <f>IF(F805="I",SUMIF('BG 062021'!A:A,Clasificaciones!C805,'BG 062021'!C:C),0)</f>
        <v>0</v>
      </c>
      <c r="P805" s="887"/>
      <c r="Q805" s="63">
        <f>IF(F805="I",SUMIF('BG 062021'!A:A,Clasificaciones!C805,'BG 062021'!D:D),0)</f>
        <v>0</v>
      </c>
      <c r="R805" s="888">
        <f>+VLOOKUP(C805,'CA EFE'!A:A,1,FALSE)</f>
        <v>5130407</v>
      </c>
    </row>
    <row r="806" spans="1:18" s="888" customFormat="1" hidden="1">
      <c r="A806" s="885" t="s">
        <v>189</v>
      </c>
      <c r="B806" s="885"/>
      <c r="C806" s="889">
        <v>51305</v>
      </c>
      <c r="D806" s="889" t="s">
        <v>816</v>
      </c>
      <c r="E806" s="886" t="s">
        <v>6</v>
      </c>
      <c r="F806" s="886" t="s">
        <v>270</v>
      </c>
      <c r="G806" s="47">
        <f>IF(F806="I",IFERROR(VLOOKUP(C806,'BG 062022'!A:C,3,FALSE),0),0)</f>
        <v>0</v>
      </c>
      <c r="H806" s="885"/>
      <c r="I806" s="63">
        <f>IF(F806="I",IFERROR(VLOOKUP(C806,'BG 062022'!A:D,4,FALSE),0),0)</f>
        <v>0</v>
      </c>
      <c r="J806" s="887"/>
      <c r="K806" s="47">
        <f>IF(F806="I",SUMIF('BG 2021'!B:B,Clasificaciones!C806,'BG 2021'!D:D),0)</f>
        <v>0</v>
      </c>
      <c r="L806" s="887"/>
      <c r="M806" s="63">
        <f>IF(F806="I",SUMIF('BG 2021'!B:B,Clasificaciones!C806,'BG 2021'!E:E),0)</f>
        <v>0</v>
      </c>
      <c r="N806" s="887"/>
      <c r="O806" s="47">
        <f>IF(F806="I",SUMIF('BG 062021'!A:A,Clasificaciones!C806,'BG 062021'!C:C),0)</f>
        <v>0</v>
      </c>
      <c r="P806" s="887"/>
      <c r="Q806" s="63">
        <f>IF(F806="I",SUMIF('BG 062021'!A:A,Clasificaciones!C806,'BG 062021'!D:D),0)</f>
        <v>0</v>
      </c>
    </row>
    <row r="807" spans="1:18" s="888" customFormat="1" hidden="1">
      <c r="A807" s="885" t="s">
        <v>189</v>
      </c>
      <c r="B807" s="885"/>
      <c r="C807" s="889">
        <v>5130501</v>
      </c>
      <c r="D807" s="889" t="s">
        <v>817</v>
      </c>
      <c r="E807" s="886" t="s">
        <v>6</v>
      </c>
      <c r="F807" s="886" t="s">
        <v>270</v>
      </c>
      <c r="G807" s="47">
        <f>IF(F807="I",IFERROR(VLOOKUP(C807,'BG 062022'!A:C,3,FALSE),0),0)</f>
        <v>0</v>
      </c>
      <c r="H807" s="885"/>
      <c r="I807" s="63">
        <f>IF(F807="I",IFERROR(VLOOKUP(C807,'BG 062022'!A:D,4,FALSE),0),0)</f>
        <v>0</v>
      </c>
      <c r="J807" s="887"/>
      <c r="K807" s="47">
        <f>IF(F807="I",SUMIF('BG 2021'!B:B,Clasificaciones!C807,'BG 2021'!D:D),0)</f>
        <v>0</v>
      </c>
      <c r="L807" s="887"/>
      <c r="M807" s="63">
        <f>IF(F807="I",SUMIF('BG 2021'!B:B,Clasificaciones!C807,'BG 2021'!E:E),0)</f>
        <v>0</v>
      </c>
      <c r="N807" s="887"/>
      <c r="O807" s="47">
        <f>IF(F807="I",SUMIF('BG 062021'!A:A,Clasificaciones!C807,'BG 062021'!C:C),0)</f>
        <v>0</v>
      </c>
      <c r="P807" s="887"/>
      <c r="Q807" s="63">
        <f>IF(F807="I",SUMIF('BG 062021'!A:A,Clasificaciones!C807,'BG 062021'!D:D),0)</f>
        <v>0</v>
      </c>
    </row>
    <row r="808" spans="1:18" s="888" customFormat="1" hidden="1">
      <c r="A808" s="885" t="s">
        <v>189</v>
      </c>
      <c r="B808" s="885" t="s">
        <v>119</v>
      </c>
      <c r="C808" s="889">
        <v>513050101</v>
      </c>
      <c r="D808" s="889" t="s">
        <v>818</v>
      </c>
      <c r="E808" s="886" t="s">
        <v>6</v>
      </c>
      <c r="F808" s="886" t="s">
        <v>271</v>
      </c>
      <c r="G808" s="47">
        <f>IF(F808="I",IFERROR(VLOOKUP(C808,'BG 062022'!A:C,3,FALSE),0),0)</f>
        <v>37302276</v>
      </c>
      <c r="H808" s="885"/>
      <c r="I808" s="63">
        <f>IF(F808="I",IFERROR(VLOOKUP(C808,'BG 062022'!A:D,4,FALSE),0),0)</f>
        <v>5516.1</v>
      </c>
      <c r="J808" s="887"/>
      <c r="K808" s="47">
        <f>IF(F808="I",SUMIF('BG 2021'!B:B,Clasificaciones!C808,'BG 2021'!D:D),0)</f>
        <v>588477</v>
      </c>
      <c r="L808" s="887"/>
      <c r="M808" s="63">
        <f>IF(F808="I",SUMIF('BG 2021'!B:B,Clasificaciones!C808,'BG 2021'!E:E),0)</f>
        <v>88.1</v>
      </c>
      <c r="N808" s="887"/>
      <c r="O808" s="47">
        <f>IF(F808="I",SUMIF('BG 062021'!A:A,Clasificaciones!C808,'BG 062021'!C:C),0)</f>
        <v>294240</v>
      </c>
      <c r="P808" s="887"/>
      <c r="Q808" s="63">
        <f>IF(F808="I",SUMIF('BG 062021'!A:A,Clasificaciones!C808,'BG 062021'!D:D),0)</f>
        <v>44.04</v>
      </c>
      <c r="R808" s="888">
        <f>+VLOOKUP(C808,'CA EFE'!A:A,1,FALSE)</f>
        <v>513050101</v>
      </c>
    </row>
    <row r="809" spans="1:18" s="888" customFormat="1" hidden="1">
      <c r="A809" s="885" t="s">
        <v>189</v>
      </c>
      <c r="B809" s="885"/>
      <c r="C809" s="889">
        <v>513050102</v>
      </c>
      <c r="D809" s="889" t="s">
        <v>1092</v>
      </c>
      <c r="E809" s="886" t="s">
        <v>6</v>
      </c>
      <c r="F809" s="886" t="s">
        <v>271</v>
      </c>
      <c r="G809" s="47">
        <f>IF(F809="I",IFERROR(VLOOKUP(C809,'BG 062022'!A:C,3,FALSE),0),0)</f>
        <v>0</v>
      </c>
      <c r="H809" s="885"/>
      <c r="I809" s="63">
        <f>IF(F809="I",IFERROR(VLOOKUP(C809,'BG 062022'!A:D,4,FALSE),0),0)</f>
        <v>0</v>
      </c>
      <c r="J809" s="887"/>
      <c r="K809" s="47">
        <f>IF(F809="I",SUMIF('BG 2021'!B:B,Clasificaciones!C809,'BG 2021'!D:D),0)</f>
        <v>0</v>
      </c>
      <c r="L809" s="887"/>
      <c r="M809" s="63">
        <f>IF(F809="I",SUMIF('BG 2021'!B:B,Clasificaciones!C809,'BG 2021'!E:E),0)</f>
        <v>0</v>
      </c>
      <c r="N809" s="887"/>
      <c r="O809" s="47">
        <f>IF(F809="I",SUMIF('BG 062021'!A:A,Clasificaciones!C809,'BG 062021'!C:C),0)</f>
        <v>0</v>
      </c>
      <c r="P809" s="887"/>
      <c r="Q809" s="63">
        <f>IF(F809="I",SUMIF('BG 062021'!A:A,Clasificaciones!C809,'BG 062021'!D:D),0)</f>
        <v>0</v>
      </c>
    </row>
    <row r="810" spans="1:18" s="888" customFormat="1" hidden="1">
      <c r="A810" s="885" t="s">
        <v>189</v>
      </c>
      <c r="B810" s="885" t="s">
        <v>119</v>
      </c>
      <c r="C810" s="889">
        <v>513050103</v>
      </c>
      <c r="D810" s="889" t="s">
        <v>819</v>
      </c>
      <c r="E810" s="886" t="s">
        <v>6</v>
      </c>
      <c r="F810" s="886" t="s">
        <v>271</v>
      </c>
      <c r="G810" s="47">
        <f>IF(F810="I",IFERROR(VLOOKUP(C810,'BG 062022'!A:C,3,FALSE),0),0)</f>
        <v>32175738</v>
      </c>
      <c r="H810" s="885"/>
      <c r="I810" s="63">
        <f>IF(F810="I",IFERROR(VLOOKUP(C810,'BG 062022'!A:D,4,FALSE),0),0)</f>
        <v>4719.5600000000004</v>
      </c>
      <c r="J810" s="887"/>
      <c r="K810" s="47">
        <f>IF(F810="I",SUMIF('BG 2021'!B:B,Clasificaciones!C810,'BG 2021'!D:D),0)</f>
        <v>5479087</v>
      </c>
      <c r="L810" s="887"/>
      <c r="M810" s="63">
        <f>IF(F810="I",SUMIF('BG 2021'!B:B,Clasificaciones!C810,'BG 2021'!E:E),0)</f>
        <v>862.47</v>
      </c>
      <c r="N810" s="887"/>
      <c r="O810" s="47">
        <f>IF(F810="I",SUMIF('BG 062021'!A:A,Clasificaciones!C810,'BG 062021'!C:C),0)</f>
        <v>1461504</v>
      </c>
      <c r="P810" s="887"/>
      <c r="Q810" s="63">
        <f>IF(F810="I",SUMIF('BG 062021'!A:A,Clasificaciones!C810,'BG 062021'!D:D),0)</f>
        <v>243.24</v>
      </c>
      <c r="R810" s="888">
        <f>+VLOOKUP(C810,'CA EFE'!A:A,1,FALSE)</f>
        <v>513050103</v>
      </c>
    </row>
    <row r="811" spans="1:18" s="888" customFormat="1" hidden="1">
      <c r="A811" s="885" t="s">
        <v>189</v>
      </c>
      <c r="B811" s="885"/>
      <c r="C811" s="889">
        <v>513050104</v>
      </c>
      <c r="D811" s="889" t="s">
        <v>1093</v>
      </c>
      <c r="E811" s="886" t="s">
        <v>6</v>
      </c>
      <c r="F811" s="886" t="s">
        <v>271</v>
      </c>
      <c r="G811" s="47">
        <f>IF(F811="I",IFERROR(VLOOKUP(C811,'BG 062022'!A:C,3,FALSE),0),0)</f>
        <v>0</v>
      </c>
      <c r="H811" s="885"/>
      <c r="I811" s="63">
        <f>IF(F811="I",IFERROR(VLOOKUP(C811,'BG 062022'!A:D,4,FALSE),0),0)</f>
        <v>0</v>
      </c>
      <c r="J811" s="887"/>
      <c r="K811" s="47">
        <f>IF(F811="I",SUMIF('BG 2021'!B:B,Clasificaciones!C811,'BG 2021'!D:D),0)</f>
        <v>0</v>
      </c>
      <c r="L811" s="887"/>
      <c r="M811" s="63">
        <f>IF(F811="I",SUMIF('BG 2021'!B:B,Clasificaciones!C811,'BG 2021'!E:E),0)</f>
        <v>0</v>
      </c>
      <c r="N811" s="887"/>
      <c r="O811" s="47">
        <f>IF(F811="I",SUMIF('BG 062021'!A:A,Clasificaciones!C811,'BG 062021'!C:C),0)</f>
        <v>0</v>
      </c>
      <c r="P811" s="887"/>
      <c r="Q811" s="63">
        <f>IF(F811="I",SUMIF('BG 062021'!A:A,Clasificaciones!C811,'BG 062021'!D:D),0)</f>
        <v>0</v>
      </c>
    </row>
    <row r="812" spans="1:18" s="888" customFormat="1" hidden="1">
      <c r="A812" s="885" t="s">
        <v>189</v>
      </c>
      <c r="B812" s="885"/>
      <c r="C812" s="889">
        <v>513050105</v>
      </c>
      <c r="D812" s="889" t="s">
        <v>1094</v>
      </c>
      <c r="E812" s="886" t="s">
        <v>6</v>
      </c>
      <c r="F812" s="886" t="s">
        <v>271</v>
      </c>
      <c r="G812" s="47">
        <f>IF(F812="I",IFERROR(VLOOKUP(C812,'BG 062022'!A:C,3,FALSE),0),0)</f>
        <v>0</v>
      </c>
      <c r="H812" s="885"/>
      <c r="I812" s="63">
        <f>IF(F812="I",IFERROR(VLOOKUP(C812,'BG 062022'!A:D,4,FALSE),0),0)</f>
        <v>0</v>
      </c>
      <c r="J812" s="887"/>
      <c r="K812" s="47">
        <f>IF(F812="I",SUMIF('BG 2021'!B:B,Clasificaciones!C812,'BG 2021'!D:D),0)</f>
        <v>0</v>
      </c>
      <c r="L812" s="887"/>
      <c r="M812" s="63">
        <f>IF(F812="I",SUMIF('BG 2021'!B:B,Clasificaciones!C812,'BG 2021'!E:E),0)</f>
        <v>0</v>
      </c>
      <c r="N812" s="887"/>
      <c r="O812" s="47">
        <f>IF(F812="I",SUMIF('BG 062021'!A:A,Clasificaciones!C812,'BG 062021'!C:C),0)</f>
        <v>0</v>
      </c>
      <c r="P812" s="887"/>
      <c r="Q812" s="63">
        <f>IF(F812="I",SUMIF('BG 062021'!A:A,Clasificaciones!C812,'BG 062021'!D:D),0)</f>
        <v>0</v>
      </c>
    </row>
    <row r="813" spans="1:18" s="888" customFormat="1" hidden="1">
      <c r="A813" s="885" t="s">
        <v>189</v>
      </c>
      <c r="B813" s="885"/>
      <c r="C813" s="889">
        <v>513050106</v>
      </c>
      <c r="D813" s="889" t="s">
        <v>1095</v>
      </c>
      <c r="E813" s="886" t="s">
        <v>6</v>
      </c>
      <c r="F813" s="886" t="s">
        <v>271</v>
      </c>
      <c r="G813" s="47">
        <f>IF(F813="I",IFERROR(VLOOKUP(C813,'BG 062022'!A:C,3,FALSE),0),0)</f>
        <v>0</v>
      </c>
      <c r="H813" s="885"/>
      <c r="I813" s="63">
        <f>IF(F813="I",IFERROR(VLOOKUP(C813,'BG 062022'!A:D,4,FALSE),0),0)</f>
        <v>0</v>
      </c>
      <c r="J813" s="887"/>
      <c r="K813" s="47">
        <f>IF(F813="I",SUMIF('BG 2021'!B:B,Clasificaciones!C813,'BG 2021'!D:D),0)</f>
        <v>0</v>
      </c>
      <c r="L813" s="887"/>
      <c r="M813" s="63">
        <f>IF(F813="I",SUMIF('BG 2021'!B:B,Clasificaciones!C813,'BG 2021'!E:E),0)</f>
        <v>0</v>
      </c>
      <c r="N813" s="887"/>
      <c r="O813" s="47">
        <f>IF(F813="I",SUMIF('BG 062021'!A:A,Clasificaciones!C813,'BG 062021'!C:C),0)</f>
        <v>0</v>
      </c>
      <c r="P813" s="887"/>
      <c r="Q813" s="63">
        <f>IF(F813="I",SUMIF('BG 062021'!A:A,Clasificaciones!C813,'BG 062021'!D:D),0)</f>
        <v>0</v>
      </c>
    </row>
    <row r="814" spans="1:18" s="888" customFormat="1" hidden="1">
      <c r="A814" s="885" t="s">
        <v>189</v>
      </c>
      <c r="B814" s="885"/>
      <c r="C814" s="889">
        <v>513050107</v>
      </c>
      <c r="D814" s="889" t="s">
        <v>994</v>
      </c>
      <c r="E814" s="886" t="s">
        <v>6</v>
      </c>
      <c r="F814" s="886" t="s">
        <v>271</v>
      </c>
      <c r="G814" s="47">
        <f>IF(F814="I",IFERROR(VLOOKUP(C814,'BG 062022'!A:C,3,FALSE),0),0)</f>
        <v>0</v>
      </c>
      <c r="H814" s="885"/>
      <c r="I814" s="63">
        <f>IF(F814="I",IFERROR(VLOOKUP(C814,'BG 062022'!A:D,4,FALSE),0),0)</f>
        <v>0</v>
      </c>
      <c r="J814" s="887"/>
      <c r="K814" s="47">
        <f>IF(F814="I",SUMIF('BG 2021'!B:B,Clasificaciones!C814,'BG 2021'!D:D),0)</f>
        <v>0</v>
      </c>
      <c r="L814" s="887"/>
      <c r="M814" s="63">
        <f>IF(F814="I",SUMIF('BG 2021'!B:B,Clasificaciones!C814,'BG 2021'!E:E),0)</f>
        <v>0</v>
      </c>
      <c r="N814" s="887"/>
      <c r="O814" s="47">
        <f>IF(F814="I",SUMIF('BG 062021'!A:A,Clasificaciones!C814,'BG 062021'!C:C),0)</f>
        <v>0</v>
      </c>
      <c r="P814" s="887"/>
      <c r="Q814" s="63">
        <f>IF(F814="I",SUMIF('BG 062021'!A:A,Clasificaciones!C814,'BG 062021'!D:D),0)</f>
        <v>0</v>
      </c>
    </row>
    <row r="815" spans="1:18" s="888" customFormat="1" hidden="1">
      <c r="A815" s="885" t="s">
        <v>189</v>
      </c>
      <c r="B815" s="885"/>
      <c r="C815" s="889">
        <v>513050108</v>
      </c>
      <c r="D815" s="889" t="s">
        <v>995</v>
      </c>
      <c r="E815" s="886" t="s">
        <v>6</v>
      </c>
      <c r="F815" s="886" t="s">
        <v>271</v>
      </c>
      <c r="G815" s="47">
        <f>IF(F815="I",IFERROR(VLOOKUP(C815,'BG 062022'!A:C,3,FALSE),0),0)</f>
        <v>0</v>
      </c>
      <c r="H815" s="885"/>
      <c r="I815" s="63">
        <f>IF(F815="I",IFERROR(VLOOKUP(C815,'BG 062022'!A:D,4,FALSE),0),0)</f>
        <v>0</v>
      </c>
      <c r="J815" s="887"/>
      <c r="K815" s="47">
        <f>IF(F815="I",SUMIF('BG 2021'!B:B,Clasificaciones!C815,'BG 2021'!D:D),0)</f>
        <v>0</v>
      </c>
      <c r="L815" s="887"/>
      <c r="M815" s="63">
        <f>IF(F815="I",SUMIF('BG 2021'!B:B,Clasificaciones!C815,'BG 2021'!E:E),0)</f>
        <v>0</v>
      </c>
      <c r="N815" s="887"/>
      <c r="O815" s="47">
        <f>IF(F815="I",SUMIF('BG 062021'!A:A,Clasificaciones!C815,'BG 062021'!C:C),0)</f>
        <v>0</v>
      </c>
      <c r="P815" s="887"/>
      <c r="Q815" s="63">
        <f>IF(F815="I",SUMIF('BG 062021'!A:A,Clasificaciones!C815,'BG 062021'!D:D),0)</f>
        <v>0</v>
      </c>
    </row>
    <row r="816" spans="1:18" s="888" customFormat="1" hidden="1">
      <c r="A816" s="885" t="s">
        <v>189</v>
      </c>
      <c r="B816" s="885" t="s">
        <v>119</v>
      </c>
      <c r="C816" s="889">
        <v>513050109</v>
      </c>
      <c r="D816" s="889" t="s">
        <v>1504</v>
      </c>
      <c r="E816" s="886" t="s">
        <v>6</v>
      </c>
      <c r="F816" s="886" t="s">
        <v>271</v>
      </c>
      <c r="G816" s="47">
        <f>IF(F816="I",IFERROR(VLOOKUP(C816,'BG 062022'!A:C,3,FALSE),0),0)</f>
        <v>5514324</v>
      </c>
      <c r="H816" s="885"/>
      <c r="I816" s="63">
        <f>IF(F816="I",IFERROR(VLOOKUP(C816,'BG 062022'!A:D,4,FALSE),0),0)</f>
        <v>814.74</v>
      </c>
      <c r="J816" s="887"/>
      <c r="K816" s="47">
        <f>IF(F816="I",SUMIF('BG 2021'!B:B,Clasificaciones!C816,'BG 2021'!D:D),0)</f>
        <v>0</v>
      </c>
      <c r="L816" s="887"/>
      <c r="M816" s="63">
        <f>IF(F816="I",SUMIF('BG 2021'!B:B,Clasificaciones!C816,'BG 2021'!E:E),0)</f>
        <v>0</v>
      </c>
      <c r="N816" s="887"/>
      <c r="O816" s="47">
        <f>IF(F816="I",SUMIF('BG 062021'!A:A,Clasificaciones!C816,'BG 062021'!C:C),0)</f>
        <v>0</v>
      </c>
      <c r="P816" s="887"/>
      <c r="Q816" s="63">
        <f>IF(F816="I",SUMIF('BG 062021'!A:A,Clasificaciones!C816,'BG 062021'!D:D),0)</f>
        <v>0</v>
      </c>
      <c r="R816" s="888">
        <f>+VLOOKUP(C816,'CA EFE'!A:A,1,FALSE)</f>
        <v>513050109</v>
      </c>
    </row>
    <row r="817" spans="1:18" s="888" customFormat="1" hidden="1">
      <c r="A817" s="885" t="s">
        <v>189</v>
      </c>
      <c r="B817" s="885" t="s">
        <v>119</v>
      </c>
      <c r="C817" s="889">
        <v>513050110</v>
      </c>
      <c r="D817" s="889" t="s">
        <v>1505</v>
      </c>
      <c r="E817" s="886" t="s">
        <v>6</v>
      </c>
      <c r="F817" s="886" t="s">
        <v>271</v>
      </c>
      <c r="G817" s="47">
        <f>IF(F817="I",IFERROR(VLOOKUP(C817,'BG 062022'!A:C,3,FALSE),0),0)</f>
        <v>14243514</v>
      </c>
      <c r="H817" s="885"/>
      <c r="I817" s="63">
        <f>IF(F817="I",IFERROR(VLOOKUP(C817,'BG 062022'!A:D,4,FALSE),0),0)</f>
        <v>2128.36</v>
      </c>
      <c r="J817" s="887"/>
      <c r="K817" s="47">
        <f>IF(F817="I",SUMIF('BG 2021'!B:B,Clasificaciones!C817,'BG 2021'!D:D),0)</f>
        <v>0</v>
      </c>
      <c r="L817" s="887"/>
      <c r="M817" s="63">
        <f>IF(F817="I",SUMIF('BG 2021'!B:B,Clasificaciones!C817,'BG 2021'!E:E),0)</f>
        <v>0</v>
      </c>
      <c r="N817" s="887"/>
      <c r="O817" s="47">
        <f>IF(F817="I",SUMIF('BG 062021'!A:A,Clasificaciones!C817,'BG 062021'!C:C),0)</f>
        <v>0</v>
      </c>
      <c r="P817" s="887"/>
      <c r="Q817" s="63">
        <f>IF(F817="I",SUMIF('BG 062021'!A:A,Clasificaciones!C817,'BG 062021'!D:D),0)</f>
        <v>0</v>
      </c>
      <c r="R817" s="888">
        <f>+VLOOKUP(C817,'CA EFE'!A:A,1,FALSE)</f>
        <v>513050110</v>
      </c>
    </row>
    <row r="818" spans="1:18" s="888" customFormat="1" hidden="1">
      <c r="A818" s="885" t="s">
        <v>189</v>
      </c>
      <c r="B818" s="885"/>
      <c r="C818" s="889">
        <v>5130502</v>
      </c>
      <c r="D818" s="889" t="s">
        <v>820</v>
      </c>
      <c r="E818" s="886" t="s">
        <v>6</v>
      </c>
      <c r="F818" s="886" t="s">
        <v>270</v>
      </c>
      <c r="G818" s="47">
        <f>IF(F818="I",IFERROR(VLOOKUP(C818,'BG 062022'!A:C,3,FALSE),0),0)</f>
        <v>0</v>
      </c>
      <c r="H818" s="885"/>
      <c r="I818" s="63">
        <f>IF(F818="I",IFERROR(VLOOKUP(C818,'BG 062022'!A:D,4,FALSE),0),0)</f>
        <v>0</v>
      </c>
      <c r="J818" s="887"/>
      <c r="K818" s="47">
        <f>IF(F818="I",SUMIF('BG 2021'!B:B,Clasificaciones!C818,'BG 2021'!D:D),0)</f>
        <v>0</v>
      </c>
      <c r="L818" s="887"/>
      <c r="M818" s="63">
        <f>IF(F818="I",SUMIF('BG 2021'!B:B,Clasificaciones!C818,'BG 2021'!E:E),0)</f>
        <v>0</v>
      </c>
      <c r="N818" s="887"/>
      <c r="O818" s="47">
        <f>IF(F818="I",SUMIF('BG 062021'!A:A,Clasificaciones!C818,'BG 062021'!C:C),0)</f>
        <v>0</v>
      </c>
      <c r="P818" s="887"/>
      <c r="Q818" s="63">
        <f>IF(F818="I",SUMIF('BG 062021'!A:A,Clasificaciones!C818,'BG 062021'!D:D),0)</f>
        <v>0</v>
      </c>
    </row>
    <row r="819" spans="1:18" s="888" customFormat="1" hidden="1">
      <c r="A819" s="885" t="s">
        <v>189</v>
      </c>
      <c r="B819" s="885" t="s">
        <v>119</v>
      </c>
      <c r="C819" s="889">
        <v>513050201</v>
      </c>
      <c r="D819" s="889" t="s">
        <v>821</v>
      </c>
      <c r="E819" s="886" t="s">
        <v>6</v>
      </c>
      <c r="F819" s="886" t="s">
        <v>271</v>
      </c>
      <c r="G819" s="47">
        <f>IF(F819="I",IFERROR(VLOOKUP(C819,'BG 062022'!A:C,3,FALSE),0),0)</f>
        <v>3617928</v>
      </c>
      <c r="H819" s="885"/>
      <c r="I819" s="63">
        <f>IF(F819="I",IFERROR(VLOOKUP(C819,'BG 062022'!A:D,4,FALSE),0),0)</f>
        <v>600</v>
      </c>
      <c r="J819" s="887"/>
      <c r="K819" s="47">
        <f>IF(F819="I",SUMIF('BG 2021'!B:B,Clasificaciones!C819,'BG 2021'!D:D),0)</f>
        <v>7235861</v>
      </c>
      <c r="L819" s="887"/>
      <c r="M819" s="63">
        <f>IF(F819="I",SUMIF('BG 2021'!B:B,Clasificaciones!C819,'BG 2021'!E:E),0)</f>
        <v>1200</v>
      </c>
      <c r="N819" s="887"/>
      <c r="O819" s="47">
        <f>IF(F819="I",SUMIF('BG 062021'!A:A,Clasificaciones!C819,'BG 062021'!C:C),0)</f>
        <v>3617928</v>
      </c>
      <c r="P819" s="887"/>
      <c r="Q819" s="63">
        <f>IF(F819="I",SUMIF('BG 062021'!A:A,Clasificaciones!C819,'BG 062021'!D:D),0)</f>
        <v>606</v>
      </c>
      <c r="R819" s="888">
        <f>+VLOOKUP(C819,'CA EFE'!A:A,1,FALSE)</f>
        <v>513050201</v>
      </c>
    </row>
    <row r="820" spans="1:18" s="888" customFormat="1" hidden="1">
      <c r="A820" s="885" t="s">
        <v>189</v>
      </c>
      <c r="B820" s="885" t="s">
        <v>119</v>
      </c>
      <c r="C820" s="889">
        <v>513050202</v>
      </c>
      <c r="D820" s="889" t="s">
        <v>822</v>
      </c>
      <c r="E820" s="886" t="s">
        <v>6</v>
      </c>
      <c r="F820" s="886" t="s">
        <v>271</v>
      </c>
      <c r="G820" s="47">
        <f>IF(F820="I",IFERROR(VLOOKUP(C820,'BG 062022'!A:C,3,FALSE),0),0)</f>
        <v>69061152</v>
      </c>
      <c r="H820" s="885"/>
      <c r="I820" s="63">
        <f>IF(F820="I",IFERROR(VLOOKUP(C820,'BG 062022'!A:D,4,FALSE),0),0)</f>
        <v>11107.92</v>
      </c>
      <c r="J820" s="887"/>
      <c r="K820" s="47">
        <f>IF(F820="I",SUMIF('BG 2021'!B:B,Clasificaciones!C820,'BG 2021'!D:D),0)</f>
        <v>130145465</v>
      </c>
      <c r="L820" s="887"/>
      <c r="M820" s="63">
        <f>IF(F820="I",SUMIF('BG 2021'!B:B,Clasificaciones!C820,'BG 2021'!E:E),0)</f>
        <v>21056.34</v>
      </c>
      <c r="N820" s="887"/>
      <c r="O820" s="47">
        <f>IF(F820="I",SUMIF('BG 062021'!A:A,Clasificaciones!C820,'BG 062021'!C:C),0)</f>
        <v>66492786</v>
      </c>
      <c r="P820" s="887"/>
      <c r="Q820" s="63">
        <f>IF(F820="I",SUMIF('BG 062021'!A:A,Clasificaciones!C820,'BG 062021'!D:D),0)</f>
        <v>10803.29</v>
      </c>
      <c r="R820" s="888">
        <f>+VLOOKUP(C820,'CA EFE'!A:A,1,FALSE)</f>
        <v>513050202</v>
      </c>
    </row>
    <row r="821" spans="1:18" s="888" customFormat="1" hidden="1">
      <c r="A821" s="885" t="s">
        <v>189</v>
      </c>
      <c r="B821" s="885" t="s">
        <v>119</v>
      </c>
      <c r="C821" s="889">
        <v>513050203</v>
      </c>
      <c r="D821" s="889" t="s">
        <v>823</v>
      </c>
      <c r="E821" s="886" t="s">
        <v>6</v>
      </c>
      <c r="F821" s="886" t="s">
        <v>271</v>
      </c>
      <c r="G821" s="47">
        <f>IF(F821="I",IFERROR(VLOOKUP(C821,'BG 062022'!A:C,3,FALSE),0),0)</f>
        <v>34517394</v>
      </c>
      <c r="H821" s="885"/>
      <c r="I821" s="63">
        <f>IF(F821="I",IFERROR(VLOOKUP(C821,'BG 062022'!A:D,4,FALSE),0),0)</f>
        <v>5063.28</v>
      </c>
      <c r="J821" s="887"/>
      <c r="K821" s="47">
        <f>IF(F821="I",SUMIF('BG 2021'!B:B,Clasificaciones!C821,'BG 2021'!D:D),0)</f>
        <v>38037943</v>
      </c>
      <c r="L821" s="887"/>
      <c r="M821" s="63">
        <f>IF(F821="I",SUMIF('BG 2021'!B:B,Clasificaciones!C821,'BG 2021'!E:E),0)</f>
        <v>5583.57</v>
      </c>
      <c r="N821" s="887"/>
      <c r="O821" s="47">
        <f>IF(F821="I",SUMIF('BG 062021'!A:A,Clasificaciones!C821,'BG 062021'!C:C),0)</f>
        <v>19018974</v>
      </c>
      <c r="P821" s="887"/>
      <c r="Q821" s="63">
        <f>IF(F821="I",SUMIF('BG 062021'!A:A,Clasificaciones!C821,'BG 062021'!D:D),0)</f>
        <v>2851.8</v>
      </c>
      <c r="R821" s="888">
        <f>+VLOOKUP(C821,'CA EFE'!A:A,1,FALSE)</f>
        <v>513050203</v>
      </c>
    </row>
    <row r="822" spans="1:18" s="888" customFormat="1" hidden="1">
      <c r="A822" s="885" t="s">
        <v>189</v>
      </c>
      <c r="B822" s="885" t="s">
        <v>119</v>
      </c>
      <c r="C822" s="889">
        <v>513050204</v>
      </c>
      <c r="D822" s="889" t="s">
        <v>824</v>
      </c>
      <c r="E822" s="886" t="s">
        <v>6</v>
      </c>
      <c r="F822" s="886" t="s">
        <v>271</v>
      </c>
      <c r="G822" s="47">
        <f>IF(F822="I",IFERROR(VLOOKUP(C822,'BG 062022'!A:C,3,FALSE),0),0)</f>
        <v>799998</v>
      </c>
      <c r="H822" s="885"/>
      <c r="I822" s="63">
        <f>IF(F822="I",IFERROR(VLOOKUP(C822,'BG 062022'!A:D,4,FALSE),0),0)</f>
        <v>128.82</v>
      </c>
      <c r="J822" s="887"/>
      <c r="K822" s="47">
        <f>IF(F822="I",SUMIF('BG 2021'!B:B,Clasificaciones!C822,'BG 2021'!D:D),0)</f>
        <v>1600009</v>
      </c>
      <c r="L822" s="887"/>
      <c r="M822" s="63">
        <f>IF(F822="I",SUMIF('BG 2021'!B:B,Clasificaciones!C822,'BG 2021'!E:E),0)</f>
        <v>257.66000000000003</v>
      </c>
      <c r="N822" s="887"/>
      <c r="O822" s="47">
        <f>IF(F822="I",SUMIF('BG 062021'!A:A,Clasificaciones!C822,'BG 062021'!C:C),0)</f>
        <v>640002</v>
      </c>
      <c r="P822" s="887"/>
      <c r="Q822" s="63">
        <f>IF(F822="I",SUMIF('BG 062021'!A:A,Clasificaciones!C822,'BG 062021'!D:D),0)</f>
        <v>109.08</v>
      </c>
      <c r="R822" s="888">
        <f>+VLOOKUP(C822,'CA EFE'!A:A,1,FALSE)</f>
        <v>513050204</v>
      </c>
    </row>
    <row r="823" spans="1:18" s="888" customFormat="1" hidden="1">
      <c r="A823" s="885" t="s">
        <v>189</v>
      </c>
      <c r="B823" s="885"/>
      <c r="C823" s="889">
        <v>51306</v>
      </c>
      <c r="D823" s="889" t="s">
        <v>178</v>
      </c>
      <c r="E823" s="886" t="s">
        <v>6</v>
      </c>
      <c r="F823" s="886" t="s">
        <v>270</v>
      </c>
      <c r="G823" s="47">
        <f>IF(F823="I",IFERROR(VLOOKUP(C823,'BG 062022'!A:C,3,FALSE),0),0)</f>
        <v>0</v>
      </c>
      <c r="H823" s="885"/>
      <c r="I823" s="63">
        <f>IF(F823="I",IFERROR(VLOOKUP(C823,'BG 062022'!A:D,4,FALSE),0),0)</f>
        <v>0</v>
      </c>
      <c r="J823" s="887"/>
      <c r="K823" s="47">
        <f>IF(F823="I",SUMIF('BG 2021'!B:B,Clasificaciones!C823,'BG 2021'!D:D),0)</f>
        <v>0</v>
      </c>
      <c r="L823" s="887"/>
      <c r="M823" s="63">
        <f>IF(F823="I",SUMIF('BG 2021'!B:B,Clasificaciones!C823,'BG 2021'!E:E),0)</f>
        <v>0</v>
      </c>
      <c r="N823" s="887"/>
      <c r="O823" s="47">
        <f>IF(F823="I",SUMIF('BG 062021'!A:A,Clasificaciones!C823,'BG 062021'!C:C),0)</f>
        <v>0</v>
      </c>
      <c r="P823" s="887"/>
      <c r="Q823" s="63">
        <f>IF(F823="I",SUMIF('BG 062021'!A:A,Clasificaciones!C823,'BG 062021'!D:D),0)</f>
        <v>0</v>
      </c>
    </row>
    <row r="824" spans="1:18" s="888" customFormat="1" hidden="1">
      <c r="A824" s="885" t="s">
        <v>189</v>
      </c>
      <c r="B824" s="885" t="s">
        <v>49</v>
      </c>
      <c r="C824" s="889">
        <v>5130601</v>
      </c>
      <c r="D824" s="889" t="s">
        <v>1096</v>
      </c>
      <c r="E824" s="886" t="s">
        <v>6</v>
      </c>
      <c r="F824" s="886" t="s">
        <v>271</v>
      </c>
      <c r="G824" s="47">
        <f>IF(F824="I",IFERROR(VLOOKUP(C824,'BG 062022'!A:C,3,FALSE),0),0)</f>
        <v>500000</v>
      </c>
      <c r="H824" s="885"/>
      <c r="I824" s="63">
        <f>IF(F824="I",IFERROR(VLOOKUP(C824,'BG 062022'!A:D,4,FALSE),0),0)</f>
        <v>72.67</v>
      </c>
      <c r="J824" s="887"/>
      <c r="K824" s="47">
        <f>IF(F824="I",SUMIF('BG 2021'!B:B,Clasificaciones!C824,'BG 2021'!D:D),0)</f>
        <v>322727</v>
      </c>
      <c r="L824" s="887"/>
      <c r="M824" s="63">
        <f>IF(F824="I",SUMIF('BG 2021'!B:B,Clasificaciones!C824,'BG 2021'!E:E),0)</f>
        <v>47.8</v>
      </c>
      <c r="N824" s="887"/>
      <c r="O824" s="47">
        <f>IF(F824="I",SUMIF('BG 062021'!A:A,Clasificaciones!C824,'BG 062021'!C:C),0)</f>
        <v>322727</v>
      </c>
      <c r="P824" s="887"/>
      <c r="Q824" s="63">
        <f>IF(F824="I",SUMIF('BG 062021'!A:A,Clasificaciones!C824,'BG 062021'!D:D),0)</f>
        <v>47.8</v>
      </c>
    </row>
    <row r="825" spans="1:18" s="888" customFormat="1" hidden="1">
      <c r="A825" s="885" t="s">
        <v>189</v>
      </c>
      <c r="B825" s="885"/>
      <c r="C825" s="889">
        <v>5130602</v>
      </c>
      <c r="D825" s="889" t="s">
        <v>1097</v>
      </c>
      <c r="E825" s="886" t="s">
        <v>6</v>
      </c>
      <c r="F825" s="886" t="s">
        <v>271</v>
      </c>
      <c r="G825" s="47">
        <f>IF(F825="I",IFERROR(VLOOKUP(C825,'BG 062022'!A:C,3,FALSE),0),0)</f>
        <v>0</v>
      </c>
      <c r="H825" s="885"/>
      <c r="I825" s="63">
        <f>IF(F825="I",IFERROR(VLOOKUP(C825,'BG 062022'!A:D,4,FALSE),0),0)</f>
        <v>0</v>
      </c>
      <c r="J825" s="887"/>
      <c r="K825" s="47">
        <f>IF(F825="I",SUMIF('BG 2021'!B:B,Clasificaciones!C825,'BG 2021'!D:D),0)</f>
        <v>0</v>
      </c>
      <c r="L825" s="887"/>
      <c r="M825" s="63">
        <f>IF(F825="I",SUMIF('BG 2021'!B:B,Clasificaciones!C825,'BG 2021'!E:E),0)</f>
        <v>0</v>
      </c>
      <c r="N825" s="887"/>
      <c r="O825" s="47">
        <f>IF(F825="I",SUMIF('BG 062021'!A:A,Clasificaciones!C825,'BG 062021'!C:C),0)</f>
        <v>0</v>
      </c>
      <c r="P825" s="887"/>
      <c r="Q825" s="63">
        <f>IF(F825="I",SUMIF('BG 062021'!A:A,Clasificaciones!C825,'BG 062021'!D:D),0)</f>
        <v>0</v>
      </c>
    </row>
    <row r="826" spans="1:18" s="888" customFormat="1" hidden="1">
      <c r="A826" s="885" t="s">
        <v>189</v>
      </c>
      <c r="B826" s="885" t="s">
        <v>49</v>
      </c>
      <c r="C826" s="889">
        <v>5130603</v>
      </c>
      <c r="D826" s="889" t="s">
        <v>825</v>
      </c>
      <c r="E826" s="886" t="s">
        <v>6</v>
      </c>
      <c r="F826" s="886" t="s">
        <v>271</v>
      </c>
      <c r="G826" s="47">
        <f>IF(F826="I",IFERROR(VLOOKUP(C826,'BG 062022'!A:C,3,FALSE),0),0)</f>
        <v>79215368</v>
      </c>
      <c r="H826" s="885"/>
      <c r="I826" s="63">
        <f>IF(F826="I",IFERROR(VLOOKUP(C826,'BG 062022'!A:D,4,FALSE),0),0)</f>
        <v>11399.67</v>
      </c>
      <c r="J826" s="887"/>
      <c r="K826" s="47">
        <f>IF(F826="I",SUMIF('BG 2021'!B:B,Clasificaciones!C826,'BG 2021'!D:D),0)</f>
        <v>129910562</v>
      </c>
      <c r="L826" s="887"/>
      <c r="M826" s="63">
        <f>IF(F826="I",SUMIF('BG 2021'!B:B,Clasificaciones!C826,'BG 2021'!E:E),0)</f>
        <v>19161.02</v>
      </c>
      <c r="N826" s="887"/>
      <c r="O826" s="47">
        <f>IF(F826="I",SUMIF('BG 062021'!A:A,Clasificaciones!C826,'BG 062021'!C:C),0)</f>
        <v>54685524</v>
      </c>
      <c r="P826" s="887"/>
      <c r="Q826" s="63">
        <f>IF(F826="I",SUMIF('BG 062021'!A:A,Clasificaciones!C826,'BG 062021'!D:D),0)</f>
        <v>8273.76</v>
      </c>
      <c r="R826" s="888">
        <f>+VLOOKUP(C826,'CA EFE'!A:A,1,FALSE)</f>
        <v>5130603</v>
      </c>
    </row>
    <row r="827" spans="1:18" s="888" customFormat="1" hidden="1">
      <c r="A827" s="885" t="s">
        <v>189</v>
      </c>
      <c r="B827" s="885"/>
      <c r="C827" s="889">
        <v>5130604</v>
      </c>
      <c r="D827" s="889" t="s">
        <v>987</v>
      </c>
      <c r="E827" s="886" t="s">
        <v>6</v>
      </c>
      <c r="F827" s="886" t="s">
        <v>271</v>
      </c>
      <c r="G827" s="47">
        <f>IF(F827="I",IFERROR(VLOOKUP(C827,'BG 062022'!A:C,3,FALSE),0),0)</f>
        <v>0</v>
      </c>
      <c r="H827" s="885"/>
      <c r="I827" s="63">
        <f>IF(F827="I",IFERROR(VLOOKUP(C827,'BG 062022'!A:D,4,FALSE),0),0)</f>
        <v>0</v>
      </c>
      <c r="J827" s="887"/>
      <c r="K827" s="47">
        <f>IF(F827="I",SUMIF('BG 2021'!B:B,Clasificaciones!C827,'BG 2021'!D:D),0)</f>
        <v>0</v>
      </c>
      <c r="L827" s="887"/>
      <c r="M827" s="63">
        <f>IF(F827="I",SUMIF('BG 2021'!B:B,Clasificaciones!C827,'BG 2021'!E:E),0)</f>
        <v>0</v>
      </c>
      <c r="N827" s="887"/>
      <c r="O827" s="47">
        <f>IF(F827="I",SUMIF('BG 062021'!A:A,Clasificaciones!C827,'BG 062021'!C:C),0)</f>
        <v>0</v>
      </c>
      <c r="P827" s="887"/>
      <c r="Q827" s="63">
        <f>IF(F827="I",SUMIF('BG 062021'!A:A,Clasificaciones!C827,'BG 062021'!D:D),0)</f>
        <v>0</v>
      </c>
    </row>
    <row r="828" spans="1:18" s="888" customFormat="1" hidden="1">
      <c r="A828" s="885" t="s">
        <v>189</v>
      </c>
      <c r="B828" s="885" t="s">
        <v>49</v>
      </c>
      <c r="C828" s="889">
        <v>5130605</v>
      </c>
      <c r="D828" s="889" t="s">
        <v>237</v>
      </c>
      <c r="E828" s="886" t="s">
        <v>6</v>
      </c>
      <c r="F828" s="886" t="s">
        <v>271</v>
      </c>
      <c r="G828" s="47">
        <f>IF(F828="I",IFERROR(VLOOKUP(C828,'BG 062022'!A:C,3,FALSE),0),0)</f>
        <v>0</v>
      </c>
      <c r="H828" s="885"/>
      <c r="I828" s="63">
        <f>IF(F828="I",IFERROR(VLOOKUP(C828,'BG 062022'!A:D,4,FALSE),0),0)</f>
        <v>0</v>
      </c>
      <c r="J828" s="887"/>
      <c r="K828" s="47">
        <f>IF(F828="I",SUMIF('BG 2021'!B:B,Clasificaciones!C828,'BG 2021'!D:D),0)</f>
        <v>600000</v>
      </c>
      <c r="L828" s="887"/>
      <c r="M828" s="63">
        <f>IF(F828="I",SUMIF('BG 2021'!B:B,Clasificaciones!C828,'BG 2021'!E:E),0)</f>
        <v>89.06</v>
      </c>
      <c r="N828" s="887"/>
      <c r="O828" s="47">
        <f>IF(F828="I",SUMIF('BG 062021'!A:A,Clasificaciones!C828,'BG 062021'!C:C),0)</f>
        <v>600000</v>
      </c>
      <c r="P828" s="887"/>
      <c r="Q828" s="63">
        <f>IF(F828="I",SUMIF('BG 062021'!A:A,Clasificaciones!C828,'BG 062021'!D:D),0)</f>
        <v>89.06</v>
      </c>
    </row>
    <row r="829" spans="1:18" s="888" customFormat="1" hidden="1">
      <c r="A829" s="885" t="s">
        <v>189</v>
      </c>
      <c r="B829" s="885"/>
      <c r="C829" s="889">
        <v>51307</v>
      </c>
      <c r="D829" s="889" t="s">
        <v>1098</v>
      </c>
      <c r="E829" s="886" t="s">
        <v>6</v>
      </c>
      <c r="F829" s="886" t="s">
        <v>270</v>
      </c>
      <c r="G829" s="47">
        <f>IF(F829="I",IFERROR(VLOOKUP(C829,'BG 062022'!A:C,3,FALSE),0),0)</f>
        <v>0</v>
      </c>
      <c r="H829" s="885"/>
      <c r="I829" s="63">
        <f>IF(F829="I",IFERROR(VLOOKUP(C829,'BG 062022'!A:D,4,FALSE),0),0)</f>
        <v>0</v>
      </c>
      <c r="J829" s="887"/>
      <c r="K829" s="47">
        <f>IF(F829="I",SUMIF('BG 2021'!B:B,Clasificaciones!C829,'BG 2021'!D:D),0)</f>
        <v>0</v>
      </c>
      <c r="L829" s="887"/>
      <c r="M829" s="63">
        <f>IF(F829="I",SUMIF('BG 2021'!B:B,Clasificaciones!C829,'BG 2021'!E:E),0)</f>
        <v>0</v>
      </c>
      <c r="N829" s="887"/>
      <c r="O829" s="47">
        <f>IF(F829="I",SUMIF('BG 062021'!A:A,Clasificaciones!C829,'BG 062021'!C:C),0)</f>
        <v>0</v>
      </c>
      <c r="P829" s="887"/>
      <c r="Q829" s="63">
        <f>IF(F829="I",SUMIF('BG 062021'!A:A,Clasificaciones!C829,'BG 062021'!D:D),0)</f>
        <v>0</v>
      </c>
    </row>
    <row r="830" spans="1:18" s="888" customFormat="1" hidden="1">
      <c r="A830" s="885" t="s">
        <v>189</v>
      </c>
      <c r="B830" s="885" t="s">
        <v>47</v>
      </c>
      <c r="C830" s="889">
        <v>5130701</v>
      </c>
      <c r="D830" s="889" t="s">
        <v>815</v>
      </c>
      <c r="E830" s="886" t="s">
        <v>6</v>
      </c>
      <c r="F830" s="886" t="s">
        <v>271</v>
      </c>
      <c r="G830" s="47">
        <f>IF(F830="I",IFERROR(VLOOKUP(C830,'BG 062022'!A:C,3,FALSE),0),0)</f>
        <v>102003747</v>
      </c>
      <c r="H830" s="885"/>
      <c r="I830" s="63">
        <f>IF(F830="I",IFERROR(VLOOKUP(C830,'BG 062022'!A:D,4,FALSE),0),0)</f>
        <v>14749.58</v>
      </c>
      <c r="J830" s="887"/>
      <c r="K830" s="47">
        <f>IF(F830="I",SUMIF('BG 2021'!B:B,Clasificaciones!C830,'BG 2021'!D:D),0)</f>
        <v>128559149</v>
      </c>
      <c r="L830" s="887"/>
      <c r="M830" s="63">
        <f>IF(F830="I",SUMIF('BG 2021'!B:B,Clasificaciones!C830,'BG 2021'!E:E),0)</f>
        <v>19093.439999999999</v>
      </c>
      <c r="N830" s="887"/>
      <c r="O830" s="47">
        <f>IF(F830="I",SUMIF('BG 062021'!A:A,Clasificaciones!C830,'BG 062021'!C:C),0)</f>
        <v>25388196</v>
      </c>
      <c r="P830" s="887"/>
      <c r="Q830" s="63">
        <f>IF(F830="I",SUMIF('BG 062021'!A:A,Clasificaciones!C830,'BG 062021'!D:D),0)</f>
        <v>4107.24</v>
      </c>
      <c r="R830" s="888">
        <f>+VLOOKUP(C830,'CA EFE'!A:A,1,FALSE)</f>
        <v>5130701</v>
      </c>
    </row>
    <row r="831" spans="1:18" s="888" customFormat="1" hidden="1">
      <c r="A831" s="885" t="s">
        <v>189</v>
      </c>
      <c r="B831" s="885" t="s">
        <v>47</v>
      </c>
      <c r="C831" s="889">
        <v>5130702</v>
      </c>
      <c r="D831" s="889" t="s">
        <v>1091</v>
      </c>
      <c r="E831" s="886" t="s">
        <v>6</v>
      </c>
      <c r="F831" s="886" t="s">
        <v>271</v>
      </c>
      <c r="G831" s="47">
        <f>IF(F831="I",IFERROR(VLOOKUP(C831,'BG 062022'!A:C,3,FALSE),0),0)</f>
        <v>3994732</v>
      </c>
      <c r="H831" s="885"/>
      <c r="I831" s="63">
        <f>IF(F831="I",IFERROR(VLOOKUP(C831,'BG 062022'!A:D,4,FALSE),0),0)</f>
        <v>580.58000000000004</v>
      </c>
      <c r="J831" s="887"/>
      <c r="K831" s="47">
        <f>IF(F831="I",SUMIF('BG 2021'!B:B,Clasificaciones!C831,'BG 2021'!D:D),0)</f>
        <v>974548</v>
      </c>
      <c r="L831" s="887"/>
      <c r="M831" s="63">
        <f>IF(F831="I",SUMIF('BG 2021'!B:B,Clasificaciones!C831,'BG 2021'!E:E),0)</f>
        <v>141.32999999999998</v>
      </c>
      <c r="N831" s="887"/>
      <c r="O831" s="47">
        <f>IF(F831="I",SUMIF('BG 062021'!A:A,Clasificaciones!C831,'BG 062021'!C:C),0)</f>
        <v>227273</v>
      </c>
      <c r="P831" s="887"/>
      <c r="Q831" s="63">
        <f>IF(F831="I",SUMIF('BG 062021'!A:A,Clasificaciones!C831,'BG 062021'!D:D),0)</f>
        <v>33.840000000000003</v>
      </c>
      <c r="R831" s="888">
        <f>+VLOOKUP(C831,'CA EFE'!A:A,1,FALSE)</f>
        <v>5130702</v>
      </c>
    </row>
    <row r="832" spans="1:18" s="888" customFormat="1" hidden="1">
      <c r="A832" s="885" t="s">
        <v>189</v>
      </c>
      <c r="B832" s="885" t="s">
        <v>47</v>
      </c>
      <c r="C832" s="889">
        <v>5130703</v>
      </c>
      <c r="D832" s="889" t="s">
        <v>1241</v>
      </c>
      <c r="E832" s="886" t="s">
        <v>6</v>
      </c>
      <c r="F832" s="886" t="s">
        <v>271</v>
      </c>
      <c r="G832" s="47">
        <f>IF(F832="I",IFERROR(VLOOKUP(C832,'BG 062022'!A:C,3,FALSE),0),0)</f>
        <v>12201721</v>
      </c>
      <c r="H832" s="885"/>
      <c r="I832" s="63">
        <f>IF(F832="I",IFERROR(VLOOKUP(C832,'BG 062022'!A:D,4,FALSE),0),0)</f>
        <v>1764.17</v>
      </c>
      <c r="J832" s="887"/>
      <c r="K832" s="47">
        <f>IF(F832="I",SUMIF('BG 2021'!B:B,Clasificaciones!C832,'BG 2021'!D:D),0)</f>
        <v>11162810</v>
      </c>
      <c r="L832" s="887"/>
      <c r="M832" s="63">
        <f>IF(F832="I",SUMIF('BG 2021'!B:B,Clasificaciones!C832,'BG 2021'!E:E),0)</f>
        <v>1622.4599999999996</v>
      </c>
      <c r="N832" s="887"/>
      <c r="O832" s="47">
        <f>IF(F832="I",SUMIF('BG 062021'!A:A,Clasificaciones!C832,'BG 062021'!C:C),0)</f>
        <v>0</v>
      </c>
      <c r="P832" s="887"/>
      <c r="Q832" s="63">
        <f>IF(F832="I",SUMIF('BG 062021'!A:A,Clasificaciones!C832,'BG 062021'!D:D),0)</f>
        <v>0</v>
      </c>
      <c r="R832" s="888">
        <f>+VLOOKUP(C832,'CA EFE'!A:A,1,FALSE)</f>
        <v>5130703</v>
      </c>
    </row>
    <row r="833" spans="1:18" s="888" customFormat="1" hidden="1">
      <c r="A833" s="885" t="s">
        <v>189</v>
      </c>
      <c r="B833" s="151"/>
      <c r="C833" s="889">
        <v>51308</v>
      </c>
      <c r="D833" s="889" t="s">
        <v>48</v>
      </c>
      <c r="E833" s="886" t="s">
        <v>6</v>
      </c>
      <c r="F833" s="886" t="s">
        <v>270</v>
      </c>
      <c r="G833" s="47">
        <f>IF(F833="I",IFERROR(VLOOKUP(C833,'BG 062022'!A:C,3,FALSE),0),0)</f>
        <v>0</v>
      </c>
      <c r="H833" s="151"/>
      <c r="I833" s="63">
        <f>IF(F833="I",IFERROR(VLOOKUP(C833,'BG 062022'!A:D,4,FALSE),0),0)</f>
        <v>0</v>
      </c>
      <c r="J833" s="887"/>
      <c r="K833" s="47">
        <f>IF(F833="I",SUMIF('BG 2021'!B:B,Clasificaciones!C833,'BG 2021'!D:D),0)</f>
        <v>0</v>
      </c>
      <c r="L833" s="887"/>
      <c r="M833" s="63">
        <f>IF(F833="I",SUMIF('BG 2021'!B:B,Clasificaciones!C833,'BG 2021'!E:E),0)</f>
        <v>0</v>
      </c>
      <c r="N833" s="887"/>
      <c r="O833" s="47">
        <f>IF(F833="I",SUMIF('BG 062021'!A:A,Clasificaciones!C833,'BG 062021'!C:C),0)</f>
        <v>0</v>
      </c>
      <c r="P833" s="887"/>
      <c r="Q833" s="63">
        <f>IF(F833="I",SUMIF('BG 062021'!A:A,Clasificaciones!C833,'BG 062021'!D:D),0)</f>
        <v>0</v>
      </c>
    </row>
    <row r="834" spans="1:18" s="888" customFormat="1" hidden="1">
      <c r="A834" s="885" t="s">
        <v>189</v>
      </c>
      <c r="B834" s="885" t="s">
        <v>48</v>
      </c>
      <c r="C834" s="889">
        <v>5130801</v>
      </c>
      <c r="D834" s="889" t="s">
        <v>826</v>
      </c>
      <c r="E834" s="886" t="s">
        <v>6</v>
      </c>
      <c r="F834" s="886" t="s">
        <v>271</v>
      </c>
      <c r="G834" s="47">
        <f>IF(F834="I",IFERROR(VLOOKUP(C834,'BG 062022'!A:C,3,FALSE),0),0)</f>
        <v>3668369</v>
      </c>
      <c r="H834" s="885"/>
      <c r="I834" s="63">
        <f>IF(F834="I",IFERROR(VLOOKUP(C834,'BG 062022'!A:D,4,FALSE),0),0)</f>
        <v>533.04999999999995</v>
      </c>
      <c r="J834" s="887"/>
      <c r="K834" s="47">
        <f>IF(F834="I",SUMIF('BG 2021'!B:B,Clasificaciones!C834,'BG 2021'!D:D),0)</f>
        <v>7421455</v>
      </c>
      <c r="L834" s="887"/>
      <c r="M834" s="63">
        <f>IF(F834="I",SUMIF('BG 2021'!B:B,Clasificaciones!C834,'BG 2021'!E:E),0)</f>
        <v>1076.7</v>
      </c>
      <c r="N834" s="887"/>
      <c r="O834" s="47">
        <f>IF(F834="I",SUMIF('BG 062021'!A:A,Clasificaciones!C834,'BG 062021'!C:C),0)</f>
        <v>3512443</v>
      </c>
      <c r="P834" s="887"/>
      <c r="Q834" s="63">
        <f>IF(F834="I",SUMIF('BG 062021'!A:A,Clasificaciones!C834,'BG 062021'!D:D),0)</f>
        <v>531.16</v>
      </c>
      <c r="R834" s="888">
        <f>+VLOOKUP(C834,'CA EFE'!A:A,1,FALSE)</f>
        <v>5130801</v>
      </c>
    </row>
    <row r="835" spans="1:18" s="888" customFormat="1" hidden="1">
      <c r="A835" s="885" t="s">
        <v>189</v>
      </c>
      <c r="B835" s="885"/>
      <c r="C835" s="889">
        <v>51309</v>
      </c>
      <c r="D835" s="889" t="s">
        <v>51</v>
      </c>
      <c r="E835" s="886" t="s">
        <v>6</v>
      </c>
      <c r="F835" s="886" t="s">
        <v>270</v>
      </c>
      <c r="G835" s="47">
        <f>IF(F835="I",IFERROR(VLOOKUP(C835,'BG 062022'!A:C,3,FALSE),0),0)</f>
        <v>0</v>
      </c>
      <c r="H835" s="885"/>
      <c r="I835" s="63">
        <f>IF(F835="I",IFERROR(VLOOKUP(C835,'BG 062022'!A:D,4,FALSE),0),0)</f>
        <v>0</v>
      </c>
      <c r="J835" s="887"/>
      <c r="K835" s="47">
        <f>IF(F835="I",SUMIF('BG 2021'!B:B,Clasificaciones!C835,'BG 2021'!D:D),0)</f>
        <v>0</v>
      </c>
      <c r="L835" s="887"/>
      <c r="M835" s="63">
        <f>IF(F835="I",SUMIF('BG 2021'!B:B,Clasificaciones!C835,'BG 2021'!E:E),0)</f>
        <v>0</v>
      </c>
      <c r="N835" s="887"/>
      <c r="O835" s="47">
        <f>IF(F835="I",SUMIF('BG 062021'!A:A,Clasificaciones!C835,'BG 062021'!C:C),0)</f>
        <v>0</v>
      </c>
      <c r="P835" s="887"/>
      <c r="Q835" s="63">
        <f>IF(F835="I",SUMIF('BG 062021'!A:A,Clasificaciones!C835,'BG 062021'!D:D),0)</f>
        <v>0</v>
      </c>
    </row>
    <row r="836" spans="1:18" s="888" customFormat="1" hidden="1">
      <c r="A836" s="885" t="s">
        <v>189</v>
      </c>
      <c r="B836" s="885"/>
      <c r="C836" s="889">
        <v>5130901</v>
      </c>
      <c r="D836" s="889" t="s">
        <v>1099</v>
      </c>
      <c r="E836" s="886" t="s">
        <v>6</v>
      </c>
      <c r="F836" s="886" t="s">
        <v>271</v>
      </c>
      <c r="G836" s="47">
        <f>IF(F836="I",IFERROR(VLOOKUP(C836,'BG 062022'!A:C,3,FALSE),0),0)</f>
        <v>0</v>
      </c>
      <c r="H836" s="885"/>
      <c r="I836" s="63">
        <f>IF(F836="I",IFERROR(VLOOKUP(C836,'BG 062022'!A:D,4,FALSE),0),0)</f>
        <v>0</v>
      </c>
      <c r="J836" s="887"/>
      <c r="K836" s="47">
        <f>IF(F836="I",SUMIF('BG 2021'!B:B,Clasificaciones!C836,'BG 2021'!D:D),0)</f>
        <v>0</v>
      </c>
      <c r="L836" s="887"/>
      <c r="M836" s="63">
        <f>IF(F836="I",SUMIF('BG 2021'!B:B,Clasificaciones!C836,'BG 2021'!E:E),0)</f>
        <v>0</v>
      </c>
      <c r="N836" s="887"/>
      <c r="O836" s="47">
        <f>IF(F836="I",SUMIF('BG 062021'!A:A,Clasificaciones!C836,'BG 062021'!C:C),0)</f>
        <v>0</v>
      </c>
      <c r="P836" s="887"/>
      <c r="Q836" s="63">
        <f>IF(F836="I",SUMIF('BG 062021'!A:A,Clasificaciones!C836,'BG 062021'!D:D),0)</f>
        <v>0</v>
      </c>
    </row>
    <row r="837" spans="1:18" s="888" customFormat="1" hidden="1">
      <c r="A837" s="885" t="s">
        <v>189</v>
      </c>
      <c r="B837" s="885" t="s">
        <v>51</v>
      </c>
      <c r="C837" s="889">
        <v>5130902</v>
      </c>
      <c r="D837" s="889" t="s">
        <v>827</v>
      </c>
      <c r="E837" s="886" t="s">
        <v>6</v>
      </c>
      <c r="F837" s="886" t="s">
        <v>271</v>
      </c>
      <c r="G837" s="47">
        <f>IF(F837="I",IFERROR(VLOOKUP(C837,'BG 062022'!A:C,3,FALSE),0),0)</f>
        <v>22808838</v>
      </c>
      <c r="H837" s="885"/>
      <c r="I837" s="63">
        <f>IF(F837="I",IFERROR(VLOOKUP(C837,'BG 062022'!A:D,4,FALSE),0),0)</f>
        <v>3261.02</v>
      </c>
      <c r="J837" s="887"/>
      <c r="K837" s="47">
        <f>IF(F837="I",SUMIF('BG 2021'!B:B,Clasificaciones!C837,'BG 2021'!D:D),0)</f>
        <v>10308500</v>
      </c>
      <c r="L837" s="887"/>
      <c r="M837" s="63">
        <f>IF(F837="I",SUMIF('BG 2021'!B:B,Clasificaciones!C837,'BG 2021'!E:E),0)</f>
        <v>1502.15</v>
      </c>
      <c r="N837" s="887"/>
      <c r="O837" s="47">
        <f>IF(F837="I",SUMIF('BG 062021'!A:A,Clasificaciones!C837,'BG 062021'!C:C),0)</f>
        <v>10292700</v>
      </c>
      <c r="P837" s="887"/>
      <c r="Q837" s="63">
        <f>IF(F837="I",SUMIF('BG 062021'!A:A,Clasificaciones!C837,'BG 062021'!D:D),0)</f>
        <v>1499.82</v>
      </c>
      <c r="R837" s="888">
        <f>+VLOOKUP(C837,'CA EFE'!A:A,1,FALSE)</f>
        <v>5130902</v>
      </c>
    </row>
    <row r="838" spans="1:18" s="888" customFormat="1" hidden="1">
      <c r="A838" s="885" t="s">
        <v>189</v>
      </c>
      <c r="B838" s="885"/>
      <c r="C838" s="889">
        <v>5130903</v>
      </c>
      <c r="D838" s="889" t="s">
        <v>1100</v>
      </c>
      <c r="E838" s="886" t="s">
        <v>6</v>
      </c>
      <c r="F838" s="886" t="s">
        <v>271</v>
      </c>
      <c r="G838" s="47">
        <f>IF(F838="I",IFERROR(VLOOKUP(C838,'BG 062022'!A:C,3,FALSE),0),0)</f>
        <v>0</v>
      </c>
      <c r="H838" s="885"/>
      <c r="I838" s="63">
        <f>IF(F838="I",IFERROR(VLOOKUP(C838,'BG 062022'!A:D,4,FALSE),0),0)</f>
        <v>0</v>
      </c>
      <c r="J838" s="887"/>
      <c r="K838" s="47">
        <f>IF(F838="I",SUMIF('BG 2021'!B:B,Clasificaciones!C838,'BG 2021'!D:D),0)</f>
        <v>0</v>
      </c>
      <c r="L838" s="887"/>
      <c r="M838" s="63">
        <f>IF(F838="I",SUMIF('BG 2021'!B:B,Clasificaciones!C838,'BG 2021'!E:E),0)</f>
        <v>0</v>
      </c>
      <c r="N838" s="887"/>
      <c r="O838" s="47">
        <f>IF(F838="I",SUMIF('BG 062021'!A:A,Clasificaciones!C838,'BG 062021'!C:C),0)</f>
        <v>0</v>
      </c>
      <c r="P838" s="887"/>
      <c r="Q838" s="63">
        <f>IF(F838="I",SUMIF('BG 062021'!A:A,Clasificaciones!C838,'BG 062021'!D:D),0)</f>
        <v>0</v>
      </c>
    </row>
    <row r="839" spans="1:18" s="888" customFormat="1" hidden="1">
      <c r="A839" s="885" t="s">
        <v>189</v>
      </c>
      <c r="B839" s="885" t="s">
        <v>51</v>
      </c>
      <c r="C839" s="889">
        <v>5130904</v>
      </c>
      <c r="D839" s="889" t="s">
        <v>828</v>
      </c>
      <c r="E839" s="886" t="s">
        <v>6</v>
      </c>
      <c r="F839" s="886" t="s">
        <v>271</v>
      </c>
      <c r="G839" s="47">
        <f>IF(F839="I",IFERROR(VLOOKUP(C839,'BG 062022'!A:C,3,FALSE),0),0)</f>
        <v>0</v>
      </c>
      <c r="H839" s="885"/>
      <c r="I839" s="63">
        <f>IF(F839="I",IFERROR(VLOOKUP(C839,'BG 062022'!A:D,4,FALSE),0),0)</f>
        <v>0</v>
      </c>
      <c r="J839" s="887"/>
      <c r="K839" s="47">
        <f>IF(F839="I",SUMIF('BG 2021'!B:B,Clasificaciones!C839,'BG 2021'!D:D),0)</f>
        <v>1828703</v>
      </c>
      <c r="L839" s="887"/>
      <c r="M839" s="63">
        <f>IF(F839="I",SUMIF('BG 2021'!B:B,Clasificaciones!C839,'BG 2021'!E:E),0)</f>
        <v>271.27</v>
      </c>
      <c r="N839" s="887"/>
      <c r="O839" s="47">
        <f>IF(F839="I",SUMIF('BG 062021'!A:A,Clasificaciones!C839,'BG 062021'!C:C),0)</f>
        <v>1828703</v>
      </c>
      <c r="P839" s="887"/>
      <c r="Q839" s="63">
        <f>IF(F839="I",SUMIF('BG 062021'!A:A,Clasificaciones!C839,'BG 062021'!D:D),0)</f>
        <v>271.27</v>
      </c>
    </row>
    <row r="840" spans="1:18" s="888" customFormat="1" hidden="1">
      <c r="A840" s="885" t="s">
        <v>189</v>
      </c>
      <c r="B840" s="885"/>
      <c r="C840" s="889">
        <v>51310</v>
      </c>
      <c r="D840" s="889" t="s">
        <v>247</v>
      </c>
      <c r="E840" s="886" t="s">
        <v>6</v>
      </c>
      <c r="F840" s="886" t="s">
        <v>270</v>
      </c>
      <c r="G840" s="47">
        <f>IF(F840="I",IFERROR(VLOOKUP(C840,'BG 062022'!A:C,3,FALSE),0),0)</f>
        <v>0</v>
      </c>
      <c r="H840" s="885"/>
      <c r="I840" s="63">
        <f>IF(F840="I",IFERROR(VLOOKUP(C840,'BG 062022'!A:D,4,FALSE),0),0)</f>
        <v>0</v>
      </c>
      <c r="J840" s="887"/>
      <c r="K840" s="47">
        <f>IF(F840="I",SUMIF('BG 2021'!B:B,Clasificaciones!C840,'BG 2021'!D:D),0)</f>
        <v>0</v>
      </c>
      <c r="L840" s="887"/>
      <c r="M840" s="63">
        <f>IF(F840="I",SUMIF('BG 2021'!B:B,Clasificaciones!C840,'BG 2021'!E:E),0)</f>
        <v>0</v>
      </c>
      <c r="N840" s="887"/>
      <c r="O840" s="47">
        <f>IF(F840="I",SUMIF('BG 062021'!A:A,Clasificaciones!C840,'BG 062021'!C:C),0)</f>
        <v>0</v>
      </c>
      <c r="P840" s="887"/>
      <c r="Q840" s="63">
        <f>IF(F840="I",SUMIF('BG 062021'!A:A,Clasificaciones!C840,'BG 062021'!D:D),0)</f>
        <v>0</v>
      </c>
    </row>
    <row r="841" spans="1:18" s="888" customFormat="1" hidden="1">
      <c r="A841" s="885" t="s">
        <v>189</v>
      </c>
      <c r="B841" s="885" t="s">
        <v>611</v>
      </c>
      <c r="C841" s="889">
        <v>5131001</v>
      </c>
      <c r="D841" s="889" t="s">
        <v>1101</v>
      </c>
      <c r="E841" s="886" t="s">
        <v>6</v>
      </c>
      <c r="F841" s="886" t="s">
        <v>271</v>
      </c>
      <c r="G841" s="47">
        <f>IF(F841="I",IFERROR(VLOOKUP(C841,'BG 062022'!A:C,3,FALSE),0),0)</f>
        <v>7848438</v>
      </c>
      <c r="H841" s="885"/>
      <c r="I841" s="63">
        <f>IF(F841="I",IFERROR(VLOOKUP(C841,'BG 062022'!A:D,4,FALSE),0),0)</f>
        <v>1134.1099999999999</v>
      </c>
      <c r="J841" s="887"/>
      <c r="K841" s="47">
        <f>IF(F841="I",SUMIF('BG 2021'!B:B,Clasificaciones!C841,'BG 2021'!D:D),0)</f>
        <v>3734386</v>
      </c>
      <c r="L841" s="887"/>
      <c r="M841" s="63">
        <f>IF(F841="I",SUMIF('BG 2021'!B:B,Clasificaciones!C841,'BG 2021'!E:E),0)</f>
        <v>542.71</v>
      </c>
      <c r="N841" s="887"/>
      <c r="O841" s="47">
        <f>IF(F841="I",SUMIF('BG 062021'!A:A,Clasificaciones!C841,'BG 062021'!C:C),0)</f>
        <v>0</v>
      </c>
      <c r="P841" s="887"/>
      <c r="Q841" s="63">
        <f>IF(F841="I",SUMIF('BG 062021'!A:A,Clasificaciones!C841,'BG 062021'!D:D),0)</f>
        <v>0</v>
      </c>
      <c r="R841" s="888">
        <f>+VLOOKUP(C841,'CA EFE'!A:A,1,FALSE)</f>
        <v>5131001</v>
      </c>
    </row>
    <row r="842" spans="1:18" s="888" customFormat="1" hidden="1">
      <c r="A842" s="885" t="s">
        <v>189</v>
      </c>
      <c r="B842" s="885" t="s">
        <v>611</v>
      </c>
      <c r="C842" s="889">
        <v>5131002</v>
      </c>
      <c r="D842" s="889" t="s">
        <v>829</v>
      </c>
      <c r="E842" s="886" t="s">
        <v>6</v>
      </c>
      <c r="F842" s="886" t="s">
        <v>271</v>
      </c>
      <c r="G842" s="47">
        <f>IF(F842="I",IFERROR(VLOOKUP(C842,'BG 062022'!A:C,3,FALSE),0),0)</f>
        <v>25905866</v>
      </c>
      <c r="H842" s="885"/>
      <c r="I842" s="63">
        <f>IF(F842="I",IFERROR(VLOOKUP(C842,'BG 062022'!A:D,4,FALSE),0),0)</f>
        <v>3745.24</v>
      </c>
      <c r="J842" s="887"/>
      <c r="K842" s="47">
        <f>IF(F842="I",SUMIF('BG 2021'!B:B,Clasificaciones!C842,'BG 2021'!D:D),0)</f>
        <v>18402316</v>
      </c>
      <c r="L842" s="887"/>
      <c r="M842" s="63">
        <f>IF(F842="I",SUMIF('BG 2021'!B:B,Clasificaciones!C842,'BG 2021'!E:E),0)</f>
        <v>2729.75</v>
      </c>
      <c r="N842" s="887"/>
      <c r="O842" s="47">
        <f>IF(F842="I",SUMIF('BG 062021'!A:A,Clasificaciones!C842,'BG 062021'!C:C),0)</f>
        <v>9000000</v>
      </c>
      <c r="P842" s="887"/>
      <c r="Q842" s="63">
        <f>IF(F842="I",SUMIF('BG 062021'!A:A,Clasificaciones!C842,'BG 062021'!D:D),0)</f>
        <v>1362.34</v>
      </c>
      <c r="R842" s="888">
        <f>+VLOOKUP(C842,'CA EFE'!A:A,1,FALSE)</f>
        <v>5131002</v>
      </c>
    </row>
    <row r="843" spans="1:18" s="888" customFormat="1" hidden="1">
      <c r="A843" s="885" t="s">
        <v>189</v>
      </c>
      <c r="B843" s="885"/>
      <c r="C843" s="889">
        <v>5131003</v>
      </c>
      <c r="D843" s="889" t="s">
        <v>1102</v>
      </c>
      <c r="E843" s="886" t="s">
        <v>6</v>
      </c>
      <c r="F843" s="886" t="s">
        <v>271</v>
      </c>
      <c r="G843" s="47">
        <f>IF(F843="I",IFERROR(VLOOKUP(C843,'BG 062022'!A:C,3,FALSE),0),0)</f>
        <v>0</v>
      </c>
      <c r="H843" s="885"/>
      <c r="I843" s="63">
        <f>IF(F843="I",IFERROR(VLOOKUP(C843,'BG 062022'!A:D,4,FALSE),0),0)</f>
        <v>0</v>
      </c>
      <c r="J843" s="887"/>
      <c r="K843" s="47">
        <f>IF(F843="I",SUMIF('BG 2021'!B:B,Clasificaciones!C843,'BG 2021'!D:D),0)</f>
        <v>0</v>
      </c>
      <c r="L843" s="887"/>
      <c r="M843" s="63">
        <f>IF(F843="I",SUMIF('BG 2021'!B:B,Clasificaciones!C843,'BG 2021'!E:E),0)</f>
        <v>0</v>
      </c>
      <c r="N843" s="887"/>
      <c r="O843" s="47">
        <f>IF(F843="I",SUMIF('BG 062021'!A:A,Clasificaciones!C843,'BG 062021'!C:C),0)</f>
        <v>0</v>
      </c>
      <c r="P843" s="887"/>
      <c r="Q843" s="63">
        <f>IF(F843="I",SUMIF('BG 062021'!A:A,Clasificaciones!C843,'BG 062021'!D:D),0)</f>
        <v>0</v>
      </c>
    </row>
    <row r="844" spans="1:18" s="888" customFormat="1" hidden="1">
      <c r="A844" s="885" t="s">
        <v>189</v>
      </c>
      <c r="B844" s="885"/>
      <c r="C844" s="889">
        <v>5131004</v>
      </c>
      <c r="D844" s="889" t="s">
        <v>1103</v>
      </c>
      <c r="E844" s="886" t="s">
        <v>6</v>
      </c>
      <c r="F844" s="886" t="s">
        <v>271</v>
      </c>
      <c r="G844" s="47">
        <f>IF(F844="I",IFERROR(VLOOKUP(C844,'BG 062022'!A:C,3,FALSE),0),0)</f>
        <v>0</v>
      </c>
      <c r="H844" s="885"/>
      <c r="I844" s="63">
        <f>IF(F844="I",IFERROR(VLOOKUP(C844,'BG 062022'!A:D,4,FALSE),0),0)</f>
        <v>0</v>
      </c>
      <c r="J844" s="887"/>
      <c r="K844" s="47">
        <f>IF(F844="I",SUMIF('BG 2021'!B:B,Clasificaciones!C844,'BG 2021'!D:D),0)</f>
        <v>0</v>
      </c>
      <c r="L844" s="887"/>
      <c r="M844" s="63">
        <f>IF(F844="I",SUMIF('BG 2021'!B:B,Clasificaciones!C844,'BG 2021'!E:E),0)</f>
        <v>0</v>
      </c>
      <c r="N844" s="887"/>
      <c r="O844" s="47">
        <f>IF(F844="I",SUMIF('BG 062021'!A:A,Clasificaciones!C844,'BG 062021'!C:C),0)</f>
        <v>0</v>
      </c>
      <c r="P844" s="887"/>
      <c r="Q844" s="63">
        <f>IF(F844="I",SUMIF('BG 062021'!A:A,Clasificaciones!C844,'BG 062021'!D:D),0)</f>
        <v>0</v>
      </c>
    </row>
    <row r="845" spans="1:18" s="888" customFormat="1" hidden="1">
      <c r="A845" s="885" t="s">
        <v>189</v>
      </c>
      <c r="B845" s="885" t="s">
        <v>611</v>
      </c>
      <c r="C845" s="889">
        <v>5131005</v>
      </c>
      <c r="D845" s="889" t="s">
        <v>1104</v>
      </c>
      <c r="E845" s="886" t="s">
        <v>6</v>
      </c>
      <c r="F845" s="886" t="s">
        <v>271</v>
      </c>
      <c r="G845" s="47">
        <f>IF(F845="I",IFERROR(VLOOKUP(C845,'BG 062022'!A:C,3,FALSE),0),0)</f>
        <v>299092</v>
      </c>
      <c r="H845" s="885"/>
      <c r="I845" s="63">
        <f>IF(F845="I",IFERROR(VLOOKUP(C845,'BG 062022'!A:D,4,FALSE),0),0)</f>
        <v>43.53</v>
      </c>
      <c r="J845" s="887"/>
      <c r="K845" s="47">
        <f>IF(F845="I",SUMIF('BG 2021'!B:B,Clasificaciones!C845,'BG 2021'!D:D),0)</f>
        <v>0</v>
      </c>
      <c r="L845" s="887"/>
      <c r="M845" s="63">
        <f>IF(F845="I",SUMIF('BG 2021'!B:B,Clasificaciones!C845,'BG 2021'!E:E),0)</f>
        <v>0</v>
      </c>
      <c r="N845" s="887"/>
      <c r="O845" s="47">
        <f>IF(F845="I",SUMIF('BG 062021'!A:A,Clasificaciones!C845,'BG 062021'!C:C),0)</f>
        <v>0</v>
      </c>
      <c r="P845" s="887"/>
      <c r="Q845" s="63">
        <f>IF(F845="I",SUMIF('BG 062021'!A:A,Clasificaciones!C845,'BG 062021'!D:D),0)</f>
        <v>0</v>
      </c>
      <c r="R845" s="888">
        <f>+VLOOKUP(C845,'CA EFE'!A:A,1,FALSE)</f>
        <v>5131005</v>
      </c>
    </row>
    <row r="846" spans="1:18" s="888" customFormat="1" hidden="1">
      <c r="A846" s="885" t="s">
        <v>189</v>
      </c>
      <c r="B846" s="885" t="s">
        <v>611</v>
      </c>
      <c r="C846" s="889">
        <v>5131006</v>
      </c>
      <c r="D846" s="889" t="s">
        <v>830</v>
      </c>
      <c r="E846" s="886" t="s">
        <v>6</v>
      </c>
      <c r="F846" s="886" t="s">
        <v>271</v>
      </c>
      <c r="G846" s="47">
        <f>IF(F846="I",IFERROR(VLOOKUP(C846,'BG 062022'!A:C,3,FALSE),0),0)</f>
        <v>10330123</v>
      </c>
      <c r="H846" s="885"/>
      <c r="I846" s="63">
        <f>IF(F846="I",IFERROR(VLOOKUP(C846,'BG 062022'!A:D,4,FALSE),0),0)</f>
        <v>1490.64</v>
      </c>
      <c r="J846" s="887"/>
      <c r="K846" s="47">
        <f>IF(F846="I",SUMIF('BG 2021'!B:B,Clasificaciones!C846,'BG 2021'!D:D),0)</f>
        <v>18371206</v>
      </c>
      <c r="L846" s="887"/>
      <c r="M846" s="63">
        <f>IF(F846="I",SUMIF('BG 2021'!B:B,Clasificaciones!C846,'BG 2021'!E:E),0)</f>
        <v>2703.4700000000003</v>
      </c>
      <c r="N846" s="887"/>
      <c r="O846" s="47">
        <f>IF(F846="I",SUMIF('BG 062021'!A:A,Clasificaciones!C846,'BG 062021'!C:C),0)</f>
        <v>10957817</v>
      </c>
      <c r="P846" s="887"/>
      <c r="Q846" s="63">
        <f>IF(F846="I",SUMIF('BG 062021'!A:A,Clasificaciones!C846,'BG 062021'!D:D),0)</f>
        <v>1617.93</v>
      </c>
      <c r="R846" s="888">
        <f>+VLOOKUP(C846,'CA EFE'!A:A,1,FALSE)</f>
        <v>5131006</v>
      </c>
    </row>
    <row r="847" spans="1:18" s="888" customFormat="1" hidden="1">
      <c r="A847" s="885" t="s">
        <v>189</v>
      </c>
      <c r="B847" s="885" t="s">
        <v>611</v>
      </c>
      <c r="C847" s="889">
        <v>5131007</v>
      </c>
      <c r="D847" s="889" t="s">
        <v>1379</v>
      </c>
      <c r="E847" s="886" t="s">
        <v>6</v>
      </c>
      <c r="F847" s="886" t="s">
        <v>271</v>
      </c>
      <c r="G847" s="47">
        <f>IF(F847="I",IFERROR(VLOOKUP(C847,'BG 062022'!A:C,3,FALSE),0),0)</f>
        <v>4478763</v>
      </c>
      <c r="H847" s="885"/>
      <c r="I847" s="63">
        <f>IF(F847="I",IFERROR(VLOOKUP(C847,'BG 062022'!A:D,4,FALSE),0),0)</f>
        <v>652.65</v>
      </c>
      <c r="J847" s="887"/>
      <c r="K847" s="47">
        <f>IF(F847="I",SUMIF('BG 2021'!B:B,Clasificaciones!C847,'BG 2021'!D:D),0)</f>
        <v>2126191</v>
      </c>
      <c r="L847" s="887"/>
      <c r="M847" s="63">
        <f>IF(F847="I",SUMIF('BG 2021'!B:B,Clasificaciones!C847,'BG 2021'!E:E),0)</f>
        <v>312.72000000000003</v>
      </c>
      <c r="N847" s="887"/>
      <c r="O847" s="47">
        <f>IF(F847="I",SUMIF('BG 062021'!A:A,Clasificaciones!C847,'BG 062021'!C:C),0)</f>
        <v>1631744</v>
      </c>
      <c r="P847" s="887"/>
      <c r="Q847" s="63">
        <f>IF(F847="I",SUMIF('BG 062021'!A:A,Clasificaciones!C847,'BG 062021'!D:D),0)</f>
        <v>240</v>
      </c>
      <c r="R847" s="888">
        <f>+VLOOKUP(C847,'CA EFE'!A:A,1,FALSE)</f>
        <v>5131007</v>
      </c>
    </row>
    <row r="848" spans="1:18" s="888" customFormat="1" hidden="1">
      <c r="A848" s="885" t="s">
        <v>189</v>
      </c>
      <c r="B848" s="885" t="s">
        <v>50</v>
      </c>
      <c r="C848" s="889">
        <v>5131008</v>
      </c>
      <c r="D848" s="889" t="s">
        <v>1105</v>
      </c>
      <c r="E848" s="886" t="s">
        <v>6</v>
      </c>
      <c r="F848" s="886" t="s">
        <v>271</v>
      </c>
      <c r="G848" s="47">
        <f>IF(F848="I",IFERROR(VLOOKUP(C848,'BG 062022'!A:C,3,FALSE),0),0)</f>
        <v>2769000</v>
      </c>
      <c r="H848" s="885"/>
      <c r="I848" s="63">
        <f>IF(F848="I",IFERROR(VLOOKUP(C848,'BG 062022'!A:D,4,FALSE),0),0)</f>
        <v>401.49</v>
      </c>
      <c r="J848" s="887"/>
      <c r="K848" s="47">
        <f>IF(F848="I",SUMIF('BG 2021'!B:B,Clasificaciones!C848,'BG 2021'!D:D),0)</f>
        <v>3474050</v>
      </c>
      <c r="L848" s="887"/>
      <c r="M848" s="63">
        <f>IF(F848="I",SUMIF('BG 2021'!B:B,Clasificaciones!C848,'BG 2021'!E:E),0)</f>
        <v>505.17</v>
      </c>
      <c r="N848" s="887"/>
      <c r="O848" s="47">
        <f>IF(F848="I",SUMIF('BG 062021'!A:A,Clasificaciones!C848,'BG 062021'!C:C),0)</f>
        <v>0</v>
      </c>
      <c r="P848" s="887"/>
      <c r="Q848" s="63">
        <f>IF(F848="I",SUMIF('BG 062021'!A:A,Clasificaciones!C848,'BG 062021'!D:D),0)</f>
        <v>0</v>
      </c>
      <c r="R848" s="888">
        <f>+VLOOKUP(C848,'CA EFE'!A:A,1,FALSE)</f>
        <v>5131008</v>
      </c>
    </row>
    <row r="849" spans="1:18" s="888" customFormat="1" hidden="1">
      <c r="A849" s="885" t="s">
        <v>189</v>
      </c>
      <c r="B849" s="885"/>
      <c r="C849" s="889">
        <v>5131009</v>
      </c>
      <c r="D849" s="889" t="s">
        <v>1106</v>
      </c>
      <c r="E849" s="886" t="s">
        <v>6</v>
      </c>
      <c r="F849" s="886" t="s">
        <v>271</v>
      </c>
      <c r="G849" s="47">
        <f>IF(F849="I",IFERROR(VLOOKUP(C849,'BG 062022'!A:C,3,FALSE),0),0)</f>
        <v>0</v>
      </c>
      <c r="H849" s="885"/>
      <c r="I849" s="63">
        <f>IF(F849="I",IFERROR(VLOOKUP(C849,'BG 062022'!A:D,4,FALSE),0),0)</f>
        <v>0</v>
      </c>
      <c r="J849" s="887"/>
      <c r="K849" s="47">
        <f>IF(F849="I",SUMIF('BG 2021'!B:B,Clasificaciones!C849,'BG 2021'!D:D),0)</f>
        <v>0</v>
      </c>
      <c r="L849" s="887"/>
      <c r="M849" s="63">
        <f>IF(F849="I",SUMIF('BG 2021'!B:B,Clasificaciones!C849,'BG 2021'!E:E),0)</f>
        <v>0</v>
      </c>
      <c r="N849" s="887"/>
      <c r="O849" s="47">
        <f>IF(F849="I",SUMIF('BG 062021'!A:A,Clasificaciones!C849,'BG 062021'!C:C),0)</f>
        <v>0</v>
      </c>
      <c r="P849" s="887"/>
      <c r="Q849" s="63">
        <f>IF(F849="I",SUMIF('BG 062021'!A:A,Clasificaciones!C849,'BG 062021'!D:D),0)</f>
        <v>0</v>
      </c>
    </row>
    <row r="850" spans="1:18" s="888" customFormat="1" hidden="1">
      <c r="A850" s="885" t="s">
        <v>189</v>
      </c>
      <c r="B850" s="885" t="s">
        <v>611</v>
      </c>
      <c r="C850" s="889">
        <v>5131010</v>
      </c>
      <c r="D850" s="889" t="s">
        <v>179</v>
      </c>
      <c r="E850" s="886" t="s">
        <v>6</v>
      </c>
      <c r="F850" s="886" t="s">
        <v>271</v>
      </c>
      <c r="G850" s="47">
        <f>IF(F850="I",IFERROR(VLOOKUP(C850,'BG 062022'!A:C,3,FALSE),0),0)</f>
        <v>34589688</v>
      </c>
      <c r="H850" s="885"/>
      <c r="I850" s="63">
        <f>IF(F850="I",IFERROR(VLOOKUP(C850,'BG 062022'!A:D,4,FALSE),0),0)</f>
        <v>4971.03</v>
      </c>
      <c r="J850" s="887"/>
      <c r="K850" s="47">
        <f>IF(F850="I",SUMIF('BG 2021'!B:B,Clasificaciones!C850,'BG 2021'!D:D),0)</f>
        <v>11468800</v>
      </c>
      <c r="L850" s="887"/>
      <c r="M850" s="63">
        <f>IF(F850="I",SUMIF('BG 2021'!B:B,Clasificaciones!C850,'BG 2021'!E:E),0)</f>
        <v>1663.49</v>
      </c>
      <c r="N850" s="887"/>
      <c r="O850" s="47">
        <f>IF(F850="I",SUMIF('BG 062021'!A:A,Clasificaciones!C850,'BG 062021'!C:C),0)</f>
        <v>1412530</v>
      </c>
      <c r="P850" s="887"/>
      <c r="Q850" s="63">
        <f>IF(F850="I",SUMIF('BG 062021'!A:A,Clasificaciones!C850,'BG 062021'!D:D),0)</f>
        <v>211.3</v>
      </c>
      <c r="R850" s="888">
        <f>+VLOOKUP(C850,'CA EFE'!A:A,1,FALSE)</f>
        <v>5131010</v>
      </c>
    </row>
    <row r="851" spans="1:18" s="888" customFormat="1" hidden="1">
      <c r="A851" s="885" t="s">
        <v>189</v>
      </c>
      <c r="B851" s="885"/>
      <c r="C851" s="889">
        <v>5131011</v>
      </c>
      <c r="D851" s="889" t="s">
        <v>1107</v>
      </c>
      <c r="E851" s="886" t="s">
        <v>6</v>
      </c>
      <c r="F851" s="886" t="s">
        <v>271</v>
      </c>
      <c r="G851" s="47">
        <f>IF(F851="I",IFERROR(VLOOKUP(C851,'BG 062022'!A:C,3,FALSE),0),0)</f>
        <v>0</v>
      </c>
      <c r="H851" s="885"/>
      <c r="I851" s="63">
        <f>IF(F851="I",IFERROR(VLOOKUP(C851,'BG 062022'!A:D,4,FALSE),0),0)</f>
        <v>0</v>
      </c>
      <c r="J851" s="887"/>
      <c r="K851" s="47">
        <f>IF(F851="I",SUMIF('BG 2021'!B:B,Clasificaciones!C851,'BG 2021'!D:D),0)</f>
        <v>0</v>
      </c>
      <c r="L851" s="887"/>
      <c r="M851" s="63">
        <f>IF(F851="I",SUMIF('BG 2021'!B:B,Clasificaciones!C851,'BG 2021'!E:E),0)</f>
        <v>0</v>
      </c>
      <c r="N851" s="887"/>
      <c r="O851" s="47">
        <f>IF(F851="I",SUMIF('BG 062021'!A:A,Clasificaciones!C851,'BG 062021'!C:C),0)</f>
        <v>0</v>
      </c>
      <c r="P851" s="887"/>
      <c r="Q851" s="63">
        <f>IF(F851="I",SUMIF('BG 062021'!A:A,Clasificaciones!C851,'BG 062021'!D:D),0)</f>
        <v>0</v>
      </c>
    </row>
    <row r="852" spans="1:18" s="888" customFormat="1" hidden="1">
      <c r="A852" s="885" t="s">
        <v>189</v>
      </c>
      <c r="B852" s="885" t="s">
        <v>50</v>
      </c>
      <c r="C852" s="889">
        <v>5131012</v>
      </c>
      <c r="D852" s="889" t="s">
        <v>831</v>
      </c>
      <c r="E852" s="886" t="s">
        <v>6</v>
      </c>
      <c r="F852" s="886" t="s">
        <v>271</v>
      </c>
      <c r="G852" s="47">
        <f>IF(F852="I",IFERROR(VLOOKUP(C852,'BG 062022'!A:C,3,FALSE),0),0)</f>
        <v>3061819</v>
      </c>
      <c r="H852" s="885"/>
      <c r="I852" s="63">
        <f>IF(F852="I",IFERROR(VLOOKUP(C852,'BG 062022'!A:D,4,FALSE),0),0)</f>
        <v>444.05</v>
      </c>
      <c r="J852" s="887"/>
      <c r="K852" s="47">
        <f>IF(F852="I",SUMIF('BG 2021'!B:B,Clasificaciones!C852,'BG 2021'!D:D),0)</f>
        <v>24551374</v>
      </c>
      <c r="L852" s="887"/>
      <c r="M852" s="63">
        <f>IF(F852="I",SUMIF('BG 2021'!B:B,Clasificaciones!C852,'BG 2021'!E:E),0)</f>
        <v>3667.59</v>
      </c>
      <c r="N852" s="887"/>
      <c r="O852" s="47">
        <f>IF(F852="I",SUMIF('BG 062021'!A:A,Clasificaciones!C852,'BG 062021'!C:C),0)</f>
        <v>9229090</v>
      </c>
      <c r="P852" s="887"/>
      <c r="Q852" s="63">
        <f>IF(F852="I",SUMIF('BG 062021'!A:A,Clasificaciones!C852,'BG 062021'!D:D),0)</f>
        <v>1418.82</v>
      </c>
      <c r="R852" s="888">
        <f>+VLOOKUP(C852,'CA EFE'!A:A,1,FALSE)</f>
        <v>5131012</v>
      </c>
    </row>
    <row r="853" spans="1:18" s="888" customFormat="1" hidden="1">
      <c r="A853" s="885" t="s">
        <v>189</v>
      </c>
      <c r="B853" s="885"/>
      <c r="C853" s="889">
        <v>5131013</v>
      </c>
      <c r="D853" s="889" t="s">
        <v>1108</v>
      </c>
      <c r="E853" s="886" t="s">
        <v>6</v>
      </c>
      <c r="F853" s="886" t="s">
        <v>271</v>
      </c>
      <c r="G853" s="47">
        <f>IF(F853="I",IFERROR(VLOOKUP(C853,'BG 062022'!A:C,3,FALSE),0),0)</f>
        <v>0</v>
      </c>
      <c r="H853" s="885"/>
      <c r="I853" s="63">
        <f>IF(F853="I",IFERROR(VLOOKUP(C853,'BG 062022'!A:D,4,FALSE),0),0)</f>
        <v>0</v>
      </c>
      <c r="J853" s="887"/>
      <c r="K853" s="47">
        <f>IF(F853="I",SUMIF('BG 2021'!B:B,Clasificaciones!C853,'BG 2021'!D:D),0)</f>
        <v>0</v>
      </c>
      <c r="L853" s="887"/>
      <c r="M853" s="63">
        <f>IF(F853="I",SUMIF('BG 2021'!B:B,Clasificaciones!C853,'BG 2021'!E:E),0)</f>
        <v>0</v>
      </c>
      <c r="N853" s="887"/>
      <c r="O853" s="47">
        <f>IF(F853="I",SUMIF('BG 062021'!A:A,Clasificaciones!C853,'BG 062021'!C:C),0)</f>
        <v>0</v>
      </c>
      <c r="P853" s="887"/>
      <c r="Q853" s="63">
        <f>IF(F853="I",SUMIF('BG 062021'!A:A,Clasificaciones!C853,'BG 062021'!D:D),0)</f>
        <v>0</v>
      </c>
    </row>
    <row r="854" spans="1:18" s="888" customFormat="1" hidden="1">
      <c r="A854" s="885" t="s">
        <v>189</v>
      </c>
      <c r="B854" s="885" t="s">
        <v>50</v>
      </c>
      <c r="C854" s="889">
        <v>5131014</v>
      </c>
      <c r="D854" s="889" t="s">
        <v>832</v>
      </c>
      <c r="E854" s="886" t="s">
        <v>6</v>
      </c>
      <c r="F854" s="886" t="s">
        <v>271</v>
      </c>
      <c r="G854" s="47">
        <f>IF(F854="I",IFERROR(VLOOKUP(C854,'BG 062022'!A:C,3,FALSE),0),0)</f>
        <v>8900741</v>
      </c>
      <c r="H854" s="885"/>
      <c r="I854" s="63">
        <f>IF(F854="I",IFERROR(VLOOKUP(C854,'BG 062022'!A:D,4,FALSE),0),0)</f>
        <v>1284.03</v>
      </c>
      <c r="J854" s="887"/>
      <c r="K854" s="47">
        <f>IF(F854="I",SUMIF('BG 2021'!B:B,Clasificaciones!C854,'BG 2021'!D:D),0)</f>
        <v>19788235</v>
      </c>
      <c r="L854" s="887"/>
      <c r="M854" s="63">
        <f>IF(F854="I",SUMIF('BG 2021'!B:B,Clasificaciones!C854,'BG 2021'!E:E),0)</f>
        <v>2889.52</v>
      </c>
      <c r="N854" s="887"/>
      <c r="O854" s="47">
        <f>IF(F854="I",SUMIF('BG 062021'!A:A,Clasificaciones!C854,'BG 062021'!C:C),0)</f>
        <v>4418104</v>
      </c>
      <c r="P854" s="887"/>
      <c r="Q854" s="63">
        <f>IF(F854="I",SUMIF('BG 062021'!A:A,Clasificaciones!C854,'BG 062021'!D:D),0)</f>
        <v>663.19</v>
      </c>
      <c r="R854" s="888">
        <f>+VLOOKUP(C854,'CA EFE'!A:A,1,FALSE)</f>
        <v>5131014</v>
      </c>
    </row>
    <row r="855" spans="1:18" s="888" customFormat="1" hidden="1">
      <c r="A855" s="885" t="s">
        <v>189</v>
      </c>
      <c r="B855" s="885" t="s">
        <v>611</v>
      </c>
      <c r="C855" s="889">
        <v>5131015</v>
      </c>
      <c r="D855" s="889" t="s">
        <v>236</v>
      </c>
      <c r="E855" s="886" t="s">
        <v>6</v>
      </c>
      <c r="F855" s="886" t="s">
        <v>271</v>
      </c>
      <c r="G855" s="47">
        <f>IF(F855="I",IFERROR(VLOOKUP(C855,'BG 062022'!A:C,3,FALSE),0),0)</f>
        <v>17719364</v>
      </c>
      <c r="H855" s="885"/>
      <c r="I855" s="63">
        <f>IF(F855="I",IFERROR(VLOOKUP(C855,'BG 062022'!A:D,4,FALSE),0),0)</f>
        <v>2564.34</v>
      </c>
      <c r="J855" s="887"/>
      <c r="K855" s="47">
        <f>IF(F855="I",SUMIF('BG 2021'!B:B,Clasificaciones!C855,'BG 2021'!D:D),0)</f>
        <v>30091636</v>
      </c>
      <c r="L855" s="887"/>
      <c r="M855" s="63">
        <f>IF(F855="I",SUMIF('BG 2021'!B:B,Clasificaciones!C855,'BG 2021'!E:E),0)</f>
        <v>4397.47</v>
      </c>
      <c r="N855" s="887"/>
      <c r="O855" s="47">
        <f>IF(F855="I",SUMIF('BG 062021'!A:A,Clasificaciones!C855,'BG 062021'!C:C),0)</f>
        <v>10403182</v>
      </c>
      <c r="P855" s="887"/>
      <c r="Q855" s="63">
        <f>IF(F855="I",SUMIF('BG 062021'!A:A,Clasificaciones!C855,'BG 062021'!D:D),0)</f>
        <v>1535.14</v>
      </c>
      <c r="R855" s="888">
        <f>+VLOOKUP(C855,'CA EFE'!A:A,1,FALSE)</f>
        <v>5131015</v>
      </c>
    </row>
    <row r="856" spans="1:18" s="888" customFormat="1" hidden="1">
      <c r="A856" s="885" t="s">
        <v>189</v>
      </c>
      <c r="B856" s="885" t="s">
        <v>611</v>
      </c>
      <c r="C856" s="889">
        <v>5131016</v>
      </c>
      <c r="D856" s="889" t="s">
        <v>238</v>
      </c>
      <c r="E856" s="886" t="s">
        <v>6</v>
      </c>
      <c r="F856" s="886" t="s">
        <v>271</v>
      </c>
      <c r="G856" s="47">
        <f>IF(F856="I",IFERROR(VLOOKUP(C856,'BG 062022'!A:C,3,FALSE),0),0)</f>
        <v>600000</v>
      </c>
      <c r="H856" s="885"/>
      <c r="I856" s="63">
        <f>IF(F856="I",IFERROR(VLOOKUP(C856,'BG 062022'!A:D,4,FALSE),0),0)</f>
        <v>87.28</v>
      </c>
      <c r="J856" s="887"/>
      <c r="K856" s="47">
        <f>IF(F856="I",SUMIF('BG 2021'!B:B,Clasificaciones!C856,'BG 2021'!D:D),0)</f>
        <v>872727</v>
      </c>
      <c r="L856" s="887"/>
      <c r="M856" s="63">
        <f>IF(F856="I",SUMIF('BG 2021'!B:B,Clasificaciones!C856,'BG 2021'!E:E),0)</f>
        <v>135.59</v>
      </c>
      <c r="N856" s="887"/>
      <c r="O856" s="47">
        <f>IF(F856="I",SUMIF('BG 062021'!A:A,Clasificaciones!C856,'BG 062021'!C:C),0)</f>
        <v>872727</v>
      </c>
      <c r="P856" s="887"/>
      <c r="Q856" s="63">
        <f>IF(F856="I",SUMIF('BG 062021'!A:A,Clasificaciones!C856,'BG 062021'!D:D),0)</f>
        <v>135.59</v>
      </c>
    </row>
    <row r="857" spans="1:18" s="888" customFormat="1" hidden="1">
      <c r="A857" s="885" t="s">
        <v>189</v>
      </c>
      <c r="B857" s="885"/>
      <c r="C857" s="889">
        <v>5131017</v>
      </c>
      <c r="D857" s="889" t="s">
        <v>521</v>
      </c>
      <c r="E857" s="886" t="s">
        <v>6</v>
      </c>
      <c r="F857" s="886" t="s">
        <v>271</v>
      </c>
      <c r="G857" s="47">
        <f>IF(F857="I",IFERROR(VLOOKUP(C857,'BG 062022'!A:C,3,FALSE),0),0)</f>
        <v>0</v>
      </c>
      <c r="H857" s="885"/>
      <c r="I857" s="63">
        <f>IF(F857="I",IFERROR(VLOOKUP(C857,'BG 062022'!A:D,4,FALSE),0),0)</f>
        <v>0</v>
      </c>
      <c r="J857" s="887"/>
      <c r="K857" s="47">
        <f>IF(F857="I",SUMIF('BG 2021'!B:B,Clasificaciones!C857,'BG 2021'!D:D),0)</f>
        <v>0</v>
      </c>
      <c r="L857" s="887"/>
      <c r="M857" s="63">
        <f>IF(F857="I",SUMIF('BG 2021'!B:B,Clasificaciones!C857,'BG 2021'!E:E),0)</f>
        <v>0</v>
      </c>
      <c r="N857" s="887"/>
      <c r="O857" s="47">
        <f>IF(F857="I",SUMIF('BG 062021'!A:A,Clasificaciones!C857,'BG 062021'!C:C),0)</f>
        <v>0</v>
      </c>
      <c r="P857" s="887"/>
      <c r="Q857" s="63">
        <f>IF(F857="I",SUMIF('BG 062021'!A:A,Clasificaciones!C857,'BG 062021'!D:D),0)</f>
        <v>0</v>
      </c>
    </row>
    <row r="858" spans="1:18" s="888" customFormat="1" hidden="1">
      <c r="A858" s="885" t="s">
        <v>189</v>
      </c>
      <c r="B858" s="885" t="s">
        <v>611</v>
      </c>
      <c r="C858" s="889">
        <v>5131018</v>
      </c>
      <c r="D858" s="889" t="s">
        <v>833</v>
      </c>
      <c r="E858" s="886" t="s">
        <v>6</v>
      </c>
      <c r="F858" s="886" t="s">
        <v>271</v>
      </c>
      <c r="G858" s="47">
        <f>IF(F858="I",IFERROR(VLOOKUP(C858,'BG 062022'!A:C,3,FALSE),0),0)</f>
        <v>2500000</v>
      </c>
      <c r="H858" s="885"/>
      <c r="I858" s="63">
        <f>IF(F858="I",IFERROR(VLOOKUP(C858,'BG 062022'!A:D,4,FALSE),0),0)</f>
        <v>114.38</v>
      </c>
      <c r="J858" s="887"/>
      <c r="K858" s="47">
        <f>IF(F858="I",SUMIF('BG 2021'!B:B,Clasificaciones!C858,'BG 2021'!D:D),0)</f>
        <v>0</v>
      </c>
      <c r="L858" s="887"/>
      <c r="M858" s="63">
        <f>IF(F858="I",SUMIF('BG 2021'!B:B,Clasificaciones!C858,'BG 2021'!E:E),0)</f>
        <v>0</v>
      </c>
      <c r="N858" s="887"/>
      <c r="O858" s="47">
        <f>IF(F858="I",SUMIF('BG 062021'!A:A,Clasificaciones!C858,'BG 062021'!C:C),0)</f>
        <v>90000000</v>
      </c>
      <c r="P858" s="887"/>
      <c r="Q858" s="63">
        <f>IF(F858="I",SUMIF('BG 062021'!A:A,Clasificaciones!C858,'BG 062021'!D:D),0)</f>
        <v>13623.38</v>
      </c>
      <c r="R858" s="888">
        <f>+VLOOKUP(C858,'CA EFE'!A:A,1,FALSE)</f>
        <v>5131018</v>
      </c>
    </row>
    <row r="859" spans="1:18" s="888" customFormat="1" hidden="1">
      <c r="A859" s="885" t="s">
        <v>189</v>
      </c>
      <c r="B859" s="885" t="s">
        <v>611</v>
      </c>
      <c r="C859" s="889">
        <v>5131019</v>
      </c>
      <c r="D859" s="889" t="s">
        <v>398</v>
      </c>
      <c r="E859" s="886" t="s">
        <v>6</v>
      </c>
      <c r="F859" s="886" t="s">
        <v>271</v>
      </c>
      <c r="G859" s="47">
        <f>IF(F859="I",IFERROR(VLOOKUP(C859,'BG 062022'!A:C,3,FALSE),0),0)</f>
        <v>0</v>
      </c>
      <c r="H859" s="885"/>
      <c r="I859" s="63">
        <f>IF(F859="I",IFERROR(VLOOKUP(C859,'BG 062022'!A:D,4,FALSE),0),0)</f>
        <v>0</v>
      </c>
      <c r="J859" s="887"/>
      <c r="K859" s="47">
        <f>IF(F859="I",SUMIF('BG 2021'!B:B,Clasificaciones!C859,'BG 2021'!D:D),0)</f>
        <v>5172724</v>
      </c>
      <c r="L859" s="887"/>
      <c r="M859" s="63">
        <f>IF(F859="I",SUMIF('BG 2021'!B:B,Clasificaciones!C859,'BG 2021'!E:E),0)</f>
        <v>765.72</v>
      </c>
      <c r="N859" s="887"/>
      <c r="O859" s="47">
        <f>IF(F859="I",SUMIF('BG 062021'!A:A,Clasificaciones!C859,'BG 062021'!C:C),0)</f>
        <v>2399999</v>
      </c>
      <c r="P859" s="887"/>
      <c r="Q859" s="63">
        <f>IF(F859="I",SUMIF('BG 062021'!A:A,Clasificaciones!C859,'BG 062021'!D:D),0)</f>
        <v>359.37</v>
      </c>
    </row>
    <row r="860" spans="1:18" s="888" customFormat="1" hidden="1">
      <c r="A860" s="885" t="s">
        <v>189</v>
      </c>
      <c r="B860" s="885" t="s">
        <v>611</v>
      </c>
      <c r="C860" s="889">
        <v>5131020</v>
      </c>
      <c r="D860" s="889" t="s">
        <v>1242</v>
      </c>
      <c r="E860" s="886" t="s">
        <v>6</v>
      </c>
      <c r="F860" s="886" t="s">
        <v>271</v>
      </c>
      <c r="G860" s="47">
        <f>IF(F860="I",IFERROR(VLOOKUP(C860,'BG 062022'!A:C,3,FALSE),0),0)</f>
        <v>0</v>
      </c>
      <c r="H860" s="885"/>
      <c r="I860" s="63">
        <f>IF(F860="I",IFERROR(VLOOKUP(C860,'BG 062022'!A:D,4,FALSE),0),0)</f>
        <v>0</v>
      </c>
      <c r="J860" s="887"/>
      <c r="K860" s="47">
        <f>IF(F860="I",SUMIF('BG 2021'!B:B,Clasificaciones!C860,'BG 2021'!D:D),0)</f>
        <v>50000000</v>
      </c>
      <c r="L860" s="887"/>
      <c r="M860" s="63">
        <f>IF(F860="I",SUMIF('BG 2021'!B:B,Clasificaciones!C860,'BG 2021'!E:E),0)</f>
        <v>7246.28</v>
      </c>
      <c r="N860" s="887"/>
      <c r="O860" s="47">
        <f>IF(F860="I",SUMIF('BG 062021'!A:A,Clasificaciones!C860,'BG 062021'!C:C),0)</f>
        <v>0</v>
      </c>
      <c r="P860" s="887"/>
      <c r="Q860" s="63">
        <f>IF(F860="I",SUMIF('BG 062021'!A:A,Clasificaciones!C860,'BG 062021'!D:D),0)</f>
        <v>0</v>
      </c>
      <c r="R860" s="888">
        <f>+VLOOKUP(C860,'CA EFE'!A:A,1,FALSE)</f>
        <v>5131020</v>
      </c>
    </row>
    <row r="861" spans="1:18" s="888" customFormat="1" hidden="1">
      <c r="A861" s="885" t="s">
        <v>189</v>
      </c>
      <c r="B861" s="885" t="s">
        <v>611</v>
      </c>
      <c r="C861" s="889">
        <v>5131021</v>
      </c>
      <c r="D861" s="889" t="s">
        <v>1266</v>
      </c>
      <c r="E861" s="886" t="s">
        <v>6</v>
      </c>
      <c r="F861" s="886" t="s">
        <v>271</v>
      </c>
      <c r="G861" s="47">
        <f>IF(F861="I",IFERROR(VLOOKUP(C861,'BG 062022'!A:C,3,FALSE),0),0)</f>
        <v>833340</v>
      </c>
      <c r="H861" s="885"/>
      <c r="I861" s="63">
        <f>IF(F861="I",IFERROR(VLOOKUP(C861,'BG 062022'!A:D,4,FALSE),0),0)</f>
        <v>-121.72</v>
      </c>
      <c r="J861" s="887"/>
      <c r="K861" s="47">
        <f>IF(F861="I",SUMIF('BG 2021'!B:B,Clasificaciones!C861,'BG 2021'!D:D),0)</f>
        <v>80000000</v>
      </c>
      <c r="L861" s="887"/>
      <c r="M861" s="63">
        <f>IF(F861="I",SUMIF('BG 2021'!B:B,Clasificaciones!C861,'BG 2021'!E:E),0)</f>
        <v>11615.41</v>
      </c>
      <c r="N861" s="887"/>
      <c r="O861" s="47">
        <f>IF(F861="I",SUMIF('BG 062021'!A:A,Clasificaciones!C861,'BG 062021'!C:C),0)</f>
        <v>0</v>
      </c>
      <c r="P861" s="887"/>
      <c r="Q861" s="63">
        <f>IF(F861="I",SUMIF('BG 062021'!A:A,Clasificaciones!C861,'BG 062021'!D:D),0)</f>
        <v>0</v>
      </c>
      <c r="R861" s="888">
        <f>+VLOOKUP(C861,'CA EFE'!A:A,1,FALSE)</f>
        <v>5131021</v>
      </c>
    </row>
    <row r="862" spans="1:18" s="888" customFormat="1" hidden="1">
      <c r="A862" s="885" t="s">
        <v>189</v>
      </c>
      <c r="B862" s="885" t="s">
        <v>611</v>
      </c>
      <c r="C862" s="889">
        <v>5131099</v>
      </c>
      <c r="D862" s="889" t="s">
        <v>1109</v>
      </c>
      <c r="E862" s="886" t="s">
        <v>6</v>
      </c>
      <c r="F862" s="886" t="s">
        <v>271</v>
      </c>
      <c r="G862" s="47">
        <f>IF(F862="I",IFERROR(VLOOKUP(C862,'BG 062022'!A:C,3,FALSE),0),0)</f>
        <v>4618081</v>
      </c>
      <c r="H862" s="885"/>
      <c r="I862" s="63">
        <f>IF(F862="I",IFERROR(VLOOKUP(C862,'BG 062022'!A:D,4,FALSE),0),0)</f>
        <v>665.91</v>
      </c>
      <c r="J862" s="887"/>
      <c r="K862" s="47">
        <f>IF(F862="I",SUMIF('BG 2021'!B:B,Clasificaciones!C862,'BG 2021'!D:D),0)</f>
        <v>7985757</v>
      </c>
      <c r="L862" s="887"/>
      <c r="M862" s="63">
        <f>IF(F862="I",SUMIF('BG 2021'!B:B,Clasificaciones!C862,'BG 2021'!E:E),0)</f>
        <v>1163.51</v>
      </c>
      <c r="N862" s="887"/>
      <c r="O862" s="47">
        <f>IF(F862="I",SUMIF('BG 062021'!A:A,Clasificaciones!C862,'BG 062021'!C:C),0)</f>
        <v>550251</v>
      </c>
      <c r="P862" s="887"/>
      <c r="Q862" s="63">
        <f>IF(F862="I",SUMIF('BG 062021'!A:A,Clasificaciones!C862,'BG 062021'!D:D),0)</f>
        <v>82.79</v>
      </c>
      <c r="R862" s="888">
        <f>+VLOOKUP(C862,'CA EFE'!A:A,1,FALSE)</f>
        <v>5131099</v>
      </c>
    </row>
    <row r="863" spans="1:18" s="888" customFormat="1" hidden="1">
      <c r="A863" s="885" t="s">
        <v>189</v>
      </c>
      <c r="B863" s="885"/>
      <c r="C863" s="889">
        <v>514</v>
      </c>
      <c r="D863" s="889" t="s">
        <v>834</v>
      </c>
      <c r="E863" s="886" t="s">
        <v>6</v>
      </c>
      <c r="F863" s="886" t="s">
        <v>270</v>
      </c>
      <c r="G863" s="47">
        <f>IF(F863="I",IFERROR(VLOOKUP(C863,'BG 062022'!A:C,3,FALSE),0),0)</f>
        <v>0</v>
      </c>
      <c r="H863" s="885"/>
      <c r="I863" s="63">
        <f>IF(F863="I",IFERROR(VLOOKUP(C863,'BG 062022'!A:D,4,FALSE),0),0)</f>
        <v>0</v>
      </c>
      <c r="J863" s="887"/>
      <c r="K863" s="47">
        <f>IF(F863="I",SUMIF('BG 2021'!B:B,Clasificaciones!C863,'BG 2021'!D:D),0)</f>
        <v>0</v>
      </c>
      <c r="L863" s="887"/>
      <c r="M863" s="63">
        <f>IF(F863="I",SUMIF('BG 2021'!B:B,Clasificaciones!C863,'BG 2021'!E:E),0)</f>
        <v>0</v>
      </c>
      <c r="N863" s="887"/>
      <c r="O863" s="47">
        <f>IF(F863="I",SUMIF('BG 062021'!A:A,Clasificaciones!C863,'BG 062021'!C:C),0)</f>
        <v>0</v>
      </c>
      <c r="P863" s="887"/>
      <c r="Q863" s="63">
        <f>IF(F863="I",SUMIF('BG 062021'!A:A,Clasificaciones!C863,'BG 062021'!D:D),0)</f>
        <v>0</v>
      </c>
    </row>
    <row r="864" spans="1:18" s="888" customFormat="1" hidden="1">
      <c r="A864" s="885" t="s">
        <v>189</v>
      </c>
      <c r="B864" s="885"/>
      <c r="C864" s="889">
        <v>51401</v>
      </c>
      <c r="D864" s="889" t="s">
        <v>1110</v>
      </c>
      <c r="E864" s="886" t="s">
        <v>6</v>
      </c>
      <c r="F864" s="886" t="s">
        <v>271</v>
      </c>
      <c r="G864" s="47">
        <f>IF(F864="I",IFERROR(VLOOKUP(C864,'BG 062022'!A:C,3,FALSE),0),0)</f>
        <v>0</v>
      </c>
      <c r="H864" s="885"/>
      <c r="I864" s="63">
        <f>IF(F864="I",IFERROR(VLOOKUP(C864,'BG 062022'!A:D,4,FALSE),0),0)</f>
        <v>0</v>
      </c>
      <c r="J864" s="887"/>
      <c r="K864" s="47">
        <f>IF(F864="I",SUMIF('BG 2021'!B:B,Clasificaciones!C864,'BG 2021'!D:D),0)</f>
        <v>0</v>
      </c>
      <c r="L864" s="887"/>
      <c r="M864" s="63">
        <f>IF(F864="I",SUMIF('BG 2021'!B:B,Clasificaciones!C864,'BG 2021'!E:E),0)</f>
        <v>0</v>
      </c>
      <c r="N864" s="887"/>
      <c r="O864" s="47">
        <f>IF(F864="I",SUMIF('BG 062021'!A:A,Clasificaciones!C864,'BG 062021'!C:C),0)</f>
        <v>0</v>
      </c>
      <c r="P864" s="887"/>
      <c r="Q864" s="63">
        <f>IF(F864="I",SUMIF('BG 062021'!A:A,Clasificaciones!C864,'BG 062021'!D:D),0)</f>
        <v>0</v>
      </c>
    </row>
    <row r="865" spans="1:18" s="888" customFormat="1" hidden="1">
      <c r="A865" s="885" t="s">
        <v>189</v>
      </c>
      <c r="B865" s="885"/>
      <c r="C865" s="889">
        <v>51402</v>
      </c>
      <c r="D865" s="889" t="s">
        <v>1111</v>
      </c>
      <c r="E865" s="886" t="s">
        <v>6</v>
      </c>
      <c r="F865" s="886" t="s">
        <v>271</v>
      </c>
      <c r="G865" s="47">
        <f>IF(F865="I",IFERROR(VLOOKUP(C865,'BG 062022'!A:C,3,FALSE),0),0)</f>
        <v>0</v>
      </c>
      <c r="H865" s="885"/>
      <c r="I865" s="63">
        <f>IF(F865="I",IFERROR(VLOOKUP(C865,'BG 062022'!A:D,4,FALSE),0),0)</f>
        <v>0</v>
      </c>
      <c r="J865" s="887"/>
      <c r="K865" s="47">
        <f>IF(F865="I",SUMIF('BG 2021'!B:B,Clasificaciones!C865,'BG 2021'!D:D),0)</f>
        <v>0</v>
      </c>
      <c r="L865" s="887"/>
      <c r="M865" s="63">
        <f>IF(F865="I",SUMIF('BG 2021'!B:B,Clasificaciones!C865,'BG 2021'!E:E),0)</f>
        <v>0</v>
      </c>
      <c r="N865" s="887"/>
      <c r="O865" s="47">
        <f>IF(F865="I",SUMIF('BG 062021'!A:A,Clasificaciones!C865,'BG 062021'!C:C),0)</f>
        <v>0</v>
      </c>
      <c r="P865" s="887"/>
      <c r="Q865" s="63">
        <f>IF(F865="I",SUMIF('BG 062021'!A:A,Clasificaciones!C865,'BG 062021'!D:D),0)</f>
        <v>0</v>
      </c>
    </row>
    <row r="866" spans="1:18" s="888" customFormat="1" hidden="1">
      <c r="A866" s="885" t="s">
        <v>189</v>
      </c>
      <c r="B866" s="885" t="s">
        <v>196</v>
      </c>
      <c r="C866" s="889">
        <v>51403</v>
      </c>
      <c r="D866" s="889" t="s">
        <v>181</v>
      </c>
      <c r="E866" s="886" t="s">
        <v>6</v>
      </c>
      <c r="F866" s="886" t="s">
        <v>271</v>
      </c>
      <c r="G866" s="47">
        <f>IF(F866="I",IFERROR(VLOOKUP(C866,'BG 062022'!A:C,3,FALSE),0),0)</f>
        <v>3722682</v>
      </c>
      <c r="H866" s="885"/>
      <c r="I866" s="63">
        <f>IF(F866="I",IFERROR(VLOOKUP(C866,'BG 062022'!A:D,4,FALSE),0),0)</f>
        <v>537.32000000000005</v>
      </c>
      <c r="J866" s="887"/>
      <c r="K866" s="47">
        <f>IF(F866="I",SUMIF('BG 2021'!B:B,Clasificaciones!C866,'BG 2021'!D:D),0)</f>
        <v>2449436</v>
      </c>
      <c r="L866" s="887"/>
      <c r="M866" s="63">
        <f>IF(F866="I",SUMIF('BG 2021'!B:B,Clasificaciones!C866,'BG 2021'!E:E),0)</f>
        <v>357.92</v>
      </c>
      <c r="N866" s="887"/>
      <c r="O866" s="47">
        <f>IF(F866="I",SUMIF('BG 062021'!A:A,Clasificaciones!C866,'BG 062021'!C:C),0)</f>
        <v>0</v>
      </c>
      <c r="P866" s="887"/>
      <c r="Q866" s="63">
        <f>IF(F866="I",SUMIF('BG 062021'!A:A,Clasificaciones!C866,'BG 062021'!D:D),0)</f>
        <v>0</v>
      </c>
      <c r="R866" s="888">
        <f>+VLOOKUP(C866,'CA EFE'!A:A,1,FALSE)</f>
        <v>51403</v>
      </c>
    </row>
    <row r="867" spans="1:18" s="888" customFormat="1" hidden="1">
      <c r="A867" s="885" t="s">
        <v>189</v>
      </c>
      <c r="B867" s="885" t="s">
        <v>196</v>
      </c>
      <c r="C867" s="889">
        <v>51404</v>
      </c>
      <c r="D867" s="889" t="s">
        <v>835</v>
      </c>
      <c r="E867" s="886" t="s">
        <v>6</v>
      </c>
      <c r="F867" s="886" t="s">
        <v>271</v>
      </c>
      <c r="G867" s="47">
        <f>IF(F867="I",IFERROR(VLOOKUP(C867,'BG 062022'!A:C,3,FALSE),0),0)</f>
        <v>250540859</v>
      </c>
      <c r="H867" s="885"/>
      <c r="I867" s="63">
        <f>IF(F867="I",IFERROR(VLOOKUP(C867,'BG 062022'!A:D,4,FALSE),0),0)</f>
        <v>36060.129999999997</v>
      </c>
      <c r="J867" s="887"/>
      <c r="K867" s="47">
        <f>IF(F867="I",SUMIF('BG 2021'!B:B,Clasificaciones!C867,'BG 2021'!D:D),0)</f>
        <v>275148568</v>
      </c>
      <c r="L867" s="887"/>
      <c r="M867" s="63">
        <f>IF(F867="I",SUMIF('BG 2021'!B:B,Clasificaciones!C867,'BG 2021'!E:E),0)</f>
        <v>40899.279999999999</v>
      </c>
      <c r="N867" s="887"/>
      <c r="O867" s="47">
        <f>IF(F867="I",SUMIF('BG 062021'!A:A,Clasificaciones!C867,'BG 062021'!C:C),0)</f>
        <v>148301269</v>
      </c>
      <c r="P867" s="887"/>
      <c r="Q867" s="63">
        <f>IF(F867="I",SUMIF('BG 062021'!A:A,Clasificaciones!C867,'BG 062021'!D:D),0)</f>
        <v>22524.16</v>
      </c>
      <c r="R867" s="888">
        <f>+VLOOKUP(C867,'CA EFE'!A:A,1,FALSE)</f>
        <v>51404</v>
      </c>
    </row>
    <row r="868" spans="1:18" s="888" customFormat="1" hidden="1">
      <c r="A868" s="885" t="s">
        <v>189</v>
      </c>
      <c r="B868" s="885" t="s">
        <v>611</v>
      </c>
      <c r="C868" s="889">
        <v>51405</v>
      </c>
      <c r="D868" s="889" t="s">
        <v>78</v>
      </c>
      <c r="E868" s="886" t="s">
        <v>6</v>
      </c>
      <c r="F868" s="886" t="s">
        <v>271</v>
      </c>
      <c r="G868" s="47">
        <f>IF(F868="I",IFERROR(VLOOKUP(C868,'BG 062022'!A:C,3,FALSE),0),0)</f>
        <v>5456147</v>
      </c>
      <c r="H868" s="885"/>
      <c r="I868" s="63">
        <f>IF(F868="I",IFERROR(VLOOKUP(C868,'BG 062022'!A:D,4,FALSE),0),0)</f>
        <v>790.63</v>
      </c>
      <c r="J868" s="887"/>
      <c r="K868" s="47">
        <f>IF(F868="I",SUMIF('BG 2021'!B:B,Clasificaciones!C868,'BG 2021'!D:D),0)</f>
        <v>10219309</v>
      </c>
      <c r="L868" s="887"/>
      <c r="M868" s="63">
        <f>IF(F868="I",SUMIF('BG 2021'!B:B,Clasificaciones!C868,'BG 2021'!E:E),0)</f>
        <v>1545.16</v>
      </c>
      <c r="N868" s="887"/>
      <c r="O868" s="47">
        <f>IF(F868="I",SUMIF('BG 062021'!A:A,Clasificaciones!C868,'BG 062021'!C:C),0)</f>
        <v>7681264</v>
      </c>
      <c r="P868" s="887"/>
      <c r="Q868" s="63">
        <f>IF(F868="I",SUMIF('BG 062021'!A:A,Clasificaciones!C868,'BG 062021'!D:D),0)</f>
        <v>1176.58</v>
      </c>
      <c r="R868" s="888">
        <f>+VLOOKUP(C868,'CA EFE'!A:A,1,FALSE)</f>
        <v>51405</v>
      </c>
    </row>
    <row r="869" spans="1:18" s="888" customFormat="1" hidden="1">
      <c r="A869" s="885" t="s">
        <v>189</v>
      </c>
      <c r="B869" s="885" t="s">
        <v>611</v>
      </c>
      <c r="C869" s="889">
        <v>51406</v>
      </c>
      <c r="D869" s="889" t="s">
        <v>836</v>
      </c>
      <c r="E869" s="886" t="s">
        <v>6</v>
      </c>
      <c r="F869" s="886" t="s">
        <v>271</v>
      </c>
      <c r="G869" s="47">
        <f>IF(F869="I",IFERROR(VLOOKUP(C869,'BG 062022'!A:C,3,FALSE),0),0)</f>
        <v>25318166</v>
      </c>
      <c r="H869" s="885"/>
      <c r="I869" s="63">
        <f>IF(F869="I",IFERROR(VLOOKUP(C869,'BG 062022'!A:D,4,FALSE),0),0)</f>
        <v>3593.3</v>
      </c>
      <c r="J869" s="887"/>
      <c r="K869" s="47">
        <f>IF(F869="I",SUMIF('BG 2021'!B:B,Clasificaciones!C869,'BG 2021'!D:D),0)</f>
        <v>11569681</v>
      </c>
      <c r="L869" s="887"/>
      <c r="M869" s="63">
        <f>IF(F869="I",SUMIF('BG 2021'!B:B,Clasificaciones!C869,'BG 2021'!E:E),0)</f>
        <v>1679.27</v>
      </c>
      <c r="N869" s="887"/>
      <c r="O869" s="47">
        <f>IF(F869="I",SUMIF('BG 062021'!A:A,Clasificaciones!C869,'BG 062021'!C:C),0)</f>
        <v>7291384</v>
      </c>
      <c r="P869" s="887"/>
      <c r="Q869" s="63">
        <f>IF(F869="I",SUMIF('BG 062021'!A:A,Clasificaciones!C869,'BG 062021'!D:D),0)</f>
        <v>1057.92</v>
      </c>
      <c r="R869" s="888">
        <f>+VLOOKUP(C869,'CA EFE'!A:A,1,FALSE)</f>
        <v>51406</v>
      </c>
    </row>
    <row r="870" spans="1:18" s="888" customFormat="1" hidden="1">
      <c r="A870" s="885" t="s">
        <v>189</v>
      </c>
      <c r="B870" s="885"/>
      <c r="C870" s="889">
        <v>51407</v>
      </c>
      <c r="D870" s="889" t="s">
        <v>837</v>
      </c>
      <c r="E870" s="886" t="s">
        <v>6</v>
      </c>
      <c r="F870" s="886" t="s">
        <v>270</v>
      </c>
      <c r="G870" s="47">
        <f>IF(F870="I",IFERROR(VLOOKUP(C870,'BG 062022'!A:C,3,FALSE),0),0)</f>
        <v>0</v>
      </c>
      <c r="H870" s="885"/>
      <c r="I870" s="63">
        <f>IF(F870="I",IFERROR(VLOOKUP(C870,'BG 062022'!A:D,4,FALSE),0),0)</f>
        <v>0</v>
      </c>
      <c r="J870" s="887"/>
      <c r="K870" s="47">
        <f>IF(F870="I",SUMIF('BG 2021'!B:B,Clasificaciones!C870,'BG 2021'!D:D),0)</f>
        <v>0</v>
      </c>
      <c r="L870" s="887"/>
      <c r="M870" s="63">
        <f>IF(F870="I",SUMIF('BG 2021'!B:B,Clasificaciones!C870,'BG 2021'!E:E),0)</f>
        <v>0</v>
      </c>
      <c r="N870" s="887"/>
      <c r="O870" s="47">
        <f>IF(F870="I",SUMIF('BG 062021'!A:A,Clasificaciones!C870,'BG 062021'!C:C),0)</f>
        <v>0</v>
      </c>
      <c r="P870" s="887"/>
      <c r="Q870" s="63">
        <f>IF(F870="I",SUMIF('BG 062021'!A:A,Clasificaciones!C870,'BG 062021'!D:D),0)</f>
        <v>0</v>
      </c>
    </row>
    <row r="871" spans="1:18" s="888" customFormat="1" hidden="1">
      <c r="A871" s="885" t="s">
        <v>189</v>
      </c>
      <c r="B871" s="885" t="s">
        <v>197</v>
      </c>
      <c r="C871" s="889">
        <v>5140701</v>
      </c>
      <c r="D871" s="889" t="s">
        <v>793</v>
      </c>
      <c r="E871" s="886" t="s">
        <v>6</v>
      </c>
      <c r="F871" s="886" t="s">
        <v>271</v>
      </c>
      <c r="G871" s="47">
        <f>IF(F871="I",IFERROR(VLOOKUP(C871,'BG 062022'!A:C,3,FALSE),0),0)</f>
        <v>8101263559</v>
      </c>
      <c r="H871" s="885"/>
      <c r="I871" s="63">
        <f>IF(F871="I",IFERROR(VLOOKUP(C871,'BG 062022'!A:D,4,FALSE),0),0)</f>
        <v>1097925.23</v>
      </c>
      <c r="J871" s="887"/>
      <c r="K871" s="47">
        <v>529877452</v>
      </c>
      <c r="L871" s="887"/>
      <c r="M871" s="63">
        <f>IF(F871="I",SUMIF('BG 2021'!B:B,Clasificaciones!C871,'BG 2021'!E:E),0)</f>
        <v>1790554.08</v>
      </c>
      <c r="N871" s="887"/>
      <c r="O871" s="47">
        <f>IF(F871="I",SUMIF('BG 062021'!A:A,Clasificaciones!C871,'BG 062021'!C:C),0)</f>
        <v>1872901941</v>
      </c>
      <c r="P871" s="887"/>
      <c r="Q871" s="63">
        <f>IF(F871="I",SUMIF('BG 062021'!A:A,Clasificaciones!C871,'BG 062021'!D:D),0)</f>
        <v>1145520.99</v>
      </c>
      <c r="R871" s="888">
        <f>+VLOOKUP(C871,'CA EFE'!A:A,1,FALSE)</f>
        <v>5140701</v>
      </c>
    </row>
    <row r="872" spans="1:18" s="888" customFormat="1" hidden="1">
      <c r="A872" s="885" t="s">
        <v>189</v>
      </c>
      <c r="B872" s="885" t="s">
        <v>197</v>
      </c>
      <c r="C872" s="889">
        <v>5140702</v>
      </c>
      <c r="D872" s="889" t="s">
        <v>794</v>
      </c>
      <c r="E872" s="886" t="s">
        <v>6</v>
      </c>
      <c r="F872" s="886" t="s">
        <v>271</v>
      </c>
      <c r="G872" s="47">
        <f>IF(F872="I",IFERROR(VLOOKUP(C872,'BG 062022'!A:C,3,FALSE),0),0)</f>
        <v>892847407</v>
      </c>
      <c r="H872" s="885"/>
      <c r="I872" s="63">
        <f>IF(F872="I",IFERROR(VLOOKUP(C872,'BG 062022'!A:D,4,FALSE),0),0)</f>
        <v>627964.28</v>
      </c>
      <c r="J872" s="887"/>
      <c r="K872" s="47">
        <v>707154405</v>
      </c>
      <c r="L872" s="887"/>
      <c r="M872" s="63">
        <f>IF(F872="I",SUMIF('BG 2021'!B:B,Clasificaciones!C872,'BG 2021'!E:E),0)</f>
        <v>636243.96980000008</v>
      </c>
      <c r="N872" s="887"/>
      <c r="O872" s="47">
        <f>IF(F872="I",SUMIF('BG 062021'!A:A,Clasificaciones!C872,'BG 062021'!C:C),0)</f>
        <v>631451695</v>
      </c>
      <c r="P872" s="887"/>
      <c r="Q872" s="63">
        <f>IF(F872="I",SUMIF('BG 062021'!A:A,Clasificaciones!C872,'BG 062021'!D:D),0)</f>
        <v>335388.75</v>
      </c>
      <c r="R872" s="888">
        <f>+VLOOKUP(C872,'CA EFE'!A:A,1,FALSE)</f>
        <v>5140702</v>
      </c>
    </row>
    <row r="873" spans="1:18" s="888" customFormat="1" hidden="1">
      <c r="A873" s="885" t="s">
        <v>189</v>
      </c>
      <c r="B873" s="885"/>
      <c r="C873" s="889">
        <v>515</v>
      </c>
      <c r="D873" s="889" t="s">
        <v>240</v>
      </c>
      <c r="E873" s="886" t="s">
        <v>6</v>
      </c>
      <c r="F873" s="886" t="s">
        <v>270</v>
      </c>
      <c r="G873" s="47">
        <f>IF(F873="I",IFERROR(VLOOKUP(C873,'BG 062022'!A:C,3,FALSE),0),0)</f>
        <v>0</v>
      </c>
      <c r="H873" s="885"/>
      <c r="I873" s="63">
        <f>IF(F873="I",IFERROR(VLOOKUP(C873,'BG 062022'!A:D,4,FALSE),0),0)</f>
        <v>0</v>
      </c>
      <c r="J873" s="887"/>
      <c r="K873" s="47">
        <f>IF(F873="I",SUMIF('BG 2021'!B:B,Clasificaciones!C873,'BG 2021'!D:D),0)</f>
        <v>0</v>
      </c>
      <c r="L873" s="887"/>
      <c r="M873" s="63">
        <f>IF(F873="I",SUMIF('BG 2021'!B:B,Clasificaciones!C873,'BG 2021'!E:E),0)</f>
        <v>0</v>
      </c>
      <c r="N873" s="887"/>
      <c r="O873" s="47">
        <f>IF(F873="I",SUMIF('BG 062021'!A:A,Clasificaciones!C873,'BG 062021'!C:C),0)</f>
        <v>0</v>
      </c>
      <c r="P873" s="887"/>
      <c r="Q873" s="63">
        <f>IF(F873="I",SUMIF('BG 062021'!A:A,Clasificaciones!C873,'BG 062021'!D:D),0)</f>
        <v>0</v>
      </c>
    </row>
    <row r="874" spans="1:18" s="888" customFormat="1" hidden="1">
      <c r="A874" s="885" t="s">
        <v>189</v>
      </c>
      <c r="B874" s="885" t="s">
        <v>615</v>
      </c>
      <c r="C874" s="889">
        <v>51501</v>
      </c>
      <c r="D874" s="889" t="s">
        <v>77</v>
      </c>
      <c r="E874" s="886" t="s">
        <v>6</v>
      </c>
      <c r="F874" s="886" t="s">
        <v>271</v>
      </c>
      <c r="G874" s="47">
        <f>IF(F874="I",IFERROR(VLOOKUP(C874,'BG 062022'!A:C,3,FALSE),0),0)</f>
        <v>135316207</v>
      </c>
      <c r="H874" s="885"/>
      <c r="I874" s="63">
        <f>IF(F874="I",IFERROR(VLOOKUP(C874,'BG 062022'!A:D,4,FALSE),0),0)</f>
        <v>19316.900000000001</v>
      </c>
      <c r="J874" s="887"/>
      <c r="K874" s="47">
        <f>IF(F874="I",SUMIF('BG 2021'!B:B,Clasificaciones!C874,'BG 2021'!D:D),0)</f>
        <v>152286289</v>
      </c>
      <c r="L874" s="887"/>
      <c r="M874" s="63">
        <f>IF(F874="I",SUMIF('BG 2021'!B:B,Clasificaciones!C874,'BG 2021'!E:E),0)</f>
        <v>23078.959999999999</v>
      </c>
      <c r="N874" s="887"/>
      <c r="O874" s="47">
        <f>IF(F874="I",SUMIF('BG 062021'!A:A,Clasificaciones!C874,'BG 062021'!C:C),0)</f>
        <v>111753780</v>
      </c>
      <c r="P874" s="887"/>
      <c r="Q874" s="63">
        <f>IF(F874="I",SUMIF('BG 062021'!A:A,Clasificaciones!C874,'BG 062021'!D:D),0)</f>
        <v>17218.650000000001</v>
      </c>
      <c r="R874" s="888">
        <f>+VLOOKUP(C874,'CA EFE'!A:A,1,FALSE)</f>
        <v>51501</v>
      </c>
    </row>
    <row r="875" spans="1:18" s="888" customFormat="1" hidden="1">
      <c r="A875" s="885" t="s">
        <v>189</v>
      </c>
      <c r="B875" s="885" t="s">
        <v>51</v>
      </c>
      <c r="C875" s="889">
        <v>51502</v>
      </c>
      <c r="D875" s="889" t="s">
        <v>241</v>
      </c>
      <c r="E875" s="886" t="s">
        <v>6</v>
      </c>
      <c r="F875" s="886" t="s">
        <v>271</v>
      </c>
      <c r="G875" s="47">
        <f>IF(F875="I",IFERROR(VLOOKUP(C875,'BG 062022'!A:C,3,FALSE),0),0)</f>
        <v>21467041</v>
      </c>
      <c r="H875" s="885"/>
      <c r="I875" s="63">
        <f>IF(F875="I",IFERROR(VLOOKUP(C875,'BG 062022'!A:D,4,FALSE),0),0)</f>
        <v>3036.67</v>
      </c>
      <c r="J875" s="887"/>
      <c r="K875" s="47">
        <f>IF(F875="I",SUMIF('BG 2021'!B:B,Clasificaciones!C875,'BG 2021'!D:D),0)</f>
        <v>49783131</v>
      </c>
      <c r="L875" s="887"/>
      <c r="M875" s="63">
        <f>IF(F875="I",SUMIF('BG 2021'!B:B,Clasificaciones!C875,'BG 2021'!E:E),0)</f>
        <v>7521.13</v>
      </c>
      <c r="N875" s="887"/>
      <c r="O875" s="47">
        <f>IF(F875="I",SUMIF('BG 062021'!A:A,Clasificaciones!C875,'BG 062021'!C:C),0)</f>
        <v>20901450</v>
      </c>
      <c r="P875" s="887"/>
      <c r="Q875" s="63">
        <f>IF(F875="I",SUMIF('BG 062021'!A:A,Clasificaciones!C875,'BG 062021'!D:D),0)</f>
        <v>3291.94</v>
      </c>
      <c r="R875" s="888">
        <f>+VLOOKUP(C875,'CA EFE'!A:A,1,FALSE)</f>
        <v>51502</v>
      </c>
    </row>
    <row r="876" spans="1:18" s="888" customFormat="1" hidden="1">
      <c r="A876" s="885" t="s">
        <v>189</v>
      </c>
      <c r="B876" s="885"/>
      <c r="C876" s="889">
        <v>51503</v>
      </c>
      <c r="D876" s="889" t="s">
        <v>839</v>
      </c>
      <c r="E876" s="886" t="s">
        <v>6</v>
      </c>
      <c r="F876" s="886" t="s">
        <v>270</v>
      </c>
      <c r="G876" s="47">
        <f>IF(F876="I",IFERROR(VLOOKUP(C876,'BG 062022'!A:C,3,FALSE),0),0)</f>
        <v>0</v>
      </c>
      <c r="H876" s="885"/>
      <c r="I876" s="63">
        <f>IF(F876="I",IFERROR(VLOOKUP(C876,'BG 062022'!A:D,4,FALSE),0),0)</f>
        <v>0</v>
      </c>
      <c r="J876" s="887"/>
      <c r="K876" s="47">
        <f>IF(F876="I",SUMIF('BG 2021'!B:B,Clasificaciones!C876,'BG 2021'!D:D),0)</f>
        <v>0</v>
      </c>
      <c r="L876" s="887"/>
      <c r="M876" s="63">
        <f>IF(F876="I",SUMIF('BG 2021'!B:B,Clasificaciones!C876,'BG 2021'!E:E),0)</f>
        <v>0</v>
      </c>
      <c r="N876" s="887"/>
      <c r="O876" s="47">
        <f>IF(F876="I",SUMIF('BG 062021'!A:A,Clasificaciones!C876,'BG 062021'!C:C),0)</f>
        <v>0</v>
      </c>
      <c r="P876" s="887"/>
      <c r="Q876" s="63">
        <f>IF(F876="I",SUMIF('BG 062021'!A:A,Clasificaciones!C876,'BG 062021'!D:D),0)</f>
        <v>0</v>
      </c>
    </row>
    <row r="877" spans="1:18" s="888" customFormat="1" hidden="1">
      <c r="A877" s="885" t="s">
        <v>189</v>
      </c>
      <c r="B877" s="885" t="s">
        <v>611</v>
      </c>
      <c r="C877" s="889">
        <v>5150301</v>
      </c>
      <c r="D877" s="889" t="s">
        <v>840</v>
      </c>
      <c r="E877" s="886" t="s">
        <v>6</v>
      </c>
      <c r="F877" s="886" t="s">
        <v>271</v>
      </c>
      <c r="G877" s="47">
        <f>IF(F877="I",IFERROR(VLOOKUP(C877,'BG 062022'!A:C,3,FALSE),0),0)</f>
        <v>14367279</v>
      </c>
      <c r="H877" s="885"/>
      <c r="I877" s="63">
        <f>IF(F877="I",IFERROR(VLOOKUP(C877,'BG 062022'!A:D,4,FALSE),0),0)</f>
        <v>2081.87</v>
      </c>
      <c r="J877" s="887"/>
      <c r="K877" s="47">
        <f>IF(F877="I",SUMIF('BG 2021'!B:B,Clasificaciones!C877,'BG 2021'!D:D),0)</f>
        <v>62352222</v>
      </c>
      <c r="L877" s="887"/>
      <c r="M877" s="63">
        <f>IF(F877="I",SUMIF('BG 2021'!B:B,Clasificaciones!C877,'BG 2021'!E:E),0)</f>
        <v>9261.6999999999989</v>
      </c>
      <c r="N877" s="887"/>
      <c r="O877" s="47">
        <f>IF(F877="I",SUMIF('BG 062021'!A:A,Clasificaciones!C877,'BG 062021'!C:C),0)</f>
        <v>25524855</v>
      </c>
      <c r="P877" s="887"/>
      <c r="Q877" s="63">
        <f>IF(F877="I",SUMIF('BG 062021'!A:A,Clasificaciones!C877,'BG 062021'!D:D),0)</f>
        <v>3882.79</v>
      </c>
      <c r="R877" s="888">
        <f>+VLOOKUP(C877,'CA EFE'!A:A,1,FALSE)</f>
        <v>5150301</v>
      </c>
    </row>
    <row r="878" spans="1:18" s="888" customFormat="1" hidden="1">
      <c r="A878" s="885" t="s">
        <v>189</v>
      </c>
      <c r="B878" s="885" t="s">
        <v>611</v>
      </c>
      <c r="C878" s="889">
        <v>5150302</v>
      </c>
      <c r="D878" s="889" t="s">
        <v>1415</v>
      </c>
      <c r="E878" s="886" t="s">
        <v>186</v>
      </c>
      <c r="F878" s="886" t="s">
        <v>271</v>
      </c>
      <c r="G878" s="47">
        <f>IF(F878="I",IFERROR(VLOOKUP(C878,'BG 062022'!A:C,3,FALSE),0),0)</f>
        <v>578358</v>
      </c>
      <c r="H878" s="885"/>
      <c r="I878" s="63">
        <f>IF(F878="I",IFERROR(VLOOKUP(C878,'BG 062022'!A:D,4,FALSE),0),0)</f>
        <v>84.49</v>
      </c>
      <c r="J878" s="887"/>
      <c r="K878" s="47">
        <f>IF(F878="I",SUMIF('BG 2021'!B:B,Clasificaciones!C878,'BG 2021'!D:D),0)</f>
        <v>1999270</v>
      </c>
      <c r="L878" s="887"/>
      <c r="M878" s="63">
        <f>IF(F878="I",SUMIF('BG 2021'!B:B,Clasificaciones!C878,'BG 2021'!E:E),0)</f>
        <v>288.85000000000002</v>
      </c>
      <c r="N878" s="887"/>
      <c r="O878" s="47">
        <f>IF(F878="I",SUMIF('BG 062021'!A:A,Clasificaciones!C878,'BG 062021'!C:C),0)</f>
        <v>0</v>
      </c>
      <c r="P878" s="887"/>
      <c r="Q878" s="63">
        <f>IF(F878="I",SUMIF('BG 062021'!A:A,Clasificaciones!C878,'BG 062021'!D:D),0)</f>
        <v>0</v>
      </c>
      <c r="R878" s="888">
        <f>+VLOOKUP(C878,'CA EFE'!A:A,1,FALSE)</f>
        <v>5150302</v>
      </c>
    </row>
    <row r="879" spans="1:18" s="888" customFormat="1" hidden="1">
      <c r="A879" s="885" t="s">
        <v>189</v>
      </c>
      <c r="B879" s="885" t="s">
        <v>611</v>
      </c>
      <c r="C879" s="889">
        <v>51504</v>
      </c>
      <c r="D879" s="889" t="s">
        <v>841</v>
      </c>
      <c r="E879" s="886" t="s">
        <v>6</v>
      </c>
      <c r="F879" s="886" t="s">
        <v>271</v>
      </c>
      <c r="G879" s="47">
        <f>IF(F879="I",IFERROR(VLOOKUP(C879,'BG 062022'!A:C,3,FALSE),0),0)</f>
        <v>181590510</v>
      </c>
      <c r="H879" s="885"/>
      <c r="I879" s="63">
        <f>IF(F879="I",IFERROR(VLOOKUP(C879,'BG 062022'!A:D,4,FALSE),0),0)</f>
        <v>26200.78</v>
      </c>
      <c r="J879" s="887"/>
      <c r="K879" s="47">
        <f>IF(F879="I",SUMIF('BG 2021'!B:B,Clasificaciones!C879,'BG 2021'!D:D),0)</f>
        <v>394303928</v>
      </c>
      <c r="L879" s="887"/>
      <c r="M879" s="63">
        <f>IF(F879="I",SUMIF('BG 2021'!B:B,Clasificaciones!C879,'BG 2021'!E:E),0)</f>
        <v>58441.31</v>
      </c>
      <c r="N879" s="887"/>
      <c r="O879" s="47">
        <f>IF(F879="I",SUMIF('BG 062021'!A:A,Clasificaciones!C879,'BG 062021'!C:C),0)</f>
        <v>216528286</v>
      </c>
      <c r="P879" s="887"/>
      <c r="Q879" s="63">
        <f>IF(F879="I",SUMIF('BG 062021'!A:A,Clasificaciones!C879,'BG 062021'!D:D),0)</f>
        <v>32609.63</v>
      </c>
      <c r="R879" s="888">
        <f>+VLOOKUP(C879,'CA EFE'!A:A,1,FALSE)</f>
        <v>51504</v>
      </c>
    </row>
    <row r="880" spans="1:18" s="888" customFormat="1" hidden="1">
      <c r="A880" s="885" t="s">
        <v>189</v>
      </c>
      <c r="B880" s="885" t="s">
        <v>120</v>
      </c>
      <c r="C880" s="889">
        <v>51505</v>
      </c>
      <c r="D880" s="889" t="s">
        <v>1113</v>
      </c>
      <c r="E880" s="886" t="s">
        <v>6</v>
      </c>
      <c r="F880" s="886" t="s">
        <v>271</v>
      </c>
      <c r="G880" s="47">
        <f>IF(F880="I",IFERROR(VLOOKUP(C880,'BG 062022'!A:C,3,FALSE),0),0)</f>
        <v>270717</v>
      </c>
      <c r="H880" s="885"/>
      <c r="I880" s="63">
        <f>IF(F880="I",IFERROR(VLOOKUP(C880,'BG 062022'!A:D,4,FALSE),0),0)</f>
        <v>39.369999999999997</v>
      </c>
      <c r="J880" s="887"/>
      <c r="K880" s="47">
        <f>IF(F880="I",SUMIF('BG 2021'!B:B,Clasificaciones!C880,'BG 2021'!D:D),0)</f>
        <v>5282911</v>
      </c>
      <c r="L880" s="887"/>
      <c r="M880" s="63">
        <f>IF(F880="I",SUMIF('BG 2021'!B:B,Clasificaciones!C880,'BG 2021'!E:E),0)</f>
        <v>780.04</v>
      </c>
      <c r="N880" s="887"/>
      <c r="O880" s="47">
        <f>IF(F880="I",SUMIF('BG 062021'!A:A,Clasificaciones!C880,'BG 062021'!C:C),0)</f>
        <v>2695600</v>
      </c>
      <c r="P880" s="887"/>
      <c r="Q880" s="63">
        <f>IF(F880="I",SUMIF('BG 062021'!A:A,Clasificaciones!C880,'BG 062021'!D:D),0)</f>
        <v>403.2</v>
      </c>
      <c r="R880" s="888">
        <f>+VLOOKUP(C880,'CA EFE'!A:A,1,FALSE)</f>
        <v>51505</v>
      </c>
    </row>
    <row r="881" spans="1:18" s="888" customFormat="1" hidden="1">
      <c r="A881" s="885" t="s">
        <v>189</v>
      </c>
      <c r="B881" s="885"/>
      <c r="C881" s="889">
        <v>52</v>
      </c>
      <c r="D881" s="889" t="s">
        <v>239</v>
      </c>
      <c r="E881" s="886" t="s">
        <v>6</v>
      </c>
      <c r="F881" s="886" t="s">
        <v>270</v>
      </c>
      <c r="G881" s="47">
        <f>IF(F881="I",IFERROR(VLOOKUP(C881,'BG 062022'!A:C,3,FALSE),0),0)</f>
        <v>0</v>
      </c>
      <c r="H881" s="885"/>
      <c r="I881" s="63">
        <f>IF(F881="I",IFERROR(VLOOKUP(C881,'BG 062022'!A:D,4,FALSE),0),0)</f>
        <v>0</v>
      </c>
      <c r="J881" s="887"/>
      <c r="K881" s="47">
        <f>IF(F881="I",SUMIF('BG 2021'!B:B,Clasificaciones!C881,'BG 2021'!D:D),0)</f>
        <v>0</v>
      </c>
      <c r="L881" s="887"/>
      <c r="M881" s="63">
        <f>IF(F881="I",SUMIF('BG 2021'!B:B,Clasificaciones!C881,'BG 2021'!E:E),0)</f>
        <v>0</v>
      </c>
      <c r="N881" s="887"/>
      <c r="O881" s="47">
        <f>IF(F881="I",SUMIF('BG 062021'!A:A,Clasificaciones!C881,'BG 062021'!C:C),0)</f>
        <v>0</v>
      </c>
      <c r="P881" s="887"/>
      <c r="Q881" s="63">
        <f>IF(F881="I",SUMIF('BG 062021'!A:A,Clasificaciones!C881,'BG 062021'!D:D),0)</f>
        <v>0</v>
      </c>
    </row>
    <row r="882" spans="1:18" s="888" customFormat="1" hidden="1">
      <c r="A882" s="885" t="s">
        <v>189</v>
      </c>
      <c r="B882" s="885"/>
      <c r="C882" s="889">
        <v>5201</v>
      </c>
      <c r="D882" s="889" t="s">
        <v>1114</v>
      </c>
      <c r="E882" s="886" t="s">
        <v>6</v>
      </c>
      <c r="F882" s="886" t="s">
        <v>271</v>
      </c>
      <c r="G882" s="47">
        <f>IF(F882="I",IFERROR(VLOOKUP(C882,'BG 062022'!A:C,3,FALSE),0),0)</f>
        <v>0</v>
      </c>
      <c r="H882" s="885"/>
      <c r="I882" s="63">
        <f>IF(F882="I",IFERROR(VLOOKUP(C882,'BG 062022'!A:D,4,FALSE),0),0)</f>
        <v>0</v>
      </c>
      <c r="J882" s="887"/>
      <c r="K882" s="47">
        <f>IF(F882="I",SUMIF('BG 2021'!B:B,Clasificaciones!C882,'BG 2021'!D:D),0)</f>
        <v>0</v>
      </c>
      <c r="L882" s="887"/>
      <c r="M882" s="63">
        <f>IF(F882="I",SUMIF('BG 2021'!B:B,Clasificaciones!C882,'BG 2021'!E:E),0)</f>
        <v>0</v>
      </c>
      <c r="N882" s="887"/>
      <c r="O882" s="47">
        <f>IF(F882="I",SUMIF('BG 062021'!A:A,Clasificaciones!C882,'BG 062021'!C:C),0)</f>
        <v>0</v>
      </c>
      <c r="P882" s="887"/>
      <c r="Q882" s="63">
        <f>IF(F882="I",SUMIF('BG 062021'!A:A,Clasificaciones!C882,'BG 062021'!D:D),0)</f>
        <v>0</v>
      </c>
    </row>
    <row r="883" spans="1:18" s="888" customFormat="1" hidden="1">
      <c r="A883" s="885" t="s">
        <v>189</v>
      </c>
      <c r="B883" s="885"/>
      <c r="C883" s="889">
        <v>5202</v>
      </c>
      <c r="D883" s="889" t="s">
        <v>1115</v>
      </c>
      <c r="E883" s="886" t="s">
        <v>6</v>
      </c>
      <c r="F883" s="886" t="s">
        <v>271</v>
      </c>
      <c r="G883" s="47">
        <f>IF(F883="I",IFERROR(VLOOKUP(C883,'BG 062022'!A:C,3,FALSE),0),0)</f>
        <v>0</v>
      </c>
      <c r="H883" s="885"/>
      <c r="I883" s="63">
        <f>IF(F883="I",IFERROR(VLOOKUP(C883,'BG 062022'!A:D,4,FALSE),0),0)</f>
        <v>0</v>
      </c>
      <c r="J883" s="887"/>
      <c r="K883" s="47">
        <f>IF(F883="I",SUMIF('BG 2021'!B:B,Clasificaciones!C883,'BG 2021'!D:D),0)</f>
        <v>0</v>
      </c>
      <c r="L883" s="887"/>
      <c r="M883" s="63">
        <f>IF(F883="I",SUMIF('BG 2021'!B:B,Clasificaciones!C883,'BG 2021'!E:E),0)</f>
        <v>0</v>
      </c>
      <c r="N883" s="887"/>
      <c r="O883" s="47">
        <f>IF(F883="I",SUMIF('BG 062021'!A:A,Clasificaciones!C883,'BG 062021'!C:C),0)</f>
        <v>0</v>
      </c>
      <c r="P883" s="887"/>
      <c r="Q883" s="63">
        <f>IF(F883="I",SUMIF('BG 062021'!A:A,Clasificaciones!C883,'BG 062021'!D:D),0)</f>
        <v>0</v>
      </c>
    </row>
    <row r="884" spans="1:18" s="888" customFormat="1" hidden="1">
      <c r="A884" s="885" t="s">
        <v>189</v>
      </c>
      <c r="B884" s="885"/>
      <c r="C884" s="889">
        <v>5203</v>
      </c>
      <c r="D884" s="889" t="s">
        <v>998</v>
      </c>
      <c r="E884" s="886" t="s">
        <v>6</v>
      </c>
      <c r="F884" s="886" t="s">
        <v>271</v>
      </c>
      <c r="G884" s="47">
        <f>IF(F884="I",IFERROR(VLOOKUP(C884,'BG 062022'!A:C,3,FALSE),0),0)</f>
        <v>0</v>
      </c>
      <c r="H884" s="885"/>
      <c r="I884" s="63">
        <f>IF(F884="I",IFERROR(VLOOKUP(C884,'BG 062022'!A:D,4,FALSE),0),0)</f>
        <v>0</v>
      </c>
      <c r="J884" s="887"/>
      <c r="K884" s="47">
        <f>IF(F884="I",SUMIF('BG 2021'!B:B,Clasificaciones!C884,'BG 2021'!D:D),0)</f>
        <v>0</v>
      </c>
      <c r="L884" s="887"/>
      <c r="M884" s="63">
        <f>IF(F884="I",SUMIF('BG 2021'!B:B,Clasificaciones!C884,'BG 2021'!E:E),0)</f>
        <v>0</v>
      </c>
      <c r="N884" s="887"/>
      <c r="O884" s="47">
        <f>IF(F884="I",SUMIF('BG 062021'!A:A,Clasificaciones!C884,'BG 062021'!C:C),0)</f>
        <v>0</v>
      </c>
      <c r="P884" s="887"/>
      <c r="Q884" s="63">
        <f>IF(F884="I",SUMIF('BG 062021'!A:A,Clasificaciones!C884,'BG 062021'!D:D),0)</f>
        <v>0</v>
      </c>
    </row>
    <row r="885" spans="1:18" s="888" customFormat="1" hidden="1">
      <c r="A885" s="885" t="s">
        <v>189</v>
      </c>
      <c r="B885" s="885" t="s">
        <v>193</v>
      </c>
      <c r="C885" s="889">
        <v>5204</v>
      </c>
      <c r="D885" s="889" t="s">
        <v>842</v>
      </c>
      <c r="E885" s="886" t="s">
        <v>6</v>
      </c>
      <c r="F885" s="886" t="s">
        <v>271</v>
      </c>
      <c r="G885" s="47">
        <f>IF(F885="I",IFERROR(VLOOKUP(C885,'BG 062022'!A:C,3,FALSE),0),0)</f>
        <v>10145</v>
      </c>
      <c r="H885" s="885"/>
      <c r="I885" s="63">
        <f>IF(F885="I",IFERROR(VLOOKUP(C885,'BG 062022'!A:D,4,FALSE),0),0)</f>
        <v>11.56</v>
      </c>
      <c r="J885" s="887"/>
      <c r="K885" s="47">
        <f>IF(F885="I",SUMIF('BG 2021'!B:B,Clasificaciones!C885,'BG 2021'!D:D),0)</f>
        <v>12107</v>
      </c>
      <c r="L885" s="887"/>
      <c r="M885" s="63">
        <f>IF(F885="I",SUMIF('BG 2021'!B:B,Clasificaciones!C885,'BG 2021'!E:E),0)</f>
        <v>2.3600000000000003</v>
      </c>
      <c r="N885" s="887"/>
      <c r="O885" s="47">
        <f>IF(F885="I",SUMIF('BG 062021'!A:A,Clasificaciones!C885,'BG 062021'!C:C),0)</f>
        <v>5798</v>
      </c>
      <c r="P885" s="887"/>
      <c r="Q885" s="63">
        <f>IF(F885="I",SUMIF('BG 062021'!A:A,Clasificaciones!C885,'BG 062021'!D:D),0)</f>
        <v>1.41</v>
      </c>
      <c r="R885" s="888">
        <f>+VLOOKUP(C885,'CA EFE'!A:A,1,FALSE)</f>
        <v>5204</v>
      </c>
    </row>
    <row r="886" spans="1:18" s="888" customFormat="1" hidden="1">
      <c r="A886" s="885" t="s">
        <v>189</v>
      </c>
      <c r="B886" s="885"/>
      <c r="C886" s="889">
        <v>5205</v>
      </c>
      <c r="D886" s="889" t="s">
        <v>1116</v>
      </c>
      <c r="E886" s="886" t="s">
        <v>6</v>
      </c>
      <c r="F886" s="886" t="s">
        <v>271</v>
      </c>
      <c r="G886" s="47">
        <f>IF(F886="I",IFERROR(VLOOKUP(C886,'BG 062022'!A:C,3,FALSE),0),0)</f>
        <v>0</v>
      </c>
      <c r="H886" s="885"/>
      <c r="I886" s="63">
        <f>IF(F886="I",IFERROR(VLOOKUP(C886,'BG 062022'!A:D,4,FALSE),0),0)</f>
        <v>0</v>
      </c>
      <c r="J886" s="887"/>
      <c r="K886" s="47">
        <f>IF(F886="I",SUMIF('BG 2021'!B:B,Clasificaciones!C886,'BG 2021'!D:D),0)</f>
        <v>0</v>
      </c>
      <c r="L886" s="887"/>
      <c r="M886" s="63">
        <f>IF(F886="I",SUMIF('BG 2021'!B:B,Clasificaciones!C886,'BG 2021'!E:E),0)</f>
        <v>0</v>
      </c>
      <c r="N886" s="887"/>
      <c r="O886" s="47">
        <f>IF(F886="I",SUMIF('BG 062021'!A:A,Clasificaciones!C886,'BG 062021'!C:C),0)</f>
        <v>0</v>
      </c>
      <c r="P886" s="887"/>
      <c r="Q886" s="63">
        <f>IF(F886="I",SUMIF('BG 062021'!A:A,Clasificaciones!C886,'BG 062021'!D:D),0)</f>
        <v>0</v>
      </c>
    </row>
    <row r="887" spans="1:18" s="888" customFormat="1" hidden="1">
      <c r="A887" s="885" t="s">
        <v>189</v>
      </c>
      <c r="B887" s="885"/>
      <c r="C887" s="889">
        <v>5206</v>
      </c>
      <c r="D887" s="889" t="s">
        <v>1117</v>
      </c>
      <c r="E887" s="886" t="s">
        <v>6</v>
      </c>
      <c r="F887" s="886" t="s">
        <v>271</v>
      </c>
      <c r="G887" s="47">
        <f>IF(F887="I",IFERROR(VLOOKUP(C887,'BG 062022'!A:C,3,FALSE),0),0)</f>
        <v>0</v>
      </c>
      <c r="H887" s="885"/>
      <c r="I887" s="63">
        <f>IF(F887="I",IFERROR(VLOOKUP(C887,'BG 062022'!A:D,4,FALSE),0),0)</f>
        <v>0</v>
      </c>
      <c r="J887" s="887"/>
      <c r="K887" s="47">
        <f>IF(F887="I",SUMIF('BG 2021'!B:B,Clasificaciones!C887,'BG 2021'!D:D),0)</f>
        <v>0</v>
      </c>
      <c r="L887" s="887"/>
      <c r="M887" s="63">
        <f>IF(F887="I",SUMIF('BG 2021'!B:B,Clasificaciones!C887,'BG 2021'!E:E),0)</f>
        <v>0</v>
      </c>
      <c r="N887" s="887"/>
      <c r="O887" s="47">
        <f>IF(F887="I",SUMIF('BG 062021'!A:A,Clasificaciones!C887,'BG 062021'!C:C),0)</f>
        <v>0</v>
      </c>
      <c r="P887" s="887"/>
      <c r="Q887" s="63">
        <f>IF(F887="I",SUMIF('BG 062021'!A:A,Clasificaciones!C887,'BG 062021'!D:D),0)</f>
        <v>0</v>
      </c>
    </row>
    <row r="888" spans="1:18" s="888" customFormat="1" hidden="1">
      <c r="A888" s="885" t="s">
        <v>189</v>
      </c>
      <c r="B888" s="885"/>
      <c r="C888" s="889">
        <v>5207</v>
      </c>
      <c r="D888" s="889" t="s">
        <v>1118</v>
      </c>
      <c r="E888" s="886" t="s">
        <v>6</v>
      </c>
      <c r="F888" s="886" t="s">
        <v>271</v>
      </c>
      <c r="G888" s="47">
        <f>IF(F888="I",IFERROR(VLOOKUP(C888,'BG 062022'!A:C,3,FALSE),0),0)</f>
        <v>0</v>
      </c>
      <c r="H888" s="885"/>
      <c r="I888" s="63">
        <f>IF(F888="I",IFERROR(VLOOKUP(C888,'BG 062022'!A:D,4,FALSE),0),0)</f>
        <v>0</v>
      </c>
      <c r="J888" s="887"/>
      <c r="K888" s="47">
        <f>IF(F888="I",SUMIF('BG 2021'!B:B,Clasificaciones!C888,'BG 2021'!D:D),0)</f>
        <v>0</v>
      </c>
      <c r="L888" s="887"/>
      <c r="M888" s="63">
        <f>IF(F888="I",SUMIF('BG 2021'!B:B,Clasificaciones!C888,'BG 2021'!E:E),0)</f>
        <v>0</v>
      </c>
      <c r="N888" s="887"/>
      <c r="O888" s="47">
        <f>IF(F888="I",SUMIF('BG 062021'!A:A,Clasificaciones!C888,'BG 062021'!C:C),0)</f>
        <v>0</v>
      </c>
      <c r="P888" s="887"/>
      <c r="Q888" s="63">
        <f>IF(F888="I",SUMIF('BG 062021'!A:A,Clasificaciones!C888,'BG 062021'!D:D),0)</f>
        <v>0</v>
      </c>
    </row>
    <row r="889" spans="1:18" s="888" customFormat="1" hidden="1">
      <c r="A889" s="885" t="s">
        <v>21</v>
      </c>
      <c r="B889" s="885"/>
      <c r="C889" s="889">
        <v>6</v>
      </c>
      <c r="D889" s="889" t="s">
        <v>244</v>
      </c>
      <c r="E889" s="886" t="s">
        <v>6</v>
      </c>
      <c r="F889" s="886" t="s">
        <v>270</v>
      </c>
      <c r="G889" s="47">
        <f>IF(F889="I",IFERROR(VLOOKUP(C889,'BG 062022'!A:C,3,FALSE),0),0)</f>
        <v>0</v>
      </c>
      <c r="H889" s="885"/>
      <c r="I889" s="63">
        <f>IF(F889="I",IFERROR(VLOOKUP(C889,'BG 062022'!A:D,4,FALSE),0),0)</f>
        <v>0</v>
      </c>
      <c r="J889" s="887"/>
      <c r="K889" s="47">
        <f>IF(F889="I",SUMIF('BG 2021'!B:B,Clasificaciones!C889,'BG 2021'!D:D),0)</f>
        <v>0</v>
      </c>
      <c r="L889" s="887"/>
      <c r="M889" s="63">
        <f>IF(F889="I",SUMIF('BG 2021'!B:B,Clasificaciones!C889,'BG 2021'!E:E),0)</f>
        <v>0</v>
      </c>
      <c r="N889" s="887"/>
      <c r="O889" s="47">
        <f>IF(F889="I",SUMIF('BG 062021'!A:A,Clasificaciones!C889,'BG 062021'!C:C),0)</f>
        <v>0</v>
      </c>
      <c r="P889" s="887"/>
      <c r="Q889" s="63">
        <f>IF(F889="I",SUMIF('BG 062021'!A:A,Clasificaciones!C889,'BG 062021'!D:D),0)</f>
        <v>0</v>
      </c>
    </row>
    <row r="890" spans="1:18" s="888" customFormat="1" hidden="1">
      <c r="A890" s="885" t="s">
        <v>21</v>
      </c>
      <c r="B890" s="885"/>
      <c r="C890" s="889">
        <v>611</v>
      </c>
      <c r="D890" s="889" t="s">
        <v>1119</v>
      </c>
      <c r="E890" s="886" t="s">
        <v>6</v>
      </c>
      <c r="F890" s="886" t="s">
        <v>271</v>
      </c>
      <c r="G890" s="47">
        <f>IF(F890="I",IFERROR(VLOOKUP(C890,'BG 062022'!A:C,3,FALSE),0),0)</f>
        <v>0</v>
      </c>
      <c r="H890" s="885"/>
      <c r="I890" s="63">
        <f>IF(F890="I",IFERROR(VLOOKUP(C890,'BG 062022'!A:D,4,FALSE),0),0)</f>
        <v>0</v>
      </c>
      <c r="J890" s="887"/>
      <c r="K890" s="47">
        <f>IF(F890="I",SUMIF('BG 2021'!B:B,Clasificaciones!C890,'BG 2021'!D:D),0)</f>
        <v>0</v>
      </c>
      <c r="L890" s="887"/>
      <c r="M890" s="63">
        <f>IF(F890="I",SUMIF('BG 2021'!B:B,Clasificaciones!C890,'BG 2021'!E:E),0)</f>
        <v>0</v>
      </c>
      <c r="N890" s="887"/>
      <c r="O890" s="47">
        <f>IF(F890="I",SUMIF('BG 062021'!A:A,Clasificaciones!C890,'BG 062021'!C:C),0)</f>
        <v>0</v>
      </c>
      <c r="P890" s="887"/>
      <c r="Q890" s="63">
        <f>IF(F890="I",SUMIF('BG 062021'!A:A,Clasificaciones!C890,'BG 062021'!D:D),0)</f>
        <v>0</v>
      </c>
    </row>
    <row r="891" spans="1:18" s="888" customFormat="1" hidden="1">
      <c r="A891" s="885" t="s">
        <v>21</v>
      </c>
      <c r="B891" s="885" t="s">
        <v>103</v>
      </c>
      <c r="C891" s="889">
        <v>621</v>
      </c>
      <c r="D891" s="889" t="s">
        <v>473</v>
      </c>
      <c r="E891" s="886" t="s">
        <v>6</v>
      </c>
      <c r="F891" s="886" t="s">
        <v>271</v>
      </c>
      <c r="G891" s="47">
        <f>IF(F891="I",IFERROR(VLOOKUP(C891,'BG 062022'!A:C,3,FALSE),0),0)</f>
        <v>0</v>
      </c>
      <c r="H891" s="885"/>
      <c r="I891" s="63">
        <f>IF(F891="I",IFERROR(VLOOKUP(C891,'BG 062022'!A:D,4,FALSE),0),0)</f>
        <v>0</v>
      </c>
      <c r="J891" s="887"/>
      <c r="K891" s="47">
        <f>IF(F891="I",SUMIF('BG 2021'!B:B,Clasificaciones!C891,'BG 2021'!D:D),0)</f>
        <v>0</v>
      </c>
      <c r="L891" s="887"/>
      <c r="M891" s="63">
        <f>IF(F891="I",SUMIF('BG 2021'!B:B,Clasificaciones!C891,'BG 2021'!E:E),0)</f>
        <v>0</v>
      </c>
      <c r="N891" s="887"/>
      <c r="O891" s="47">
        <f>IF(F891="I",SUMIF('BG 062021'!A:A,Clasificaciones!C891,'BG 062021'!C:C),0)</f>
        <v>0</v>
      </c>
      <c r="P891" s="887"/>
      <c r="Q891" s="63">
        <f>IF(F891="I",SUMIF('BG 062021'!A:A,Clasificaciones!C891,'BG 062021'!D:D),0)</f>
        <v>0</v>
      </c>
    </row>
    <row r="892" spans="1:18" s="888" customFormat="1" hidden="1">
      <c r="A892" s="885" t="s">
        <v>21</v>
      </c>
      <c r="B892" s="885" t="s">
        <v>103</v>
      </c>
      <c r="C892" s="889">
        <v>622</v>
      </c>
      <c r="D892" s="889" t="s">
        <v>1120</v>
      </c>
      <c r="E892" s="886" t="s">
        <v>186</v>
      </c>
      <c r="F892" s="886" t="s">
        <v>271</v>
      </c>
      <c r="G892" s="47">
        <f>IF(F892="I",IFERROR(VLOOKUP(C892,'BG 062022'!A:C,3,FALSE),0),0)</f>
        <v>0</v>
      </c>
      <c r="H892" s="885"/>
      <c r="I892" s="63">
        <f>IF(F892="I",IFERROR(VLOOKUP(C892,'BG 062022'!A:D,4,FALSE),0),0)</f>
        <v>0</v>
      </c>
      <c r="J892" s="887"/>
      <c r="K892" s="47">
        <f>IF(F892="I",SUMIF('BG 2021'!B:B,Clasificaciones!C892,'BG 2021'!D:D),0)</f>
        <v>0</v>
      </c>
      <c r="L892" s="887"/>
      <c r="M892" s="63">
        <f>IF(F892="I",SUMIF('BG 2021'!B:B,Clasificaciones!C892,'BG 2021'!E:E),0)</f>
        <v>0</v>
      </c>
      <c r="N892" s="887"/>
      <c r="O892" s="47">
        <f>IF(F892="I",SUMIF('BG 062021'!A:A,Clasificaciones!C892,'BG 062021'!C:C),0)</f>
        <v>0</v>
      </c>
      <c r="P892" s="887"/>
      <c r="Q892" s="63">
        <f>IF(F892="I",SUMIF('BG 062021'!A:A,Clasificaciones!C892,'BG 062021'!D:D),0)</f>
        <v>0</v>
      </c>
    </row>
    <row r="893" spans="1:18" s="888" customFormat="1" hidden="1">
      <c r="A893" s="885" t="s">
        <v>21</v>
      </c>
      <c r="B893" s="885"/>
      <c r="C893" s="889">
        <v>631</v>
      </c>
      <c r="D893" s="889" t="s">
        <v>1121</v>
      </c>
      <c r="E893" s="886" t="s">
        <v>6</v>
      </c>
      <c r="F893" s="886" t="s">
        <v>271</v>
      </c>
      <c r="G893" s="47">
        <f>IF(F893="I",IFERROR(VLOOKUP(C893,'BG 062022'!A:C,3,FALSE),0),0)</f>
        <v>0</v>
      </c>
      <c r="H893" s="885"/>
      <c r="I893" s="63">
        <f>IF(F893="I",IFERROR(VLOOKUP(C893,'BG 062022'!A:D,4,FALSE),0),0)</f>
        <v>0</v>
      </c>
      <c r="J893" s="887"/>
      <c r="K893" s="47">
        <f>IF(F893="I",SUMIF('BG 2021'!B:B,Clasificaciones!C893,'BG 2021'!D:D),0)</f>
        <v>0</v>
      </c>
      <c r="L893" s="887"/>
      <c r="M893" s="63">
        <f>IF(F893="I",SUMIF('BG 2021'!B:B,Clasificaciones!C893,'BG 2021'!E:E),0)</f>
        <v>0</v>
      </c>
      <c r="N893" s="887"/>
      <c r="O893" s="47">
        <f>IF(F893="I",SUMIF('BG 062021'!A:A,Clasificaciones!C893,'BG 062021'!C:C),0)</f>
        <v>0</v>
      </c>
      <c r="P893" s="887"/>
      <c r="Q893" s="63">
        <f>IF(F893="I",SUMIF('BG 062021'!A:A,Clasificaciones!C893,'BG 062021'!D:D),0)</f>
        <v>0</v>
      </c>
    </row>
    <row r="894" spans="1:18" s="888" customFormat="1" hidden="1">
      <c r="A894" s="885" t="s">
        <v>21</v>
      </c>
      <c r="B894" s="885"/>
      <c r="C894" s="889">
        <v>641</v>
      </c>
      <c r="D894" s="889" t="s">
        <v>1122</v>
      </c>
      <c r="E894" s="886" t="s">
        <v>6</v>
      </c>
      <c r="F894" s="886" t="s">
        <v>271</v>
      </c>
      <c r="G894" s="47">
        <f>IF(F894="I",IFERROR(VLOOKUP(C894,'BG 062022'!A:C,3,FALSE),0),0)</f>
        <v>0</v>
      </c>
      <c r="H894" s="885"/>
      <c r="I894" s="63">
        <f>IF(F894="I",IFERROR(VLOOKUP(C894,'BG 062022'!A:D,4,FALSE),0),0)</f>
        <v>0</v>
      </c>
      <c r="J894" s="887"/>
      <c r="K894" s="47">
        <f>IF(F894="I",SUMIF('BG 2021'!B:B,Clasificaciones!C894,'BG 2021'!D:D),0)</f>
        <v>0</v>
      </c>
      <c r="L894" s="887"/>
      <c r="M894" s="63">
        <f>IF(F894="I",SUMIF('BG 2021'!B:B,Clasificaciones!C894,'BG 2021'!E:E),0)</f>
        <v>0</v>
      </c>
      <c r="N894" s="887"/>
      <c r="O894" s="47">
        <f>IF(F894="I",SUMIF('BG 062021'!A:A,Clasificaciones!C894,'BG 062021'!C:C),0)</f>
        <v>0</v>
      </c>
      <c r="P894" s="887"/>
      <c r="Q894" s="63">
        <f>IF(F894="I",SUMIF('BG 062021'!A:A,Clasificaciones!C894,'BG 062021'!D:D),0)</f>
        <v>0</v>
      </c>
    </row>
    <row r="895" spans="1:18" s="888" customFormat="1" hidden="1">
      <c r="A895" s="885" t="s">
        <v>21</v>
      </c>
      <c r="B895" s="885" t="s">
        <v>103</v>
      </c>
      <c r="C895" s="889">
        <v>651</v>
      </c>
      <c r="D895" s="889" t="s">
        <v>182</v>
      </c>
      <c r="E895" s="886" t="s">
        <v>6</v>
      </c>
      <c r="F895" s="886" t="s">
        <v>271</v>
      </c>
      <c r="G895" s="47">
        <f>IF(F895="I",IFERROR(VLOOKUP(C895,'BG 062022'!A:C,3,FALSE),0),0)</f>
        <v>497283364136</v>
      </c>
      <c r="H895" s="885"/>
      <c r="I895" s="63">
        <f>IF(F895="I",IFERROR(VLOOKUP(C895,'BG 062022'!A:D,4,FALSE),0),0)</f>
        <v>74048862.420000002</v>
      </c>
      <c r="J895" s="887"/>
      <c r="K895" s="47">
        <f>IF(F895="I",SUMIF('BG 2021'!B:B,Clasificaciones!C895,'BG 2021'!D:D),0)</f>
        <v>203997974082</v>
      </c>
      <c r="L895" s="887"/>
      <c r="M895" s="63">
        <f>IF(F895="I",SUMIF('BG 2021'!B:B,Clasificaciones!C895,'BG 2021'!E:E),0)</f>
        <v>29607643.579999998</v>
      </c>
      <c r="N895" s="887"/>
      <c r="O895" s="47">
        <f>IF(F895="I",SUMIF('BG 062021'!A:A,Clasificaciones!C895,'BG 062021'!C:C),0)</f>
        <v>0</v>
      </c>
      <c r="P895" s="887"/>
      <c r="Q895" s="63">
        <f>IF(F895="I",SUMIF('BG 062021'!A:A,Clasificaciones!C895,'BG 062021'!D:D),0)</f>
        <v>0</v>
      </c>
      <c r="R895" s="888" t="e">
        <f>+VLOOKUP(C895,'CA EFE'!A:A,1,FALSE)</f>
        <v>#N/A</v>
      </c>
    </row>
    <row r="896" spans="1:18" s="888" customFormat="1" hidden="1">
      <c r="A896" s="885" t="s">
        <v>21</v>
      </c>
      <c r="B896" s="885" t="s">
        <v>103</v>
      </c>
      <c r="C896" s="889">
        <v>661</v>
      </c>
      <c r="D896" s="889" t="s">
        <v>183</v>
      </c>
      <c r="E896" s="886" t="s">
        <v>6</v>
      </c>
      <c r="F896" s="886" t="s">
        <v>271</v>
      </c>
      <c r="G896" s="47">
        <f>IF(F896="I",IFERROR(VLOOKUP(C896,'BG 062022'!A:C,3,FALSE),0),0)</f>
        <v>0</v>
      </c>
      <c r="H896" s="885"/>
      <c r="I896" s="63">
        <f>IF(F896="I",IFERROR(VLOOKUP(C896,'BG 062022'!A:D,4,FALSE),0),0)</f>
        <v>0</v>
      </c>
      <c r="J896" s="887"/>
      <c r="K896" s="47">
        <f>IF(F896="I",SUMIF('BG 2021'!B:B,Clasificaciones!C896,'BG 2021'!D:D),0)</f>
        <v>0</v>
      </c>
      <c r="L896" s="887"/>
      <c r="M896" s="63">
        <f>IF(F896="I",SUMIF('BG 2021'!B:B,Clasificaciones!C896,'BG 2021'!E:E),0)</f>
        <v>0</v>
      </c>
      <c r="N896" s="887"/>
      <c r="O896" s="47">
        <f>IF(F896="I",SUMIF('BG 062021'!A:A,Clasificaciones!C896,'BG 062021'!C:C),0)</f>
        <v>0</v>
      </c>
      <c r="P896" s="887"/>
      <c r="Q896" s="63">
        <f>IF(F896="I",SUMIF('BG 062021'!A:A,Clasificaciones!C896,'BG 062021'!D:D),0)</f>
        <v>0</v>
      </c>
    </row>
    <row r="897" spans="1:18" s="888" customFormat="1" hidden="1">
      <c r="A897" s="885" t="s">
        <v>21</v>
      </c>
      <c r="B897" s="885"/>
      <c r="C897" s="889">
        <v>7</v>
      </c>
      <c r="D897" s="889" t="s">
        <v>245</v>
      </c>
      <c r="E897" s="886" t="s">
        <v>6</v>
      </c>
      <c r="F897" s="886" t="s">
        <v>270</v>
      </c>
      <c r="G897" s="47">
        <f>IF(F897="I",IFERROR(VLOOKUP(C897,'BG 062022'!A:C,3,FALSE),0),0)</f>
        <v>0</v>
      </c>
      <c r="H897" s="885"/>
      <c r="I897" s="63">
        <f>IF(F897="I",IFERROR(VLOOKUP(C897,'BG 062022'!A:D,4,FALSE),0),0)</f>
        <v>0</v>
      </c>
      <c r="J897" s="887"/>
      <c r="K897" s="47">
        <f>IF(F897="I",SUMIF('BG 2021'!B:B,Clasificaciones!C897,'BG 2021'!D:D),0)</f>
        <v>0</v>
      </c>
      <c r="L897" s="887"/>
      <c r="M897" s="63">
        <f>IF(F897="I",SUMIF('BG 2021'!B:B,Clasificaciones!C897,'BG 2021'!E:E),0)</f>
        <v>0</v>
      </c>
      <c r="N897" s="887"/>
      <c r="O897" s="47">
        <f>IF(F897="I",SUMIF('BG 062021'!A:A,Clasificaciones!C897,'BG 062021'!C:C),0)</f>
        <v>0</v>
      </c>
      <c r="P897" s="887"/>
      <c r="Q897" s="63">
        <f>IF(F897="I",SUMIF('BG 062021'!A:A,Clasificaciones!C897,'BG 062021'!D:D),0)</f>
        <v>0</v>
      </c>
    </row>
    <row r="898" spans="1:18" s="888" customFormat="1" hidden="1">
      <c r="A898" s="885" t="s">
        <v>21</v>
      </c>
      <c r="B898" s="885"/>
      <c r="C898" s="889">
        <v>711</v>
      </c>
      <c r="D898" s="889" t="s">
        <v>1123</v>
      </c>
      <c r="E898" s="886" t="s">
        <v>6</v>
      </c>
      <c r="F898" s="886" t="s">
        <v>271</v>
      </c>
      <c r="G898" s="47">
        <f>IF(F898="I",IFERROR(VLOOKUP(C898,'BG 062022'!A:C,3,FALSE),0),0)</f>
        <v>0</v>
      </c>
      <c r="H898" s="885"/>
      <c r="I898" s="63">
        <f>IF(F898="I",IFERROR(VLOOKUP(C898,'BG 062022'!A:D,4,FALSE),0),0)</f>
        <v>0</v>
      </c>
      <c r="J898" s="887"/>
      <c r="K898" s="47">
        <f>IF(F898="I",SUMIF('BG 2021'!B:B,Clasificaciones!C898,'BG 2021'!D:D),0)</f>
        <v>0</v>
      </c>
      <c r="L898" s="887"/>
      <c r="M898" s="63">
        <f>IF(F898="I",SUMIF('BG 2021'!B:B,Clasificaciones!C898,'BG 2021'!E:E),0)</f>
        <v>0</v>
      </c>
      <c r="N898" s="887"/>
      <c r="O898" s="47">
        <f>IF(F898="I",SUMIF('BG 062021'!A:A,Clasificaciones!C898,'BG 062021'!C:C),0)</f>
        <v>0</v>
      </c>
      <c r="P898" s="887"/>
      <c r="Q898" s="63">
        <f>IF(F898="I",SUMIF('BG 062021'!A:A,Clasificaciones!C898,'BG 062021'!D:D),0)</f>
        <v>0</v>
      </c>
    </row>
    <row r="899" spans="1:18" s="888" customFormat="1" hidden="1">
      <c r="A899" s="885" t="s">
        <v>21</v>
      </c>
      <c r="B899" s="885" t="s">
        <v>105</v>
      </c>
      <c r="C899" s="889">
        <v>721</v>
      </c>
      <c r="D899" s="889" t="s">
        <v>1124</v>
      </c>
      <c r="E899" s="886" t="s">
        <v>6</v>
      </c>
      <c r="F899" s="886" t="s">
        <v>271</v>
      </c>
      <c r="G899" s="47">
        <f>IF(F899="I",IFERROR(VLOOKUP(C899,'BG 062022'!A:C,3,FALSE),0),0)</f>
        <v>0</v>
      </c>
      <c r="H899" s="885"/>
      <c r="I899" s="63">
        <f>IF(F899="I",IFERROR(VLOOKUP(C899,'BG 062022'!A:D,4,FALSE),0),0)</f>
        <v>0</v>
      </c>
      <c r="J899" s="887"/>
      <c r="K899" s="47">
        <f>IF(F899="I",SUMIF('BG 2021'!B:B,Clasificaciones!C899,'BG 2021'!D:D),0)</f>
        <v>0</v>
      </c>
      <c r="L899" s="887"/>
      <c r="M899" s="63">
        <f>IF(F899="I",SUMIF('BG 2021'!B:B,Clasificaciones!C899,'BG 2021'!E:E),0)</f>
        <v>0</v>
      </c>
      <c r="N899" s="887"/>
      <c r="O899" s="47">
        <f>IF(F899="I",SUMIF('BG 062021'!A:A,Clasificaciones!C899,'BG 062021'!C:C),0)</f>
        <v>0</v>
      </c>
      <c r="P899" s="887"/>
      <c r="Q899" s="63">
        <f>IF(F899="I",SUMIF('BG 062021'!A:A,Clasificaciones!C899,'BG 062021'!D:D),0)</f>
        <v>0</v>
      </c>
    </row>
    <row r="900" spans="1:18" s="888" customFormat="1" hidden="1">
      <c r="A900" s="885" t="s">
        <v>21</v>
      </c>
      <c r="B900" s="885" t="s">
        <v>105</v>
      </c>
      <c r="C900" s="889">
        <v>722</v>
      </c>
      <c r="D900" s="889" t="s">
        <v>268</v>
      </c>
      <c r="E900" s="886" t="s">
        <v>6</v>
      </c>
      <c r="F900" s="886" t="s">
        <v>271</v>
      </c>
      <c r="G900" s="47">
        <f>IF(F900="I",IFERROR(VLOOKUP(C900,'BG 062022'!A:C,3,FALSE),0),0)</f>
        <v>0</v>
      </c>
      <c r="H900" s="885"/>
      <c r="I900" s="63">
        <f>IF(F900="I",IFERROR(VLOOKUP(C900,'BG 062022'!A:D,4,FALSE),0),0)</f>
        <v>0</v>
      </c>
      <c r="J900" s="887"/>
      <c r="K900" s="47">
        <f>IF(F900="I",SUMIF('BG 2021'!B:B,Clasificaciones!C900,'BG 2021'!D:D),0)</f>
        <v>0</v>
      </c>
      <c r="L900" s="887"/>
      <c r="M900" s="63">
        <f>IF(F900="I",SUMIF('BG 2021'!B:B,Clasificaciones!C900,'BG 2021'!E:E),0)</f>
        <v>0</v>
      </c>
      <c r="N900" s="887"/>
      <c r="O900" s="47">
        <f>IF(F900="I",SUMIF('BG 062021'!A:A,Clasificaciones!C900,'BG 062021'!C:C),0)</f>
        <v>0</v>
      </c>
      <c r="P900" s="887"/>
      <c r="Q900" s="63">
        <f>IF(F900="I",SUMIF('BG 062021'!A:A,Clasificaciones!C900,'BG 062021'!D:D),0)</f>
        <v>0</v>
      </c>
    </row>
    <row r="901" spans="1:18" s="888" customFormat="1" hidden="1">
      <c r="A901" s="885" t="s">
        <v>21</v>
      </c>
      <c r="B901" s="885"/>
      <c r="C901" s="889">
        <v>731</v>
      </c>
      <c r="D901" s="889" t="s">
        <v>1125</v>
      </c>
      <c r="E901" s="886" t="s">
        <v>6</v>
      </c>
      <c r="F901" s="886" t="s">
        <v>271</v>
      </c>
      <c r="G901" s="47">
        <f>IF(F901="I",IFERROR(VLOOKUP(C901,'BG 062022'!A:C,3,FALSE),0),0)</f>
        <v>0</v>
      </c>
      <c r="H901" s="885"/>
      <c r="I901" s="63">
        <f>IF(F901="I",IFERROR(VLOOKUP(C901,'BG 062022'!A:D,4,FALSE),0),0)</f>
        <v>0</v>
      </c>
      <c r="J901" s="887"/>
      <c r="K901" s="47">
        <f>IF(F901="I",SUMIF('BG 2021'!B:B,Clasificaciones!C901,'BG 2021'!D:D),0)</f>
        <v>0</v>
      </c>
      <c r="L901" s="887"/>
      <c r="M901" s="63">
        <f>IF(F901="I",SUMIF('BG 2021'!B:B,Clasificaciones!C901,'BG 2021'!E:E),0)</f>
        <v>0</v>
      </c>
      <c r="N901" s="887"/>
      <c r="O901" s="47">
        <f>IF(F901="I",SUMIF('BG 062021'!A:A,Clasificaciones!C901,'BG 062021'!C:C),0)</f>
        <v>0</v>
      </c>
      <c r="P901" s="887"/>
      <c r="Q901" s="63">
        <f>IF(F901="I",SUMIF('BG 062021'!A:A,Clasificaciones!C901,'BG 062021'!D:D),0)</f>
        <v>0</v>
      </c>
    </row>
    <row r="902" spans="1:18" s="888" customFormat="1" hidden="1">
      <c r="A902" s="885" t="s">
        <v>21</v>
      </c>
      <c r="B902" s="885"/>
      <c r="C902" s="889">
        <v>741</v>
      </c>
      <c r="D902" s="889" t="s">
        <v>1126</v>
      </c>
      <c r="E902" s="886" t="s">
        <v>6</v>
      </c>
      <c r="F902" s="886" t="s">
        <v>271</v>
      </c>
      <c r="G902" s="47">
        <f>IF(F902="I",IFERROR(VLOOKUP(C902,'BG 062022'!A:C,3,FALSE),0),0)</f>
        <v>0</v>
      </c>
      <c r="H902" s="885"/>
      <c r="I902" s="63">
        <f>IF(F902="I",IFERROR(VLOOKUP(C902,'BG 062022'!A:D,4,FALSE),0),0)</f>
        <v>0</v>
      </c>
      <c r="J902" s="887"/>
      <c r="K902" s="47">
        <f>IF(F902="I",SUMIF('BG 2021'!B:B,Clasificaciones!C902,'BG 2021'!D:D),0)</f>
        <v>0</v>
      </c>
      <c r="L902" s="887"/>
      <c r="M902" s="63">
        <f>IF(F902="I",SUMIF('BG 2021'!B:B,Clasificaciones!C902,'BG 2021'!E:E),0)</f>
        <v>0</v>
      </c>
      <c r="N902" s="887"/>
      <c r="O902" s="47">
        <f>IF(F902="I",SUMIF('BG 062021'!A:A,Clasificaciones!C902,'BG 062021'!C:C),0)</f>
        <v>0</v>
      </c>
      <c r="P902" s="887"/>
      <c r="Q902" s="63">
        <f>IF(F902="I",SUMIF('BG 062021'!A:A,Clasificaciones!C902,'BG 062021'!D:D),0)</f>
        <v>0</v>
      </c>
    </row>
    <row r="903" spans="1:18" s="888" customFormat="1" hidden="1">
      <c r="A903" s="885" t="s">
        <v>21</v>
      </c>
      <c r="B903" s="885" t="s">
        <v>105</v>
      </c>
      <c r="C903" s="889">
        <v>751</v>
      </c>
      <c r="D903" s="889" t="s">
        <v>184</v>
      </c>
      <c r="E903" s="886" t="s">
        <v>6</v>
      </c>
      <c r="F903" s="886" t="s">
        <v>271</v>
      </c>
      <c r="G903" s="47">
        <f>IF(F903="I",IFERROR(VLOOKUP(C903,'BG 062022'!A:C,3,FALSE),0),0)</f>
        <v>497283364136</v>
      </c>
      <c r="H903" s="885"/>
      <c r="I903" s="63">
        <f>IF(F903="I",IFERROR(VLOOKUP(C903,'BG 062022'!A:D,4,FALSE),0),0)</f>
        <v>74048862.390000001</v>
      </c>
      <c r="J903" s="887"/>
      <c r="K903" s="47">
        <f>IF(F903="I",SUMIF('BG 2021'!B:B,Clasificaciones!C903,'BG 2021'!D:D),0)</f>
        <v>203997974082</v>
      </c>
      <c r="L903" s="887"/>
      <c r="M903" s="63">
        <f>IF(F903="I",SUMIF('BG 2021'!B:B,Clasificaciones!C903,'BG 2021'!E:E),0)</f>
        <v>29607643.579999998</v>
      </c>
      <c r="N903" s="887"/>
      <c r="O903" s="47">
        <f>IF(F903="I",SUMIF('BG 062021'!A:A,Clasificaciones!C903,'BG 062021'!C:C),0)</f>
        <v>0</v>
      </c>
      <c r="P903" s="887"/>
      <c r="Q903" s="63">
        <f>IF(F903="I",SUMIF('BG 062021'!A:A,Clasificaciones!C903,'BG 062021'!D:D),0)</f>
        <v>0</v>
      </c>
      <c r="R903" s="888" t="e">
        <f>+VLOOKUP(C903,'CA EFE'!A:A,1,FALSE)</f>
        <v>#N/A</v>
      </c>
    </row>
    <row r="904" spans="1:18" s="888" customFormat="1" hidden="1">
      <c r="A904" s="885" t="s">
        <v>21</v>
      </c>
      <c r="B904" s="885" t="s">
        <v>105</v>
      </c>
      <c r="C904" s="889">
        <v>761</v>
      </c>
      <c r="D904" s="889" t="s">
        <v>185</v>
      </c>
      <c r="E904" s="886" t="s">
        <v>6</v>
      </c>
      <c r="F904" s="886" t="s">
        <v>271</v>
      </c>
      <c r="G904" s="47">
        <f>IF(F904="I",IFERROR(VLOOKUP(C904,'BG 062022'!A:C,3,FALSE),0),0)</f>
        <v>0</v>
      </c>
      <c r="H904" s="885"/>
      <c r="I904" s="63">
        <f>IF(F904="I",IFERROR(VLOOKUP(C904,'BG 062022'!A:D,4,FALSE),0),0)</f>
        <v>0</v>
      </c>
      <c r="J904" s="887"/>
      <c r="K904" s="47">
        <f>IF(F904="I",SUMIF('BG 2021'!B:B,Clasificaciones!C904,'BG 2021'!D:D),0)</f>
        <v>0</v>
      </c>
      <c r="L904" s="887"/>
      <c r="M904" s="63">
        <f>IF(F904="I",SUMIF('BG 2021'!B:B,Clasificaciones!C904,'BG 2021'!E:E),0)</f>
        <v>0</v>
      </c>
      <c r="N904" s="887"/>
      <c r="O904" s="47">
        <f>IF(F904="I",SUMIF('BG 062021'!A:A,Clasificaciones!C904,'BG 062021'!C:C),0)</f>
        <v>0</v>
      </c>
      <c r="P904" s="887"/>
      <c r="Q904" s="63">
        <f>IF(F904="I",SUMIF('BG 062021'!A:A,Clasificaciones!C904,'BG 062021'!D:D),0)</f>
        <v>0</v>
      </c>
    </row>
    <row r="905" spans="1:18">
      <c r="I905" s="64"/>
      <c r="M905" s="64"/>
      <c r="Q905" s="64"/>
    </row>
    <row r="906" spans="1:18">
      <c r="E906" s="41" t="s">
        <v>3</v>
      </c>
      <c r="F906" s="41"/>
      <c r="G906" s="48">
        <f>SUMIF(A:A,E906,G:G)</f>
        <v>200783334954</v>
      </c>
      <c r="I906" s="65">
        <f>SUMIF(A:A,E906,I:I)</f>
        <v>29404850.180000011</v>
      </c>
      <c r="J906" s="43"/>
      <c r="K906" s="48">
        <f>SUMIF(A:A,E906,K:K)</f>
        <v>101792478199</v>
      </c>
      <c r="M906" s="65">
        <f>SUMIF(A:A,E906,M:M)</f>
        <v>14867692.736999992</v>
      </c>
      <c r="N906" s="43"/>
      <c r="O906" s="48">
        <v>0</v>
      </c>
      <c r="Q906" s="65">
        <f>SUMIF(D:D,H906,Q:Q)</f>
        <v>0</v>
      </c>
    </row>
    <row r="907" spans="1:18">
      <c r="E907" s="41" t="s">
        <v>8</v>
      </c>
      <c r="F907" s="41"/>
      <c r="G907" s="48">
        <f>SUMIF(A:A,E907,G:G)</f>
        <v>-169819978354</v>
      </c>
      <c r="I907" s="65">
        <f>SUMIF(A:A,E907,I:I)</f>
        <v>-24791063.499999993</v>
      </c>
      <c r="J907" s="43"/>
      <c r="K907" s="48">
        <f>SUMIF(A:A,E907,K:K)</f>
        <v>-71449093175</v>
      </c>
      <c r="M907" s="65">
        <f>SUMIF(A:A,E907,M:M)</f>
        <v>-10373888.083500005</v>
      </c>
      <c r="N907" s="43"/>
      <c r="O907" s="48">
        <v>0</v>
      </c>
      <c r="Q907" s="65">
        <f>SUMIF(D:D,H907,Q:Q)</f>
        <v>0</v>
      </c>
    </row>
    <row r="908" spans="1:18">
      <c r="E908" s="41" t="s">
        <v>20</v>
      </c>
      <c r="F908" s="41"/>
      <c r="G908" s="48">
        <f>SUMIF(A:A,E908,G:G)</f>
        <v>-30963356600</v>
      </c>
      <c r="I908" s="65">
        <f>SUMIF(A:A,E908,I:I)</f>
        <v>-4613786.38</v>
      </c>
      <c r="J908" s="43"/>
      <c r="K908" s="48">
        <f>SUMIF(A:A,E908,K:K)</f>
        <v>-30343385024</v>
      </c>
      <c r="M908" s="65">
        <f>SUMIF(A:A,E908,M:M)</f>
        <v>-4493804.6807999993</v>
      </c>
      <c r="N908" s="43"/>
      <c r="O908" s="48">
        <v>0</v>
      </c>
      <c r="Q908" s="65">
        <f>SUMIF(D:D,H908,Q:Q)</f>
        <v>0</v>
      </c>
    </row>
    <row r="909" spans="1:18" ht="12">
      <c r="E909" s="44" t="s">
        <v>249</v>
      </c>
      <c r="F909" s="44"/>
      <c r="G909" s="45">
        <f>+G906+G907+G908</f>
        <v>0</v>
      </c>
      <c r="H909" s="32" t="s">
        <v>246</v>
      </c>
      <c r="I909" s="45">
        <f>+I906+I907+I908</f>
        <v>0.30000001844018698</v>
      </c>
      <c r="J909" s="32" t="s">
        <v>246</v>
      </c>
      <c r="K909" s="45">
        <f>+K906+K907+K908</f>
        <v>0</v>
      </c>
      <c r="M909" s="64">
        <f>+M906+M907+M908</f>
        <v>-2.7300012297928333E-2</v>
      </c>
      <c r="N909" s="32" t="s">
        <v>246</v>
      </c>
      <c r="Q909" s="64"/>
    </row>
    <row r="910" spans="1:18">
      <c r="E910" s="142" t="s">
        <v>169</v>
      </c>
      <c r="F910" s="41"/>
      <c r="G910" s="48">
        <f>SUMIF(A:A,E910,G:G)</f>
        <v>-18786321498</v>
      </c>
      <c r="I910" s="65">
        <f>SUMIF(A:A,E910,I:I)</f>
        <v>-3172256.7</v>
      </c>
      <c r="J910" s="43"/>
      <c r="K910" s="48">
        <f>SUMIF(E:E,I910,K:K)</f>
        <v>0</v>
      </c>
      <c r="M910" s="65">
        <v>0</v>
      </c>
      <c r="N910" s="43"/>
      <c r="O910" s="48">
        <f>SUMIF(A:A,E910,O:O)</f>
        <v>-14906473746</v>
      </c>
      <c r="Q910" s="65">
        <f>SUMIF(A:A,E910,Q:Q)</f>
        <v>-3344053.9500000007</v>
      </c>
    </row>
    <row r="911" spans="1:18">
      <c r="E911" s="142" t="s">
        <v>189</v>
      </c>
      <c r="F911" s="41"/>
      <c r="G911" s="48">
        <f>SUMIF(A:A,E911,G:G)</f>
        <v>18166349922</v>
      </c>
      <c r="H911" s="42"/>
      <c r="I911" s="65">
        <f>SUMIF(A:A,E911,I:I)</f>
        <v>3052274.6600000006</v>
      </c>
      <c r="J911" s="43"/>
      <c r="K911" s="48">
        <f>SUMIF(E:E,I911,K:K)</f>
        <v>0</v>
      </c>
      <c r="M911" s="65">
        <v>0</v>
      </c>
      <c r="N911" s="43"/>
      <c r="O911" s="48">
        <f>SUMIF(A:A,E911,O:O)</f>
        <v>14617564945</v>
      </c>
      <c r="Q911" s="65">
        <f>SUMIF(A:A,E911,Q:Q)</f>
        <v>3293009.3900000006</v>
      </c>
    </row>
    <row r="912" spans="1:18" ht="12">
      <c r="E912" s="44" t="s">
        <v>249</v>
      </c>
      <c r="F912" s="44"/>
      <c r="G912" s="45">
        <f>+G910+G911+'BG 062022'!C267</f>
        <v>0</v>
      </c>
      <c r="H912" s="32" t="s">
        <v>246</v>
      </c>
      <c r="I912" s="45">
        <f>+I910+I911+'BG 062022'!D267</f>
        <v>4.220055416226387E-10</v>
      </c>
      <c r="J912" s="32" t="s">
        <v>246</v>
      </c>
      <c r="K912" s="45">
        <f>+K910-K911</f>
        <v>0</v>
      </c>
      <c r="M912" s="45">
        <v>0</v>
      </c>
      <c r="N912" s="32" t="s">
        <v>246</v>
      </c>
      <c r="O912" s="45">
        <f>+O910-O911-'BG 062021'!C232</f>
        <v>-45705858281</v>
      </c>
      <c r="Q912" s="45">
        <f>+Q910-Q911-'BG 062021'!D232</f>
        <v>-10165567.710000001</v>
      </c>
    </row>
    <row r="913" spans="4:17">
      <c r="I913" s="64"/>
      <c r="M913" s="64"/>
      <c r="Q913" s="64"/>
    </row>
    <row r="914" spans="4:17">
      <c r="D914" s="32"/>
    </row>
  </sheetData>
  <autoFilter ref="A4:R904" xr:uid="{D968106B-DD39-42BA-8E52-E8F5A1B272BF}">
    <filterColumn colId="0">
      <filters>
        <filter val="INGRESOS"/>
      </filters>
    </filterColumn>
    <filterColumn colId="6">
      <filters>
        <filter val="1"/>
        <filter val="-1"/>
        <filter val="1.001.731"/>
        <filter val="-1.021.690.698"/>
        <filter val="-1.024.520"/>
        <filter val="-1.081.490.346"/>
        <filter val="1.096"/>
        <filter val="-1.260.333.564"/>
        <filter val="1.277.933.080"/>
        <filter val="-1.279.279"/>
        <filter val="-1.316.780.963"/>
        <filter val="1.366.824"/>
        <filter val="-1.381.438"/>
        <filter val="-1.406.751.239"/>
        <filter val="-1.465.821"/>
        <filter val="1.477.878.666"/>
        <filter val="-1.561.171"/>
        <filter val="-1.565.003.592"/>
        <filter val="1.787.672"/>
        <filter val="1.790.228"/>
        <filter val="1.801.930"/>
        <filter val="1.954.392"/>
        <filter val="10.047.228"/>
        <filter val="10.145"/>
        <filter val="10.330.123"/>
        <filter val="-10.364.092"/>
        <filter val="-100.635.995"/>
        <filter val="101.957.334"/>
        <filter val="102.003.747"/>
        <filter val="104.367.348"/>
        <filter val="105.051.587.654"/>
        <filter val="-105.749.085.440"/>
        <filter val="-106.354.358"/>
        <filter val="108.262.500"/>
        <filter val="11.282.538"/>
        <filter val="-11.379.548"/>
        <filter val="-11.871.555.014"/>
        <filter val="114.040.548"/>
        <filter val="12.201.721"/>
        <filter val="12.374.918"/>
        <filter val="12.554.424"/>
        <filter val="121.527.025"/>
        <filter val="122.540.485"/>
        <filter val="-13.715.351"/>
        <filter val="13.718.000.000"/>
        <filter val="-13.830.023"/>
        <filter val="135.316.207"/>
        <filter val="-135.316.207"/>
        <filter val="-135.733.657"/>
        <filter val="136.176.813"/>
        <filter val="136.991.991"/>
        <filter val="-14.237.223"/>
        <filter val="14.243.514"/>
        <filter val="-14.243.514"/>
        <filter val="14.367.279"/>
        <filter val="-14.430.803"/>
        <filter val="-150.000.000"/>
        <filter val="150.232.250"/>
        <filter val="-158.375.407"/>
        <filter val="-16.419.272"/>
        <filter val="163.174.020"/>
        <filter val="-165.695"/>
        <filter val="-17.355.684"/>
        <filter val="-17.561.301.706"/>
        <filter val="17.714.264"/>
        <filter val="17.719.364"/>
        <filter val="17.798.815.626"/>
        <filter val="-170.635"/>
        <filter val="18.170.512"/>
        <filter val="181.590.510"/>
        <filter val="182.450"/>
        <filter val="-186.095.070"/>
        <filter val="19.461.173"/>
        <filter val="19.565.557"/>
        <filter val="-199.281.848"/>
        <filter val="199.802.768"/>
        <filter val="2.000.000"/>
        <filter val="-2.011.264.759"/>
        <filter val="-2.017.355.176"/>
        <filter val="2.062.556.431"/>
        <filter val="2.264.174"/>
        <filter val="2.266.969"/>
        <filter val="-2.297.398"/>
        <filter val="-2.322"/>
        <filter val="-2.355.479"/>
        <filter val="2.375.000"/>
        <filter val="2.500.000"/>
        <filter val="-2.500.000"/>
        <filter val="-2.680.381"/>
        <filter val="-2.744.460"/>
        <filter val="2.769.000"/>
        <filter val="2.776.611"/>
        <filter val="2.864.657"/>
        <filter val="-2.884.466.004"/>
        <filter val="-2.890.368"/>
        <filter val="-2.895.175"/>
        <filter val="-20.252.141"/>
        <filter val="20.744.958"/>
        <filter val="20.822.440"/>
        <filter val="200.000.000"/>
        <filter val="205.137.000"/>
        <filter val="207.495.957"/>
        <filter val="21.467.041"/>
        <filter val="21.541.334"/>
        <filter val="21.936.615"/>
        <filter val="214.001.678"/>
        <filter val="-22.326.692"/>
        <filter val="22.808.838"/>
        <filter val="22.860.878"/>
        <filter val="225.461.360"/>
        <filter val="-227.338.096"/>
        <filter val="23.344.122"/>
        <filter val="232.488.600"/>
        <filter val="-24.539.897"/>
        <filter val="-246.824.400"/>
        <filter val="25.000.000"/>
        <filter val="25.318.166"/>
        <filter val="25.334.761"/>
        <filter val="25.905.866"/>
        <filter val="250.540.859"/>
        <filter val="250.626.991"/>
        <filter val="252.244.377"/>
        <filter val="-255.174.767"/>
        <filter val="-260.477.749"/>
        <filter val="263.042"/>
        <filter val="-27.892.314"/>
        <filter val="270.717"/>
        <filter val="272.275.272"/>
        <filter val="-272.728"/>
        <filter val="28.237.311"/>
        <filter val="28.298.329"/>
        <filter val="28.344"/>
        <filter val="287.087.011"/>
        <filter val="-290.129.110"/>
        <filter val="299.092"/>
        <filter val="3.061.819"/>
        <filter val="3.293.281"/>
        <filter val="3.300.000"/>
        <filter val="-3.319.152.055"/>
        <filter val="3.353.261.918"/>
        <filter val="-3.447.049.871"/>
        <filter val="3.454.158.107"/>
        <filter val="3.617.928"/>
        <filter val="3.641.710"/>
        <filter val="3.668.369"/>
        <filter val="3.722.682"/>
        <filter val="-3.771.166"/>
        <filter val="3.800.000"/>
        <filter val="3.862.637.809"/>
        <filter val="3.982"/>
        <filter val="3.994.732"/>
        <filter val="-30.000.000.000"/>
        <filter val="300.662"/>
        <filter val="307.876"/>
        <filter val="-31.818.182"/>
        <filter val="316.522.493"/>
        <filter val="32.175.738"/>
        <filter val="320.021.925"/>
        <filter val="-323.613.399"/>
        <filter val="-326.122.164"/>
        <filter val="33.750.148"/>
        <filter val="332.926.850"/>
        <filter val="338.516.262"/>
        <filter val="34.517.394"/>
        <filter val="34.589.688"/>
        <filter val="34.668"/>
        <filter val="36.702"/>
        <filter val="37.302.276"/>
        <filter val="37.369.013"/>
        <filter val="-37.890.753"/>
        <filter val="375.000.000"/>
        <filter val="-379.461.518"/>
        <filter val="-381.987"/>
        <filter val="-39.490.316.453"/>
        <filter val="391.964.087"/>
        <filter val="-4.000.010"/>
        <filter val="-4.056.686"/>
        <filter val="4.085.508"/>
        <filter val="4.120.908"/>
        <filter val="4.355.833"/>
        <filter val="4.396.912.475"/>
        <filter val="4.478.763"/>
        <filter val="-4.483.084"/>
        <filter val="4.500.000"/>
        <filter val="4.618.081"/>
        <filter val="-4.825.757"/>
        <filter val="4.879.184"/>
        <filter val="-4.932.000.000"/>
        <filter val="4.999.000.000"/>
        <filter val="-400.000.000"/>
        <filter val="-401.625"/>
        <filter val="41.324.400"/>
        <filter val="41.666.665"/>
        <filter val="-41.666.665"/>
        <filter val="412.022"/>
        <filter val="412.916.665"/>
        <filter val="-42.128.849"/>
        <filter val="42.633.192"/>
        <filter val="424.253.188"/>
        <filter val="43.291.000.000"/>
        <filter val="43.415.878"/>
        <filter val="43.548"/>
        <filter val="45.566.603"/>
        <filter val="45.583.335"/>
        <filter val="45.608.034"/>
        <filter val="-456.866.904"/>
        <filter val="-46.613.152"/>
        <filter val="-46.852.026"/>
        <filter val="-46.910.660"/>
        <filter val="468.274.422"/>
        <filter val="47.338.782"/>
        <filter val="-48.252.151"/>
        <filter val="49.788.329"/>
        <filter val="497.283.364.136"/>
        <filter val="5.000.000.000"/>
        <filter val="-5.061.518"/>
        <filter val="5.456.147"/>
        <filter val="5.463.533"/>
        <filter val="5.514.324"/>
        <filter val="-5.514.324"/>
        <filter val="-5.666.190"/>
        <filter val="5.878.493"/>
        <filter val="-5.940.872.797"/>
        <filter val="-50.000.000"/>
        <filter val="500.000"/>
        <filter val="504.602.589"/>
        <filter val="51.409.728"/>
        <filter val="52.164.636"/>
        <filter val="52.166.681"/>
        <filter val="52.333.572"/>
        <filter val="-529.473.399"/>
        <filter val="-54.898.480"/>
        <filter val="-545.522.548"/>
        <filter val="-55.360"/>
        <filter val="-56.527.969"/>
        <filter val="-566.076.880"/>
        <filter val="57.764.419"/>
        <filter val="578.358"/>
        <filter val="581.286.244"/>
        <filter val="-584.417.016"/>
        <filter val="-6"/>
        <filter val="-6.000.000"/>
        <filter val="-6.363.636"/>
        <filter val="-6.399"/>
        <filter val="-6.473.750"/>
        <filter val="6.693.960"/>
        <filter val="6.708.322"/>
        <filter val="6.800.000.000"/>
        <filter val="6.837.900"/>
        <filter val="6.841.251"/>
        <filter val="-6.940.526"/>
        <filter val="600.000"/>
        <filter val="-61.635.560"/>
        <filter val="-612.814"/>
        <filter val="-619.971.576"/>
        <filter val="626.352"/>
        <filter val="-631.229.593"/>
        <filter val="633.370.061"/>
        <filter val="647.585.576"/>
        <filter val="649.600.500"/>
        <filter val="-68.981.610"/>
        <filter val="69.061.152"/>
        <filter val="691.520.558"/>
        <filter val="697.338.814"/>
        <filter val="7.000.000"/>
        <filter val="7.027.989"/>
        <filter val="7.317.954"/>
        <filter val="7.428.913"/>
        <filter val="-7.538.594"/>
        <filter val="-7.717.592"/>
        <filter val="7.848.438"/>
        <filter val="7.944.691"/>
        <filter val="700.000.000"/>
        <filter val="-72.413.264"/>
        <filter val="-73.550.328"/>
        <filter val="-73.596.477"/>
        <filter val="738.893.458"/>
        <filter val="75.000.000"/>
        <filter val="75.842.113"/>
        <filter val="750.000"/>
        <filter val="-753.947"/>
        <filter val="754.152"/>
        <filter val="782.051.372"/>
        <filter val="79.215.368"/>
        <filter val="799.998"/>
        <filter val="8.000.000"/>
        <filter val="8.090.895"/>
        <filter val="8.101.263.559"/>
        <filter val="-8.427.277.201"/>
        <filter val="8.548.013.318"/>
        <filter val="-8.718.528.038"/>
        <filter val="8.783.330"/>
        <filter val="8.900.741"/>
        <filter val="-80.750.000"/>
        <filter val="-82.041.644"/>
        <filter val="833.340"/>
        <filter val="88.892.700"/>
        <filter val="892.847.407"/>
        <filter val="9.850.000.000"/>
        <filter val="900.000.000"/>
        <filter val="-907.275"/>
        <filter val="93.216.304"/>
        <filter val="93.253.333"/>
        <filter val="940.868.615"/>
        <filter val="-951.232"/>
        <filter val="98.487.176"/>
        <filter val="-99.325.725"/>
        <filter val="99.961.674"/>
      </filters>
    </filterColumn>
  </autoFilter>
  <mergeCells count="3">
    <mergeCell ref="G3:I3"/>
    <mergeCell ref="K3:M3"/>
    <mergeCell ref="O3:Q3"/>
  </mergeCells>
  <conditionalFormatting sqref="E878:F878">
    <cfRule type="colorScale" priority="2">
      <colorScale>
        <cfvo type="min"/>
        <cfvo type="percentile" val="50"/>
        <cfvo type="max"/>
        <color rgb="FFF8696B"/>
        <color rgb="FFFCFCFF"/>
        <color rgb="FF63BE7B"/>
      </colorScale>
    </cfRule>
  </conditionalFormatting>
  <conditionalFormatting sqref="E394:F394">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1184-B8FA-43B3-A02B-193C5D0E5709}">
  <dimension ref="A1:O449"/>
  <sheetViews>
    <sheetView showGridLines="0" zoomScale="70" zoomScaleNormal="70" workbookViewId="0">
      <pane xSplit="4" ySplit="1" topLeftCell="F107" activePane="bottomRight" state="frozen"/>
      <selection activeCell="Q525" sqref="Q525:S525"/>
      <selection pane="topRight" activeCell="Q525" sqref="Q525:S525"/>
      <selection pane="bottomLeft" activeCell="Q525" sqref="Q525:S525"/>
      <selection pane="bottomRight" activeCell="Q525" sqref="Q525:S525"/>
    </sheetView>
  </sheetViews>
  <sheetFormatPr baseColWidth="10" defaultColWidth="11.44140625" defaultRowHeight="13.8"/>
  <cols>
    <col min="1" max="1" width="48.88671875" style="640" customWidth="1"/>
    <col min="2" max="2" width="12.109375" style="640" customWidth="1"/>
    <col min="3" max="3" width="17.5546875" style="640" customWidth="1"/>
    <col min="4" max="4" width="14.44140625" style="640" customWidth="1"/>
    <col min="5" max="5" width="17.44140625" style="640" customWidth="1"/>
    <col min="6" max="6" width="12.33203125" style="640" customWidth="1"/>
    <col min="7" max="7" width="20.5546875" style="640" bestFit="1" customWidth="1"/>
    <col min="8" max="9" width="18.88671875" style="640" bestFit="1" customWidth="1"/>
    <col min="10" max="10" width="21" style="640" bestFit="1" customWidth="1"/>
    <col min="11" max="11" width="18.6640625" style="640" bestFit="1" customWidth="1"/>
    <col min="12" max="12" width="14.44140625" style="640" customWidth="1"/>
    <col min="13" max="14" width="17.88671875" style="640" customWidth="1"/>
    <col min="15" max="16384" width="11.44140625" style="640"/>
  </cols>
  <sheetData>
    <row r="1" spans="1:14" ht="13.2" customHeight="1">
      <c r="A1" s="639"/>
      <c r="B1" s="639"/>
      <c r="C1" s="639"/>
      <c r="D1" s="639"/>
      <c r="E1" s="639"/>
      <c r="F1" s="639"/>
      <c r="G1" s="639"/>
      <c r="H1" s="639"/>
      <c r="I1" s="639"/>
      <c r="J1" s="639"/>
      <c r="L1" s="639"/>
      <c r="M1" s="639"/>
      <c r="N1" s="639"/>
    </row>
    <row r="2" spans="1:14" ht="13.2" customHeight="1">
      <c r="A2" s="641" t="s">
        <v>1350</v>
      </c>
      <c r="B2" s="639"/>
      <c r="C2" s="639"/>
      <c r="D2" s="639"/>
      <c r="E2" s="639"/>
      <c r="F2" s="639"/>
      <c r="G2" s="639"/>
      <c r="H2" s="639"/>
      <c r="I2" s="639"/>
      <c r="J2" s="639"/>
      <c r="L2" s="639"/>
      <c r="M2" s="639"/>
      <c r="N2" s="639"/>
    </row>
    <row r="3" spans="1:14" ht="13.2" customHeight="1">
      <c r="A3" s="641"/>
      <c r="B3" s="639"/>
      <c r="C3" s="639"/>
      <c r="D3" s="639"/>
      <c r="E3" s="639"/>
      <c r="F3" s="639"/>
      <c r="G3" s="639"/>
      <c r="H3" s="639"/>
      <c r="I3" s="639"/>
      <c r="J3" s="639"/>
      <c r="L3" s="639"/>
      <c r="M3" s="639"/>
      <c r="N3" s="639"/>
    </row>
    <row r="4" spans="1:14">
      <c r="A4" s="641" t="s">
        <v>1351</v>
      </c>
      <c r="B4" s="639"/>
      <c r="C4" s="639"/>
      <c r="D4" s="639"/>
      <c r="E4" s="639"/>
      <c r="F4" s="639"/>
      <c r="G4" s="642"/>
      <c r="H4" s="642"/>
      <c r="I4" s="642"/>
      <c r="J4" s="642"/>
      <c r="L4" s="639"/>
      <c r="M4" s="642"/>
      <c r="N4" s="642"/>
    </row>
    <row r="5" spans="1:14">
      <c r="A5" s="639"/>
      <c r="B5" s="639"/>
      <c r="C5" s="639"/>
      <c r="D5" s="639"/>
      <c r="E5" s="639"/>
      <c r="F5" s="639"/>
      <c r="G5" s="642"/>
      <c r="H5" s="642"/>
      <c r="I5" s="642"/>
      <c r="J5" s="642"/>
      <c r="L5" s="639"/>
      <c r="M5" s="642"/>
      <c r="N5" s="642"/>
    </row>
    <row r="6" spans="1:14" ht="43.2" customHeight="1">
      <c r="A6" s="643" t="s">
        <v>1139</v>
      </c>
      <c r="B6" s="643" t="s">
        <v>2</v>
      </c>
      <c r="C6" s="643" t="s">
        <v>1140</v>
      </c>
      <c r="D6" s="643" t="s">
        <v>1352</v>
      </c>
      <c r="E6" s="643" t="s">
        <v>1141</v>
      </c>
      <c r="F6" s="643" t="s">
        <v>1142</v>
      </c>
      <c r="G6" s="643" t="s">
        <v>1143</v>
      </c>
      <c r="H6" s="643" t="s">
        <v>1353</v>
      </c>
      <c r="I6" s="643" t="s">
        <v>1354</v>
      </c>
      <c r="J6" s="643" t="s">
        <v>1355</v>
      </c>
      <c r="L6" s="644" t="s">
        <v>1356</v>
      </c>
      <c r="M6" s="644" t="s">
        <v>1148</v>
      </c>
      <c r="N6" s="644" t="s">
        <v>1357</v>
      </c>
    </row>
    <row r="7" spans="1:14">
      <c r="C7" s="645"/>
    </row>
    <row r="8" spans="1:14">
      <c r="A8" s="646" t="s">
        <v>1358</v>
      </c>
      <c r="B8" s="647"/>
      <c r="C8" s="648"/>
      <c r="D8" s="647"/>
      <c r="E8" s="647"/>
      <c r="F8" s="647"/>
      <c r="G8" s="647"/>
      <c r="H8" s="647"/>
      <c r="I8" s="647"/>
      <c r="J8" s="647"/>
      <c r="L8" s="647"/>
      <c r="M8" s="649"/>
      <c r="N8" s="649"/>
    </row>
    <row r="9" spans="1:14">
      <c r="A9" s="917" t="s">
        <v>1343</v>
      </c>
      <c r="B9" s="918" t="s">
        <v>844</v>
      </c>
      <c r="C9" s="923" t="s">
        <v>1144</v>
      </c>
      <c r="D9" s="920">
        <v>44265</v>
      </c>
      <c r="E9" s="920">
        <v>46785</v>
      </c>
      <c r="F9" s="924">
        <v>7.0999999999999994E-2</v>
      </c>
      <c r="G9" s="923">
        <v>196000000</v>
      </c>
      <c r="H9" s="923">
        <v>82275967.123287678</v>
      </c>
      <c r="I9" s="923">
        <v>77891473.972602755</v>
      </c>
      <c r="J9" s="923">
        <v>200384493.15068492</v>
      </c>
      <c r="L9" s="650">
        <v>44741</v>
      </c>
      <c r="M9" s="964">
        <v>1.0273600000000001</v>
      </c>
      <c r="N9" s="962">
        <f>+G9*M9</f>
        <v>201362560</v>
      </c>
    </row>
    <row r="10" spans="1:14">
      <c r="A10" s="917" t="s">
        <v>1343</v>
      </c>
      <c r="B10" s="918" t="s">
        <v>844</v>
      </c>
      <c r="C10" s="923" t="s">
        <v>1144</v>
      </c>
      <c r="D10" s="920">
        <v>44265</v>
      </c>
      <c r="E10" s="920">
        <v>46785</v>
      </c>
      <c r="F10" s="924">
        <v>7.0999999999999994E-2</v>
      </c>
      <c r="G10" s="923">
        <v>650000000</v>
      </c>
      <c r="H10" s="923">
        <v>272853972.60273969</v>
      </c>
      <c r="I10" s="923">
        <v>258313561.64383557</v>
      </c>
      <c r="J10" s="923">
        <v>664540410.95890415</v>
      </c>
      <c r="L10" s="650">
        <v>44741</v>
      </c>
      <c r="M10" s="964">
        <v>1.0273600000000001</v>
      </c>
      <c r="N10" s="962">
        <f>+G10*M10</f>
        <v>667784000</v>
      </c>
    </row>
    <row r="11" spans="1:14">
      <c r="A11" s="917" t="s">
        <v>1343</v>
      </c>
      <c r="B11" s="918" t="s">
        <v>844</v>
      </c>
      <c r="C11" s="923" t="s">
        <v>1145</v>
      </c>
      <c r="D11" s="920">
        <v>44265</v>
      </c>
      <c r="E11" s="920">
        <v>47865</v>
      </c>
      <c r="F11" s="924">
        <v>0.08</v>
      </c>
      <c r="G11" s="923">
        <v>66000000</v>
      </c>
      <c r="H11" s="923">
        <v>46840109.589041099</v>
      </c>
      <c r="I11" s="923">
        <v>45176547.94520548</v>
      </c>
      <c r="J11" s="923">
        <v>67663561.643835619</v>
      </c>
      <c r="L11" s="650">
        <v>44739</v>
      </c>
      <c r="M11" s="964">
        <v>1.0245500000000001</v>
      </c>
      <c r="N11" s="962">
        <f>+G11*M11</f>
        <v>67620300</v>
      </c>
    </row>
    <row r="12" spans="1:14">
      <c r="A12" s="917" t="s">
        <v>1343</v>
      </c>
      <c r="B12" s="918" t="s">
        <v>844</v>
      </c>
      <c r="C12" s="923" t="s">
        <v>1145</v>
      </c>
      <c r="D12" s="920">
        <v>44265</v>
      </c>
      <c r="E12" s="920">
        <v>47865</v>
      </c>
      <c r="F12" s="924">
        <v>0.08</v>
      </c>
      <c r="G12" s="923">
        <v>10000000</v>
      </c>
      <c r="H12" s="923">
        <v>7096986.3013698617</v>
      </c>
      <c r="I12" s="923">
        <v>6844931.506849315</v>
      </c>
      <c r="J12" s="923">
        <v>10252054.794520546</v>
      </c>
      <c r="L12" s="650">
        <v>44739</v>
      </c>
      <c r="M12" s="964">
        <v>1.0245500000000001</v>
      </c>
      <c r="N12" s="962">
        <f>+G12*M12</f>
        <v>10245500</v>
      </c>
    </row>
    <row r="13" spans="1:14">
      <c r="A13" s="917" t="s">
        <v>1343</v>
      </c>
      <c r="B13" s="918" t="s">
        <v>844</v>
      </c>
      <c r="C13" s="923" t="s">
        <v>1145</v>
      </c>
      <c r="D13" s="920">
        <v>44265</v>
      </c>
      <c r="E13" s="920">
        <v>47865</v>
      </c>
      <c r="F13" s="924">
        <v>0.08</v>
      </c>
      <c r="G13" s="923">
        <v>400000000</v>
      </c>
      <c r="H13" s="923">
        <v>283879452.05479449</v>
      </c>
      <c r="I13" s="923">
        <v>273797260.27397257</v>
      </c>
      <c r="J13" s="923">
        <v>410082191.78082198</v>
      </c>
      <c r="L13" s="650">
        <v>44739</v>
      </c>
      <c r="M13" s="964">
        <v>1.0245500000000001</v>
      </c>
      <c r="N13" s="962">
        <f t="shared" ref="N13:N30" si="0">+G13*M13</f>
        <v>409820000</v>
      </c>
    </row>
    <row r="14" spans="1:14">
      <c r="A14" s="917" t="s">
        <v>1343</v>
      </c>
      <c r="B14" s="918" t="s">
        <v>844</v>
      </c>
      <c r="C14" s="923" t="s">
        <v>1145</v>
      </c>
      <c r="D14" s="920">
        <v>44265</v>
      </c>
      <c r="E14" s="920">
        <v>47865</v>
      </c>
      <c r="F14" s="924">
        <v>0.08</v>
      </c>
      <c r="G14" s="923">
        <v>5000000</v>
      </c>
      <c r="H14" s="923">
        <v>3548493.1506849313</v>
      </c>
      <c r="I14" s="923">
        <v>3422465.7534246575</v>
      </c>
      <c r="J14" s="923">
        <v>5126027.3972602729</v>
      </c>
      <c r="L14" s="650">
        <v>44739</v>
      </c>
      <c r="M14" s="964">
        <v>1.0245500000000001</v>
      </c>
      <c r="N14" s="962">
        <f t="shared" si="0"/>
        <v>5122750</v>
      </c>
    </row>
    <row r="15" spans="1:14">
      <c r="A15" s="917" t="s">
        <v>1344</v>
      </c>
      <c r="B15" s="918" t="s">
        <v>844</v>
      </c>
      <c r="C15" s="923" t="s">
        <v>1359</v>
      </c>
      <c r="D15" s="920">
        <v>44281</v>
      </c>
      <c r="E15" s="920">
        <v>46106</v>
      </c>
      <c r="F15" s="924">
        <v>0.09</v>
      </c>
      <c r="G15" s="923">
        <v>5000000</v>
      </c>
      <c r="H15" s="923">
        <v>1689041.0958904107</v>
      </c>
      <c r="I15" s="923">
        <v>1681643.8356164382</v>
      </c>
      <c r="J15" s="923">
        <v>5007397.2602739725</v>
      </c>
      <c r="L15" s="650">
        <v>44729</v>
      </c>
      <c r="M15" s="964">
        <v>1.0054700000000001</v>
      </c>
      <c r="N15" s="652">
        <f t="shared" si="0"/>
        <v>5027350</v>
      </c>
    </row>
    <row r="16" spans="1:14">
      <c r="A16" s="917" t="s">
        <v>1344</v>
      </c>
      <c r="B16" s="918" t="s">
        <v>844</v>
      </c>
      <c r="C16" s="923" t="s">
        <v>1359</v>
      </c>
      <c r="D16" s="920">
        <v>44281</v>
      </c>
      <c r="E16" s="920">
        <v>46106</v>
      </c>
      <c r="F16" s="924">
        <v>0.09</v>
      </c>
      <c r="G16" s="923">
        <v>673000000</v>
      </c>
      <c r="H16" s="923">
        <v>227344931.50684929</v>
      </c>
      <c r="I16" s="923">
        <v>226349260.2739726</v>
      </c>
      <c r="J16" s="923">
        <v>673995671.23287666</v>
      </c>
      <c r="L16" s="650">
        <v>44729</v>
      </c>
      <c r="M16" s="964">
        <v>1.0054700000000001</v>
      </c>
      <c r="N16" s="652">
        <f t="shared" si="0"/>
        <v>676681310</v>
      </c>
    </row>
    <row r="17" spans="1:14">
      <c r="A17" s="917" t="s">
        <v>1345</v>
      </c>
      <c r="B17" s="918" t="s">
        <v>844</v>
      </c>
      <c r="C17" s="923" t="s">
        <v>1360</v>
      </c>
      <c r="D17" s="920">
        <v>43626</v>
      </c>
      <c r="E17" s="920">
        <v>46171</v>
      </c>
      <c r="F17" s="924">
        <v>9.2499999999999999E-2</v>
      </c>
      <c r="G17" s="923">
        <v>200000000</v>
      </c>
      <c r="H17" s="923">
        <v>72428767.123457536</v>
      </c>
      <c r="I17" s="923">
        <v>72428767.123287708</v>
      </c>
      <c r="J17" s="923">
        <v>200000000.00016984</v>
      </c>
      <c r="L17" s="650">
        <v>44715</v>
      </c>
      <c r="M17" s="964">
        <v>1.0007600000000001</v>
      </c>
      <c r="N17" s="652">
        <f t="shared" si="0"/>
        <v>200152000.00000003</v>
      </c>
    </row>
    <row r="18" spans="1:14">
      <c r="A18" s="917" t="s">
        <v>1345</v>
      </c>
      <c r="B18" s="918" t="s">
        <v>844</v>
      </c>
      <c r="C18" s="923" t="s">
        <v>1360</v>
      </c>
      <c r="D18" s="920">
        <v>43626</v>
      </c>
      <c r="E18" s="920">
        <v>46171</v>
      </c>
      <c r="F18" s="924">
        <v>9.2499999999999999E-2</v>
      </c>
      <c r="G18" s="923">
        <v>5000000</v>
      </c>
      <c r="H18" s="923">
        <v>1810719.1780834934</v>
      </c>
      <c r="I18" s="923">
        <v>1810719.1780821912</v>
      </c>
      <c r="J18" s="923">
        <v>5000000.000001302</v>
      </c>
      <c r="L18" s="650">
        <v>44715</v>
      </c>
      <c r="M18" s="964">
        <v>1.0007600000000001</v>
      </c>
      <c r="N18" s="652">
        <f t="shared" si="0"/>
        <v>5003800.0000000009</v>
      </c>
    </row>
    <row r="19" spans="1:14">
      <c r="A19" s="917" t="s">
        <v>1345</v>
      </c>
      <c r="B19" s="918" t="s">
        <v>844</v>
      </c>
      <c r="C19" s="923" t="s">
        <v>1615</v>
      </c>
      <c r="D19" s="920">
        <v>44470</v>
      </c>
      <c r="E19" s="920">
        <v>48121</v>
      </c>
      <c r="F19" s="924">
        <v>7.4999999999999997E-2</v>
      </c>
      <c r="G19" s="923">
        <v>625000000</v>
      </c>
      <c r="H19" s="923">
        <v>433946917.80821913</v>
      </c>
      <c r="I19" s="923">
        <v>433946917.80821919</v>
      </c>
      <c r="J19" s="923">
        <v>625000000</v>
      </c>
      <c r="L19" s="650">
        <v>44742</v>
      </c>
      <c r="M19" s="651">
        <v>1</v>
      </c>
      <c r="N19" s="652">
        <f t="shared" si="0"/>
        <v>625000000</v>
      </c>
    </row>
    <row r="20" spans="1:14">
      <c r="A20" s="917" t="s">
        <v>1616</v>
      </c>
      <c r="B20" s="918" t="s">
        <v>844</v>
      </c>
      <c r="C20" s="923" t="s">
        <v>1244</v>
      </c>
      <c r="D20" s="920">
        <v>44435</v>
      </c>
      <c r="E20" s="920">
        <v>48075</v>
      </c>
      <c r="F20" s="924">
        <v>8.5000000000000006E-2</v>
      </c>
      <c r="G20" s="923">
        <v>36000000</v>
      </c>
      <c r="H20" s="923">
        <v>28227452.054794524</v>
      </c>
      <c r="I20" s="923">
        <v>27942410.958904114</v>
      </c>
      <c r="J20" s="923">
        <v>36285041.095890403</v>
      </c>
      <c r="L20" s="650">
        <v>44742</v>
      </c>
      <c r="M20" s="964">
        <v>1.0079199999999999</v>
      </c>
      <c r="N20" s="652">
        <f t="shared" si="0"/>
        <v>36285120</v>
      </c>
    </row>
    <row r="21" spans="1:14">
      <c r="A21" s="917" t="s">
        <v>1344</v>
      </c>
      <c r="B21" s="918" t="s">
        <v>844</v>
      </c>
      <c r="C21" s="923" t="s">
        <v>1361</v>
      </c>
      <c r="D21" s="920">
        <v>44558</v>
      </c>
      <c r="E21" s="920">
        <v>47106</v>
      </c>
      <c r="F21" s="924">
        <v>9.1499999999999998E-2</v>
      </c>
      <c r="G21" s="923">
        <v>684000000</v>
      </c>
      <c r="H21" s="923">
        <v>405694454.79452056</v>
      </c>
      <c r="I21" s="923">
        <v>405351517.80821913</v>
      </c>
      <c r="J21" s="923">
        <v>684342936.98630142</v>
      </c>
      <c r="L21" s="650">
        <v>44741</v>
      </c>
      <c r="M21" s="651">
        <v>0.98324999999999996</v>
      </c>
      <c r="N21" s="652">
        <f t="shared" si="0"/>
        <v>672543000</v>
      </c>
    </row>
    <row r="22" spans="1:14">
      <c r="A22" s="917" t="s">
        <v>1344</v>
      </c>
      <c r="B22" s="918" t="s">
        <v>844</v>
      </c>
      <c r="C22" s="923" t="s">
        <v>1361</v>
      </c>
      <c r="D22" s="920">
        <v>44558</v>
      </c>
      <c r="E22" s="920">
        <v>47106</v>
      </c>
      <c r="F22" s="924">
        <v>9.1499999999999998E-2</v>
      </c>
      <c r="G22" s="923">
        <v>1090000000</v>
      </c>
      <c r="H22" s="923">
        <v>646501397.26027381</v>
      </c>
      <c r="I22" s="923">
        <v>645954904.10958898</v>
      </c>
      <c r="J22" s="923">
        <v>1090546493.1506848</v>
      </c>
      <c r="L22" s="650">
        <v>44741</v>
      </c>
      <c r="M22" s="651">
        <v>0.98324999999999996</v>
      </c>
      <c r="N22" s="652">
        <f t="shared" si="0"/>
        <v>1071742500</v>
      </c>
    </row>
    <row r="23" spans="1:14">
      <c r="A23" s="917" t="s">
        <v>1344</v>
      </c>
      <c r="B23" s="918" t="s">
        <v>844</v>
      </c>
      <c r="C23" s="923" t="s">
        <v>1361</v>
      </c>
      <c r="D23" s="920">
        <v>44558</v>
      </c>
      <c r="E23" s="920">
        <v>47106</v>
      </c>
      <c r="F23" s="924">
        <v>9.1499999999999998E-2</v>
      </c>
      <c r="G23" s="923">
        <v>2050000000</v>
      </c>
      <c r="H23" s="923">
        <v>1215897123.2876713</v>
      </c>
      <c r="I23" s="923">
        <v>1214869315.0684931</v>
      </c>
      <c r="J23" s="923">
        <v>2051027808.219178</v>
      </c>
      <c r="L23" s="650">
        <v>44741</v>
      </c>
      <c r="M23" s="651">
        <v>0.98324999999999996</v>
      </c>
      <c r="N23" s="652">
        <f t="shared" si="0"/>
        <v>2015662500</v>
      </c>
    </row>
    <row r="24" spans="1:14">
      <c r="A24" s="917" t="s">
        <v>1344</v>
      </c>
      <c r="B24" s="918" t="s">
        <v>844</v>
      </c>
      <c r="C24" s="923" t="s">
        <v>1361</v>
      </c>
      <c r="D24" s="920">
        <v>44558</v>
      </c>
      <c r="E24" s="920">
        <v>47106</v>
      </c>
      <c r="F24" s="924">
        <v>9.1499999999999998E-2</v>
      </c>
      <c r="G24" s="923">
        <v>33000000</v>
      </c>
      <c r="H24" s="923">
        <v>19572978.082191776</v>
      </c>
      <c r="I24" s="923">
        <v>19556432.876712326</v>
      </c>
      <c r="J24" s="923">
        <v>33016545.205479454</v>
      </c>
      <c r="L24" s="650">
        <v>44741</v>
      </c>
      <c r="M24" s="651">
        <v>0.98324999999999996</v>
      </c>
      <c r="N24" s="652">
        <f t="shared" si="0"/>
        <v>32447250</v>
      </c>
    </row>
    <row r="25" spans="1:14">
      <c r="A25" s="917" t="s">
        <v>1344</v>
      </c>
      <c r="B25" s="918" t="s">
        <v>844</v>
      </c>
      <c r="C25" s="923" t="s">
        <v>1361</v>
      </c>
      <c r="D25" s="920">
        <v>44558</v>
      </c>
      <c r="E25" s="920">
        <v>47106</v>
      </c>
      <c r="F25" s="924">
        <v>9.1499999999999998E-2</v>
      </c>
      <c r="G25" s="923">
        <v>1100000000</v>
      </c>
      <c r="H25" s="923">
        <v>652432602.73972607</v>
      </c>
      <c r="I25" s="923">
        <v>651881095.8904109</v>
      </c>
      <c r="J25" s="923">
        <v>1100551506.8493152</v>
      </c>
      <c r="L25" s="650">
        <v>44741</v>
      </c>
      <c r="M25" s="651">
        <v>0.98324999999999996</v>
      </c>
      <c r="N25" s="652">
        <f t="shared" si="0"/>
        <v>1081575000</v>
      </c>
    </row>
    <row r="26" spans="1:14">
      <c r="A26" s="917" t="s">
        <v>1616</v>
      </c>
      <c r="B26" s="918" t="s">
        <v>844</v>
      </c>
      <c r="C26" s="923" t="s">
        <v>1617</v>
      </c>
      <c r="D26" s="920">
        <v>44267</v>
      </c>
      <c r="E26" s="920">
        <v>47864</v>
      </c>
      <c r="F26" s="924">
        <v>9.2499999999999999E-2</v>
      </c>
      <c r="G26" s="923">
        <v>1651000000</v>
      </c>
      <c r="H26" s="923">
        <v>1332617089.041096</v>
      </c>
      <c r="I26" s="923">
        <v>1306257630.1369863</v>
      </c>
      <c r="J26" s="923">
        <v>1677359458.9041095</v>
      </c>
      <c r="L26" s="650">
        <v>44734</v>
      </c>
      <c r="M26" s="651">
        <v>1.0039400000000001</v>
      </c>
      <c r="N26" s="652">
        <f t="shared" si="0"/>
        <v>1657504940</v>
      </c>
    </row>
    <row r="27" spans="1:14">
      <c r="A27" s="917" t="s">
        <v>1616</v>
      </c>
      <c r="B27" s="918" t="s">
        <v>844</v>
      </c>
      <c r="C27" s="923" t="s">
        <v>1617</v>
      </c>
      <c r="D27" s="920">
        <v>44267</v>
      </c>
      <c r="E27" s="920">
        <v>47864</v>
      </c>
      <c r="F27" s="924">
        <v>9.2499999999999999E-2</v>
      </c>
      <c r="G27" s="923">
        <v>1100000000</v>
      </c>
      <c r="H27" s="923">
        <v>887873287.67123294</v>
      </c>
      <c r="I27" s="923">
        <v>870310958.9041096</v>
      </c>
      <c r="J27" s="923">
        <v>1117562328.7671232</v>
      </c>
      <c r="L27" s="650">
        <v>44734</v>
      </c>
      <c r="M27" s="651">
        <v>1.0039400000000001</v>
      </c>
      <c r="N27" s="652">
        <f t="shared" si="0"/>
        <v>1104334000</v>
      </c>
    </row>
    <row r="28" spans="1:14">
      <c r="A28" s="917" t="s">
        <v>1345</v>
      </c>
      <c r="B28" s="918" t="s">
        <v>844</v>
      </c>
      <c r="C28" s="923" t="s">
        <v>1618</v>
      </c>
      <c r="D28" s="920">
        <v>44470</v>
      </c>
      <c r="E28" s="920">
        <v>46290</v>
      </c>
      <c r="F28" s="924">
        <v>0.06</v>
      </c>
      <c r="G28" s="923">
        <v>435000000</v>
      </c>
      <c r="H28" s="923">
        <v>110692602.73972604</v>
      </c>
      <c r="I28" s="923">
        <v>110692602.73972607</v>
      </c>
      <c r="J28" s="923">
        <v>435000000</v>
      </c>
      <c r="L28" s="650">
        <v>44735</v>
      </c>
      <c r="M28" s="651">
        <v>1.0138100000000001</v>
      </c>
      <c r="N28" s="652">
        <f t="shared" si="0"/>
        <v>441007350.00000006</v>
      </c>
    </row>
    <row r="29" spans="1:14">
      <c r="A29" s="917" t="s">
        <v>1345</v>
      </c>
      <c r="B29" s="918" t="s">
        <v>844</v>
      </c>
      <c r="C29" s="923" t="s">
        <v>1618</v>
      </c>
      <c r="D29" s="920">
        <v>44470</v>
      </c>
      <c r="E29" s="920">
        <v>46290</v>
      </c>
      <c r="F29" s="924">
        <v>0.06</v>
      </c>
      <c r="G29" s="923">
        <v>100000000</v>
      </c>
      <c r="H29" s="923">
        <v>25446575.342465751</v>
      </c>
      <c r="I29" s="923">
        <v>25446575.342465755</v>
      </c>
      <c r="J29" s="923">
        <v>100000000</v>
      </c>
      <c r="L29" s="650">
        <v>44735</v>
      </c>
      <c r="M29" s="651">
        <v>1.0138100000000001</v>
      </c>
      <c r="N29" s="652">
        <f t="shared" si="0"/>
        <v>101381000.00000001</v>
      </c>
    </row>
    <row r="30" spans="1:14">
      <c r="A30" s="917" t="s">
        <v>1345</v>
      </c>
      <c r="B30" s="918" t="s">
        <v>844</v>
      </c>
      <c r="C30" s="923" t="s">
        <v>1619</v>
      </c>
      <c r="D30" s="920">
        <v>44470</v>
      </c>
      <c r="E30" s="920">
        <v>47025</v>
      </c>
      <c r="F30" s="924">
        <v>6.7000000000000004E-2</v>
      </c>
      <c r="G30" s="923">
        <v>304000000</v>
      </c>
      <c r="H30" s="923">
        <v>127397654.79452057</v>
      </c>
      <c r="I30" s="923">
        <v>127397654.79452054</v>
      </c>
      <c r="J30" s="923">
        <v>304000000</v>
      </c>
      <c r="L30" s="650">
        <v>44741</v>
      </c>
      <c r="M30" s="651">
        <v>1.0053300000000001</v>
      </c>
      <c r="N30" s="652">
        <f t="shared" si="0"/>
        <v>305620320</v>
      </c>
    </row>
    <row r="31" spans="1:14">
      <c r="A31" s="917" t="s">
        <v>1345</v>
      </c>
      <c r="B31" s="918" t="s">
        <v>844</v>
      </c>
      <c r="C31" s="923" t="s">
        <v>1619</v>
      </c>
      <c r="D31" s="920">
        <v>44470</v>
      </c>
      <c r="E31" s="920">
        <v>47025</v>
      </c>
      <c r="F31" s="924">
        <v>6.7000000000000004E-2</v>
      </c>
      <c r="G31" s="923">
        <v>2300000000</v>
      </c>
      <c r="H31" s="923">
        <v>963863835.61643839</v>
      </c>
      <c r="I31" s="923">
        <v>963863835.61643839</v>
      </c>
      <c r="J31" s="923">
        <v>2300000000</v>
      </c>
      <c r="L31" s="650">
        <v>44741</v>
      </c>
      <c r="M31" s="651">
        <v>1.0053300000000001</v>
      </c>
      <c r="N31" s="652">
        <f>+G31*M31</f>
        <v>2312259000</v>
      </c>
    </row>
    <row r="32" spans="1:14" ht="14.4" thickBot="1">
      <c r="C32" s="653"/>
      <c r="G32" s="654">
        <f>+SUM(G9:G31)</f>
        <v>13718000000</v>
      </c>
      <c r="H32" s="654">
        <f>+SUM(H9:H31)</f>
        <v>7849932410.959074</v>
      </c>
      <c r="I32" s="654">
        <f>+SUM(I9:I31)</f>
        <v>7771188483.5616436</v>
      </c>
      <c r="J32" s="654">
        <f>+SUM(J9:J31)</f>
        <v>13796743927.397434</v>
      </c>
    </row>
    <row r="33" spans="1:14" ht="14.4" thickTop="1">
      <c r="C33" s="653"/>
      <c r="G33" s="655"/>
      <c r="H33" s="655"/>
      <c r="I33" s="655"/>
      <c r="J33" s="655"/>
    </row>
    <row r="34" spans="1:14">
      <c r="A34" s="646" t="s">
        <v>1362</v>
      </c>
      <c r="B34" s="647"/>
      <c r="C34" s="648"/>
      <c r="D34" s="647"/>
      <c r="E34" s="647"/>
      <c r="F34" s="647"/>
      <c r="G34" s="647"/>
      <c r="H34" s="647"/>
      <c r="I34" s="647"/>
      <c r="J34" s="647"/>
      <c r="L34" s="647"/>
      <c r="M34" s="649"/>
      <c r="N34" s="649"/>
    </row>
    <row r="35" spans="1:14">
      <c r="A35" s="912" t="s">
        <v>523</v>
      </c>
      <c r="B35" s="913" t="s">
        <v>844</v>
      </c>
      <c r="C35" s="928" t="s">
        <v>1211</v>
      </c>
      <c r="D35" s="915">
        <v>44182</v>
      </c>
      <c r="E35" s="915">
        <v>46007</v>
      </c>
      <c r="F35" s="929">
        <v>6.0999999999999999E-2</v>
      </c>
      <c r="G35" s="928">
        <v>700000000</v>
      </c>
      <c r="H35" s="928">
        <v>149508493</v>
      </c>
      <c r="I35" s="928">
        <v>147987671</v>
      </c>
      <c r="J35" s="914">
        <f>+G35+H35-I35</f>
        <v>701520822</v>
      </c>
      <c r="L35" s="650">
        <v>44741</v>
      </c>
      <c r="M35" s="651">
        <v>1.00499</v>
      </c>
      <c r="N35" s="652">
        <f>+G35*M35</f>
        <v>703493000</v>
      </c>
    </row>
    <row r="36" spans="1:14" ht="14.4" thickBot="1">
      <c r="B36" s="656"/>
      <c r="C36" s="657"/>
      <c r="D36" s="658"/>
      <c r="E36" s="658"/>
      <c r="F36" s="639"/>
      <c r="G36" s="654">
        <f>+SUM(G35)</f>
        <v>700000000</v>
      </c>
      <c r="H36" s="654">
        <f>+SUM(H35)</f>
        <v>149508493</v>
      </c>
      <c r="I36" s="654">
        <f>+SUM(I35)</f>
        <v>147987671</v>
      </c>
      <c r="J36" s="654">
        <f>+SUM(J35)</f>
        <v>701520822</v>
      </c>
      <c r="L36" s="658"/>
    </row>
    <row r="37" spans="1:14" ht="14.4" thickTop="1">
      <c r="B37" s="656"/>
      <c r="C37" s="657"/>
      <c r="D37" s="658"/>
      <c r="E37" s="658"/>
      <c r="F37" s="639"/>
      <c r="G37" s="659"/>
      <c r="H37" s="659"/>
      <c r="I37" s="659"/>
      <c r="J37" s="659"/>
      <c r="L37" s="658"/>
    </row>
    <row r="38" spans="1:14">
      <c r="A38" s="646" t="s">
        <v>1620</v>
      </c>
      <c r="B38" s="647"/>
      <c r="C38" s="648"/>
      <c r="D38" s="647"/>
      <c r="E38" s="647"/>
      <c r="F38" s="647"/>
      <c r="G38" s="647"/>
      <c r="H38" s="647"/>
      <c r="I38" s="647"/>
      <c r="J38" s="647"/>
      <c r="L38" s="647"/>
      <c r="M38" s="660"/>
      <c r="N38" s="660"/>
    </row>
    <row r="39" spans="1:14">
      <c r="A39" s="912" t="s">
        <v>1522</v>
      </c>
      <c r="B39" s="913" t="s">
        <v>845</v>
      </c>
      <c r="C39" s="928" t="s">
        <v>1621</v>
      </c>
      <c r="D39" s="915">
        <v>43559</v>
      </c>
      <c r="E39" s="915">
        <v>45386</v>
      </c>
      <c r="F39" s="929">
        <v>6.25E-2</v>
      </c>
      <c r="G39" s="927">
        <v>1000</v>
      </c>
      <c r="H39" s="927">
        <v>110.27397260273972</v>
      </c>
      <c r="I39" s="927">
        <v>110.27397260273973</v>
      </c>
      <c r="J39" s="930">
        <f>+G39+H39-I39</f>
        <v>1000.0000000000001</v>
      </c>
      <c r="L39" s="650">
        <v>44741</v>
      </c>
      <c r="M39" s="651">
        <v>1.0364100000000001</v>
      </c>
      <c r="N39" s="661">
        <f>+G39*M39</f>
        <v>1036.4100000000001</v>
      </c>
    </row>
    <row r="40" spans="1:14" ht="14.4" thickBot="1">
      <c r="B40" s="656"/>
      <c r="C40" s="657"/>
      <c r="D40" s="658"/>
      <c r="E40" s="658"/>
      <c r="F40" s="639"/>
      <c r="G40" s="662">
        <f>+SUM(G39)</f>
        <v>1000</v>
      </c>
      <c r="H40" s="662">
        <f>+SUM(H39)</f>
        <v>110.27397260273972</v>
      </c>
      <c r="I40" s="662">
        <f>+SUM(I39)</f>
        <v>110.27397260273973</v>
      </c>
      <c r="J40" s="662">
        <f>+SUM(J39)</f>
        <v>1000.0000000000001</v>
      </c>
      <c r="L40" s="658"/>
      <c r="M40" s="658"/>
      <c r="N40" s="658"/>
    </row>
    <row r="41" spans="1:14" ht="14.4" thickTop="1">
      <c r="B41" s="656"/>
      <c r="C41" s="657"/>
      <c r="D41" s="658"/>
      <c r="E41" s="658"/>
      <c r="F41" s="639"/>
      <c r="G41" s="659"/>
      <c r="H41" s="659"/>
      <c r="I41" s="659"/>
      <c r="J41" s="659"/>
      <c r="L41" s="658"/>
      <c r="M41" s="663"/>
      <c r="N41" s="663"/>
    </row>
    <row r="42" spans="1:14">
      <c r="A42" s="646" t="s">
        <v>1363</v>
      </c>
      <c r="B42" s="647"/>
      <c r="C42" s="648"/>
      <c r="D42" s="647"/>
      <c r="E42" s="647"/>
      <c r="F42" s="647"/>
      <c r="G42" s="647"/>
      <c r="H42" s="647"/>
      <c r="I42" s="647"/>
      <c r="J42" s="647"/>
      <c r="L42" s="647"/>
      <c r="M42" s="649"/>
      <c r="N42" s="649"/>
    </row>
    <row r="43" spans="1:14">
      <c r="A43" s="912" t="s">
        <v>1147</v>
      </c>
      <c r="B43" s="913" t="s">
        <v>844</v>
      </c>
      <c r="C43" s="914" t="s">
        <v>1146</v>
      </c>
      <c r="D43" s="915">
        <v>43397</v>
      </c>
      <c r="E43" s="915">
        <v>47050</v>
      </c>
      <c r="F43" s="916">
        <v>7.9000000000000001E-2</v>
      </c>
      <c r="G43" s="914">
        <v>75000000</v>
      </c>
      <c r="H43" s="914">
        <v>38512500</v>
      </c>
      <c r="I43" s="914">
        <v>37209041.266831771</v>
      </c>
      <c r="J43" s="914">
        <f>+G43+H43-I43</f>
        <v>76303458.733168229</v>
      </c>
      <c r="L43" s="650">
        <v>44729</v>
      </c>
      <c r="M43" s="651">
        <v>0.85</v>
      </c>
      <c r="N43" s="652">
        <f>+G43*M43</f>
        <v>63750000</v>
      </c>
    </row>
    <row r="44" spans="1:14">
      <c r="A44" s="912" t="s">
        <v>1147</v>
      </c>
      <c r="B44" s="913" t="s">
        <v>844</v>
      </c>
      <c r="C44" s="914" t="s">
        <v>1622</v>
      </c>
      <c r="D44" s="915">
        <v>43271</v>
      </c>
      <c r="E44" s="915">
        <v>45828</v>
      </c>
      <c r="F44" s="916">
        <v>7.7499999999999999E-2</v>
      </c>
      <c r="G44" s="914">
        <v>300000000</v>
      </c>
      <c r="H44" s="914">
        <v>69750000</v>
      </c>
      <c r="I44" s="914">
        <v>69145316.076581076</v>
      </c>
      <c r="J44" s="914">
        <f>+G44+H44-I44</f>
        <v>300604683.92341894</v>
      </c>
      <c r="L44" s="650">
        <v>44736</v>
      </c>
      <c r="M44" s="651">
        <v>0.96848000000000001</v>
      </c>
      <c r="N44" s="652">
        <f>+G44*M44</f>
        <v>290544000</v>
      </c>
    </row>
    <row r="45" spans="1:14" ht="14.4" thickBot="1">
      <c r="B45" s="656"/>
      <c r="C45" s="657"/>
      <c r="D45" s="658"/>
      <c r="E45" s="658"/>
      <c r="F45" s="639"/>
      <c r="G45" s="654">
        <f>+SUM(G43:G44)</f>
        <v>375000000</v>
      </c>
      <c r="H45" s="654">
        <f t="shared" ref="H45:J45" si="1">+SUM(H43:H44)</f>
        <v>108262500</v>
      </c>
      <c r="I45" s="654">
        <f t="shared" si="1"/>
        <v>106354357.34341285</v>
      </c>
      <c r="J45" s="654">
        <f t="shared" si="1"/>
        <v>376908142.65658718</v>
      </c>
    </row>
    <row r="46" spans="1:14" ht="14.4" thickTop="1">
      <c r="B46" s="656"/>
      <c r="C46" s="664"/>
      <c r="D46" s="665"/>
      <c r="E46" s="665"/>
      <c r="F46" s="666"/>
      <c r="G46" s="667"/>
      <c r="H46" s="667"/>
      <c r="I46" s="667"/>
      <c r="J46" s="667"/>
    </row>
    <row r="47" spans="1:14">
      <c r="B47" s="656"/>
      <c r="C47" s="664"/>
      <c r="D47" s="665"/>
      <c r="E47" s="665"/>
      <c r="F47" s="666"/>
      <c r="G47" s="667"/>
      <c r="H47" s="667"/>
      <c r="I47" s="667"/>
      <c r="J47" s="667"/>
      <c r="L47" s="665"/>
      <c r="M47" s="668"/>
      <c r="N47" s="668"/>
    </row>
    <row r="48" spans="1:14">
      <c r="A48" s="646" t="s">
        <v>1364</v>
      </c>
      <c r="B48" s="647"/>
      <c r="C48" s="648"/>
      <c r="D48" s="647"/>
      <c r="E48" s="647"/>
      <c r="F48" s="647"/>
      <c r="G48" s="647"/>
      <c r="H48" s="647"/>
      <c r="I48" s="647"/>
      <c r="J48" s="647"/>
      <c r="L48" s="647"/>
      <c r="M48" s="649"/>
      <c r="N48" s="649"/>
    </row>
    <row r="49" spans="1:14">
      <c r="A49" s="912" t="s">
        <v>1346</v>
      </c>
      <c r="B49" s="913" t="s">
        <v>845</v>
      </c>
      <c r="C49" s="914" t="s">
        <v>1623</v>
      </c>
      <c r="D49" s="915">
        <v>44104</v>
      </c>
      <c r="E49" s="915">
        <v>47753</v>
      </c>
      <c r="F49" s="929">
        <v>6.5000000000000002E-2</v>
      </c>
      <c r="G49" s="927">
        <v>5000</v>
      </c>
      <c r="H49" s="927">
        <v>2762.9452054794519</v>
      </c>
      <c r="I49" s="927">
        <v>2681.027397260274</v>
      </c>
      <c r="J49" s="927">
        <f>+G49+H49-I49</f>
        <v>5081.9178082191775</v>
      </c>
      <c r="K49" s="669"/>
      <c r="L49" s="650">
        <v>44708</v>
      </c>
      <c r="M49" s="651">
        <v>1.01033</v>
      </c>
      <c r="N49" s="661">
        <f>+G49*M49</f>
        <v>5051.6499999999996</v>
      </c>
    </row>
    <row r="50" spans="1:14">
      <c r="A50" s="912" t="s">
        <v>1346</v>
      </c>
      <c r="B50" s="913" t="s">
        <v>845</v>
      </c>
      <c r="C50" s="928" t="s">
        <v>1623</v>
      </c>
      <c r="D50" s="915">
        <v>44104</v>
      </c>
      <c r="E50" s="915">
        <v>47753</v>
      </c>
      <c r="F50" s="929">
        <v>6.5000000000000002E-2</v>
      </c>
      <c r="G50" s="927">
        <v>29000</v>
      </c>
      <c r="H50" s="927">
        <v>2801.678082191781</v>
      </c>
      <c r="I50" s="927">
        <v>2444.5410958904108</v>
      </c>
      <c r="J50" s="927">
        <f>+G50+H50-I50</f>
        <v>29357.136986301372</v>
      </c>
      <c r="K50" s="669"/>
      <c r="L50" s="650">
        <v>44708</v>
      </c>
      <c r="M50" s="651">
        <v>1.01033</v>
      </c>
      <c r="N50" s="661">
        <f>+G50*M50</f>
        <v>29299.57</v>
      </c>
    </row>
    <row r="51" spans="1:14" ht="14.4" thickBot="1">
      <c r="B51" s="656"/>
      <c r="C51" s="657"/>
      <c r="D51" s="658"/>
      <c r="E51" s="658"/>
      <c r="F51" s="639"/>
      <c r="G51" s="662">
        <f>+SUM(G49:G50)</f>
        <v>34000</v>
      </c>
      <c r="H51" s="662">
        <f t="shared" ref="H51:J51" si="2">+SUM(H49:H50)</f>
        <v>5564.6232876712329</v>
      </c>
      <c r="I51" s="662">
        <f t="shared" si="2"/>
        <v>5125.5684931506848</v>
      </c>
      <c r="J51" s="662">
        <f t="shared" si="2"/>
        <v>34439.054794520547</v>
      </c>
      <c r="K51" s="669"/>
    </row>
    <row r="52" spans="1:14" ht="14.4" thickTop="1">
      <c r="B52" s="656"/>
      <c r="C52" s="657"/>
      <c r="D52" s="658"/>
      <c r="E52" s="658"/>
      <c r="F52" s="639"/>
      <c r="G52" s="668"/>
      <c r="H52" s="668"/>
      <c r="I52" s="668"/>
      <c r="J52" s="668"/>
      <c r="K52" s="669"/>
    </row>
    <row r="53" spans="1:14">
      <c r="A53" s="646" t="s">
        <v>1627</v>
      </c>
      <c r="B53" s="647"/>
      <c r="C53" s="648"/>
      <c r="D53" s="647"/>
      <c r="E53" s="647"/>
      <c r="F53" s="647"/>
      <c r="G53" s="647"/>
      <c r="H53" s="647"/>
      <c r="I53" s="647"/>
      <c r="J53" s="647"/>
      <c r="L53" s="647"/>
      <c r="M53" s="649"/>
      <c r="N53" s="649"/>
    </row>
    <row r="54" spans="1:14">
      <c r="A54" s="912" t="s">
        <v>1522</v>
      </c>
      <c r="B54" s="913" t="s">
        <v>845</v>
      </c>
      <c r="C54" s="928" t="s">
        <v>1624</v>
      </c>
      <c r="D54" s="915">
        <v>43999</v>
      </c>
      <c r="E54" s="915">
        <v>46190</v>
      </c>
      <c r="F54" s="929">
        <v>6.1499999999999999E-2</v>
      </c>
      <c r="G54" s="927">
        <v>5000</v>
      </c>
      <c r="H54" s="927">
        <v>1232.527397260274</v>
      </c>
      <c r="I54" s="927">
        <v>1219.8904109589039</v>
      </c>
      <c r="J54" s="927">
        <f>+G54+H54-I54</f>
        <v>5012.6369863013697</v>
      </c>
      <c r="K54" s="669"/>
      <c r="L54" s="650">
        <v>44705</v>
      </c>
      <c r="M54" s="651">
        <v>1.01163</v>
      </c>
      <c r="N54" s="661">
        <f>+G54*M54</f>
        <v>5058.1500000000005</v>
      </c>
    </row>
    <row r="55" spans="1:14">
      <c r="A55" s="912" t="s">
        <v>1522</v>
      </c>
      <c r="B55" s="913" t="s">
        <v>845</v>
      </c>
      <c r="C55" s="928" t="s">
        <v>1625</v>
      </c>
      <c r="D55" s="915">
        <v>44007</v>
      </c>
      <c r="E55" s="915">
        <v>46198</v>
      </c>
      <c r="F55" s="929">
        <v>6.1499999999999999E-2</v>
      </c>
      <c r="G55" s="927">
        <v>1000</v>
      </c>
      <c r="H55" s="927">
        <v>246.50547945205477</v>
      </c>
      <c r="I55" s="927">
        <v>245.32602739726025</v>
      </c>
      <c r="J55" s="927">
        <f>+G55+H55-I55</f>
        <v>1001.1794520547944</v>
      </c>
      <c r="K55" s="669"/>
      <c r="L55" s="650">
        <v>44705</v>
      </c>
      <c r="M55" s="651">
        <v>1.0102800000000001</v>
      </c>
      <c r="N55" s="661">
        <f>+G55*M55</f>
        <v>1010.2800000000001</v>
      </c>
    </row>
    <row r="56" spans="1:14">
      <c r="A56" s="912" t="s">
        <v>1522</v>
      </c>
      <c r="B56" s="913" t="s">
        <v>845</v>
      </c>
      <c r="C56" s="928" t="s">
        <v>1626</v>
      </c>
      <c r="D56" s="915">
        <v>43888</v>
      </c>
      <c r="E56" s="915">
        <v>45715</v>
      </c>
      <c r="F56" s="929">
        <v>5.7500000000000002E-2</v>
      </c>
      <c r="G56" s="927">
        <v>7000</v>
      </c>
      <c r="H56" s="927">
        <v>1111.5616438356167</v>
      </c>
      <c r="I56" s="927">
        <v>1072.9657534246576</v>
      </c>
      <c r="J56" s="927">
        <f>+G56+H56-I56</f>
        <v>7038.5958904109593</v>
      </c>
      <c r="K56" s="669"/>
      <c r="L56" s="650">
        <v>44721</v>
      </c>
      <c r="M56" s="651">
        <v>1.0220499999999999</v>
      </c>
      <c r="N56" s="661">
        <f>+G56*M56</f>
        <v>7154.3499999999995</v>
      </c>
    </row>
    <row r="57" spans="1:14" ht="14.4" thickBot="1">
      <c r="B57" s="656"/>
      <c r="C57" s="657"/>
      <c r="D57" s="658"/>
      <c r="E57" s="658"/>
      <c r="F57" s="639"/>
      <c r="G57" s="662">
        <f>+SUM(G54:G56)</f>
        <v>13000</v>
      </c>
      <c r="H57" s="662">
        <f t="shared" ref="H57:J57" si="3">+SUM(H54:H56)</f>
        <v>2590.5945205479456</v>
      </c>
      <c r="I57" s="662">
        <f t="shared" si="3"/>
        <v>2538.182191780822</v>
      </c>
      <c r="J57" s="662">
        <f t="shared" si="3"/>
        <v>13052.412328767125</v>
      </c>
      <c r="K57" s="669"/>
    </row>
    <row r="58" spans="1:14" ht="14.4" thickTop="1">
      <c r="B58" s="656"/>
      <c r="C58" s="670"/>
      <c r="D58" s="665"/>
      <c r="E58" s="665"/>
      <c r="F58" s="671"/>
      <c r="G58" s="672"/>
      <c r="H58" s="672"/>
      <c r="I58" s="672"/>
      <c r="J58" s="672"/>
    </row>
    <row r="59" spans="1:14">
      <c r="A59" s="646" t="s">
        <v>1365</v>
      </c>
      <c r="B59" s="647"/>
      <c r="C59" s="648"/>
      <c r="D59" s="647"/>
      <c r="E59" s="647"/>
      <c r="F59" s="647"/>
      <c r="G59" s="647"/>
      <c r="H59" s="647"/>
      <c r="I59" s="647"/>
      <c r="J59" s="647"/>
      <c r="L59" s="647"/>
      <c r="M59" s="649"/>
      <c r="N59" s="649"/>
    </row>
    <row r="60" spans="1:14">
      <c r="A60" s="912" t="s">
        <v>1339</v>
      </c>
      <c r="B60" s="913" t="s">
        <v>844</v>
      </c>
      <c r="C60" s="914" t="s">
        <v>1366</v>
      </c>
      <c r="D60" s="915">
        <v>44532</v>
      </c>
      <c r="E60" s="915">
        <v>45264</v>
      </c>
      <c r="F60" s="916">
        <v>6.7500000000000004E-2</v>
      </c>
      <c r="G60" s="914">
        <v>100000000</v>
      </c>
      <c r="H60" s="914">
        <v>10152740.301369863</v>
      </c>
      <c r="I60" s="914">
        <v>9653424.6575342622</v>
      </c>
      <c r="J60" s="914">
        <f t="shared" ref="J60:J92" si="4">+G60+H60-I60</f>
        <v>100499315.6438356</v>
      </c>
      <c r="L60" s="650" t="s">
        <v>281</v>
      </c>
      <c r="M60" s="650" t="s">
        <v>281</v>
      </c>
      <c r="N60" s="673">
        <f>+J60</f>
        <v>100499315.6438356</v>
      </c>
    </row>
    <row r="61" spans="1:14">
      <c r="A61" s="912" t="s">
        <v>1339</v>
      </c>
      <c r="B61" s="913" t="s">
        <v>844</v>
      </c>
      <c r="C61" s="914" t="s">
        <v>1367</v>
      </c>
      <c r="D61" s="915">
        <v>44532</v>
      </c>
      <c r="E61" s="915">
        <v>45264</v>
      </c>
      <c r="F61" s="916">
        <v>6.7500000000000004E-2</v>
      </c>
      <c r="G61" s="914">
        <v>100000000</v>
      </c>
      <c r="H61" s="914">
        <v>10152740.301369863</v>
      </c>
      <c r="I61" s="914">
        <v>9653424.6575342622</v>
      </c>
      <c r="J61" s="914">
        <f t="shared" si="4"/>
        <v>100499315.6438356</v>
      </c>
      <c r="L61" s="650" t="s">
        <v>281</v>
      </c>
      <c r="M61" s="650" t="s">
        <v>281</v>
      </c>
      <c r="N61" s="673">
        <f t="shared" ref="N61:N75" si="5">+J61</f>
        <v>100499315.6438356</v>
      </c>
    </row>
    <row r="62" spans="1:14">
      <c r="A62" s="912" t="s">
        <v>1339</v>
      </c>
      <c r="B62" s="913" t="s">
        <v>844</v>
      </c>
      <c r="C62" s="914" t="s">
        <v>1572</v>
      </c>
      <c r="D62" s="915">
        <v>44216</v>
      </c>
      <c r="E62" s="915">
        <v>45313</v>
      </c>
      <c r="F62" s="916">
        <v>7.7499999999999999E-2</v>
      </c>
      <c r="G62" s="914">
        <v>100000000</v>
      </c>
      <c r="H62" s="914">
        <v>14365810.315068495</v>
      </c>
      <c r="I62" s="914">
        <v>12123972.602739727</v>
      </c>
      <c r="J62" s="914">
        <f t="shared" si="4"/>
        <v>102241837.71232878</v>
      </c>
      <c r="L62" s="650" t="s">
        <v>281</v>
      </c>
      <c r="M62" s="650" t="s">
        <v>281</v>
      </c>
      <c r="N62" s="673">
        <f t="shared" si="5"/>
        <v>102241837.71232878</v>
      </c>
    </row>
    <row r="63" spans="1:14">
      <c r="A63" s="912" t="s">
        <v>1339</v>
      </c>
      <c r="B63" s="913" t="s">
        <v>844</v>
      </c>
      <c r="C63" s="914" t="s">
        <v>1573</v>
      </c>
      <c r="D63" s="915">
        <v>44216</v>
      </c>
      <c r="E63" s="915">
        <v>45313</v>
      </c>
      <c r="F63" s="916">
        <v>7.7499999999999999E-2</v>
      </c>
      <c r="G63" s="914">
        <v>100000000</v>
      </c>
      <c r="H63" s="914">
        <v>14365810.315068493</v>
      </c>
      <c r="I63" s="914">
        <v>12123972.602739725</v>
      </c>
      <c r="J63" s="914">
        <f t="shared" si="4"/>
        <v>102241837.71232878</v>
      </c>
      <c r="L63" s="650" t="s">
        <v>281</v>
      </c>
      <c r="M63" s="650" t="s">
        <v>281</v>
      </c>
      <c r="N63" s="673">
        <f t="shared" si="5"/>
        <v>102241837.71232878</v>
      </c>
    </row>
    <row r="64" spans="1:14">
      <c r="A64" s="912" t="s">
        <v>1339</v>
      </c>
      <c r="B64" s="913" t="s">
        <v>844</v>
      </c>
      <c r="C64" s="914" t="s">
        <v>1574</v>
      </c>
      <c r="D64" s="915">
        <v>44216</v>
      </c>
      <c r="E64" s="915">
        <v>45313</v>
      </c>
      <c r="F64" s="916">
        <v>7.7499999999999999E-2</v>
      </c>
      <c r="G64" s="914">
        <v>100000000</v>
      </c>
      <c r="H64" s="914">
        <v>14365810.315068493</v>
      </c>
      <c r="I64" s="914">
        <v>12123972.602739725</v>
      </c>
      <c r="J64" s="914">
        <f t="shared" si="4"/>
        <v>102241837.71232878</v>
      </c>
      <c r="L64" s="650" t="s">
        <v>281</v>
      </c>
      <c r="M64" s="650" t="s">
        <v>281</v>
      </c>
      <c r="N64" s="673">
        <f t="shared" si="5"/>
        <v>102241837.71232878</v>
      </c>
    </row>
    <row r="65" spans="1:14">
      <c r="A65" s="912" t="s">
        <v>1339</v>
      </c>
      <c r="B65" s="913" t="s">
        <v>844</v>
      </c>
      <c r="C65" s="914" t="s">
        <v>1575</v>
      </c>
      <c r="D65" s="915">
        <v>44216</v>
      </c>
      <c r="E65" s="915">
        <v>45313</v>
      </c>
      <c r="F65" s="916">
        <v>7.7499999999999999E-2</v>
      </c>
      <c r="G65" s="914">
        <v>100000000</v>
      </c>
      <c r="H65" s="914">
        <v>14365810.315068493</v>
      </c>
      <c r="I65" s="914">
        <v>12123972.602739725</v>
      </c>
      <c r="J65" s="914">
        <f t="shared" si="4"/>
        <v>102241837.71232878</v>
      </c>
      <c r="L65" s="650" t="s">
        <v>281</v>
      </c>
      <c r="M65" s="650" t="s">
        <v>281</v>
      </c>
      <c r="N65" s="673">
        <f t="shared" si="5"/>
        <v>102241837.71232878</v>
      </c>
    </row>
    <row r="66" spans="1:14">
      <c r="A66" s="912" t="s">
        <v>1339</v>
      </c>
      <c r="B66" s="913" t="s">
        <v>844</v>
      </c>
      <c r="C66" s="914" t="s">
        <v>1576</v>
      </c>
      <c r="D66" s="915">
        <v>44216</v>
      </c>
      <c r="E66" s="915">
        <v>45313</v>
      </c>
      <c r="F66" s="916">
        <v>7.7499999999999999E-2</v>
      </c>
      <c r="G66" s="914">
        <v>100000000</v>
      </c>
      <c r="H66" s="914">
        <v>14365810.315068493</v>
      </c>
      <c r="I66" s="914">
        <v>12123972.602739725</v>
      </c>
      <c r="J66" s="914">
        <f t="shared" si="4"/>
        <v>102241837.71232878</v>
      </c>
      <c r="L66" s="650" t="s">
        <v>281</v>
      </c>
      <c r="M66" s="650" t="s">
        <v>281</v>
      </c>
      <c r="N66" s="673">
        <f t="shared" si="5"/>
        <v>102241837.71232878</v>
      </c>
    </row>
    <row r="67" spans="1:14">
      <c r="A67" s="912" t="s">
        <v>1339</v>
      </c>
      <c r="B67" s="913" t="s">
        <v>844</v>
      </c>
      <c r="C67" s="914" t="s">
        <v>1577</v>
      </c>
      <c r="D67" s="915">
        <v>44216</v>
      </c>
      <c r="E67" s="915">
        <v>44949</v>
      </c>
      <c r="F67" s="916">
        <v>7.2499999999999995E-2</v>
      </c>
      <c r="G67" s="914">
        <v>150000000</v>
      </c>
      <c r="H67" s="914">
        <v>9307062.3013698626</v>
      </c>
      <c r="I67" s="914">
        <v>6167465.7534246575</v>
      </c>
      <c r="J67" s="914">
        <f t="shared" si="4"/>
        <v>153139596.54794523</v>
      </c>
      <c r="L67" s="650" t="s">
        <v>281</v>
      </c>
      <c r="M67" s="650" t="s">
        <v>281</v>
      </c>
      <c r="N67" s="673">
        <f t="shared" si="5"/>
        <v>153139596.54794523</v>
      </c>
    </row>
    <row r="68" spans="1:14">
      <c r="A68" s="912" t="s">
        <v>1339</v>
      </c>
      <c r="B68" s="913" t="s">
        <v>844</v>
      </c>
      <c r="C68" s="914" t="s">
        <v>1578</v>
      </c>
      <c r="D68" s="915">
        <v>44216</v>
      </c>
      <c r="E68" s="915">
        <v>44949</v>
      </c>
      <c r="F68" s="916">
        <v>7.2499999999999995E-2</v>
      </c>
      <c r="G68" s="914">
        <v>250000000</v>
      </c>
      <c r="H68" s="914">
        <v>13724100.602739725</v>
      </c>
      <c r="I68" s="914">
        <v>10279109.589041095</v>
      </c>
      <c r="J68" s="914">
        <f t="shared" si="4"/>
        <v>253444991.01369864</v>
      </c>
      <c r="L68" s="650" t="s">
        <v>281</v>
      </c>
      <c r="M68" s="650" t="s">
        <v>281</v>
      </c>
      <c r="N68" s="673">
        <f t="shared" si="5"/>
        <v>253444991.01369864</v>
      </c>
    </row>
    <row r="69" spans="1:14">
      <c r="A69" s="912" t="s">
        <v>1339</v>
      </c>
      <c r="B69" s="913" t="s">
        <v>844</v>
      </c>
      <c r="C69" s="914" t="s">
        <v>1579</v>
      </c>
      <c r="D69" s="915">
        <v>44216</v>
      </c>
      <c r="E69" s="915">
        <v>44949</v>
      </c>
      <c r="F69" s="916">
        <v>7.2499999999999995E-2</v>
      </c>
      <c r="G69" s="914">
        <v>250000000</v>
      </c>
      <c r="H69" s="914">
        <v>13724100.602739725</v>
      </c>
      <c r="I69" s="914">
        <v>10279109.589041095</v>
      </c>
      <c r="J69" s="914">
        <f t="shared" si="4"/>
        <v>253444991.01369864</v>
      </c>
      <c r="L69" s="650" t="s">
        <v>281</v>
      </c>
      <c r="M69" s="650" t="s">
        <v>281</v>
      </c>
      <c r="N69" s="673">
        <f t="shared" si="5"/>
        <v>253444991.01369864</v>
      </c>
    </row>
    <row r="70" spans="1:14">
      <c r="A70" s="912" t="s">
        <v>1339</v>
      </c>
      <c r="B70" s="913" t="s">
        <v>844</v>
      </c>
      <c r="C70" s="914" t="s">
        <v>1580</v>
      </c>
      <c r="D70" s="915">
        <v>44216</v>
      </c>
      <c r="E70" s="915">
        <v>44949</v>
      </c>
      <c r="F70" s="916">
        <v>7.2499999999999995E-2</v>
      </c>
      <c r="G70" s="914">
        <v>250000000</v>
      </c>
      <c r="H70" s="914">
        <v>13724100.602739725</v>
      </c>
      <c r="I70" s="914">
        <v>10279109.589041095</v>
      </c>
      <c r="J70" s="914">
        <f t="shared" si="4"/>
        <v>253444991.01369864</v>
      </c>
      <c r="L70" s="650" t="s">
        <v>281</v>
      </c>
      <c r="M70" s="650" t="s">
        <v>281</v>
      </c>
      <c r="N70" s="673">
        <f t="shared" si="5"/>
        <v>253444991.01369864</v>
      </c>
    </row>
    <row r="71" spans="1:14">
      <c r="A71" s="912" t="s">
        <v>1339</v>
      </c>
      <c r="B71" s="913" t="s">
        <v>844</v>
      </c>
      <c r="C71" s="914" t="s">
        <v>1581</v>
      </c>
      <c r="D71" s="915">
        <v>44216</v>
      </c>
      <c r="E71" s="915">
        <v>44949</v>
      </c>
      <c r="F71" s="916">
        <v>7.2499999999999995E-2</v>
      </c>
      <c r="G71" s="914">
        <v>250000000</v>
      </c>
      <c r="H71" s="914">
        <v>13724100.602739725</v>
      </c>
      <c r="I71" s="914">
        <v>10279109.589041095</v>
      </c>
      <c r="J71" s="914">
        <f t="shared" si="4"/>
        <v>253444991.01369864</v>
      </c>
      <c r="L71" s="650" t="s">
        <v>281</v>
      </c>
      <c r="M71" s="650" t="s">
        <v>281</v>
      </c>
      <c r="N71" s="673">
        <f t="shared" si="5"/>
        <v>253444991.01369864</v>
      </c>
    </row>
    <row r="72" spans="1:14">
      <c r="A72" s="912" t="s">
        <v>1339</v>
      </c>
      <c r="B72" s="913" t="s">
        <v>844</v>
      </c>
      <c r="C72" s="914" t="s">
        <v>1582</v>
      </c>
      <c r="D72" s="915">
        <v>44216</v>
      </c>
      <c r="E72" s="915">
        <v>44949</v>
      </c>
      <c r="F72" s="916">
        <v>7.2499999999999995E-2</v>
      </c>
      <c r="G72" s="914">
        <v>200000000</v>
      </c>
      <c r="H72" s="914">
        <v>12409418.06849315</v>
      </c>
      <c r="I72" s="914">
        <v>8223287.6712328764</v>
      </c>
      <c r="J72" s="914">
        <f t="shared" si="4"/>
        <v>204186130.39726028</v>
      </c>
      <c r="L72" s="650" t="s">
        <v>281</v>
      </c>
      <c r="M72" s="650" t="s">
        <v>281</v>
      </c>
      <c r="N72" s="673">
        <f t="shared" si="5"/>
        <v>204186130.39726028</v>
      </c>
    </row>
    <row r="73" spans="1:14">
      <c r="A73" s="912" t="s">
        <v>1339</v>
      </c>
      <c r="B73" s="913" t="s">
        <v>844</v>
      </c>
      <c r="C73" s="914" t="s">
        <v>1583</v>
      </c>
      <c r="D73" s="915">
        <v>44216</v>
      </c>
      <c r="E73" s="915">
        <v>45313</v>
      </c>
      <c r="F73" s="916">
        <v>7.7499999999999999E-2</v>
      </c>
      <c r="G73" s="914">
        <v>100000000</v>
      </c>
      <c r="H73" s="914">
        <v>14365810.315068495</v>
      </c>
      <c r="I73" s="914">
        <v>12123972.602739725</v>
      </c>
      <c r="J73" s="914">
        <f t="shared" si="4"/>
        <v>102241837.71232878</v>
      </c>
      <c r="L73" s="650" t="s">
        <v>281</v>
      </c>
      <c r="M73" s="650" t="s">
        <v>281</v>
      </c>
      <c r="N73" s="673">
        <f t="shared" si="5"/>
        <v>102241837.71232878</v>
      </c>
    </row>
    <row r="74" spans="1:14">
      <c r="A74" s="912" t="s">
        <v>1339</v>
      </c>
      <c r="B74" s="913" t="s">
        <v>844</v>
      </c>
      <c r="C74" s="914" t="s">
        <v>1584</v>
      </c>
      <c r="D74" s="915">
        <v>44216</v>
      </c>
      <c r="E74" s="915">
        <v>44949</v>
      </c>
      <c r="F74" s="916">
        <v>7.2499999999999995E-2</v>
      </c>
      <c r="G74" s="914">
        <v>250000000</v>
      </c>
      <c r="H74" s="914">
        <v>13724100.602739725</v>
      </c>
      <c r="I74" s="914">
        <v>10279109.589041095</v>
      </c>
      <c r="J74" s="914">
        <f t="shared" si="4"/>
        <v>253444991.01369864</v>
      </c>
      <c r="L74" s="650" t="s">
        <v>281</v>
      </c>
      <c r="M74" s="650" t="s">
        <v>281</v>
      </c>
      <c r="N74" s="673">
        <f t="shared" si="5"/>
        <v>253444991.01369864</v>
      </c>
    </row>
    <row r="75" spans="1:14">
      <c r="A75" s="912" t="s">
        <v>1339</v>
      </c>
      <c r="B75" s="913" t="s">
        <v>844</v>
      </c>
      <c r="C75" s="914" t="s">
        <v>1585</v>
      </c>
      <c r="D75" s="915">
        <v>44216</v>
      </c>
      <c r="E75" s="915">
        <v>44949</v>
      </c>
      <c r="F75" s="916">
        <v>7.2499999999999995E-2</v>
      </c>
      <c r="G75" s="914">
        <v>250000000</v>
      </c>
      <c r="H75" s="914">
        <v>13724100.602739725</v>
      </c>
      <c r="I75" s="914">
        <v>10279109.589041095</v>
      </c>
      <c r="J75" s="914">
        <f t="shared" si="4"/>
        <v>253444991.01369864</v>
      </c>
      <c r="L75" s="650" t="s">
        <v>281</v>
      </c>
      <c r="M75" s="650" t="s">
        <v>281</v>
      </c>
      <c r="N75" s="673">
        <f t="shared" si="5"/>
        <v>253444991.01369864</v>
      </c>
    </row>
    <row r="76" spans="1:14">
      <c r="A76" s="912" t="s">
        <v>1339</v>
      </c>
      <c r="B76" s="913" t="s">
        <v>844</v>
      </c>
      <c r="C76" s="914" t="s">
        <v>1586</v>
      </c>
      <c r="D76" s="915">
        <v>44216</v>
      </c>
      <c r="E76" s="915">
        <v>44949</v>
      </c>
      <c r="F76" s="916">
        <v>7.2499999999999995E-2</v>
      </c>
      <c r="G76" s="914">
        <v>200000000</v>
      </c>
      <c r="H76" s="914">
        <v>12409418.068493154</v>
      </c>
      <c r="I76" s="914">
        <v>8223287.6712328773</v>
      </c>
      <c r="J76" s="914">
        <f t="shared" si="4"/>
        <v>204186130.39726028</v>
      </c>
      <c r="L76" s="650" t="s">
        <v>281</v>
      </c>
      <c r="M76" s="650" t="s">
        <v>281</v>
      </c>
      <c r="N76" s="673">
        <f t="shared" ref="N76:N92" si="6">+J76</f>
        <v>204186130.39726028</v>
      </c>
    </row>
    <row r="77" spans="1:14">
      <c r="A77" s="912" t="s">
        <v>1339</v>
      </c>
      <c r="B77" s="913" t="s">
        <v>844</v>
      </c>
      <c r="C77" s="914" t="s">
        <v>1587</v>
      </c>
      <c r="D77" s="915">
        <v>44216</v>
      </c>
      <c r="E77" s="915">
        <v>44949</v>
      </c>
      <c r="F77" s="916">
        <v>7.2499999999999995E-2</v>
      </c>
      <c r="G77" s="914">
        <v>200000000</v>
      </c>
      <c r="H77" s="914">
        <v>12409418.068493154</v>
      </c>
      <c r="I77" s="914">
        <v>8223287.6712328773</v>
      </c>
      <c r="J77" s="914">
        <f t="shared" si="4"/>
        <v>204186130.39726028</v>
      </c>
      <c r="L77" s="650" t="s">
        <v>281</v>
      </c>
      <c r="M77" s="650" t="s">
        <v>281</v>
      </c>
      <c r="N77" s="673">
        <f t="shared" si="6"/>
        <v>204186130.39726028</v>
      </c>
    </row>
    <row r="78" spans="1:14">
      <c r="A78" s="912" t="s">
        <v>1517</v>
      </c>
      <c r="B78" s="913" t="s">
        <v>844</v>
      </c>
      <c r="C78" s="914" t="s">
        <v>1588</v>
      </c>
      <c r="D78" s="915">
        <v>44244</v>
      </c>
      <c r="E78" s="915">
        <v>44977</v>
      </c>
      <c r="F78" s="916">
        <v>6.7500000000000004E-2</v>
      </c>
      <c r="G78" s="914">
        <v>250000000</v>
      </c>
      <c r="H78" s="914">
        <v>13083904.260273974</v>
      </c>
      <c r="I78" s="914">
        <v>10864726.02739726</v>
      </c>
      <c r="J78" s="914">
        <f t="shared" si="4"/>
        <v>252219178.23287672</v>
      </c>
      <c r="L78" s="650" t="s">
        <v>281</v>
      </c>
      <c r="M78" s="650" t="s">
        <v>281</v>
      </c>
      <c r="N78" s="673">
        <f t="shared" si="6"/>
        <v>252219178.23287672</v>
      </c>
    </row>
    <row r="79" spans="1:14">
      <c r="A79" s="912" t="s">
        <v>1517</v>
      </c>
      <c r="B79" s="913" t="s">
        <v>844</v>
      </c>
      <c r="C79" s="914" t="s">
        <v>1589</v>
      </c>
      <c r="D79" s="915">
        <v>44244</v>
      </c>
      <c r="E79" s="915">
        <v>44977</v>
      </c>
      <c r="F79" s="916">
        <v>6.7500000000000004E-2</v>
      </c>
      <c r="G79" s="914">
        <v>250000000</v>
      </c>
      <c r="H79" s="914">
        <v>13083904.260273974</v>
      </c>
      <c r="I79" s="914">
        <v>10864726.02739726</v>
      </c>
      <c r="J79" s="914">
        <f t="shared" si="4"/>
        <v>252219178.23287672</v>
      </c>
      <c r="L79" s="650" t="s">
        <v>281</v>
      </c>
      <c r="M79" s="650" t="s">
        <v>281</v>
      </c>
      <c r="N79" s="673">
        <f t="shared" si="6"/>
        <v>252219178.23287672</v>
      </c>
    </row>
    <row r="80" spans="1:14">
      <c r="A80" s="912" t="s">
        <v>1517</v>
      </c>
      <c r="B80" s="913" t="s">
        <v>844</v>
      </c>
      <c r="C80" s="914" t="s">
        <v>1590</v>
      </c>
      <c r="D80" s="915">
        <v>44244</v>
      </c>
      <c r="E80" s="915">
        <v>44977</v>
      </c>
      <c r="F80" s="916">
        <v>6.7500000000000004E-2</v>
      </c>
      <c r="G80" s="914">
        <v>250000000</v>
      </c>
      <c r="H80" s="914">
        <v>13083904.260273974</v>
      </c>
      <c r="I80" s="914">
        <v>10864726.02739726</v>
      </c>
      <c r="J80" s="914">
        <f t="shared" si="4"/>
        <v>252219178.23287672</v>
      </c>
      <c r="L80" s="650" t="s">
        <v>281</v>
      </c>
      <c r="M80" s="650" t="s">
        <v>281</v>
      </c>
      <c r="N80" s="673">
        <f t="shared" si="6"/>
        <v>252219178.23287672</v>
      </c>
    </row>
    <row r="81" spans="1:14">
      <c r="A81" s="912" t="s">
        <v>1517</v>
      </c>
      <c r="B81" s="913" t="s">
        <v>844</v>
      </c>
      <c r="C81" s="914" t="s">
        <v>1591</v>
      </c>
      <c r="D81" s="915">
        <v>44244</v>
      </c>
      <c r="E81" s="915">
        <v>44977</v>
      </c>
      <c r="F81" s="916">
        <v>6.7500000000000004E-2</v>
      </c>
      <c r="G81" s="914">
        <v>250000000</v>
      </c>
      <c r="H81" s="914">
        <v>13083904.260273974</v>
      </c>
      <c r="I81" s="914">
        <v>10864726.02739726</v>
      </c>
      <c r="J81" s="914">
        <f t="shared" si="4"/>
        <v>252219178.23287672</v>
      </c>
      <c r="L81" s="650" t="s">
        <v>281</v>
      </c>
      <c r="M81" s="650" t="s">
        <v>281</v>
      </c>
      <c r="N81" s="673">
        <f t="shared" si="6"/>
        <v>252219178.23287672</v>
      </c>
    </row>
    <row r="82" spans="1:14">
      <c r="A82" s="912" t="s">
        <v>1517</v>
      </c>
      <c r="B82" s="913" t="s">
        <v>844</v>
      </c>
      <c r="C82" s="914" t="s">
        <v>1592</v>
      </c>
      <c r="D82" s="915">
        <v>44244</v>
      </c>
      <c r="E82" s="915">
        <v>44977</v>
      </c>
      <c r="F82" s="916">
        <v>6.7500000000000004E-2</v>
      </c>
      <c r="G82" s="914">
        <v>250000000</v>
      </c>
      <c r="H82" s="914">
        <v>13083904.260273974</v>
      </c>
      <c r="I82" s="914">
        <v>10864726.02739726</v>
      </c>
      <c r="J82" s="914">
        <f t="shared" si="4"/>
        <v>252219178.23287672</v>
      </c>
      <c r="L82" s="650" t="s">
        <v>281</v>
      </c>
      <c r="M82" s="650" t="s">
        <v>281</v>
      </c>
      <c r="N82" s="673">
        <f t="shared" si="6"/>
        <v>252219178.23287672</v>
      </c>
    </row>
    <row r="83" spans="1:14">
      <c r="A83" s="912" t="s">
        <v>1517</v>
      </c>
      <c r="B83" s="913" t="s">
        <v>844</v>
      </c>
      <c r="C83" s="914" t="s">
        <v>1593</v>
      </c>
      <c r="D83" s="915">
        <v>44321</v>
      </c>
      <c r="E83" s="915">
        <v>44872</v>
      </c>
      <c r="F83" s="916">
        <v>0.06</v>
      </c>
      <c r="G83" s="914">
        <v>500000000</v>
      </c>
      <c r="H83" s="914">
        <v>15534246.630136989</v>
      </c>
      <c r="I83" s="914">
        <v>10684931.506849315</v>
      </c>
      <c r="J83" s="914">
        <f t="shared" si="4"/>
        <v>504849315.12328768</v>
      </c>
      <c r="L83" s="650" t="s">
        <v>281</v>
      </c>
      <c r="M83" s="650" t="s">
        <v>281</v>
      </c>
      <c r="N83" s="673">
        <f t="shared" si="6"/>
        <v>504849315.12328768</v>
      </c>
    </row>
    <row r="84" spans="1:14">
      <c r="A84" s="912" t="s">
        <v>1517</v>
      </c>
      <c r="B84" s="913" t="s">
        <v>844</v>
      </c>
      <c r="C84" s="914" t="s">
        <v>1594</v>
      </c>
      <c r="D84" s="915">
        <v>44321</v>
      </c>
      <c r="E84" s="915">
        <v>44872</v>
      </c>
      <c r="F84" s="916">
        <v>0.06</v>
      </c>
      <c r="G84" s="914">
        <v>500000000</v>
      </c>
      <c r="H84" s="914">
        <v>15534246.630136989</v>
      </c>
      <c r="I84" s="914">
        <v>10684931.506849315</v>
      </c>
      <c r="J84" s="914">
        <f t="shared" si="4"/>
        <v>504849315.12328768</v>
      </c>
      <c r="L84" s="650" t="s">
        <v>281</v>
      </c>
      <c r="M84" s="650" t="s">
        <v>281</v>
      </c>
      <c r="N84" s="673">
        <f t="shared" si="6"/>
        <v>504849315.12328768</v>
      </c>
    </row>
    <row r="85" spans="1:14">
      <c r="A85" s="912" t="s">
        <v>1517</v>
      </c>
      <c r="B85" s="913" t="s">
        <v>844</v>
      </c>
      <c r="C85" s="914" t="s">
        <v>1595</v>
      </c>
      <c r="D85" s="915">
        <v>44321</v>
      </c>
      <c r="E85" s="915">
        <v>44872</v>
      </c>
      <c r="F85" s="916">
        <v>0.06</v>
      </c>
      <c r="G85" s="914">
        <v>200000000</v>
      </c>
      <c r="H85" s="914">
        <v>6213698.4520547949</v>
      </c>
      <c r="I85" s="914">
        <v>4273972.6027397262</v>
      </c>
      <c r="J85" s="914">
        <f t="shared" si="4"/>
        <v>201939725.84931508</v>
      </c>
      <c r="L85" s="650" t="s">
        <v>281</v>
      </c>
      <c r="M85" s="650" t="s">
        <v>281</v>
      </c>
      <c r="N85" s="673">
        <f t="shared" si="6"/>
        <v>201939725.84931508</v>
      </c>
    </row>
    <row r="86" spans="1:14">
      <c r="A86" s="912" t="s">
        <v>1517</v>
      </c>
      <c r="B86" s="913" t="s">
        <v>844</v>
      </c>
      <c r="C86" s="914" t="s">
        <v>1596</v>
      </c>
      <c r="D86" s="915">
        <v>44244</v>
      </c>
      <c r="E86" s="915">
        <v>44977</v>
      </c>
      <c r="F86" s="916">
        <v>6.7500000000000004E-2</v>
      </c>
      <c r="G86" s="914">
        <v>150000000</v>
      </c>
      <c r="H86" s="914">
        <v>7850342.3561643828</v>
      </c>
      <c r="I86" s="914">
        <v>6518835.6164383562</v>
      </c>
      <c r="J86" s="914">
        <f t="shared" si="4"/>
        <v>151331506.73972604</v>
      </c>
      <c r="L86" s="650" t="s">
        <v>281</v>
      </c>
      <c r="M86" s="650" t="s">
        <v>281</v>
      </c>
      <c r="N86" s="673">
        <f t="shared" si="6"/>
        <v>151331506.73972604</v>
      </c>
    </row>
    <row r="87" spans="1:14">
      <c r="A87" s="912" t="s">
        <v>1597</v>
      </c>
      <c r="B87" s="913" t="s">
        <v>844</v>
      </c>
      <c r="C87" s="914" t="s">
        <v>1598</v>
      </c>
      <c r="D87" s="915">
        <v>44225</v>
      </c>
      <c r="E87" s="915">
        <v>44956</v>
      </c>
      <c r="F87" s="916">
        <v>6.5000000000000002E-2</v>
      </c>
      <c r="G87" s="914">
        <v>500000000</v>
      </c>
      <c r="H87" s="914">
        <v>24931507</v>
      </c>
      <c r="I87" s="914">
        <v>19054794.520547945</v>
      </c>
      <c r="J87" s="914">
        <f t="shared" si="4"/>
        <v>505876712.47945207</v>
      </c>
      <c r="L87" s="650" t="s">
        <v>281</v>
      </c>
      <c r="M87" s="650" t="s">
        <v>281</v>
      </c>
      <c r="N87" s="673">
        <f t="shared" si="6"/>
        <v>505876712.47945207</v>
      </c>
    </row>
    <row r="88" spans="1:14">
      <c r="A88" s="912" t="s">
        <v>1597</v>
      </c>
      <c r="B88" s="913" t="s">
        <v>844</v>
      </c>
      <c r="C88" s="914" t="s">
        <v>1599</v>
      </c>
      <c r="D88" s="915">
        <v>44225</v>
      </c>
      <c r="E88" s="915">
        <v>44956</v>
      </c>
      <c r="F88" s="916">
        <v>6.5000000000000002E-2</v>
      </c>
      <c r="G88" s="914">
        <v>100000000</v>
      </c>
      <c r="H88" s="914">
        <v>4986301</v>
      </c>
      <c r="I88" s="914">
        <v>3810958.9041095888</v>
      </c>
      <c r="J88" s="914">
        <f t="shared" si="4"/>
        <v>101175342.09589042</v>
      </c>
      <c r="L88" s="650" t="s">
        <v>281</v>
      </c>
      <c r="M88" s="650" t="s">
        <v>281</v>
      </c>
      <c r="N88" s="673">
        <f t="shared" si="6"/>
        <v>101175342.09589042</v>
      </c>
    </row>
    <row r="89" spans="1:14">
      <c r="A89" s="912" t="s">
        <v>1597</v>
      </c>
      <c r="B89" s="913" t="s">
        <v>844</v>
      </c>
      <c r="C89" s="914" t="s">
        <v>1600</v>
      </c>
      <c r="D89" s="915">
        <v>44225</v>
      </c>
      <c r="E89" s="915">
        <v>44956</v>
      </c>
      <c r="F89" s="916">
        <v>6.5000000000000002E-2</v>
      </c>
      <c r="G89" s="914">
        <v>100000000</v>
      </c>
      <c r="H89" s="914">
        <v>4986301</v>
      </c>
      <c r="I89" s="914">
        <v>3810958.9041095888</v>
      </c>
      <c r="J89" s="914">
        <f t="shared" si="4"/>
        <v>101175342.09589042</v>
      </c>
      <c r="L89" s="650" t="s">
        <v>281</v>
      </c>
      <c r="M89" s="650" t="s">
        <v>281</v>
      </c>
      <c r="N89" s="673">
        <f t="shared" si="6"/>
        <v>101175342.09589042</v>
      </c>
    </row>
    <row r="90" spans="1:14">
      <c r="A90" s="912" t="s">
        <v>1597</v>
      </c>
      <c r="B90" s="913" t="s">
        <v>844</v>
      </c>
      <c r="C90" s="914" t="s">
        <v>1601</v>
      </c>
      <c r="D90" s="915">
        <v>44225</v>
      </c>
      <c r="E90" s="915">
        <v>44956</v>
      </c>
      <c r="F90" s="916">
        <v>6.5000000000000002E-2</v>
      </c>
      <c r="G90" s="914">
        <v>250000000</v>
      </c>
      <c r="H90" s="914">
        <v>12465753</v>
      </c>
      <c r="I90" s="914">
        <v>9527397.2602739725</v>
      </c>
      <c r="J90" s="914">
        <f t="shared" si="4"/>
        <v>252938355.73972604</v>
      </c>
      <c r="L90" s="650" t="s">
        <v>281</v>
      </c>
      <c r="M90" s="650" t="s">
        <v>281</v>
      </c>
      <c r="N90" s="673">
        <f t="shared" ref="N90:N91" si="7">+J90</f>
        <v>252938355.73972604</v>
      </c>
    </row>
    <row r="91" spans="1:14">
      <c r="A91" s="912" t="s">
        <v>1602</v>
      </c>
      <c r="B91" s="913" t="s">
        <v>844</v>
      </c>
      <c r="C91" s="914" t="s">
        <v>1603</v>
      </c>
      <c r="D91" s="915">
        <v>44092</v>
      </c>
      <c r="E91" s="915">
        <v>45552</v>
      </c>
      <c r="F91" s="916">
        <v>7.2499999999999995E-2</v>
      </c>
      <c r="G91" s="914">
        <v>100000000</v>
      </c>
      <c r="H91" s="914">
        <v>16486302</v>
      </c>
      <c r="I91" s="914">
        <v>16089041.095890412</v>
      </c>
      <c r="J91" s="914">
        <f t="shared" si="4"/>
        <v>100397260.90410958</v>
      </c>
      <c r="L91" s="650" t="s">
        <v>281</v>
      </c>
      <c r="M91" s="650" t="s">
        <v>281</v>
      </c>
      <c r="N91" s="673">
        <f t="shared" si="7"/>
        <v>100397260.90410958</v>
      </c>
    </row>
    <row r="92" spans="1:14">
      <c r="A92" s="912" t="s">
        <v>1604</v>
      </c>
      <c r="B92" s="913" t="s">
        <v>844</v>
      </c>
      <c r="C92" s="914" t="s">
        <v>1605</v>
      </c>
      <c r="D92" s="915">
        <v>44235</v>
      </c>
      <c r="E92" s="915">
        <v>45330</v>
      </c>
      <c r="F92" s="916">
        <v>7.0000000000000007E-2</v>
      </c>
      <c r="G92" s="914">
        <v>100000000</v>
      </c>
      <c r="H92" s="914">
        <v>12369863</v>
      </c>
      <c r="I92" s="914">
        <v>11276712.328767125</v>
      </c>
      <c r="J92" s="914">
        <f t="shared" si="4"/>
        <v>101093150.67123288</v>
      </c>
      <c r="L92" s="650" t="s">
        <v>281</v>
      </c>
      <c r="M92" s="650" t="s">
        <v>281</v>
      </c>
      <c r="N92" s="673">
        <f t="shared" si="6"/>
        <v>101093150.67123288</v>
      </c>
    </row>
    <row r="93" spans="1:14" ht="14.4" thickBot="1">
      <c r="B93" s="656"/>
      <c r="C93" s="657"/>
      <c r="D93" s="658"/>
      <c r="E93" s="658"/>
      <c r="F93" s="639"/>
      <c r="G93" s="654">
        <f>+SUM(G60:G92)</f>
        <v>6800000000</v>
      </c>
      <c r="H93" s="654">
        <f>+SUM(H60:H92)</f>
        <v>422158344.98630136</v>
      </c>
      <c r="I93" s="654">
        <f>+SUM(I60:I92)</f>
        <v>334618835.61643845</v>
      </c>
      <c r="J93" s="654">
        <f>+SUM(J60:J92)</f>
        <v>6887539509.3698616</v>
      </c>
      <c r="K93" s="674"/>
    </row>
    <row r="94" spans="1:14" ht="14.4" thickTop="1">
      <c r="B94" s="656"/>
      <c r="C94" s="657"/>
      <c r="D94" s="658"/>
      <c r="E94" s="658"/>
      <c r="F94" s="639"/>
      <c r="G94" s="675"/>
      <c r="H94" s="675"/>
      <c r="I94" s="675"/>
      <c r="J94" s="675"/>
      <c r="L94" s="658"/>
      <c r="M94" s="668"/>
      <c r="N94" s="668"/>
    </row>
    <row r="95" spans="1:14">
      <c r="B95" s="656"/>
      <c r="C95" s="657"/>
      <c r="D95" s="658"/>
      <c r="E95" s="658"/>
      <c r="F95" s="639"/>
      <c r="G95" s="675"/>
      <c r="H95" s="675"/>
      <c r="I95" s="675"/>
      <c r="J95" s="675"/>
      <c r="L95" s="658"/>
      <c r="M95" s="668"/>
      <c r="N95" s="668"/>
    </row>
    <row r="96" spans="1:14">
      <c r="A96" s="646" t="s">
        <v>1368</v>
      </c>
      <c r="B96" s="647"/>
      <c r="C96" s="648"/>
      <c r="D96" s="647"/>
      <c r="E96" s="647"/>
      <c r="F96" s="647"/>
      <c r="G96" s="647"/>
      <c r="H96" s="647"/>
      <c r="I96" s="647"/>
      <c r="J96" s="647"/>
      <c r="L96" s="647"/>
      <c r="M96" s="649"/>
      <c r="N96" s="649"/>
    </row>
    <row r="97" spans="1:14" s="676" customFormat="1">
      <c r="A97" s="917" t="s">
        <v>472</v>
      </c>
      <c r="B97" s="918" t="s">
        <v>844</v>
      </c>
      <c r="C97" s="919" t="s">
        <v>1245</v>
      </c>
      <c r="D97" s="920">
        <v>44176</v>
      </c>
      <c r="E97" s="920">
        <v>45271</v>
      </c>
      <c r="F97" s="921">
        <v>4.65E-2</v>
      </c>
      <c r="G97" s="919">
        <v>103017205</v>
      </c>
      <c r="H97" s="919">
        <v>14370900.0975</v>
      </c>
      <c r="I97" s="919">
        <v>6942654.0197054902</v>
      </c>
      <c r="J97" s="919">
        <v>110445451.07779451</v>
      </c>
      <c r="L97" s="650" t="s">
        <v>281</v>
      </c>
      <c r="M97" s="650" t="s">
        <v>281</v>
      </c>
      <c r="N97" s="673">
        <f t="shared" ref="N97:N102" si="8">+J97</f>
        <v>110445451.07779451</v>
      </c>
    </row>
    <row r="98" spans="1:14" s="676" customFormat="1">
      <c r="A98" s="917" t="s">
        <v>472</v>
      </c>
      <c r="B98" s="918" t="s">
        <v>844</v>
      </c>
      <c r="C98" s="922" t="s">
        <v>1369</v>
      </c>
      <c r="D98" s="920">
        <v>44400</v>
      </c>
      <c r="E98" s="920">
        <v>44951</v>
      </c>
      <c r="F98" s="921">
        <v>3.2000000000000001E-2</v>
      </c>
      <c r="G98" s="919">
        <v>200000000</v>
      </c>
      <c r="H98" s="919">
        <v>9661369.8630136978</v>
      </c>
      <c r="I98" s="919">
        <v>3664657.5342465704</v>
      </c>
      <c r="J98" s="919">
        <v>205996712.32876712</v>
      </c>
      <c r="L98" s="650" t="s">
        <v>281</v>
      </c>
      <c r="M98" s="650" t="s">
        <v>281</v>
      </c>
      <c r="N98" s="673">
        <f t="shared" si="8"/>
        <v>205996712.32876712</v>
      </c>
    </row>
    <row r="99" spans="1:14" s="676" customFormat="1">
      <c r="A99" s="917" t="s">
        <v>472</v>
      </c>
      <c r="B99" s="918" t="s">
        <v>844</v>
      </c>
      <c r="C99" s="922" t="s">
        <v>1606</v>
      </c>
      <c r="D99" s="920">
        <v>44494</v>
      </c>
      <c r="E99" s="920">
        <v>45215</v>
      </c>
      <c r="F99" s="921">
        <v>4.9000000000000002E-2</v>
      </c>
      <c r="G99" s="919">
        <v>96585384</v>
      </c>
      <c r="H99" s="919">
        <v>6988812.539243836</v>
      </c>
      <c r="I99" s="919">
        <v>6133039.5752547942</v>
      </c>
      <c r="J99" s="919">
        <v>97441156.963989034</v>
      </c>
      <c r="L99" s="650" t="s">
        <v>281</v>
      </c>
      <c r="M99" s="650" t="s">
        <v>281</v>
      </c>
      <c r="N99" s="673">
        <f t="shared" si="8"/>
        <v>97441156.963989034</v>
      </c>
    </row>
    <row r="100" spans="1:14" s="676" customFormat="1">
      <c r="A100" s="917" t="s">
        <v>472</v>
      </c>
      <c r="B100" s="918" t="s">
        <v>844</v>
      </c>
      <c r="C100" s="919" t="s">
        <v>1607</v>
      </c>
      <c r="D100" s="920">
        <v>44494</v>
      </c>
      <c r="E100" s="920">
        <v>45215</v>
      </c>
      <c r="F100" s="921">
        <v>4.9000000000000002E-2</v>
      </c>
      <c r="G100" s="919">
        <v>70000000</v>
      </c>
      <c r="H100" s="919">
        <v>5065123.2876712326</v>
      </c>
      <c r="I100" s="919">
        <v>4444904.1095890412</v>
      </c>
      <c r="J100" s="919">
        <v>70620219.178082198</v>
      </c>
      <c r="L100" s="650" t="s">
        <v>281</v>
      </c>
      <c r="M100" s="650" t="s">
        <v>281</v>
      </c>
      <c r="N100" s="673">
        <f t="shared" si="8"/>
        <v>70620219.178082198</v>
      </c>
    </row>
    <row r="101" spans="1:14" s="676" customFormat="1">
      <c r="A101" s="917" t="s">
        <v>472</v>
      </c>
      <c r="B101" s="918" t="s">
        <v>844</v>
      </c>
      <c r="C101" s="922" t="s">
        <v>1608</v>
      </c>
      <c r="D101" s="920">
        <v>44356</v>
      </c>
      <c r="E101" s="920">
        <v>44907</v>
      </c>
      <c r="F101" s="921">
        <v>7.0000000000000007E-2</v>
      </c>
      <c r="G101" s="919">
        <v>20000000</v>
      </c>
      <c r="H101" s="919">
        <v>724931.50684931513</v>
      </c>
      <c r="I101" s="919">
        <v>632876.71232876717</v>
      </c>
      <c r="J101" s="919">
        <v>20092054.794520549</v>
      </c>
      <c r="L101" s="650" t="s">
        <v>281</v>
      </c>
      <c r="M101" s="650" t="s">
        <v>281</v>
      </c>
      <c r="N101" s="673">
        <f t="shared" si="8"/>
        <v>20092054.794520549</v>
      </c>
    </row>
    <row r="102" spans="1:14" s="676" customFormat="1">
      <c r="A102" s="917" t="s">
        <v>472</v>
      </c>
      <c r="B102" s="918" t="s">
        <v>844</v>
      </c>
      <c r="C102" s="919" t="s">
        <v>1609</v>
      </c>
      <c r="D102" s="920">
        <v>44186</v>
      </c>
      <c r="E102" s="920">
        <v>44907</v>
      </c>
      <c r="F102" s="921">
        <v>7.4999999999999997E-2</v>
      </c>
      <c r="G102" s="919">
        <v>15000000</v>
      </c>
      <c r="H102" s="919">
        <v>557876.71232876705</v>
      </c>
      <c r="I102" s="919">
        <v>508561.64383561641</v>
      </c>
      <c r="J102" s="919">
        <v>15049315.06849315</v>
      </c>
      <c r="L102" s="650" t="s">
        <v>281</v>
      </c>
      <c r="M102" s="650" t="s">
        <v>281</v>
      </c>
      <c r="N102" s="673">
        <f t="shared" si="8"/>
        <v>15049315.06849315</v>
      </c>
    </row>
    <row r="103" spans="1:14" ht="14.4" thickBot="1">
      <c r="B103" s="656"/>
      <c r="C103" s="657"/>
      <c r="D103" s="658"/>
      <c r="E103" s="658"/>
      <c r="F103" s="639"/>
      <c r="G103" s="654">
        <f>+SUM(G97:G102)</f>
        <v>504602589</v>
      </c>
      <c r="H103" s="654">
        <f>+SUM(H97:H102)</f>
        <v>37369014.006606854</v>
      </c>
      <c r="I103" s="654">
        <f>+SUM(I97:I102)</f>
        <v>22326693.594960276</v>
      </c>
      <c r="J103" s="654">
        <f>+SUM(J97:J102)</f>
        <v>519644909.41164654</v>
      </c>
      <c r="K103" s="674"/>
    </row>
    <row r="104" spans="1:14" ht="14.4" thickTop="1">
      <c r="B104" s="656"/>
      <c r="C104" s="657"/>
      <c r="D104" s="658"/>
      <c r="E104" s="658"/>
      <c r="F104" s="639"/>
      <c r="G104" s="655"/>
      <c r="H104" s="655"/>
      <c r="I104" s="655"/>
      <c r="J104" s="655"/>
    </row>
    <row r="105" spans="1:14">
      <c r="B105" s="656"/>
      <c r="C105" s="664"/>
      <c r="D105" s="665"/>
      <c r="E105" s="665"/>
      <c r="F105" s="666"/>
      <c r="G105" s="667"/>
      <c r="H105" s="667"/>
      <c r="I105" s="667"/>
      <c r="J105" s="667"/>
      <c r="L105" s="665"/>
      <c r="M105" s="668"/>
      <c r="N105" s="668"/>
    </row>
    <row r="106" spans="1:14">
      <c r="B106" s="656"/>
      <c r="C106" s="664"/>
      <c r="D106" s="665"/>
      <c r="E106" s="665"/>
      <c r="F106" s="666"/>
      <c r="G106" s="667"/>
      <c r="H106" s="667"/>
      <c r="I106" s="667"/>
      <c r="J106" s="667"/>
      <c r="L106" s="665"/>
      <c r="M106" s="668"/>
      <c r="N106" s="668"/>
    </row>
    <row r="107" spans="1:14">
      <c r="A107" s="646" t="s">
        <v>1370</v>
      </c>
      <c r="B107" s="647"/>
      <c r="C107" s="648"/>
      <c r="D107" s="647"/>
      <c r="E107" s="647"/>
      <c r="F107" s="647"/>
      <c r="G107" s="647"/>
      <c r="H107" s="647"/>
      <c r="I107" s="647"/>
      <c r="J107" s="647"/>
      <c r="L107" s="647"/>
      <c r="M107" s="649"/>
      <c r="N107" s="649"/>
    </row>
    <row r="108" spans="1:14" s="676" customFormat="1">
      <c r="A108" s="912" t="s">
        <v>1610</v>
      </c>
      <c r="B108" s="913" t="s">
        <v>845</v>
      </c>
      <c r="C108" s="925" t="s">
        <v>1611</v>
      </c>
      <c r="D108" s="926">
        <v>43864</v>
      </c>
      <c r="E108" s="926">
        <v>44959</v>
      </c>
      <c r="F108" s="916">
        <v>0.05</v>
      </c>
      <c r="G108" s="927">
        <v>30000</v>
      </c>
      <c r="H108" s="927">
        <v>1134.2465753424658</v>
      </c>
      <c r="I108" s="927">
        <v>891.78082191780823</v>
      </c>
      <c r="J108" s="927">
        <f t="shared" ref="J108" si="9">+G108+H108-I108</f>
        <v>30242.465753424658</v>
      </c>
      <c r="L108" s="650" t="s">
        <v>281</v>
      </c>
      <c r="M108" s="650" t="s">
        <v>281</v>
      </c>
      <c r="N108" s="677">
        <f>+J108</f>
        <v>30242.465753424658</v>
      </c>
    </row>
    <row r="109" spans="1:14" ht="14.4" thickBot="1">
      <c r="B109" s="656"/>
      <c r="C109" s="664"/>
      <c r="D109" s="665"/>
      <c r="E109" s="665"/>
      <c r="F109" s="666"/>
      <c r="G109" s="678">
        <f>+SUM(G108:G108)</f>
        <v>30000</v>
      </c>
      <c r="H109" s="678">
        <f>+SUM(H108:H108)</f>
        <v>1134.2465753424658</v>
      </c>
      <c r="I109" s="678">
        <f>+SUM(I108:I108)</f>
        <v>891.78082191780823</v>
      </c>
      <c r="J109" s="678">
        <f>+SUM(J108:J108)</f>
        <v>30242.465753424658</v>
      </c>
      <c r="K109" s="674"/>
      <c r="L109" s="665"/>
    </row>
    <row r="110" spans="1:14" ht="14.4" thickTop="1"/>
    <row r="111" spans="1:14">
      <c r="A111" s="646" t="s">
        <v>1612</v>
      </c>
      <c r="B111" s="647"/>
      <c r="C111" s="648"/>
      <c r="D111" s="647"/>
      <c r="E111" s="647"/>
      <c r="F111" s="647"/>
      <c r="G111" s="647"/>
      <c r="H111" s="647"/>
      <c r="I111" s="647"/>
      <c r="J111" s="647"/>
      <c r="L111" s="647"/>
      <c r="M111" s="649"/>
      <c r="N111" s="649"/>
    </row>
    <row r="112" spans="1:14" s="676" customFormat="1">
      <c r="A112" s="912" t="s">
        <v>472</v>
      </c>
      <c r="B112" s="913" t="s">
        <v>845</v>
      </c>
      <c r="C112" s="925" t="s">
        <v>1613</v>
      </c>
      <c r="D112" s="926">
        <v>44077</v>
      </c>
      <c r="E112" s="926">
        <v>44798</v>
      </c>
      <c r="F112" s="916">
        <v>3.4000000000000002E-2</v>
      </c>
      <c r="G112" s="927">
        <v>15000</v>
      </c>
      <c r="H112" s="927">
        <v>1007.4246575342468</v>
      </c>
      <c r="I112" s="927">
        <v>78.243835616438361</v>
      </c>
      <c r="J112" s="927">
        <v>15929.180821917809</v>
      </c>
      <c r="L112" s="650" t="s">
        <v>281</v>
      </c>
      <c r="M112" s="650" t="s">
        <v>281</v>
      </c>
      <c r="N112" s="677">
        <f>+J112</f>
        <v>15929.180821917809</v>
      </c>
    </row>
    <row r="113" spans="1:14" s="676" customFormat="1">
      <c r="A113" s="912" t="s">
        <v>472</v>
      </c>
      <c r="B113" s="913" t="s">
        <v>845</v>
      </c>
      <c r="C113" s="925" t="s">
        <v>1614</v>
      </c>
      <c r="D113" s="926">
        <v>43829</v>
      </c>
      <c r="E113" s="926">
        <v>44925</v>
      </c>
      <c r="F113" s="916">
        <v>5.1499999999999997E-2</v>
      </c>
      <c r="G113" s="927">
        <v>80000</v>
      </c>
      <c r="H113" s="927">
        <v>2212.3835616438359</v>
      </c>
      <c r="I113" s="927">
        <v>2065.6438356164385</v>
      </c>
      <c r="J113" s="927">
        <v>80146.739726027386</v>
      </c>
      <c r="L113" s="650" t="s">
        <v>281</v>
      </c>
      <c r="M113" s="650" t="s">
        <v>281</v>
      </c>
      <c r="N113" s="677">
        <f>+J113</f>
        <v>80146.739726027386</v>
      </c>
    </row>
    <row r="114" spans="1:14" ht="14.4" thickBot="1">
      <c r="B114" s="656"/>
      <c r="C114" s="664"/>
      <c r="D114" s="665"/>
      <c r="E114" s="665"/>
      <c r="F114" s="666"/>
      <c r="G114" s="678">
        <f>+SUM(G112:G113)</f>
        <v>95000</v>
      </c>
      <c r="H114" s="678">
        <f>+SUM(H112:H113)</f>
        <v>3219.8082191780827</v>
      </c>
      <c r="I114" s="678">
        <f>+SUM(I112:I113)</f>
        <v>2143.887671232877</v>
      </c>
      <c r="J114" s="678">
        <f>+SUM(J112:J113)</f>
        <v>96075.920547945192</v>
      </c>
      <c r="K114" s="674"/>
      <c r="L114" s="665"/>
    </row>
    <row r="115" spans="1:14" ht="14.4" thickTop="1"/>
    <row r="116" spans="1:14" s="902" customFormat="1">
      <c r="A116" s="899" t="s">
        <v>1628</v>
      </c>
      <c r="B116" s="900"/>
      <c r="C116" s="901"/>
      <c r="D116" s="900"/>
      <c r="E116" s="900"/>
      <c r="F116" s="900"/>
      <c r="G116" s="900"/>
      <c r="H116" s="900"/>
      <c r="I116" s="900"/>
      <c r="J116" s="900"/>
      <c r="K116" s="640"/>
      <c r="L116" s="647"/>
      <c r="M116" s="649"/>
      <c r="N116" s="649"/>
    </row>
    <row r="117" spans="1:14" s="902" customFormat="1">
      <c r="A117" s="891" t="s">
        <v>1629</v>
      </c>
      <c r="B117" s="892" t="s">
        <v>844</v>
      </c>
      <c r="C117" s="896" t="s">
        <v>1211</v>
      </c>
      <c r="D117" s="894">
        <v>44182</v>
      </c>
      <c r="E117" s="894">
        <v>46007</v>
      </c>
      <c r="F117" s="897">
        <v>6.0999999999999999E-2</v>
      </c>
      <c r="G117" s="896">
        <v>0</v>
      </c>
      <c r="H117" s="896">
        <v>3203753424.6575341</v>
      </c>
      <c r="I117" s="896">
        <v>3171164383.5616441</v>
      </c>
      <c r="J117" s="893">
        <f>+G117+H117-I117</f>
        <v>32589041.095890045</v>
      </c>
      <c r="K117" s="676"/>
      <c r="L117" s="650">
        <v>44741</v>
      </c>
      <c r="M117" s="651">
        <v>1.00499</v>
      </c>
      <c r="N117" s="652">
        <f>+G117*M117</f>
        <v>0</v>
      </c>
    </row>
    <row r="118" spans="1:14" s="902" customFormat="1">
      <c r="A118" s="891" t="s">
        <v>1630</v>
      </c>
      <c r="B118" s="892" t="s">
        <v>844</v>
      </c>
      <c r="C118" s="896" t="s">
        <v>1144</v>
      </c>
      <c r="D118" s="894">
        <v>44265</v>
      </c>
      <c r="E118" s="894">
        <v>46785</v>
      </c>
      <c r="F118" s="897">
        <v>7.0999999999999994E-2</v>
      </c>
      <c r="G118" s="896">
        <v>0</v>
      </c>
      <c r="H118" s="896">
        <v>2938427397.2602739</v>
      </c>
      <c r="I118" s="896">
        <v>2781838356.1643834</v>
      </c>
      <c r="J118" s="893">
        <f>+G118+H118-I118</f>
        <v>156589041.09589052</v>
      </c>
      <c r="K118" s="676"/>
      <c r="L118" s="650">
        <v>44741</v>
      </c>
      <c r="M118" s="964">
        <v>1.0273600000000001</v>
      </c>
      <c r="N118" s="966">
        <f>+G118*M118</f>
        <v>0</v>
      </c>
    </row>
    <row r="119" spans="1:14" s="902" customFormat="1">
      <c r="A119" s="891" t="s">
        <v>1631</v>
      </c>
      <c r="B119" s="892" t="s">
        <v>844</v>
      </c>
      <c r="C119" s="896" t="s">
        <v>1361</v>
      </c>
      <c r="D119" s="894">
        <v>44558</v>
      </c>
      <c r="E119" s="894">
        <v>47106</v>
      </c>
      <c r="F119" s="897">
        <v>9.1499999999999998E-2</v>
      </c>
      <c r="G119" s="896">
        <v>0</v>
      </c>
      <c r="H119" s="896">
        <v>1215897123</v>
      </c>
      <c r="I119" s="896">
        <v>1214869315.0684931</v>
      </c>
      <c r="J119" s="893">
        <f>+G119+H119-I119</f>
        <v>1027807.9315068722</v>
      </c>
      <c r="K119" s="676"/>
      <c r="L119" s="650">
        <v>44741</v>
      </c>
      <c r="M119" s="651">
        <v>0.98324999999999996</v>
      </c>
      <c r="N119" s="652">
        <f>+G119*M119</f>
        <v>0</v>
      </c>
    </row>
    <row r="120" spans="1:14" s="902" customFormat="1">
      <c r="A120" s="891" t="s">
        <v>1631</v>
      </c>
      <c r="B120" s="892" t="s">
        <v>844</v>
      </c>
      <c r="C120" s="896" t="s">
        <v>1361</v>
      </c>
      <c r="D120" s="894">
        <v>44558</v>
      </c>
      <c r="E120" s="894">
        <v>47106</v>
      </c>
      <c r="F120" s="897">
        <v>9.1499999999999998E-2</v>
      </c>
      <c r="G120" s="896">
        <v>0</v>
      </c>
      <c r="H120" s="896">
        <v>1364177260</v>
      </c>
      <c r="I120" s="896">
        <v>1363024109.589041</v>
      </c>
      <c r="J120" s="893">
        <f t="shared" ref="J120" si="10">+G120+H120-I120</f>
        <v>1153150.4109590054</v>
      </c>
      <c r="K120" s="676"/>
      <c r="L120" s="650">
        <v>44741</v>
      </c>
      <c r="M120" s="651">
        <v>0.98324999999999996</v>
      </c>
      <c r="N120" s="652">
        <f t="shared" ref="N120" si="11">+G120*M120</f>
        <v>0</v>
      </c>
    </row>
    <row r="121" spans="1:14" s="902" customFormat="1">
      <c r="A121" s="891" t="s">
        <v>1632</v>
      </c>
      <c r="B121" s="892" t="s">
        <v>844</v>
      </c>
      <c r="C121" s="896" t="s">
        <v>1618</v>
      </c>
      <c r="D121" s="894">
        <v>44470</v>
      </c>
      <c r="E121" s="894">
        <v>46290</v>
      </c>
      <c r="F121" s="897">
        <v>0.06</v>
      </c>
      <c r="G121" s="896">
        <v>0</v>
      </c>
      <c r="H121" s="896">
        <v>1972109589.0410957</v>
      </c>
      <c r="I121" s="896">
        <v>1972109589.0410957</v>
      </c>
      <c r="J121" s="893">
        <f>+G121+H121-I121</f>
        <v>0</v>
      </c>
      <c r="K121" s="676"/>
      <c r="L121" s="650">
        <v>44735</v>
      </c>
      <c r="M121" s="651">
        <v>1.0138100000000001</v>
      </c>
      <c r="N121" s="652">
        <f>+G121*M121</f>
        <v>0</v>
      </c>
    </row>
    <row r="122" spans="1:14" s="902" customFormat="1">
      <c r="A122" s="891" t="s">
        <v>1632</v>
      </c>
      <c r="B122" s="892" t="s">
        <v>844</v>
      </c>
      <c r="C122" s="896" t="s">
        <v>1619</v>
      </c>
      <c r="D122" s="894">
        <v>44470</v>
      </c>
      <c r="E122" s="894">
        <v>47025</v>
      </c>
      <c r="F122" s="897">
        <v>6.7000000000000004E-2</v>
      </c>
      <c r="G122" s="896">
        <v>0</v>
      </c>
      <c r="H122" s="896">
        <v>1152864961.6438353</v>
      </c>
      <c r="I122" s="896">
        <v>1152864961.6438355</v>
      </c>
      <c r="J122" s="893">
        <f t="shared" ref="J122:J184" si="12">+G122+H122-I122</f>
        <v>0</v>
      </c>
      <c r="K122" s="676"/>
      <c r="L122" s="650">
        <v>44741</v>
      </c>
      <c r="M122" s="651">
        <v>1.0053300000000001</v>
      </c>
      <c r="N122" s="652">
        <f>+G122*M122</f>
        <v>0</v>
      </c>
    </row>
    <row r="123" spans="1:14" s="902" customFormat="1">
      <c r="A123" s="891" t="s">
        <v>1632</v>
      </c>
      <c r="B123" s="892" t="s">
        <v>844</v>
      </c>
      <c r="C123" s="896" t="s">
        <v>1619</v>
      </c>
      <c r="D123" s="894">
        <v>44470</v>
      </c>
      <c r="E123" s="894">
        <v>47025</v>
      </c>
      <c r="F123" s="897">
        <v>6.7000000000000004E-2</v>
      </c>
      <c r="G123" s="896">
        <v>0</v>
      </c>
      <c r="H123" s="896">
        <v>1305406890</v>
      </c>
      <c r="I123" s="896">
        <v>1305406890.4109588</v>
      </c>
      <c r="J123" s="893">
        <f t="shared" si="12"/>
        <v>-0.41095876693725586</v>
      </c>
      <c r="K123" s="676"/>
      <c r="L123" s="650">
        <v>44741</v>
      </c>
      <c r="M123" s="651">
        <v>1.0053300000000001</v>
      </c>
      <c r="N123" s="652">
        <f>+G123*M123</f>
        <v>0</v>
      </c>
    </row>
    <row r="124" spans="1:14" s="902" customFormat="1">
      <c r="A124" s="891" t="s">
        <v>1633</v>
      </c>
      <c r="B124" s="892" t="s">
        <v>844</v>
      </c>
      <c r="C124" s="896" t="s">
        <v>1634</v>
      </c>
      <c r="D124" s="894">
        <v>44344</v>
      </c>
      <c r="E124" s="894">
        <v>45439</v>
      </c>
      <c r="F124" s="897">
        <v>7.0000000000000007E-2</v>
      </c>
      <c r="G124" s="896">
        <v>0</v>
      </c>
      <c r="H124" s="896">
        <v>52500000</v>
      </c>
      <c r="I124" s="896">
        <v>33417808.21917804</v>
      </c>
      <c r="J124" s="893">
        <f t="shared" si="12"/>
        <v>19082191.78082196</v>
      </c>
      <c r="K124" s="676"/>
      <c r="L124" s="650" t="s">
        <v>281</v>
      </c>
      <c r="M124" s="650" t="s">
        <v>281</v>
      </c>
      <c r="N124" s="677">
        <f t="shared" ref="N124:N182" si="13">+J124</f>
        <v>19082191.78082196</v>
      </c>
    </row>
    <row r="125" spans="1:14" s="902" customFormat="1">
      <c r="A125" s="891" t="s">
        <v>1633</v>
      </c>
      <c r="B125" s="892" t="s">
        <v>844</v>
      </c>
      <c r="C125" s="896" t="s">
        <v>1635</v>
      </c>
      <c r="D125" s="894">
        <v>44344</v>
      </c>
      <c r="E125" s="894">
        <v>45439</v>
      </c>
      <c r="F125" s="897">
        <v>7.0000000000000007E-2</v>
      </c>
      <c r="G125" s="896">
        <v>0</v>
      </c>
      <c r="H125" s="896">
        <v>52500000</v>
      </c>
      <c r="I125" s="896">
        <v>33417808.219178021</v>
      </c>
      <c r="J125" s="893">
        <f t="shared" si="12"/>
        <v>19082191.780821979</v>
      </c>
      <c r="K125" s="676"/>
      <c r="L125" s="650" t="s">
        <v>281</v>
      </c>
      <c r="M125" s="650" t="s">
        <v>281</v>
      </c>
      <c r="N125" s="677">
        <f t="shared" si="13"/>
        <v>19082191.780821979</v>
      </c>
    </row>
    <row r="126" spans="1:14" s="902" customFormat="1">
      <c r="A126" s="891" t="s">
        <v>1633</v>
      </c>
      <c r="B126" s="892" t="s">
        <v>844</v>
      </c>
      <c r="C126" s="896" t="s">
        <v>1636</v>
      </c>
      <c r="D126" s="894">
        <v>44344</v>
      </c>
      <c r="E126" s="894">
        <v>45439</v>
      </c>
      <c r="F126" s="897">
        <v>7.0000000000000007E-2</v>
      </c>
      <c r="G126" s="896">
        <v>0</v>
      </c>
      <c r="H126" s="896">
        <v>52500000</v>
      </c>
      <c r="I126" s="896">
        <v>33417808.219178021</v>
      </c>
      <c r="J126" s="893">
        <f t="shared" si="12"/>
        <v>19082191.780821979</v>
      </c>
      <c r="K126" s="676"/>
      <c r="L126" s="650" t="s">
        <v>281</v>
      </c>
      <c r="M126" s="650" t="s">
        <v>281</v>
      </c>
      <c r="N126" s="677">
        <f t="shared" si="13"/>
        <v>19082191.780821979</v>
      </c>
    </row>
    <row r="127" spans="1:14" s="902" customFormat="1">
      <c r="A127" s="891" t="s">
        <v>1633</v>
      </c>
      <c r="B127" s="892" t="s">
        <v>844</v>
      </c>
      <c r="C127" s="896" t="s">
        <v>1637</v>
      </c>
      <c r="D127" s="894">
        <v>44344</v>
      </c>
      <c r="E127" s="894">
        <v>45439</v>
      </c>
      <c r="F127" s="897">
        <v>7.0000000000000007E-2</v>
      </c>
      <c r="G127" s="896">
        <v>0</v>
      </c>
      <c r="H127" s="896">
        <v>52500000</v>
      </c>
      <c r="I127" s="896">
        <v>33417808.219178021</v>
      </c>
      <c r="J127" s="893">
        <f t="shared" si="12"/>
        <v>19082191.780821979</v>
      </c>
      <c r="K127" s="676"/>
      <c r="L127" s="650" t="s">
        <v>281</v>
      </c>
      <c r="M127" s="650" t="s">
        <v>281</v>
      </c>
      <c r="N127" s="677">
        <f t="shared" si="13"/>
        <v>19082191.780821979</v>
      </c>
    </row>
    <row r="128" spans="1:14" s="902" customFormat="1">
      <c r="A128" s="891" t="s">
        <v>1633</v>
      </c>
      <c r="B128" s="892" t="s">
        <v>844</v>
      </c>
      <c r="C128" s="896" t="s">
        <v>1638</v>
      </c>
      <c r="D128" s="894">
        <v>44344</v>
      </c>
      <c r="E128" s="894">
        <v>45439</v>
      </c>
      <c r="F128" s="897">
        <v>7.0000000000000007E-2</v>
      </c>
      <c r="G128" s="896">
        <v>0</v>
      </c>
      <c r="H128" s="896">
        <v>52500000</v>
      </c>
      <c r="I128" s="896">
        <v>33417808.219178021</v>
      </c>
      <c r="J128" s="893">
        <f t="shared" si="12"/>
        <v>19082191.780821979</v>
      </c>
      <c r="K128" s="676"/>
      <c r="L128" s="650" t="s">
        <v>281</v>
      </c>
      <c r="M128" s="650" t="s">
        <v>281</v>
      </c>
      <c r="N128" s="677">
        <f t="shared" si="13"/>
        <v>19082191.780821979</v>
      </c>
    </row>
    <row r="129" spans="1:14" s="902" customFormat="1">
      <c r="A129" s="891" t="s">
        <v>1633</v>
      </c>
      <c r="B129" s="892" t="s">
        <v>844</v>
      </c>
      <c r="C129" s="896" t="s">
        <v>1639</v>
      </c>
      <c r="D129" s="894">
        <v>44344</v>
      </c>
      <c r="E129" s="894">
        <v>45439</v>
      </c>
      <c r="F129" s="897">
        <v>7.0000000000000007E-2</v>
      </c>
      <c r="G129" s="896">
        <v>0</v>
      </c>
      <c r="H129" s="896">
        <v>52500000</v>
      </c>
      <c r="I129" s="896">
        <v>33417808.219178021</v>
      </c>
      <c r="J129" s="893">
        <f t="shared" si="12"/>
        <v>19082191.780821979</v>
      </c>
      <c r="K129" s="676"/>
      <c r="L129" s="650" t="s">
        <v>281</v>
      </c>
      <c r="M129" s="650" t="s">
        <v>281</v>
      </c>
      <c r="N129" s="677">
        <f t="shared" si="13"/>
        <v>19082191.780821979</v>
      </c>
    </row>
    <row r="130" spans="1:14" s="902" customFormat="1">
      <c r="A130" s="891" t="s">
        <v>1633</v>
      </c>
      <c r="B130" s="892" t="s">
        <v>844</v>
      </c>
      <c r="C130" s="896" t="s">
        <v>1640</v>
      </c>
      <c r="D130" s="894">
        <v>44344</v>
      </c>
      <c r="E130" s="894">
        <v>45439</v>
      </c>
      <c r="F130" s="897">
        <v>7.0000000000000007E-2</v>
      </c>
      <c r="G130" s="896">
        <v>0</v>
      </c>
      <c r="H130" s="896">
        <v>52500000</v>
      </c>
      <c r="I130" s="896">
        <v>33417808.219178021</v>
      </c>
      <c r="J130" s="893">
        <f t="shared" si="12"/>
        <v>19082191.780821979</v>
      </c>
      <c r="K130" s="676"/>
      <c r="L130" s="650" t="s">
        <v>281</v>
      </c>
      <c r="M130" s="650" t="s">
        <v>281</v>
      </c>
      <c r="N130" s="677">
        <f t="shared" si="13"/>
        <v>19082191.780821979</v>
      </c>
    </row>
    <row r="131" spans="1:14" s="902" customFormat="1">
      <c r="A131" s="891" t="s">
        <v>1633</v>
      </c>
      <c r="B131" s="892" t="s">
        <v>844</v>
      </c>
      <c r="C131" s="896" t="s">
        <v>1641</v>
      </c>
      <c r="D131" s="894">
        <v>44344</v>
      </c>
      <c r="E131" s="894">
        <v>45439</v>
      </c>
      <c r="F131" s="897">
        <v>7.0000000000000007E-2</v>
      </c>
      <c r="G131" s="896">
        <v>0</v>
      </c>
      <c r="H131" s="896">
        <v>52500000</v>
      </c>
      <c r="I131" s="896">
        <v>33417808.219178021</v>
      </c>
      <c r="J131" s="893">
        <f t="shared" si="12"/>
        <v>19082191.780821979</v>
      </c>
      <c r="K131" s="676"/>
      <c r="L131" s="650" t="s">
        <v>281</v>
      </c>
      <c r="M131" s="650" t="s">
        <v>281</v>
      </c>
      <c r="N131" s="677">
        <f t="shared" si="13"/>
        <v>19082191.780821979</v>
      </c>
    </row>
    <row r="132" spans="1:14" s="902" customFormat="1">
      <c r="A132" s="891" t="s">
        <v>1633</v>
      </c>
      <c r="B132" s="892" t="s">
        <v>844</v>
      </c>
      <c r="C132" s="896" t="s">
        <v>1642</v>
      </c>
      <c r="D132" s="894">
        <v>44344</v>
      </c>
      <c r="E132" s="894">
        <v>45439</v>
      </c>
      <c r="F132" s="897">
        <v>7.0000000000000007E-2</v>
      </c>
      <c r="G132" s="896">
        <v>0</v>
      </c>
      <c r="H132" s="896">
        <v>52500000</v>
      </c>
      <c r="I132" s="896">
        <v>33417808.219178021</v>
      </c>
      <c r="J132" s="893">
        <f t="shared" si="12"/>
        <v>19082191.780821979</v>
      </c>
      <c r="K132" s="676"/>
      <c r="L132" s="650" t="s">
        <v>281</v>
      </c>
      <c r="M132" s="650" t="s">
        <v>281</v>
      </c>
      <c r="N132" s="677">
        <f t="shared" si="13"/>
        <v>19082191.780821979</v>
      </c>
    </row>
    <row r="133" spans="1:14" s="902" customFormat="1">
      <c r="A133" s="891" t="s">
        <v>1633</v>
      </c>
      <c r="B133" s="892" t="s">
        <v>844</v>
      </c>
      <c r="C133" s="896" t="s">
        <v>1643</v>
      </c>
      <c r="D133" s="894">
        <v>44344</v>
      </c>
      <c r="E133" s="894">
        <v>45439</v>
      </c>
      <c r="F133" s="897">
        <v>7.0000000000000007E-2</v>
      </c>
      <c r="G133" s="896">
        <v>0</v>
      </c>
      <c r="H133" s="896">
        <v>52500000</v>
      </c>
      <c r="I133" s="896">
        <v>33417808.219178021</v>
      </c>
      <c r="J133" s="893">
        <f t="shared" si="12"/>
        <v>19082191.780821979</v>
      </c>
      <c r="K133" s="676"/>
      <c r="L133" s="650" t="s">
        <v>281</v>
      </c>
      <c r="M133" s="650" t="s">
        <v>281</v>
      </c>
      <c r="N133" s="677">
        <f t="shared" si="13"/>
        <v>19082191.780821979</v>
      </c>
    </row>
    <row r="134" spans="1:14" s="902" customFormat="1">
      <c r="A134" s="891" t="s">
        <v>1633</v>
      </c>
      <c r="B134" s="892" t="s">
        <v>844</v>
      </c>
      <c r="C134" s="896" t="s">
        <v>1644</v>
      </c>
      <c r="D134" s="894">
        <v>44344</v>
      </c>
      <c r="E134" s="894">
        <v>45439</v>
      </c>
      <c r="F134" s="897">
        <v>7.0000000000000007E-2</v>
      </c>
      <c r="G134" s="896">
        <v>0</v>
      </c>
      <c r="H134" s="896">
        <v>52500000</v>
      </c>
      <c r="I134" s="896">
        <v>33417808.219178021</v>
      </c>
      <c r="J134" s="893">
        <f t="shared" si="12"/>
        <v>19082191.780821979</v>
      </c>
      <c r="K134" s="676"/>
      <c r="L134" s="650" t="s">
        <v>281</v>
      </c>
      <c r="M134" s="650" t="s">
        <v>281</v>
      </c>
      <c r="N134" s="677">
        <f t="shared" si="13"/>
        <v>19082191.780821979</v>
      </c>
    </row>
    <row r="135" spans="1:14" s="902" customFormat="1">
      <c r="A135" s="891" t="s">
        <v>1633</v>
      </c>
      <c r="B135" s="892" t="s">
        <v>844</v>
      </c>
      <c r="C135" s="896" t="s">
        <v>1645</v>
      </c>
      <c r="D135" s="894">
        <v>44344</v>
      </c>
      <c r="E135" s="894">
        <v>45439</v>
      </c>
      <c r="F135" s="897">
        <v>7.0000000000000007E-2</v>
      </c>
      <c r="G135" s="896">
        <v>0</v>
      </c>
      <c r="H135" s="896">
        <v>52500000</v>
      </c>
      <c r="I135" s="896">
        <v>33417808.219178021</v>
      </c>
      <c r="J135" s="893">
        <f t="shared" si="12"/>
        <v>19082191.780821979</v>
      </c>
      <c r="K135" s="676"/>
      <c r="L135" s="650" t="s">
        <v>281</v>
      </c>
      <c r="M135" s="650" t="s">
        <v>281</v>
      </c>
      <c r="N135" s="677">
        <f t="shared" si="13"/>
        <v>19082191.780821979</v>
      </c>
    </row>
    <row r="136" spans="1:14" s="902" customFormat="1">
      <c r="A136" s="891" t="s">
        <v>1633</v>
      </c>
      <c r="B136" s="892" t="s">
        <v>844</v>
      </c>
      <c r="C136" s="896" t="s">
        <v>1646</v>
      </c>
      <c r="D136" s="894">
        <v>44344</v>
      </c>
      <c r="E136" s="894">
        <v>45439</v>
      </c>
      <c r="F136" s="897">
        <v>7.0000000000000007E-2</v>
      </c>
      <c r="G136" s="896">
        <v>0</v>
      </c>
      <c r="H136" s="896">
        <v>52500000</v>
      </c>
      <c r="I136" s="896">
        <v>33417808.219178021</v>
      </c>
      <c r="J136" s="893">
        <f t="shared" si="12"/>
        <v>19082191.780821979</v>
      </c>
      <c r="K136" s="676"/>
      <c r="L136" s="650" t="s">
        <v>281</v>
      </c>
      <c r="M136" s="650" t="s">
        <v>281</v>
      </c>
      <c r="N136" s="677">
        <f t="shared" si="13"/>
        <v>19082191.780821979</v>
      </c>
    </row>
    <row r="137" spans="1:14" s="902" customFormat="1">
      <c r="A137" s="891" t="s">
        <v>1633</v>
      </c>
      <c r="B137" s="892" t="s">
        <v>844</v>
      </c>
      <c r="C137" s="896" t="s">
        <v>1647</v>
      </c>
      <c r="D137" s="894">
        <v>44344</v>
      </c>
      <c r="E137" s="894">
        <v>45439</v>
      </c>
      <c r="F137" s="897">
        <v>7.0000000000000007E-2</v>
      </c>
      <c r="G137" s="896">
        <v>0</v>
      </c>
      <c r="H137" s="896">
        <v>52500000</v>
      </c>
      <c r="I137" s="896">
        <v>33417808.219178021</v>
      </c>
      <c r="J137" s="893">
        <f t="shared" si="12"/>
        <v>19082191.780821979</v>
      </c>
      <c r="K137" s="676"/>
      <c r="L137" s="650" t="s">
        <v>281</v>
      </c>
      <c r="M137" s="650" t="s">
        <v>281</v>
      </c>
      <c r="N137" s="677">
        <f t="shared" si="13"/>
        <v>19082191.780821979</v>
      </c>
    </row>
    <row r="138" spans="1:14" s="902" customFormat="1">
      <c r="A138" s="891" t="s">
        <v>1633</v>
      </c>
      <c r="B138" s="892" t="s">
        <v>844</v>
      </c>
      <c r="C138" s="896" t="s">
        <v>1648</v>
      </c>
      <c r="D138" s="894">
        <v>44344</v>
      </c>
      <c r="E138" s="894">
        <v>45439</v>
      </c>
      <c r="F138" s="897">
        <v>7.0000000000000007E-2</v>
      </c>
      <c r="G138" s="896">
        <v>0</v>
      </c>
      <c r="H138" s="896">
        <v>52500000</v>
      </c>
      <c r="I138" s="896">
        <v>33417808.219178021</v>
      </c>
      <c r="J138" s="893">
        <f t="shared" si="12"/>
        <v>19082191.780821979</v>
      </c>
      <c r="K138" s="676"/>
      <c r="L138" s="650" t="s">
        <v>281</v>
      </c>
      <c r="M138" s="650" t="s">
        <v>281</v>
      </c>
      <c r="N138" s="677">
        <f t="shared" si="13"/>
        <v>19082191.780821979</v>
      </c>
    </row>
    <row r="139" spans="1:14" s="902" customFormat="1">
      <c r="A139" s="891" t="s">
        <v>1633</v>
      </c>
      <c r="B139" s="892" t="s">
        <v>844</v>
      </c>
      <c r="C139" s="896" t="s">
        <v>1649</v>
      </c>
      <c r="D139" s="894">
        <v>44344</v>
      </c>
      <c r="E139" s="894">
        <v>45439</v>
      </c>
      <c r="F139" s="897">
        <v>7.0000000000000007E-2</v>
      </c>
      <c r="G139" s="896">
        <v>0</v>
      </c>
      <c r="H139" s="896">
        <v>52500000</v>
      </c>
      <c r="I139" s="896">
        <v>33417808.219178021</v>
      </c>
      <c r="J139" s="893">
        <f t="shared" si="12"/>
        <v>19082191.780821979</v>
      </c>
      <c r="K139" s="676"/>
      <c r="L139" s="650" t="s">
        <v>281</v>
      </c>
      <c r="M139" s="650" t="s">
        <v>281</v>
      </c>
      <c r="N139" s="677">
        <f t="shared" si="13"/>
        <v>19082191.780821979</v>
      </c>
    </row>
    <row r="140" spans="1:14" s="902" customFormat="1">
      <c r="A140" s="891" t="s">
        <v>1633</v>
      </c>
      <c r="B140" s="892" t="s">
        <v>844</v>
      </c>
      <c r="C140" s="896" t="s">
        <v>1650</v>
      </c>
      <c r="D140" s="894">
        <v>44329</v>
      </c>
      <c r="E140" s="894">
        <v>45062</v>
      </c>
      <c r="F140" s="897">
        <v>0.06</v>
      </c>
      <c r="G140" s="896">
        <v>0</v>
      </c>
      <c r="H140" s="896">
        <v>29506849.315068495</v>
      </c>
      <c r="I140" s="896">
        <v>13150684.931506865</v>
      </c>
      <c r="J140" s="893">
        <f t="shared" si="12"/>
        <v>16356164.38356163</v>
      </c>
      <c r="K140" s="676"/>
      <c r="L140" s="650" t="s">
        <v>281</v>
      </c>
      <c r="M140" s="650" t="s">
        <v>281</v>
      </c>
      <c r="N140" s="677">
        <f t="shared" si="13"/>
        <v>16356164.38356163</v>
      </c>
    </row>
    <row r="141" spans="1:14" s="902" customFormat="1">
      <c r="A141" s="891" t="s">
        <v>1633</v>
      </c>
      <c r="B141" s="892" t="s">
        <v>844</v>
      </c>
      <c r="C141" s="896" t="s">
        <v>1651</v>
      </c>
      <c r="D141" s="894">
        <v>44329</v>
      </c>
      <c r="E141" s="894">
        <v>45062</v>
      </c>
      <c r="F141" s="897">
        <v>0.06</v>
      </c>
      <c r="G141" s="896">
        <v>0</v>
      </c>
      <c r="H141" s="896">
        <v>29506849.315068495</v>
      </c>
      <c r="I141" s="896">
        <v>13150684.931506865</v>
      </c>
      <c r="J141" s="893">
        <f t="shared" si="12"/>
        <v>16356164.38356163</v>
      </c>
      <c r="K141" s="676"/>
      <c r="L141" s="650" t="s">
        <v>281</v>
      </c>
      <c r="M141" s="650" t="s">
        <v>281</v>
      </c>
      <c r="N141" s="677">
        <f t="shared" si="13"/>
        <v>16356164.38356163</v>
      </c>
    </row>
    <row r="142" spans="1:14" s="902" customFormat="1">
      <c r="A142" s="891" t="s">
        <v>1633</v>
      </c>
      <c r="B142" s="892" t="s">
        <v>844</v>
      </c>
      <c r="C142" s="896" t="s">
        <v>1652</v>
      </c>
      <c r="D142" s="894">
        <v>44329</v>
      </c>
      <c r="E142" s="894">
        <v>45062</v>
      </c>
      <c r="F142" s="897">
        <v>0.06</v>
      </c>
      <c r="G142" s="896">
        <v>0</v>
      </c>
      <c r="H142" s="896">
        <v>29506849.315068495</v>
      </c>
      <c r="I142" s="896">
        <v>13150684.931506865</v>
      </c>
      <c r="J142" s="893">
        <f t="shared" si="12"/>
        <v>16356164.38356163</v>
      </c>
      <c r="K142" s="676"/>
      <c r="L142" s="650" t="s">
        <v>281</v>
      </c>
      <c r="M142" s="650" t="s">
        <v>281</v>
      </c>
      <c r="N142" s="677">
        <f t="shared" si="13"/>
        <v>16356164.38356163</v>
      </c>
    </row>
    <row r="143" spans="1:14" s="902" customFormat="1">
      <c r="A143" s="891" t="s">
        <v>1633</v>
      </c>
      <c r="B143" s="892" t="s">
        <v>844</v>
      </c>
      <c r="C143" s="896" t="s">
        <v>1653</v>
      </c>
      <c r="D143" s="894">
        <v>44329</v>
      </c>
      <c r="E143" s="894">
        <v>45062</v>
      </c>
      <c r="F143" s="897">
        <v>0.06</v>
      </c>
      <c r="G143" s="896">
        <v>0</v>
      </c>
      <c r="H143" s="896">
        <v>29506849.315068495</v>
      </c>
      <c r="I143" s="896">
        <v>13150684.931506865</v>
      </c>
      <c r="J143" s="893">
        <f t="shared" si="12"/>
        <v>16356164.38356163</v>
      </c>
      <c r="K143" s="676"/>
      <c r="L143" s="650" t="s">
        <v>281</v>
      </c>
      <c r="M143" s="650" t="s">
        <v>281</v>
      </c>
      <c r="N143" s="677">
        <f t="shared" si="13"/>
        <v>16356164.38356163</v>
      </c>
    </row>
    <row r="144" spans="1:14" s="902" customFormat="1">
      <c r="A144" s="891" t="s">
        <v>1633</v>
      </c>
      <c r="B144" s="892" t="s">
        <v>844</v>
      </c>
      <c r="C144" s="896" t="s">
        <v>1654</v>
      </c>
      <c r="D144" s="894">
        <v>44329</v>
      </c>
      <c r="E144" s="894">
        <v>45062</v>
      </c>
      <c r="F144" s="897">
        <v>0.06</v>
      </c>
      <c r="G144" s="896">
        <v>0</v>
      </c>
      <c r="H144" s="896">
        <v>29506849.315068495</v>
      </c>
      <c r="I144" s="896">
        <v>13150684.931506865</v>
      </c>
      <c r="J144" s="893">
        <f t="shared" si="12"/>
        <v>16356164.38356163</v>
      </c>
      <c r="K144" s="676"/>
      <c r="L144" s="650" t="s">
        <v>281</v>
      </c>
      <c r="M144" s="650" t="s">
        <v>281</v>
      </c>
      <c r="N144" s="677">
        <f t="shared" si="13"/>
        <v>16356164.38356163</v>
      </c>
    </row>
    <row r="145" spans="1:14" s="902" customFormat="1">
      <c r="A145" s="891" t="s">
        <v>1633</v>
      </c>
      <c r="B145" s="892" t="s">
        <v>844</v>
      </c>
      <c r="C145" s="896" t="s">
        <v>1655</v>
      </c>
      <c r="D145" s="894">
        <v>44329</v>
      </c>
      <c r="E145" s="894">
        <v>45062</v>
      </c>
      <c r="F145" s="897">
        <v>0.06</v>
      </c>
      <c r="G145" s="896">
        <v>0</v>
      </c>
      <c r="H145" s="896">
        <v>29506849.315068495</v>
      </c>
      <c r="I145" s="896">
        <v>13150684.931506865</v>
      </c>
      <c r="J145" s="893">
        <f t="shared" si="12"/>
        <v>16356164.38356163</v>
      </c>
      <c r="K145" s="676"/>
      <c r="L145" s="650" t="s">
        <v>281</v>
      </c>
      <c r="M145" s="650" t="s">
        <v>281</v>
      </c>
      <c r="N145" s="677">
        <f t="shared" si="13"/>
        <v>16356164.38356163</v>
      </c>
    </row>
    <row r="146" spans="1:14" s="902" customFormat="1">
      <c r="A146" s="891" t="s">
        <v>1633</v>
      </c>
      <c r="B146" s="892" t="s">
        <v>844</v>
      </c>
      <c r="C146" s="896" t="s">
        <v>1656</v>
      </c>
      <c r="D146" s="894">
        <v>44329</v>
      </c>
      <c r="E146" s="894">
        <v>45062</v>
      </c>
      <c r="F146" s="897">
        <v>0.06</v>
      </c>
      <c r="G146" s="896">
        <v>0</v>
      </c>
      <c r="H146" s="896">
        <v>29506849.315068495</v>
      </c>
      <c r="I146" s="896">
        <v>13150684.931506865</v>
      </c>
      <c r="J146" s="893">
        <f t="shared" si="12"/>
        <v>16356164.38356163</v>
      </c>
      <c r="K146" s="676"/>
      <c r="L146" s="650" t="s">
        <v>281</v>
      </c>
      <c r="M146" s="650" t="s">
        <v>281</v>
      </c>
      <c r="N146" s="677">
        <f t="shared" si="13"/>
        <v>16356164.38356163</v>
      </c>
    </row>
    <row r="147" spans="1:14" s="902" customFormat="1">
      <c r="A147" s="891" t="s">
        <v>1633</v>
      </c>
      <c r="B147" s="892" t="s">
        <v>844</v>
      </c>
      <c r="C147" s="896" t="s">
        <v>1657</v>
      </c>
      <c r="D147" s="894">
        <v>44329</v>
      </c>
      <c r="E147" s="894">
        <v>45062</v>
      </c>
      <c r="F147" s="897">
        <v>0.06</v>
      </c>
      <c r="G147" s="896">
        <v>0</v>
      </c>
      <c r="H147" s="896">
        <v>29506849.315068495</v>
      </c>
      <c r="I147" s="896">
        <v>13150684.931506865</v>
      </c>
      <c r="J147" s="893">
        <f t="shared" si="12"/>
        <v>16356164.38356163</v>
      </c>
      <c r="K147" s="676"/>
      <c r="L147" s="650" t="s">
        <v>281</v>
      </c>
      <c r="M147" s="650" t="s">
        <v>281</v>
      </c>
      <c r="N147" s="677">
        <f t="shared" si="13"/>
        <v>16356164.38356163</v>
      </c>
    </row>
    <row r="148" spans="1:14" s="902" customFormat="1">
      <c r="A148" s="891" t="s">
        <v>1633</v>
      </c>
      <c r="B148" s="892" t="s">
        <v>844</v>
      </c>
      <c r="C148" s="896" t="s">
        <v>1658</v>
      </c>
      <c r="D148" s="894">
        <v>44329</v>
      </c>
      <c r="E148" s="894">
        <v>45062</v>
      </c>
      <c r="F148" s="897">
        <v>0.06</v>
      </c>
      <c r="G148" s="896">
        <v>0</v>
      </c>
      <c r="H148" s="896">
        <v>29506849.315068495</v>
      </c>
      <c r="I148" s="896">
        <v>13150684.931506865</v>
      </c>
      <c r="J148" s="893">
        <f t="shared" si="12"/>
        <v>16356164.38356163</v>
      </c>
      <c r="K148" s="676"/>
      <c r="L148" s="650" t="s">
        <v>281</v>
      </c>
      <c r="M148" s="650" t="s">
        <v>281</v>
      </c>
      <c r="N148" s="677">
        <f t="shared" si="13"/>
        <v>16356164.38356163</v>
      </c>
    </row>
    <row r="149" spans="1:14" s="902" customFormat="1">
      <c r="A149" s="891" t="s">
        <v>1633</v>
      </c>
      <c r="B149" s="892" t="s">
        <v>844</v>
      </c>
      <c r="C149" s="896" t="s">
        <v>1659</v>
      </c>
      <c r="D149" s="894">
        <v>44329</v>
      </c>
      <c r="E149" s="894">
        <v>45062</v>
      </c>
      <c r="F149" s="897">
        <v>0.06</v>
      </c>
      <c r="G149" s="896">
        <v>0</v>
      </c>
      <c r="H149" s="896">
        <v>29506849.315068495</v>
      </c>
      <c r="I149" s="896">
        <v>13150684.931506865</v>
      </c>
      <c r="J149" s="893">
        <f t="shared" si="12"/>
        <v>16356164.38356163</v>
      </c>
      <c r="K149" s="676"/>
      <c r="L149" s="650" t="s">
        <v>281</v>
      </c>
      <c r="M149" s="650" t="s">
        <v>281</v>
      </c>
      <c r="N149" s="677">
        <f t="shared" si="13"/>
        <v>16356164.38356163</v>
      </c>
    </row>
    <row r="150" spans="1:14" s="902" customFormat="1">
      <c r="A150" s="891" t="s">
        <v>1633</v>
      </c>
      <c r="B150" s="892" t="s">
        <v>844</v>
      </c>
      <c r="C150" s="896" t="s">
        <v>1660</v>
      </c>
      <c r="D150" s="894">
        <v>44329</v>
      </c>
      <c r="E150" s="894">
        <v>45062</v>
      </c>
      <c r="F150" s="897">
        <v>0.06</v>
      </c>
      <c r="G150" s="896">
        <v>0</v>
      </c>
      <c r="H150" s="896">
        <v>29506849.315068495</v>
      </c>
      <c r="I150" s="896">
        <v>13150684.931506865</v>
      </c>
      <c r="J150" s="893">
        <f t="shared" si="12"/>
        <v>16356164.38356163</v>
      </c>
      <c r="K150" s="676"/>
      <c r="L150" s="650" t="s">
        <v>281</v>
      </c>
      <c r="M150" s="650" t="s">
        <v>281</v>
      </c>
      <c r="N150" s="677">
        <f t="shared" si="13"/>
        <v>16356164.38356163</v>
      </c>
    </row>
    <row r="151" spans="1:14" s="902" customFormat="1">
      <c r="A151" s="891" t="s">
        <v>1633</v>
      </c>
      <c r="B151" s="892" t="s">
        <v>844</v>
      </c>
      <c r="C151" s="896" t="s">
        <v>1661</v>
      </c>
      <c r="D151" s="894">
        <v>44329</v>
      </c>
      <c r="E151" s="894">
        <v>45062</v>
      </c>
      <c r="F151" s="897">
        <v>0.06</v>
      </c>
      <c r="G151" s="896">
        <v>0</v>
      </c>
      <c r="H151" s="896">
        <v>29506849.315068495</v>
      </c>
      <c r="I151" s="896">
        <v>13150684.931506865</v>
      </c>
      <c r="J151" s="893">
        <f t="shared" si="12"/>
        <v>16356164.38356163</v>
      </c>
      <c r="K151" s="676"/>
      <c r="L151" s="650" t="s">
        <v>281</v>
      </c>
      <c r="M151" s="650" t="s">
        <v>281</v>
      </c>
      <c r="N151" s="677">
        <f t="shared" si="13"/>
        <v>16356164.38356163</v>
      </c>
    </row>
    <row r="152" spans="1:14" s="902" customFormat="1">
      <c r="A152" s="891" t="s">
        <v>1633</v>
      </c>
      <c r="B152" s="892" t="s">
        <v>844</v>
      </c>
      <c r="C152" s="896" t="s">
        <v>1662</v>
      </c>
      <c r="D152" s="894">
        <v>44329</v>
      </c>
      <c r="E152" s="894">
        <v>45062</v>
      </c>
      <c r="F152" s="897">
        <v>0.06</v>
      </c>
      <c r="G152" s="896">
        <v>0</v>
      </c>
      <c r="H152" s="896">
        <v>29506849.315068495</v>
      </c>
      <c r="I152" s="896">
        <v>13150684.931506865</v>
      </c>
      <c r="J152" s="893">
        <f t="shared" si="12"/>
        <v>16356164.38356163</v>
      </c>
      <c r="K152" s="676"/>
      <c r="L152" s="650" t="s">
        <v>281</v>
      </c>
      <c r="M152" s="650" t="s">
        <v>281</v>
      </c>
      <c r="N152" s="677">
        <f t="shared" si="13"/>
        <v>16356164.38356163</v>
      </c>
    </row>
    <row r="153" spans="1:14" s="902" customFormat="1">
      <c r="A153" s="891" t="s">
        <v>1633</v>
      </c>
      <c r="B153" s="892" t="s">
        <v>844</v>
      </c>
      <c r="C153" s="896" t="s">
        <v>1663</v>
      </c>
      <c r="D153" s="894">
        <v>44329</v>
      </c>
      <c r="E153" s="894">
        <v>45062</v>
      </c>
      <c r="F153" s="897">
        <v>0.06</v>
      </c>
      <c r="G153" s="896">
        <v>0</v>
      </c>
      <c r="H153" s="896">
        <v>29506849.315068495</v>
      </c>
      <c r="I153" s="896">
        <v>13150684.931506865</v>
      </c>
      <c r="J153" s="893">
        <f t="shared" si="12"/>
        <v>16356164.38356163</v>
      </c>
      <c r="K153" s="676"/>
      <c r="L153" s="650" t="s">
        <v>281</v>
      </c>
      <c r="M153" s="650" t="s">
        <v>281</v>
      </c>
      <c r="N153" s="677">
        <f t="shared" si="13"/>
        <v>16356164.38356163</v>
      </c>
    </row>
    <row r="154" spans="1:14" s="902" customFormat="1">
      <c r="A154" s="891" t="s">
        <v>1633</v>
      </c>
      <c r="B154" s="892" t="s">
        <v>844</v>
      </c>
      <c r="C154" s="896" t="s">
        <v>1664</v>
      </c>
      <c r="D154" s="894">
        <v>44329</v>
      </c>
      <c r="E154" s="894">
        <v>45062</v>
      </c>
      <c r="F154" s="897">
        <v>0.06</v>
      </c>
      <c r="G154" s="896">
        <v>0</v>
      </c>
      <c r="H154" s="896">
        <v>29506849.315068495</v>
      </c>
      <c r="I154" s="896">
        <v>13150684.931506865</v>
      </c>
      <c r="J154" s="893">
        <f t="shared" si="12"/>
        <v>16356164.38356163</v>
      </c>
      <c r="K154" s="676"/>
      <c r="L154" s="650" t="s">
        <v>281</v>
      </c>
      <c r="M154" s="650" t="s">
        <v>281</v>
      </c>
      <c r="N154" s="677">
        <f t="shared" si="13"/>
        <v>16356164.38356163</v>
      </c>
    </row>
    <row r="155" spans="1:14" s="902" customFormat="1">
      <c r="A155" s="891" t="s">
        <v>1633</v>
      </c>
      <c r="B155" s="892" t="s">
        <v>844</v>
      </c>
      <c r="C155" s="896" t="s">
        <v>1665</v>
      </c>
      <c r="D155" s="894">
        <v>44329</v>
      </c>
      <c r="E155" s="894">
        <v>45062</v>
      </c>
      <c r="F155" s="897">
        <v>0.06</v>
      </c>
      <c r="G155" s="896">
        <v>0</v>
      </c>
      <c r="H155" s="896">
        <v>29506849.315068495</v>
      </c>
      <c r="I155" s="896">
        <v>13150684.931506865</v>
      </c>
      <c r="J155" s="893">
        <f t="shared" si="12"/>
        <v>16356164.38356163</v>
      </c>
      <c r="K155" s="676"/>
      <c r="L155" s="650" t="s">
        <v>281</v>
      </c>
      <c r="M155" s="650" t="s">
        <v>281</v>
      </c>
      <c r="N155" s="677">
        <f t="shared" si="13"/>
        <v>16356164.38356163</v>
      </c>
    </row>
    <row r="156" spans="1:14" s="902" customFormat="1">
      <c r="A156" s="891" t="s">
        <v>1633</v>
      </c>
      <c r="B156" s="892" t="s">
        <v>844</v>
      </c>
      <c r="C156" s="896" t="s">
        <v>1666</v>
      </c>
      <c r="D156" s="894">
        <v>44329</v>
      </c>
      <c r="E156" s="894">
        <v>45062</v>
      </c>
      <c r="F156" s="897">
        <v>0.06</v>
      </c>
      <c r="G156" s="896">
        <v>0</v>
      </c>
      <c r="H156" s="896">
        <v>29506849.315068495</v>
      </c>
      <c r="I156" s="896">
        <v>13150684.931506865</v>
      </c>
      <c r="J156" s="893">
        <f t="shared" si="12"/>
        <v>16356164.38356163</v>
      </c>
      <c r="K156" s="676"/>
      <c r="L156" s="650" t="s">
        <v>281</v>
      </c>
      <c r="M156" s="650" t="s">
        <v>281</v>
      </c>
      <c r="N156" s="677">
        <f t="shared" si="13"/>
        <v>16356164.38356163</v>
      </c>
    </row>
    <row r="157" spans="1:14" s="902" customFormat="1">
      <c r="A157" s="891" t="s">
        <v>1633</v>
      </c>
      <c r="B157" s="892" t="s">
        <v>844</v>
      </c>
      <c r="C157" s="896" t="s">
        <v>1667</v>
      </c>
      <c r="D157" s="894">
        <v>44329</v>
      </c>
      <c r="E157" s="894">
        <v>45062</v>
      </c>
      <c r="F157" s="897">
        <v>0.06</v>
      </c>
      <c r="G157" s="896">
        <v>0</v>
      </c>
      <c r="H157" s="896">
        <v>29506849.315068495</v>
      </c>
      <c r="I157" s="896">
        <v>13150684.931506865</v>
      </c>
      <c r="J157" s="893">
        <f t="shared" si="12"/>
        <v>16356164.38356163</v>
      </c>
      <c r="K157" s="676"/>
      <c r="L157" s="650" t="s">
        <v>281</v>
      </c>
      <c r="M157" s="650" t="s">
        <v>281</v>
      </c>
      <c r="N157" s="677">
        <f t="shared" si="13"/>
        <v>16356164.38356163</v>
      </c>
    </row>
    <row r="158" spans="1:14" s="902" customFormat="1">
      <c r="A158" s="891" t="s">
        <v>1633</v>
      </c>
      <c r="B158" s="892" t="s">
        <v>844</v>
      </c>
      <c r="C158" s="896" t="s">
        <v>1668</v>
      </c>
      <c r="D158" s="894">
        <v>44329</v>
      </c>
      <c r="E158" s="894">
        <v>45062</v>
      </c>
      <c r="F158" s="897">
        <v>0.06</v>
      </c>
      <c r="G158" s="896">
        <v>0</v>
      </c>
      <c r="H158" s="896">
        <v>29506849.315068495</v>
      </c>
      <c r="I158" s="896">
        <v>13150684.931506865</v>
      </c>
      <c r="J158" s="893">
        <f t="shared" si="12"/>
        <v>16356164.38356163</v>
      </c>
      <c r="K158" s="676"/>
      <c r="L158" s="650" t="s">
        <v>281</v>
      </c>
      <c r="M158" s="650" t="s">
        <v>281</v>
      </c>
      <c r="N158" s="677">
        <f t="shared" si="13"/>
        <v>16356164.38356163</v>
      </c>
    </row>
    <row r="159" spans="1:14" s="902" customFormat="1">
      <c r="A159" s="891" t="s">
        <v>1633</v>
      </c>
      <c r="B159" s="892" t="s">
        <v>844</v>
      </c>
      <c r="C159" s="896" t="s">
        <v>1669</v>
      </c>
      <c r="D159" s="894">
        <v>44329</v>
      </c>
      <c r="E159" s="894">
        <v>45062</v>
      </c>
      <c r="F159" s="897">
        <v>0.06</v>
      </c>
      <c r="G159" s="896">
        <v>0</v>
      </c>
      <c r="H159" s="896">
        <v>29506849.315068495</v>
      </c>
      <c r="I159" s="896">
        <v>13150684.931506865</v>
      </c>
      <c r="J159" s="893">
        <f t="shared" si="12"/>
        <v>16356164.38356163</v>
      </c>
      <c r="K159" s="676"/>
      <c r="L159" s="650" t="s">
        <v>281</v>
      </c>
      <c r="M159" s="650" t="s">
        <v>281</v>
      </c>
      <c r="N159" s="677">
        <f t="shared" si="13"/>
        <v>16356164.38356163</v>
      </c>
    </row>
    <row r="160" spans="1:14" s="902" customFormat="1">
      <c r="A160" s="891" t="s">
        <v>1633</v>
      </c>
      <c r="B160" s="892" t="s">
        <v>844</v>
      </c>
      <c r="C160" s="896" t="s">
        <v>1670</v>
      </c>
      <c r="D160" s="894">
        <v>44225</v>
      </c>
      <c r="E160" s="894">
        <v>44956</v>
      </c>
      <c r="F160" s="897">
        <v>6.5000000000000002E-2</v>
      </c>
      <c r="G160" s="896">
        <v>0</v>
      </c>
      <c r="H160" s="896">
        <v>9295890.1369863003</v>
      </c>
      <c r="I160" s="896">
        <v>3810958.9041095795</v>
      </c>
      <c r="J160" s="893">
        <f t="shared" si="12"/>
        <v>5484931.2328767208</v>
      </c>
      <c r="K160" s="676"/>
      <c r="L160" s="650" t="s">
        <v>281</v>
      </c>
      <c r="M160" s="650" t="s">
        <v>281</v>
      </c>
      <c r="N160" s="677">
        <f t="shared" si="13"/>
        <v>5484931.2328767208</v>
      </c>
    </row>
    <row r="161" spans="1:14" s="902" customFormat="1">
      <c r="A161" s="891" t="s">
        <v>1633</v>
      </c>
      <c r="B161" s="892" t="s">
        <v>844</v>
      </c>
      <c r="C161" s="896" t="s">
        <v>1671</v>
      </c>
      <c r="D161" s="894">
        <v>44229</v>
      </c>
      <c r="E161" s="894">
        <v>44959</v>
      </c>
      <c r="F161" s="897">
        <v>6.25E-2</v>
      </c>
      <c r="G161" s="896">
        <v>0</v>
      </c>
      <c r="H161" s="896">
        <v>45119862.589041099</v>
      </c>
      <c r="I161" s="896">
        <v>18578767.123287622</v>
      </c>
      <c r="J161" s="893">
        <f t="shared" si="12"/>
        <v>26541095.465753477</v>
      </c>
      <c r="K161" s="676"/>
      <c r="L161" s="650" t="s">
        <v>281</v>
      </c>
      <c r="M161" s="650" t="s">
        <v>281</v>
      </c>
      <c r="N161" s="677">
        <f t="shared" si="13"/>
        <v>26541095.465753477</v>
      </c>
    </row>
    <row r="162" spans="1:14" s="902" customFormat="1">
      <c r="A162" s="891" t="s">
        <v>1633</v>
      </c>
      <c r="B162" s="892" t="s">
        <v>844</v>
      </c>
      <c r="C162" s="896" t="s">
        <v>1672</v>
      </c>
      <c r="D162" s="894">
        <v>44229</v>
      </c>
      <c r="E162" s="894">
        <v>44959</v>
      </c>
      <c r="F162" s="897">
        <v>6.25E-2</v>
      </c>
      <c r="G162" s="896">
        <v>0</v>
      </c>
      <c r="H162" s="896">
        <v>22559931.794520549</v>
      </c>
      <c r="I162" s="896">
        <v>9289383.5616438109</v>
      </c>
      <c r="J162" s="893">
        <f t="shared" si="12"/>
        <v>13270548.232876739</v>
      </c>
      <c r="K162" s="676"/>
      <c r="L162" s="650" t="s">
        <v>281</v>
      </c>
      <c r="M162" s="650" t="s">
        <v>281</v>
      </c>
      <c r="N162" s="677">
        <f t="shared" si="13"/>
        <v>13270548.232876739</v>
      </c>
    </row>
    <row r="163" spans="1:14" s="902" customFormat="1">
      <c r="A163" s="891" t="s">
        <v>1673</v>
      </c>
      <c r="B163" s="892" t="s">
        <v>844</v>
      </c>
      <c r="C163" s="896" t="s">
        <v>1674</v>
      </c>
      <c r="D163" s="894">
        <v>44321</v>
      </c>
      <c r="E163" s="894">
        <v>44872</v>
      </c>
      <c r="F163" s="897">
        <v>0.06</v>
      </c>
      <c r="G163" s="896">
        <v>0</v>
      </c>
      <c r="H163" s="896">
        <v>7767123.3150684945</v>
      </c>
      <c r="I163" s="896">
        <v>5342465.7534246575</v>
      </c>
      <c r="J163" s="893">
        <f t="shared" si="12"/>
        <v>2424657.561643837</v>
      </c>
      <c r="K163" s="676"/>
      <c r="L163" s="650" t="s">
        <v>281</v>
      </c>
      <c r="M163" s="650" t="s">
        <v>281</v>
      </c>
      <c r="N163" s="677">
        <f t="shared" si="13"/>
        <v>2424657.561643837</v>
      </c>
    </row>
    <row r="164" spans="1:14" s="902" customFormat="1">
      <c r="A164" s="891" t="s">
        <v>1673</v>
      </c>
      <c r="B164" s="892" t="s">
        <v>844</v>
      </c>
      <c r="C164" s="896" t="s">
        <v>1675</v>
      </c>
      <c r="D164" s="894">
        <v>44321</v>
      </c>
      <c r="E164" s="894">
        <v>44872</v>
      </c>
      <c r="F164" s="897">
        <v>0.06</v>
      </c>
      <c r="G164" s="896">
        <v>0</v>
      </c>
      <c r="H164" s="896">
        <v>7767123.3150684945</v>
      </c>
      <c r="I164" s="896">
        <v>5342465.7534246575</v>
      </c>
      <c r="J164" s="893">
        <f t="shared" si="12"/>
        <v>2424657.561643837</v>
      </c>
      <c r="K164" s="676"/>
      <c r="L164" s="650" t="s">
        <v>281</v>
      </c>
      <c r="M164" s="650" t="s">
        <v>281</v>
      </c>
      <c r="N164" s="677">
        <f t="shared" si="13"/>
        <v>2424657.561643837</v>
      </c>
    </row>
    <row r="165" spans="1:14" s="902" customFormat="1">
      <c r="A165" s="891" t="s">
        <v>1673</v>
      </c>
      <c r="B165" s="892" t="s">
        <v>844</v>
      </c>
      <c r="C165" s="896" t="s">
        <v>1676</v>
      </c>
      <c r="D165" s="894">
        <v>44321</v>
      </c>
      <c r="E165" s="894">
        <v>44872</v>
      </c>
      <c r="F165" s="897">
        <v>0.06</v>
      </c>
      <c r="G165" s="896">
        <v>0</v>
      </c>
      <c r="H165" s="896">
        <v>7767123.3150684945</v>
      </c>
      <c r="I165" s="896">
        <v>5342465.7534246575</v>
      </c>
      <c r="J165" s="893">
        <f t="shared" si="12"/>
        <v>2424657.561643837</v>
      </c>
      <c r="K165" s="676"/>
      <c r="L165" s="650" t="s">
        <v>281</v>
      </c>
      <c r="M165" s="650" t="s">
        <v>281</v>
      </c>
      <c r="N165" s="677">
        <f t="shared" si="13"/>
        <v>2424657.561643837</v>
      </c>
    </row>
    <row r="166" spans="1:14" s="902" customFormat="1">
      <c r="A166" s="891" t="s">
        <v>1673</v>
      </c>
      <c r="B166" s="892" t="s">
        <v>844</v>
      </c>
      <c r="C166" s="896" t="s">
        <v>1677</v>
      </c>
      <c r="D166" s="894">
        <v>44321</v>
      </c>
      <c r="E166" s="894">
        <v>44872</v>
      </c>
      <c r="F166" s="897">
        <v>0.06</v>
      </c>
      <c r="G166" s="896">
        <v>0</v>
      </c>
      <c r="H166" s="896">
        <v>7767123.3150684945</v>
      </c>
      <c r="I166" s="896">
        <v>5342465.7534246575</v>
      </c>
      <c r="J166" s="893">
        <f t="shared" si="12"/>
        <v>2424657.561643837</v>
      </c>
      <c r="K166" s="676"/>
      <c r="L166" s="650" t="s">
        <v>281</v>
      </c>
      <c r="M166" s="650" t="s">
        <v>281</v>
      </c>
      <c r="N166" s="677">
        <f t="shared" si="13"/>
        <v>2424657.561643837</v>
      </c>
    </row>
    <row r="167" spans="1:14" s="902" customFormat="1">
      <c r="A167" s="891" t="s">
        <v>1673</v>
      </c>
      <c r="B167" s="892" t="s">
        <v>844</v>
      </c>
      <c r="C167" s="896" t="s">
        <v>1678</v>
      </c>
      <c r="D167" s="894">
        <v>44321</v>
      </c>
      <c r="E167" s="894">
        <v>44872</v>
      </c>
      <c r="F167" s="897">
        <v>0.06</v>
      </c>
      <c r="G167" s="896">
        <v>0</v>
      </c>
      <c r="H167" s="896">
        <v>7767123.3150684945</v>
      </c>
      <c r="I167" s="896">
        <v>5342465.7534246575</v>
      </c>
      <c r="J167" s="893">
        <f t="shared" si="12"/>
        <v>2424657.561643837</v>
      </c>
      <c r="K167" s="676"/>
      <c r="L167" s="650" t="s">
        <v>281</v>
      </c>
      <c r="M167" s="650" t="s">
        <v>281</v>
      </c>
      <c r="N167" s="677">
        <f t="shared" si="13"/>
        <v>2424657.561643837</v>
      </c>
    </row>
    <row r="168" spans="1:14" s="902" customFormat="1">
      <c r="A168" s="891" t="s">
        <v>1673</v>
      </c>
      <c r="B168" s="892" t="s">
        <v>844</v>
      </c>
      <c r="C168" s="896" t="s">
        <v>1679</v>
      </c>
      <c r="D168" s="894">
        <v>44321</v>
      </c>
      <c r="E168" s="894">
        <v>44872</v>
      </c>
      <c r="F168" s="897">
        <v>0.06</v>
      </c>
      <c r="G168" s="896">
        <v>0</v>
      </c>
      <c r="H168" s="896">
        <v>7767123.3150684945</v>
      </c>
      <c r="I168" s="896">
        <v>5342465.7534246575</v>
      </c>
      <c r="J168" s="893">
        <f t="shared" si="12"/>
        <v>2424657.561643837</v>
      </c>
      <c r="K168" s="676"/>
      <c r="L168" s="650" t="s">
        <v>281</v>
      </c>
      <c r="M168" s="650" t="s">
        <v>281</v>
      </c>
      <c r="N168" s="677">
        <f t="shared" si="13"/>
        <v>2424657.561643837</v>
      </c>
    </row>
    <row r="169" spans="1:14" s="902" customFormat="1">
      <c r="A169" s="891" t="s">
        <v>1673</v>
      </c>
      <c r="B169" s="892" t="s">
        <v>844</v>
      </c>
      <c r="C169" s="896" t="s">
        <v>1680</v>
      </c>
      <c r="D169" s="894">
        <v>44321</v>
      </c>
      <c r="E169" s="894">
        <v>44872</v>
      </c>
      <c r="F169" s="897">
        <v>0.06</v>
      </c>
      <c r="G169" s="896">
        <v>0</v>
      </c>
      <c r="H169" s="896">
        <v>7767123.3150684945</v>
      </c>
      <c r="I169" s="896">
        <v>5342465.7534246575</v>
      </c>
      <c r="J169" s="893">
        <f t="shared" si="12"/>
        <v>2424657.561643837</v>
      </c>
      <c r="K169" s="676"/>
      <c r="L169" s="650" t="s">
        <v>281</v>
      </c>
      <c r="M169" s="650" t="s">
        <v>281</v>
      </c>
      <c r="N169" s="677">
        <f t="shared" si="13"/>
        <v>2424657.561643837</v>
      </c>
    </row>
    <row r="170" spans="1:14" s="902" customFormat="1">
      <c r="A170" s="891" t="s">
        <v>1673</v>
      </c>
      <c r="B170" s="892" t="s">
        <v>844</v>
      </c>
      <c r="C170" s="896" t="s">
        <v>1681</v>
      </c>
      <c r="D170" s="894">
        <v>44321</v>
      </c>
      <c r="E170" s="894">
        <v>44872</v>
      </c>
      <c r="F170" s="897">
        <v>0.06</v>
      </c>
      <c r="G170" s="896">
        <v>0</v>
      </c>
      <c r="H170" s="896">
        <v>7767123.3150684945</v>
      </c>
      <c r="I170" s="896">
        <v>5342465.7534246575</v>
      </c>
      <c r="J170" s="893">
        <f t="shared" si="12"/>
        <v>2424657.561643837</v>
      </c>
      <c r="K170" s="676"/>
      <c r="L170" s="650" t="s">
        <v>281</v>
      </c>
      <c r="M170" s="650" t="s">
        <v>281</v>
      </c>
      <c r="N170" s="677">
        <f t="shared" si="13"/>
        <v>2424657.561643837</v>
      </c>
    </row>
    <row r="171" spans="1:14" s="902" customFormat="1">
      <c r="A171" s="891" t="s">
        <v>1673</v>
      </c>
      <c r="B171" s="892" t="s">
        <v>844</v>
      </c>
      <c r="C171" s="896" t="s">
        <v>1682</v>
      </c>
      <c r="D171" s="894">
        <v>44053</v>
      </c>
      <c r="E171" s="894">
        <v>44785</v>
      </c>
      <c r="F171" s="897">
        <v>0.08</v>
      </c>
      <c r="G171" s="896">
        <v>0</v>
      </c>
      <c r="H171" s="896">
        <v>1041095.8904109591</v>
      </c>
      <c r="I171" s="896">
        <v>471232.87671232875</v>
      </c>
      <c r="J171" s="893">
        <f t="shared" si="12"/>
        <v>569863.01369863038</v>
      </c>
      <c r="K171" s="676"/>
      <c r="L171" s="650" t="s">
        <v>281</v>
      </c>
      <c r="M171" s="650" t="s">
        <v>281</v>
      </c>
      <c r="N171" s="677">
        <f t="shared" si="13"/>
        <v>569863.01369863038</v>
      </c>
    </row>
    <row r="172" spans="1:14" s="902" customFormat="1">
      <c r="A172" s="891" t="s">
        <v>1673</v>
      </c>
      <c r="B172" s="892" t="s">
        <v>844</v>
      </c>
      <c r="C172" s="896" t="s">
        <v>1683</v>
      </c>
      <c r="D172" s="894">
        <v>44053</v>
      </c>
      <c r="E172" s="894">
        <v>44785</v>
      </c>
      <c r="F172" s="897">
        <v>0.08</v>
      </c>
      <c r="G172" s="896">
        <v>0</v>
      </c>
      <c r="H172" s="896">
        <v>1041095.8904109591</v>
      </c>
      <c r="I172" s="896">
        <v>471232.87671232875</v>
      </c>
      <c r="J172" s="893">
        <f t="shared" si="12"/>
        <v>569863.01369863038</v>
      </c>
      <c r="K172" s="676"/>
      <c r="L172" s="650" t="s">
        <v>281</v>
      </c>
      <c r="M172" s="650" t="s">
        <v>281</v>
      </c>
      <c r="N172" s="677">
        <f t="shared" si="13"/>
        <v>569863.01369863038</v>
      </c>
    </row>
    <row r="173" spans="1:14" s="902" customFormat="1">
      <c r="A173" s="891" t="s">
        <v>1673</v>
      </c>
      <c r="B173" s="892" t="s">
        <v>844</v>
      </c>
      <c r="C173" s="896" t="s">
        <v>1684</v>
      </c>
      <c r="D173" s="894">
        <v>44053</v>
      </c>
      <c r="E173" s="894">
        <v>44785</v>
      </c>
      <c r="F173" s="897">
        <v>0.08</v>
      </c>
      <c r="G173" s="896">
        <v>0</v>
      </c>
      <c r="H173" s="896">
        <v>1041095.8904109591</v>
      </c>
      <c r="I173" s="896">
        <v>471232.87671232875</v>
      </c>
      <c r="J173" s="893">
        <f t="shared" si="12"/>
        <v>569863.01369863038</v>
      </c>
      <c r="K173" s="676"/>
      <c r="L173" s="650" t="s">
        <v>281</v>
      </c>
      <c r="M173" s="650" t="s">
        <v>281</v>
      </c>
      <c r="N173" s="677">
        <f t="shared" si="13"/>
        <v>569863.01369863038</v>
      </c>
    </row>
    <row r="174" spans="1:14" s="902" customFormat="1">
      <c r="A174" s="891" t="s">
        <v>1673</v>
      </c>
      <c r="B174" s="892" t="s">
        <v>844</v>
      </c>
      <c r="C174" s="896" t="s">
        <v>1685</v>
      </c>
      <c r="D174" s="894">
        <v>44053</v>
      </c>
      <c r="E174" s="894">
        <v>44785</v>
      </c>
      <c r="F174" s="897">
        <v>0.08</v>
      </c>
      <c r="G174" s="896">
        <v>0</v>
      </c>
      <c r="H174" s="896">
        <v>1041095.8904109591</v>
      </c>
      <c r="I174" s="896">
        <v>471232.87671232875</v>
      </c>
      <c r="J174" s="893">
        <f t="shared" si="12"/>
        <v>569863.01369863038</v>
      </c>
      <c r="K174" s="676"/>
      <c r="L174" s="650" t="s">
        <v>281</v>
      </c>
      <c r="M174" s="650" t="s">
        <v>281</v>
      </c>
      <c r="N174" s="677">
        <f t="shared" si="13"/>
        <v>569863.01369863038</v>
      </c>
    </row>
    <row r="175" spans="1:14" s="902" customFormat="1">
      <c r="A175" s="891" t="s">
        <v>1673</v>
      </c>
      <c r="B175" s="892" t="s">
        <v>844</v>
      </c>
      <c r="C175" s="896" t="s">
        <v>1686</v>
      </c>
      <c r="D175" s="894">
        <v>44053</v>
      </c>
      <c r="E175" s="894">
        <v>44785</v>
      </c>
      <c r="F175" s="897">
        <v>0.08</v>
      </c>
      <c r="G175" s="896">
        <v>0</v>
      </c>
      <c r="H175" s="896">
        <v>1041095.8904109591</v>
      </c>
      <c r="I175" s="896">
        <v>471232.87671232875</v>
      </c>
      <c r="J175" s="893">
        <f t="shared" si="12"/>
        <v>569863.01369863038</v>
      </c>
      <c r="K175" s="676"/>
      <c r="L175" s="650" t="s">
        <v>281</v>
      </c>
      <c r="M175" s="650" t="s">
        <v>281</v>
      </c>
      <c r="N175" s="677">
        <f t="shared" si="13"/>
        <v>569863.01369863038</v>
      </c>
    </row>
    <row r="176" spans="1:14" s="902" customFormat="1">
      <c r="A176" s="891" t="s">
        <v>1673</v>
      </c>
      <c r="B176" s="892" t="s">
        <v>844</v>
      </c>
      <c r="C176" s="896" t="s">
        <v>1687</v>
      </c>
      <c r="D176" s="894">
        <v>44053</v>
      </c>
      <c r="E176" s="894">
        <v>44785</v>
      </c>
      <c r="F176" s="897">
        <v>0.08</v>
      </c>
      <c r="G176" s="896">
        <v>0</v>
      </c>
      <c r="H176" s="896">
        <v>1041095.8904109591</v>
      </c>
      <c r="I176" s="896">
        <v>471232.87671232875</v>
      </c>
      <c r="J176" s="893">
        <f t="shared" si="12"/>
        <v>569863.01369863038</v>
      </c>
      <c r="K176" s="676"/>
      <c r="L176" s="650" t="s">
        <v>281</v>
      </c>
      <c r="M176" s="650" t="s">
        <v>281</v>
      </c>
      <c r="N176" s="677">
        <f t="shared" si="13"/>
        <v>569863.01369863038</v>
      </c>
    </row>
    <row r="177" spans="1:15" s="902" customFormat="1">
      <c r="A177" s="891" t="s">
        <v>1673</v>
      </c>
      <c r="B177" s="892" t="s">
        <v>844</v>
      </c>
      <c r="C177" s="896" t="s">
        <v>1688</v>
      </c>
      <c r="D177" s="894">
        <v>44053</v>
      </c>
      <c r="E177" s="894">
        <v>44785</v>
      </c>
      <c r="F177" s="897">
        <v>0.08</v>
      </c>
      <c r="G177" s="896">
        <v>0</v>
      </c>
      <c r="H177" s="896">
        <v>520547.94520547957</v>
      </c>
      <c r="I177" s="896">
        <v>235616.43835616438</v>
      </c>
      <c r="J177" s="893">
        <f t="shared" si="12"/>
        <v>284931.50684931519</v>
      </c>
      <c r="K177" s="676"/>
      <c r="L177" s="650" t="s">
        <v>281</v>
      </c>
      <c r="M177" s="650" t="s">
        <v>281</v>
      </c>
      <c r="N177" s="677">
        <f t="shared" si="13"/>
        <v>284931.50684931519</v>
      </c>
    </row>
    <row r="178" spans="1:15" s="902" customFormat="1">
      <c r="A178" s="891" t="s">
        <v>1673</v>
      </c>
      <c r="B178" s="892" t="s">
        <v>844</v>
      </c>
      <c r="C178" s="896" t="s">
        <v>1689</v>
      </c>
      <c r="D178" s="894">
        <v>44244</v>
      </c>
      <c r="E178" s="894">
        <v>44977</v>
      </c>
      <c r="F178" s="897">
        <v>6.7500000000000004E-2</v>
      </c>
      <c r="G178" s="896">
        <v>0</v>
      </c>
      <c r="H178" s="896">
        <v>7850342.3561643846</v>
      </c>
      <c r="I178" s="896">
        <v>6518835.6164383562</v>
      </c>
      <c r="J178" s="893">
        <f t="shared" si="12"/>
        <v>1331506.7397260284</v>
      </c>
      <c r="K178" s="676"/>
      <c r="L178" s="650" t="s">
        <v>281</v>
      </c>
      <c r="M178" s="650" t="s">
        <v>281</v>
      </c>
      <c r="N178" s="677">
        <f t="shared" si="13"/>
        <v>1331506.7397260284</v>
      </c>
    </row>
    <row r="179" spans="1:15" s="902" customFormat="1">
      <c r="A179" s="891" t="s">
        <v>1673</v>
      </c>
      <c r="B179" s="892" t="s">
        <v>844</v>
      </c>
      <c r="C179" s="896" t="s">
        <v>1690</v>
      </c>
      <c r="D179" s="894">
        <v>44244</v>
      </c>
      <c r="E179" s="894">
        <v>44977</v>
      </c>
      <c r="F179" s="897">
        <v>6.7500000000000004E-2</v>
      </c>
      <c r="G179" s="896">
        <v>0</v>
      </c>
      <c r="H179" s="896">
        <v>7850342.3561643846</v>
      </c>
      <c r="I179" s="896">
        <v>6518835.6164383562</v>
      </c>
      <c r="J179" s="893">
        <f t="shared" si="12"/>
        <v>1331506.7397260284</v>
      </c>
      <c r="K179" s="676"/>
      <c r="L179" s="650" t="s">
        <v>281</v>
      </c>
      <c r="M179" s="650" t="s">
        <v>281</v>
      </c>
      <c r="N179" s="677">
        <f t="shared" si="13"/>
        <v>1331506.7397260284</v>
      </c>
    </row>
    <row r="180" spans="1:15" s="902" customFormat="1">
      <c r="A180" s="891" t="s">
        <v>1673</v>
      </c>
      <c r="B180" s="892" t="s">
        <v>844</v>
      </c>
      <c r="C180" s="896" t="s">
        <v>1691</v>
      </c>
      <c r="D180" s="894">
        <v>44244</v>
      </c>
      <c r="E180" s="894">
        <v>44977</v>
      </c>
      <c r="F180" s="897">
        <v>6.7500000000000004E-2</v>
      </c>
      <c r="G180" s="896">
        <v>0</v>
      </c>
      <c r="H180" s="896">
        <v>7850342.3561643846</v>
      </c>
      <c r="I180" s="896">
        <v>6518835.6164383562</v>
      </c>
      <c r="J180" s="893">
        <f t="shared" si="12"/>
        <v>1331506.7397260284</v>
      </c>
      <c r="K180" s="676"/>
      <c r="L180" s="650" t="s">
        <v>281</v>
      </c>
      <c r="M180" s="650" t="s">
        <v>281</v>
      </c>
      <c r="N180" s="677">
        <f t="shared" si="13"/>
        <v>1331506.7397260284</v>
      </c>
    </row>
    <row r="181" spans="1:15" s="902" customFormat="1">
      <c r="A181" s="891" t="s">
        <v>1673</v>
      </c>
      <c r="B181" s="892" t="s">
        <v>844</v>
      </c>
      <c r="C181" s="896" t="s">
        <v>1692</v>
      </c>
      <c r="D181" s="894">
        <v>44244</v>
      </c>
      <c r="E181" s="894">
        <v>44977</v>
      </c>
      <c r="F181" s="897">
        <v>6.7500000000000004E-2</v>
      </c>
      <c r="G181" s="896">
        <v>0</v>
      </c>
      <c r="H181" s="896">
        <v>7850342.3561643846</v>
      </c>
      <c r="I181" s="896">
        <v>6518835.6164383562</v>
      </c>
      <c r="J181" s="893">
        <f t="shared" si="12"/>
        <v>1331506.7397260284</v>
      </c>
      <c r="K181" s="676"/>
      <c r="L181" s="650" t="s">
        <v>281</v>
      </c>
      <c r="M181" s="650" t="s">
        <v>281</v>
      </c>
      <c r="N181" s="677">
        <f t="shared" si="13"/>
        <v>1331506.7397260284</v>
      </c>
    </row>
    <row r="182" spans="1:15" s="902" customFormat="1">
      <c r="A182" s="891" t="s">
        <v>1693</v>
      </c>
      <c r="B182" s="892" t="s">
        <v>844</v>
      </c>
      <c r="C182" s="896" t="s">
        <v>1694</v>
      </c>
      <c r="D182" s="894">
        <v>44216</v>
      </c>
      <c r="E182" s="894">
        <v>44949</v>
      </c>
      <c r="F182" s="897">
        <v>7.2499999999999995E-2</v>
      </c>
      <c r="G182" s="896">
        <v>0</v>
      </c>
      <c r="H182" s="896">
        <v>9307062</v>
      </c>
      <c r="I182" s="896">
        <v>6167465.7534246575</v>
      </c>
      <c r="J182" s="893">
        <f t="shared" si="12"/>
        <v>3139596.2465753425</v>
      </c>
      <c r="K182" s="676"/>
      <c r="L182" s="650" t="s">
        <v>281</v>
      </c>
      <c r="M182" s="650" t="s">
        <v>281</v>
      </c>
      <c r="N182" s="677">
        <f t="shared" si="13"/>
        <v>3139596.2465753425</v>
      </c>
    </row>
    <row r="183" spans="1:15" s="902" customFormat="1">
      <c r="A183" s="891" t="s">
        <v>1693</v>
      </c>
      <c r="B183" s="892" t="s">
        <v>844</v>
      </c>
      <c r="C183" s="896" t="s">
        <v>1695</v>
      </c>
      <c r="D183" s="894">
        <v>44216</v>
      </c>
      <c r="E183" s="894">
        <v>44949</v>
      </c>
      <c r="F183" s="897">
        <v>7.2499999999999995E-2</v>
      </c>
      <c r="G183" s="896">
        <v>0</v>
      </c>
      <c r="H183" s="896">
        <v>9307062</v>
      </c>
      <c r="I183" s="896">
        <v>6167465.7534246575</v>
      </c>
      <c r="J183" s="893">
        <f t="shared" si="12"/>
        <v>3139596.2465753425</v>
      </c>
      <c r="K183" s="676"/>
      <c r="L183" s="650" t="s">
        <v>281</v>
      </c>
      <c r="M183" s="650" t="s">
        <v>281</v>
      </c>
      <c r="N183" s="677">
        <f t="shared" ref="N183:N185" si="14">+J183</f>
        <v>3139596.2465753425</v>
      </c>
    </row>
    <row r="184" spans="1:15" s="902" customFormat="1">
      <c r="A184" s="891" t="s">
        <v>1693</v>
      </c>
      <c r="B184" s="892" t="s">
        <v>844</v>
      </c>
      <c r="C184" s="896" t="s">
        <v>1696</v>
      </c>
      <c r="D184" s="894">
        <v>44216</v>
      </c>
      <c r="E184" s="894">
        <v>45313</v>
      </c>
      <c r="F184" s="897">
        <v>7.7499999999999999E-2</v>
      </c>
      <c r="G184" s="896">
        <v>0</v>
      </c>
      <c r="H184" s="896">
        <v>14365810</v>
      </c>
      <c r="I184" s="896">
        <v>12123972.602739725</v>
      </c>
      <c r="J184" s="893">
        <f t="shared" si="12"/>
        <v>2241837.3972602747</v>
      </c>
      <c r="K184" s="676"/>
      <c r="L184" s="650" t="s">
        <v>281</v>
      </c>
      <c r="M184" s="650" t="s">
        <v>281</v>
      </c>
      <c r="N184" s="677">
        <f t="shared" si="14"/>
        <v>2241837.3972602747</v>
      </c>
    </row>
    <row r="185" spans="1:15" s="902" customFormat="1" ht="14.4" thickBot="1">
      <c r="B185" s="903"/>
      <c r="C185" s="904"/>
      <c r="D185" s="905"/>
      <c r="E185" s="905"/>
      <c r="F185" s="906"/>
      <c r="G185" s="907">
        <f>+SUM(G124:G184)</f>
        <v>0</v>
      </c>
      <c r="H185" s="907">
        <f>+SUM(H117:H184)</f>
        <v>14793034729.657558</v>
      </c>
      <c r="I185" s="907">
        <f>+SUM(I117:I184)</f>
        <v>13886992331.506849</v>
      </c>
      <c r="J185" s="907">
        <f>+SUM(J117:J184)</f>
        <v>906042398.15068531</v>
      </c>
      <c r="K185" s="676"/>
      <c r="L185" s="650" t="s">
        <v>281</v>
      </c>
      <c r="M185" s="650" t="s">
        <v>281</v>
      </c>
      <c r="N185" s="677">
        <f t="shared" si="14"/>
        <v>906042398.15068531</v>
      </c>
    </row>
    <row r="186" spans="1:15" s="902" customFormat="1" ht="14.4" thickTop="1">
      <c r="B186" s="903"/>
      <c r="C186" s="904"/>
      <c r="D186" s="905"/>
      <c r="E186" s="905"/>
      <c r="F186" s="906"/>
      <c r="G186" s="908"/>
      <c r="H186" s="908"/>
      <c r="I186" s="908"/>
      <c r="J186" s="908"/>
      <c r="K186" s="676"/>
      <c r="L186" s="676"/>
      <c r="M186" s="676"/>
      <c r="N186" s="911"/>
      <c r="O186" s="676"/>
    </row>
    <row r="187" spans="1:15" s="902" customFormat="1">
      <c r="A187" s="899" t="s">
        <v>1697</v>
      </c>
      <c r="B187" s="900"/>
      <c r="C187" s="901"/>
      <c r="D187" s="900"/>
      <c r="E187" s="900"/>
      <c r="F187" s="900"/>
      <c r="G187" s="900"/>
      <c r="H187" s="900"/>
      <c r="I187" s="900"/>
      <c r="J187" s="900"/>
      <c r="K187" s="676"/>
      <c r="L187" s="676"/>
      <c r="M187" s="676"/>
      <c r="N187" s="911"/>
    </row>
    <row r="188" spans="1:15" s="88" customFormat="1">
      <c r="A188" s="941" t="s">
        <v>1698</v>
      </c>
      <c r="B188" s="939" t="s">
        <v>845</v>
      </c>
      <c r="C188" s="945" t="s">
        <v>1699</v>
      </c>
      <c r="D188" s="940">
        <v>43236</v>
      </c>
      <c r="E188" s="940">
        <v>46885</v>
      </c>
      <c r="F188" s="946">
        <v>6.7500000000000004E-2</v>
      </c>
      <c r="G188" s="947">
        <v>0</v>
      </c>
      <c r="H188" s="947">
        <v>18233.321917808222</v>
      </c>
      <c r="I188" s="947">
        <v>17833.869863013701</v>
      </c>
      <c r="J188" s="898">
        <f t="shared" ref="J188:J189" si="15">+G188+H188-I188</f>
        <v>399.45205479452125</v>
      </c>
      <c r="K188" s="948"/>
      <c r="L188" s="949"/>
      <c r="M188" s="949"/>
      <c r="N188" s="661">
        <f>+G188*M188</f>
        <v>0</v>
      </c>
    </row>
    <row r="189" spans="1:15" s="88" customFormat="1">
      <c r="A189" s="941" t="s">
        <v>1698</v>
      </c>
      <c r="B189" s="939" t="s">
        <v>845</v>
      </c>
      <c r="C189" s="945" t="s">
        <v>1699</v>
      </c>
      <c r="D189" s="940">
        <v>43236</v>
      </c>
      <c r="E189" s="940">
        <v>46885</v>
      </c>
      <c r="F189" s="946">
        <v>6.7500000000000004E-2</v>
      </c>
      <c r="G189" s="947">
        <v>0</v>
      </c>
      <c r="H189" s="947">
        <v>70907.363013698632</v>
      </c>
      <c r="I189" s="947">
        <v>69353.938356164377</v>
      </c>
      <c r="J189" s="898">
        <f t="shared" si="15"/>
        <v>1553.4246575342549</v>
      </c>
      <c r="K189" s="948"/>
      <c r="L189" s="949"/>
      <c r="M189" s="949"/>
      <c r="N189" s="661">
        <f>+G189*M189</f>
        <v>0</v>
      </c>
    </row>
    <row r="190" spans="1:15" s="88" customFormat="1">
      <c r="A190" s="941" t="s">
        <v>1700</v>
      </c>
      <c r="B190" s="939" t="s">
        <v>845</v>
      </c>
      <c r="C190" s="945" t="s">
        <v>1701</v>
      </c>
      <c r="D190" s="940">
        <v>44601</v>
      </c>
      <c r="E190" s="940">
        <v>48180</v>
      </c>
      <c r="F190" s="946">
        <v>7.2499999999999995E-2</v>
      </c>
      <c r="G190" s="947">
        <v>0</v>
      </c>
      <c r="H190" s="947">
        <v>283887.75</v>
      </c>
      <c r="I190" s="947">
        <v>281350.84931506851</v>
      </c>
      <c r="J190" s="898">
        <f>+G190+H190-I190</f>
        <v>2536.9006849314901</v>
      </c>
      <c r="K190" s="948"/>
      <c r="L190" s="949"/>
      <c r="M190" s="949"/>
      <c r="N190" s="661">
        <f t="shared" ref="N190:N253" si="16">+G190*M190</f>
        <v>0</v>
      </c>
    </row>
    <row r="191" spans="1:15" s="88" customFormat="1">
      <c r="A191" s="941" t="s">
        <v>1700</v>
      </c>
      <c r="B191" s="939" t="s">
        <v>845</v>
      </c>
      <c r="C191" s="945" t="s">
        <v>1701</v>
      </c>
      <c r="D191" s="940">
        <v>44601</v>
      </c>
      <c r="E191" s="940">
        <v>48180</v>
      </c>
      <c r="F191" s="946">
        <v>7.2499999999999995E-2</v>
      </c>
      <c r="G191" s="947">
        <v>0</v>
      </c>
      <c r="H191" s="947">
        <v>385866.84931506839</v>
      </c>
      <c r="I191" s="947">
        <v>382418.63013698626</v>
      </c>
      <c r="J191" s="898">
        <f>+G191+H191-I191</f>
        <v>3448.2191780821304</v>
      </c>
      <c r="K191" s="948"/>
      <c r="L191" s="949"/>
      <c r="M191" s="949"/>
      <c r="N191" s="661">
        <f t="shared" si="16"/>
        <v>0</v>
      </c>
    </row>
    <row r="192" spans="1:15" s="88" customFormat="1">
      <c r="A192" s="941" t="s">
        <v>1700</v>
      </c>
      <c r="B192" s="939" t="s">
        <v>845</v>
      </c>
      <c r="C192" s="945" t="s">
        <v>1701</v>
      </c>
      <c r="D192" s="940">
        <v>44601</v>
      </c>
      <c r="E192" s="940">
        <v>48180</v>
      </c>
      <c r="F192" s="946">
        <v>7.2499999999999995E-2</v>
      </c>
      <c r="G192" s="947">
        <v>0</v>
      </c>
      <c r="H192" s="947">
        <v>372085.89041095885</v>
      </c>
      <c r="I192" s="947">
        <v>368760.82191780821</v>
      </c>
      <c r="J192" s="898">
        <f t="shared" ref="J192:J243" si="17">+G192+H192-I192</f>
        <v>3325.0684931506403</v>
      </c>
      <c r="K192" s="948"/>
      <c r="L192" s="949"/>
      <c r="M192" s="949"/>
      <c r="N192" s="661">
        <f t="shared" si="16"/>
        <v>0</v>
      </c>
    </row>
    <row r="193" spans="1:14" s="88" customFormat="1">
      <c r="A193" s="941" t="s">
        <v>1702</v>
      </c>
      <c r="B193" s="939" t="s">
        <v>845</v>
      </c>
      <c r="C193" s="945" t="s">
        <v>1703</v>
      </c>
      <c r="D193" s="940">
        <v>44672</v>
      </c>
      <c r="E193" s="940">
        <v>45764</v>
      </c>
      <c r="F193" s="946">
        <v>5.6500000000000002E-2</v>
      </c>
      <c r="G193" s="947">
        <v>0</v>
      </c>
      <c r="H193" s="947">
        <v>43949.260273972606</v>
      </c>
      <c r="I193" s="947">
        <v>41132</v>
      </c>
      <c r="J193" s="898">
        <f t="shared" si="17"/>
        <v>2817.2602739726062</v>
      </c>
      <c r="K193" s="948"/>
      <c r="L193" s="949"/>
      <c r="M193" s="949"/>
      <c r="N193" s="661">
        <f t="shared" si="16"/>
        <v>0</v>
      </c>
    </row>
    <row r="194" spans="1:14" s="88" customFormat="1">
      <c r="A194" s="941" t="s">
        <v>1702</v>
      </c>
      <c r="B194" s="939" t="s">
        <v>845</v>
      </c>
      <c r="C194" s="945" t="s">
        <v>1704</v>
      </c>
      <c r="D194" s="940">
        <v>44672</v>
      </c>
      <c r="E194" s="940">
        <v>45582</v>
      </c>
      <c r="F194" s="946">
        <v>5.5E-2</v>
      </c>
      <c r="G194" s="947">
        <v>0</v>
      </c>
      <c r="H194" s="947">
        <v>17826.027397260274</v>
      </c>
      <c r="I194" s="947">
        <v>16454.794520547945</v>
      </c>
      <c r="J194" s="898">
        <f t="shared" si="17"/>
        <v>1371.232876712329</v>
      </c>
      <c r="K194" s="948"/>
      <c r="L194" s="949"/>
      <c r="M194" s="949"/>
      <c r="N194" s="661">
        <f t="shared" si="16"/>
        <v>0</v>
      </c>
    </row>
    <row r="195" spans="1:14" s="88" customFormat="1">
      <c r="A195" s="941" t="s">
        <v>1705</v>
      </c>
      <c r="B195" s="939" t="s">
        <v>845</v>
      </c>
      <c r="C195" s="945" t="s">
        <v>1706</v>
      </c>
      <c r="D195" s="940">
        <v>44680</v>
      </c>
      <c r="E195" s="940">
        <v>46864</v>
      </c>
      <c r="F195" s="946">
        <v>0.06</v>
      </c>
      <c r="G195" s="947">
        <v>0</v>
      </c>
      <c r="H195" s="947">
        <v>146477.58904109593</v>
      </c>
      <c r="I195" s="947">
        <v>142319.34246575341</v>
      </c>
      <c r="J195" s="898">
        <f t="shared" si="17"/>
        <v>4158.2465753425204</v>
      </c>
      <c r="K195" s="948"/>
      <c r="L195" s="949"/>
      <c r="M195" s="949"/>
      <c r="N195" s="661">
        <f t="shared" si="16"/>
        <v>0</v>
      </c>
    </row>
    <row r="196" spans="1:14" s="88" customFormat="1">
      <c r="A196" s="941" t="s">
        <v>1707</v>
      </c>
      <c r="B196" s="939" t="s">
        <v>845</v>
      </c>
      <c r="C196" s="945" t="s">
        <v>1708</v>
      </c>
      <c r="D196" s="940">
        <v>44041</v>
      </c>
      <c r="E196" s="940">
        <v>45502</v>
      </c>
      <c r="F196" s="946">
        <v>4.2999999999999997E-2</v>
      </c>
      <c r="G196" s="947">
        <v>0</v>
      </c>
      <c r="H196" s="947">
        <v>21511.780821917804</v>
      </c>
      <c r="I196" s="947">
        <v>17906.849315068492</v>
      </c>
      <c r="J196" s="898">
        <f t="shared" si="17"/>
        <v>3604.9315068493124</v>
      </c>
      <c r="K196" s="948"/>
      <c r="L196" s="949"/>
      <c r="M196" s="949"/>
      <c r="N196" s="661">
        <f t="shared" si="16"/>
        <v>0</v>
      </c>
    </row>
    <row r="197" spans="1:14" s="88" customFormat="1">
      <c r="A197" s="941" t="s">
        <v>1707</v>
      </c>
      <c r="B197" s="939" t="s">
        <v>845</v>
      </c>
      <c r="C197" s="945" t="s">
        <v>1709</v>
      </c>
      <c r="D197" s="940">
        <v>44041</v>
      </c>
      <c r="E197" s="940">
        <v>45502</v>
      </c>
      <c r="F197" s="946">
        <v>4.2999999999999997E-2</v>
      </c>
      <c r="G197" s="947">
        <v>0</v>
      </c>
      <c r="H197" s="947">
        <v>21511.780821917804</v>
      </c>
      <c r="I197" s="947">
        <v>17906.849315068492</v>
      </c>
      <c r="J197" s="898">
        <f t="shared" si="17"/>
        <v>3604.9315068493124</v>
      </c>
      <c r="K197" s="948"/>
      <c r="L197" s="949"/>
      <c r="M197" s="949"/>
      <c r="N197" s="661">
        <f t="shared" si="16"/>
        <v>0</v>
      </c>
    </row>
    <row r="198" spans="1:14" s="88" customFormat="1">
      <c r="A198" s="941" t="s">
        <v>1707</v>
      </c>
      <c r="B198" s="939" t="s">
        <v>845</v>
      </c>
      <c r="C198" s="945" t="s">
        <v>1710</v>
      </c>
      <c r="D198" s="940">
        <v>44041</v>
      </c>
      <c r="E198" s="940">
        <v>45502</v>
      </c>
      <c r="F198" s="946">
        <v>4.2999999999999997E-2</v>
      </c>
      <c r="G198" s="947">
        <v>0</v>
      </c>
      <c r="H198" s="947">
        <v>21511.780821917804</v>
      </c>
      <c r="I198" s="947">
        <v>17906.849315068492</v>
      </c>
      <c r="J198" s="898">
        <f t="shared" si="17"/>
        <v>3604.9315068493124</v>
      </c>
      <c r="K198" s="948"/>
      <c r="L198" s="949"/>
      <c r="M198" s="949"/>
      <c r="N198" s="661">
        <f t="shared" si="16"/>
        <v>0</v>
      </c>
    </row>
    <row r="199" spans="1:14" s="88" customFormat="1">
      <c r="A199" s="941" t="s">
        <v>1707</v>
      </c>
      <c r="B199" s="939" t="s">
        <v>845</v>
      </c>
      <c r="C199" s="945" t="s">
        <v>1711</v>
      </c>
      <c r="D199" s="940">
        <v>44631</v>
      </c>
      <c r="E199" s="940">
        <v>45362</v>
      </c>
      <c r="F199" s="946">
        <v>3.3000000000000002E-2</v>
      </c>
      <c r="G199" s="947">
        <v>0</v>
      </c>
      <c r="H199" s="947">
        <v>11590.68493150685</v>
      </c>
      <c r="I199" s="947">
        <v>11210.95890410959</v>
      </c>
      <c r="J199" s="898">
        <f t="shared" si="17"/>
        <v>379.72602739726062</v>
      </c>
      <c r="K199" s="948"/>
      <c r="L199" s="949"/>
      <c r="M199" s="949"/>
      <c r="N199" s="661">
        <f t="shared" si="16"/>
        <v>0</v>
      </c>
    </row>
    <row r="200" spans="1:14" s="88" customFormat="1">
      <c r="A200" s="941" t="s">
        <v>1707</v>
      </c>
      <c r="B200" s="939" t="s">
        <v>845</v>
      </c>
      <c r="C200" s="945" t="s">
        <v>1712</v>
      </c>
      <c r="D200" s="940">
        <v>44631</v>
      </c>
      <c r="E200" s="940">
        <v>45362</v>
      </c>
      <c r="F200" s="946">
        <v>3.3000000000000002E-2</v>
      </c>
      <c r="G200" s="947">
        <v>0</v>
      </c>
      <c r="H200" s="947">
        <v>11590.68493150685</v>
      </c>
      <c r="I200" s="947">
        <v>11210.95890410959</v>
      </c>
      <c r="J200" s="898">
        <f t="shared" si="17"/>
        <v>379.72602739726062</v>
      </c>
      <c r="K200" s="948"/>
      <c r="L200" s="949"/>
      <c r="M200" s="949"/>
      <c r="N200" s="661">
        <f t="shared" si="16"/>
        <v>0</v>
      </c>
    </row>
    <row r="201" spans="1:14" s="88" customFormat="1">
      <c r="A201" s="941" t="s">
        <v>1713</v>
      </c>
      <c r="B201" s="939" t="s">
        <v>845</v>
      </c>
      <c r="C201" s="945" t="s">
        <v>1714</v>
      </c>
      <c r="D201" s="940">
        <v>44327</v>
      </c>
      <c r="E201" s="940">
        <v>45059</v>
      </c>
      <c r="F201" s="946">
        <v>3.15E-2</v>
      </c>
      <c r="G201" s="947">
        <v>0</v>
      </c>
      <c r="H201" s="947">
        <v>3158.6301369863013</v>
      </c>
      <c r="I201" s="947">
        <v>2735.7534246575347</v>
      </c>
      <c r="J201" s="898">
        <f t="shared" si="17"/>
        <v>422.87671232876664</v>
      </c>
      <c r="K201" s="948"/>
      <c r="L201" s="949"/>
      <c r="M201" s="949"/>
      <c r="N201" s="661">
        <f t="shared" si="16"/>
        <v>0</v>
      </c>
    </row>
    <row r="202" spans="1:14" s="88" customFormat="1">
      <c r="A202" s="941" t="s">
        <v>1693</v>
      </c>
      <c r="B202" s="939" t="s">
        <v>845</v>
      </c>
      <c r="C202" s="945" t="s">
        <v>1715</v>
      </c>
      <c r="D202" s="940">
        <v>44589</v>
      </c>
      <c r="E202" s="940">
        <v>45140</v>
      </c>
      <c r="F202" s="946">
        <v>3.7499999999999999E-2</v>
      </c>
      <c r="G202" s="947">
        <v>0</v>
      </c>
      <c r="H202" s="947">
        <v>2358.4794520547944</v>
      </c>
      <c r="I202" s="947">
        <v>2044.5205479452054</v>
      </c>
      <c r="J202" s="898">
        <f t="shared" si="17"/>
        <v>313.95890410958896</v>
      </c>
      <c r="K202" s="948"/>
      <c r="L202" s="949"/>
      <c r="M202" s="949"/>
      <c r="N202" s="661">
        <f t="shared" si="16"/>
        <v>0</v>
      </c>
    </row>
    <row r="203" spans="1:14" s="88" customFormat="1">
      <c r="A203" s="941" t="s">
        <v>1693</v>
      </c>
      <c r="B203" s="939" t="s">
        <v>845</v>
      </c>
      <c r="C203" s="945" t="s">
        <v>1716</v>
      </c>
      <c r="D203" s="940">
        <v>44589</v>
      </c>
      <c r="E203" s="940">
        <v>45140</v>
      </c>
      <c r="F203" s="946">
        <v>3.7499999999999999E-2</v>
      </c>
      <c r="G203" s="947">
        <v>0</v>
      </c>
      <c r="H203" s="947">
        <v>2358.4794520547944</v>
      </c>
      <c r="I203" s="947">
        <v>2044.5205479452054</v>
      </c>
      <c r="J203" s="898">
        <f t="shared" si="17"/>
        <v>313.95890410958896</v>
      </c>
      <c r="K203" s="948"/>
      <c r="L203" s="949"/>
      <c r="M203" s="949"/>
      <c r="N203" s="661">
        <f t="shared" si="16"/>
        <v>0</v>
      </c>
    </row>
    <row r="204" spans="1:14" s="88" customFormat="1">
      <c r="A204" s="941" t="s">
        <v>1693</v>
      </c>
      <c r="B204" s="939" t="s">
        <v>845</v>
      </c>
      <c r="C204" s="945" t="s">
        <v>1717</v>
      </c>
      <c r="D204" s="940">
        <v>44589</v>
      </c>
      <c r="E204" s="940">
        <v>45140</v>
      </c>
      <c r="F204" s="946">
        <v>3.7499999999999999E-2</v>
      </c>
      <c r="G204" s="947">
        <v>0</v>
      </c>
      <c r="H204" s="947">
        <v>2358.4794520547944</v>
      </c>
      <c r="I204" s="947">
        <v>2044.5205479452054</v>
      </c>
      <c r="J204" s="898">
        <f t="shared" si="17"/>
        <v>313.95890410958896</v>
      </c>
      <c r="K204" s="948"/>
      <c r="L204" s="949"/>
      <c r="M204" s="949"/>
      <c r="N204" s="661">
        <f t="shared" si="16"/>
        <v>0</v>
      </c>
    </row>
    <row r="205" spans="1:14" s="88" customFormat="1">
      <c r="A205" s="941" t="s">
        <v>1693</v>
      </c>
      <c r="B205" s="939" t="s">
        <v>845</v>
      </c>
      <c r="C205" s="945" t="s">
        <v>1718</v>
      </c>
      <c r="D205" s="940">
        <v>44589</v>
      </c>
      <c r="E205" s="940">
        <v>45140</v>
      </c>
      <c r="F205" s="946">
        <v>3.7499999999999999E-2</v>
      </c>
      <c r="G205" s="947">
        <v>0</v>
      </c>
      <c r="H205" s="947">
        <v>2358.4794520547944</v>
      </c>
      <c r="I205" s="947">
        <v>2044.5205479452054</v>
      </c>
      <c r="J205" s="898">
        <f t="shared" si="17"/>
        <v>313.95890410958896</v>
      </c>
      <c r="K205" s="948"/>
      <c r="L205" s="949"/>
      <c r="M205" s="949"/>
      <c r="N205" s="661">
        <f t="shared" si="16"/>
        <v>0</v>
      </c>
    </row>
    <row r="206" spans="1:14" s="88" customFormat="1">
      <c r="A206" s="941" t="s">
        <v>1693</v>
      </c>
      <c r="B206" s="939" t="s">
        <v>845</v>
      </c>
      <c r="C206" s="945" t="s">
        <v>1719</v>
      </c>
      <c r="D206" s="940">
        <v>44589</v>
      </c>
      <c r="E206" s="940">
        <v>45140</v>
      </c>
      <c r="F206" s="946">
        <v>3.7499999999999999E-2</v>
      </c>
      <c r="G206" s="947">
        <v>0</v>
      </c>
      <c r="H206" s="947">
        <v>2358.4794520547944</v>
      </c>
      <c r="I206" s="947">
        <v>2044.5205479452054</v>
      </c>
      <c r="J206" s="898">
        <f t="shared" si="17"/>
        <v>313.95890410958896</v>
      </c>
      <c r="K206" s="948"/>
      <c r="L206" s="949"/>
      <c r="M206" s="949"/>
      <c r="N206" s="661">
        <f t="shared" si="16"/>
        <v>0</v>
      </c>
    </row>
    <row r="207" spans="1:14" s="88" customFormat="1">
      <c r="A207" s="941" t="s">
        <v>1693</v>
      </c>
      <c r="B207" s="939" t="s">
        <v>845</v>
      </c>
      <c r="C207" s="945" t="s">
        <v>1720</v>
      </c>
      <c r="D207" s="940">
        <v>44589</v>
      </c>
      <c r="E207" s="940">
        <v>45140</v>
      </c>
      <c r="F207" s="946">
        <v>3.7499999999999999E-2</v>
      </c>
      <c r="G207" s="947">
        <v>0</v>
      </c>
      <c r="H207" s="947">
        <v>1179.2397260273972</v>
      </c>
      <c r="I207" s="947">
        <v>1022.2602739726027</v>
      </c>
      <c r="J207" s="898">
        <f t="shared" si="17"/>
        <v>156.97945205479448</v>
      </c>
      <c r="K207" s="948"/>
      <c r="L207" s="949"/>
      <c r="M207" s="949"/>
      <c r="N207" s="661">
        <f t="shared" si="16"/>
        <v>0</v>
      </c>
    </row>
    <row r="208" spans="1:14" s="88" customFormat="1">
      <c r="A208" s="941" t="s">
        <v>1693</v>
      </c>
      <c r="B208" s="939" t="s">
        <v>845</v>
      </c>
      <c r="C208" s="945" t="s">
        <v>1721</v>
      </c>
      <c r="D208" s="940">
        <v>44589</v>
      </c>
      <c r="E208" s="940">
        <v>45140</v>
      </c>
      <c r="F208" s="946">
        <v>3.7499999999999999E-2</v>
      </c>
      <c r="G208" s="947">
        <v>0</v>
      </c>
      <c r="H208" s="947">
        <v>1179.2397260273972</v>
      </c>
      <c r="I208" s="947">
        <v>1022.2602739726027</v>
      </c>
      <c r="J208" s="898">
        <f t="shared" si="17"/>
        <v>156.97945205479448</v>
      </c>
      <c r="K208" s="948"/>
      <c r="L208" s="949"/>
      <c r="M208" s="949"/>
      <c r="N208" s="661">
        <f t="shared" si="16"/>
        <v>0</v>
      </c>
    </row>
    <row r="209" spans="1:14" s="88" customFormat="1">
      <c r="A209" s="941" t="s">
        <v>1693</v>
      </c>
      <c r="B209" s="939" t="s">
        <v>845</v>
      </c>
      <c r="C209" s="945" t="s">
        <v>1722</v>
      </c>
      <c r="D209" s="940">
        <v>44589</v>
      </c>
      <c r="E209" s="940">
        <v>45140</v>
      </c>
      <c r="F209" s="946">
        <v>3.7499999999999999E-2</v>
      </c>
      <c r="G209" s="947">
        <v>0</v>
      </c>
      <c r="H209" s="947">
        <v>1179.2397260273972</v>
      </c>
      <c r="I209" s="947">
        <v>1022.2602739726027</v>
      </c>
      <c r="J209" s="898">
        <f t="shared" si="17"/>
        <v>156.97945205479448</v>
      </c>
      <c r="K209" s="948"/>
      <c r="L209" s="949"/>
      <c r="M209" s="949"/>
      <c r="N209" s="661">
        <f t="shared" si="16"/>
        <v>0</v>
      </c>
    </row>
    <row r="210" spans="1:14" s="88" customFormat="1">
      <c r="A210" s="941" t="s">
        <v>1693</v>
      </c>
      <c r="B210" s="939" t="s">
        <v>845</v>
      </c>
      <c r="C210" s="945" t="s">
        <v>1723</v>
      </c>
      <c r="D210" s="940">
        <v>44589</v>
      </c>
      <c r="E210" s="940">
        <v>45140</v>
      </c>
      <c r="F210" s="946">
        <v>3.7499999999999999E-2</v>
      </c>
      <c r="G210" s="947">
        <v>0</v>
      </c>
      <c r="H210" s="947">
        <v>1179.2397260273972</v>
      </c>
      <c r="I210" s="947">
        <v>1022.2602739726027</v>
      </c>
      <c r="J210" s="898">
        <f t="shared" si="17"/>
        <v>156.97945205479448</v>
      </c>
      <c r="K210" s="948"/>
      <c r="L210" s="949"/>
      <c r="M210" s="949"/>
      <c r="N210" s="661">
        <f t="shared" si="16"/>
        <v>0</v>
      </c>
    </row>
    <row r="211" spans="1:14" s="88" customFormat="1">
      <c r="A211" s="941" t="s">
        <v>1693</v>
      </c>
      <c r="B211" s="939" t="s">
        <v>845</v>
      </c>
      <c r="C211" s="945" t="s">
        <v>1724</v>
      </c>
      <c r="D211" s="940">
        <v>44589</v>
      </c>
      <c r="E211" s="940">
        <v>45140</v>
      </c>
      <c r="F211" s="946">
        <v>3.7499999999999999E-2</v>
      </c>
      <c r="G211" s="947">
        <v>0</v>
      </c>
      <c r="H211" s="947">
        <v>1179.2397260273972</v>
      </c>
      <c r="I211" s="947">
        <v>1022.2602739726027</v>
      </c>
      <c r="J211" s="898">
        <f t="shared" si="17"/>
        <v>156.97945205479448</v>
      </c>
      <c r="K211" s="948"/>
      <c r="L211" s="949"/>
      <c r="M211" s="949"/>
      <c r="N211" s="661">
        <f t="shared" si="16"/>
        <v>0</v>
      </c>
    </row>
    <row r="212" spans="1:14" s="88" customFormat="1">
      <c r="A212" s="941" t="s">
        <v>1693</v>
      </c>
      <c r="B212" s="939" t="s">
        <v>845</v>
      </c>
      <c r="C212" s="945" t="s">
        <v>1725</v>
      </c>
      <c r="D212" s="940">
        <v>44589</v>
      </c>
      <c r="E212" s="940">
        <v>45140</v>
      </c>
      <c r="F212" s="946">
        <v>3.7499999999999999E-2</v>
      </c>
      <c r="G212" s="947">
        <v>0</v>
      </c>
      <c r="H212" s="947">
        <v>1179.2397260273972</v>
      </c>
      <c r="I212" s="947">
        <v>1022.2602739726027</v>
      </c>
      <c r="J212" s="898">
        <f t="shared" si="17"/>
        <v>156.97945205479448</v>
      </c>
      <c r="K212" s="948"/>
      <c r="L212" s="949"/>
      <c r="M212" s="949"/>
      <c r="N212" s="661">
        <f t="shared" si="16"/>
        <v>0</v>
      </c>
    </row>
    <row r="213" spans="1:14" s="88" customFormat="1">
      <c r="A213" s="941" t="s">
        <v>1693</v>
      </c>
      <c r="B213" s="939" t="s">
        <v>845</v>
      </c>
      <c r="C213" s="945" t="s">
        <v>1726</v>
      </c>
      <c r="D213" s="940">
        <v>44589</v>
      </c>
      <c r="E213" s="940">
        <v>45140</v>
      </c>
      <c r="F213" s="946">
        <v>3.7499999999999999E-2</v>
      </c>
      <c r="G213" s="947">
        <v>0</v>
      </c>
      <c r="H213" s="947">
        <v>1179.2397260273972</v>
      </c>
      <c r="I213" s="947">
        <v>1022.2602739726027</v>
      </c>
      <c r="J213" s="898">
        <f t="shared" si="17"/>
        <v>156.97945205479448</v>
      </c>
      <c r="K213" s="948"/>
      <c r="L213" s="949"/>
      <c r="M213" s="949"/>
      <c r="N213" s="661">
        <f t="shared" si="16"/>
        <v>0</v>
      </c>
    </row>
    <row r="214" spans="1:14" s="88" customFormat="1">
      <c r="A214" s="941" t="s">
        <v>1727</v>
      </c>
      <c r="B214" s="939" t="s">
        <v>845</v>
      </c>
      <c r="C214" s="945" t="s">
        <v>1728</v>
      </c>
      <c r="D214" s="940">
        <v>44015</v>
      </c>
      <c r="E214" s="940">
        <v>45828</v>
      </c>
      <c r="F214" s="946">
        <v>6.5000000000000002E-2</v>
      </c>
      <c r="G214" s="947">
        <v>0</v>
      </c>
      <c r="H214" s="947">
        <v>10471.22890410959</v>
      </c>
      <c r="I214" s="947">
        <v>9669.8630136986303</v>
      </c>
      <c r="J214" s="898">
        <f t="shared" si="17"/>
        <v>801.36589041095976</v>
      </c>
      <c r="K214" s="948"/>
      <c r="L214" s="949"/>
      <c r="M214" s="949"/>
      <c r="N214" s="661">
        <f t="shared" si="16"/>
        <v>0</v>
      </c>
    </row>
    <row r="215" spans="1:14" s="88" customFormat="1">
      <c r="A215" s="941" t="s">
        <v>1727</v>
      </c>
      <c r="B215" s="939" t="s">
        <v>845</v>
      </c>
      <c r="C215" s="945" t="s">
        <v>1729</v>
      </c>
      <c r="D215" s="940">
        <v>44015</v>
      </c>
      <c r="E215" s="940">
        <v>45828</v>
      </c>
      <c r="F215" s="946">
        <v>6.5000000000000002E-2</v>
      </c>
      <c r="G215" s="947">
        <v>0</v>
      </c>
      <c r="H215" s="947">
        <v>9214.6838356164371</v>
      </c>
      <c r="I215" s="947">
        <v>8509.4794520547948</v>
      </c>
      <c r="J215" s="898">
        <f t="shared" si="17"/>
        <v>705.20438356164232</v>
      </c>
      <c r="K215" s="948"/>
      <c r="L215" s="949"/>
      <c r="M215" s="949"/>
      <c r="N215" s="661">
        <f t="shared" si="16"/>
        <v>0</v>
      </c>
    </row>
    <row r="216" spans="1:14" s="88" customFormat="1">
      <c r="A216" s="941" t="s">
        <v>1730</v>
      </c>
      <c r="B216" s="939" t="s">
        <v>845</v>
      </c>
      <c r="C216" s="945" t="s">
        <v>1731</v>
      </c>
      <c r="D216" s="940">
        <v>44421</v>
      </c>
      <c r="E216" s="940">
        <v>44971</v>
      </c>
      <c r="F216" s="946">
        <v>4.4999999999999998E-2</v>
      </c>
      <c r="G216" s="947">
        <v>0</v>
      </c>
      <c r="H216" s="947">
        <v>844.52</v>
      </c>
      <c r="I216" s="947">
        <v>705.82191780821915</v>
      </c>
      <c r="J216" s="898">
        <f t="shared" si="17"/>
        <v>138.69808219178083</v>
      </c>
      <c r="K216" s="948"/>
      <c r="L216" s="949"/>
      <c r="M216" s="949"/>
      <c r="N216" s="661">
        <f t="shared" si="16"/>
        <v>0</v>
      </c>
    </row>
    <row r="217" spans="1:14" s="88" customFormat="1">
      <c r="A217" s="941" t="s">
        <v>1730</v>
      </c>
      <c r="B217" s="939" t="s">
        <v>845</v>
      </c>
      <c r="C217" s="945" t="s">
        <v>1732</v>
      </c>
      <c r="D217" s="940">
        <v>43713</v>
      </c>
      <c r="E217" s="940">
        <v>44809</v>
      </c>
      <c r="F217" s="946">
        <v>5.6000000000000001E-2</v>
      </c>
      <c r="G217" s="947">
        <v>0</v>
      </c>
      <c r="H217" s="947">
        <v>622.90410958904113</v>
      </c>
      <c r="I217" s="947">
        <v>205.58904109589042</v>
      </c>
      <c r="J217" s="898">
        <f t="shared" si="17"/>
        <v>417.3150684931507</v>
      </c>
      <c r="K217" s="948"/>
      <c r="L217" s="949"/>
      <c r="M217" s="949"/>
      <c r="N217" s="661">
        <f t="shared" si="16"/>
        <v>0</v>
      </c>
    </row>
    <row r="218" spans="1:14" s="88" customFormat="1">
      <c r="A218" s="941" t="s">
        <v>1730</v>
      </c>
      <c r="B218" s="939" t="s">
        <v>845</v>
      </c>
      <c r="C218" s="945" t="s">
        <v>1733</v>
      </c>
      <c r="D218" s="940">
        <v>44460</v>
      </c>
      <c r="E218" s="940">
        <v>45012</v>
      </c>
      <c r="F218" s="946">
        <v>4.2999999999999997E-2</v>
      </c>
      <c r="G218" s="947">
        <v>0</v>
      </c>
      <c r="H218" s="947">
        <v>329.85136986301364</v>
      </c>
      <c r="I218" s="947">
        <v>318.08219178082186</v>
      </c>
      <c r="J218" s="898">
        <f t="shared" si="17"/>
        <v>11.769178082191786</v>
      </c>
      <c r="K218" s="948"/>
      <c r="L218" s="949"/>
      <c r="M218" s="949"/>
      <c r="N218" s="661">
        <f t="shared" si="16"/>
        <v>0</v>
      </c>
    </row>
    <row r="219" spans="1:14" s="88" customFormat="1">
      <c r="A219" s="941" t="s">
        <v>1730</v>
      </c>
      <c r="B219" s="939" t="s">
        <v>845</v>
      </c>
      <c r="C219" s="945" t="s">
        <v>1734</v>
      </c>
      <c r="D219" s="940">
        <v>44460</v>
      </c>
      <c r="E219" s="940">
        <v>45012</v>
      </c>
      <c r="F219" s="946">
        <v>4.2999999999999997E-2</v>
      </c>
      <c r="G219" s="947">
        <v>0</v>
      </c>
      <c r="H219" s="947">
        <v>329.85136986301364</v>
      </c>
      <c r="I219" s="947">
        <v>318.08219178082186</v>
      </c>
      <c r="J219" s="898">
        <f t="shared" si="17"/>
        <v>11.769178082191786</v>
      </c>
      <c r="K219" s="948"/>
      <c r="L219" s="949"/>
      <c r="M219" s="949"/>
      <c r="N219" s="661">
        <f t="shared" si="16"/>
        <v>0</v>
      </c>
    </row>
    <row r="220" spans="1:14" s="88" customFormat="1">
      <c r="A220" s="941" t="s">
        <v>1730</v>
      </c>
      <c r="B220" s="939" t="s">
        <v>845</v>
      </c>
      <c r="C220" s="945" t="s">
        <v>1735</v>
      </c>
      <c r="D220" s="940">
        <v>44460</v>
      </c>
      <c r="E220" s="940">
        <v>45012</v>
      </c>
      <c r="F220" s="946">
        <v>4.2999999999999997E-2</v>
      </c>
      <c r="G220" s="947">
        <v>0</v>
      </c>
      <c r="H220" s="947">
        <v>329.85136986301364</v>
      </c>
      <c r="I220" s="947">
        <v>318.08219178082186</v>
      </c>
      <c r="J220" s="898">
        <f t="shared" si="17"/>
        <v>11.769178082191786</v>
      </c>
      <c r="K220" s="948"/>
      <c r="L220" s="949"/>
      <c r="M220" s="949"/>
      <c r="N220" s="661">
        <f t="shared" si="16"/>
        <v>0</v>
      </c>
    </row>
    <row r="221" spans="1:14" s="88" customFormat="1">
      <c r="A221" s="941" t="s">
        <v>1730</v>
      </c>
      <c r="B221" s="939" t="s">
        <v>845</v>
      </c>
      <c r="C221" s="945" t="s">
        <v>1736</v>
      </c>
      <c r="D221" s="940">
        <v>44460</v>
      </c>
      <c r="E221" s="940">
        <v>45012</v>
      </c>
      <c r="F221" s="946">
        <v>4.2999999999999997E-2</v>
      </c>
      <c r="G221" s="947">
        <v>0</v>
      </c>
      <c r="H221" s="947">
        <v>329.85136986301364</v>
      </c>
      <c r="I221" s="947">
        <v>318.08219178082186</v>
      </c>
      <c r="J221" s="898">
        <f t="shared" si="17"/>
        <v>11.769178082191786</v>
      </c>
      <c r="K221" s="948"/>
      <c r="L221" s="949"/>
      <c r="M221" s="949"/>
      <c r="N221" s="661">
        <f t="shared" si="16"/>
        <v>0</v>
      </c>
    </row>
    <row r="222" spans="1:14" s="88" customFormat="1">
      <c r="A222" s="941" t="s">
        <v>1730</v>
      </c>
      <c r="B222" s="939" t="s">
        <v>845</v>
      </c>
      <c r="C222" s="945" t="s">
        <v>1737</v>
      </c>
      <c r="D222" s="940">
        <v>44460</v>
      </c>
      <c r="E222" s="940">
        <v>45012</v>
      </c>
      <c r="F222" s="946">
        <v>4.2999999999999997E-2</v>
      </c>
      <c r="G222" s="947">
        <v>0</v>
      </c>
      <c r="H222" s="947">
        <v>329.85136986301364</v>
      </c>
      <c r="I222" s="947">
        <v>318.08219178082186</v>
      </c>
      <c r="J222" s="898">
        <f t="shared" si="17"/>
        <v>11.769178082191786</v>
      </c>
      <c r="K222" s="948"/>
      <c r="L222" s="949"/>
      <c r="M222" s="949"/>
      <c r="N222" s="661">
        <f t="shared" si="16"/>
        <v>0</v>
      </c>
    </row>
    <row r="223" spans="1:14" s="88" customFormat="1">
      <c r="A223" s="941" t="s">
        <v>1730</v>
      </c>
      <c r="B223" s="939" t="s">
        <v>845</v>
      </c>
      <c r="C223" s="945" t="s">
        <v>1738</v>
      </c>
      <c r="D223" s="940">
        <v>44460</v>
      </c>
      <c r="E223" s="940">
        <v>45012</v>
      </c>
      <c r="F223" s="946">
        <v>4.2999999999999997E-2</v>
      </c>
      <c r="G223" s="947">
        <v>0</v>
      </c>
      <c r="H223" s="947">
        <v>329.85136986301364</v>
      </c>
      <c r="I223" s="947">
        <v>318.08219178082186</v>
      </c>
      <c r="J223" s="898">
        <f t="shared" si="17"/>
        <v>11.769178082191786</v>
      </c>
      <c r="K223" s="948"/>
      <c r="L223" s="949"/>
      <c r="M223" s="949"/>
      <c r="N223" s="661">
        <f t="shared" si="16"/>
        <v>0</v>
      </c>
    </row>
    <row r="224" spans="1:14" s="88" customFormat="1">
      <c r="A224" s="941" t="s">
        <v>1730</v>
      </c>
      <c r="B224" s="939" t="s">
        <v>845</v>
      </c>
      <c r="C224" s="945" t="s">
        <v>1739</v>
      </c>
      <c r="D224" s="940">
        <v>44460</v>
      </c>
      <c r="E224" s="940">
        <v>45012</v>
      </c>
      <c r="F224" s="946">
        <v>4.2999999999999997E-2</v>
      </c>
      <c r="G224" s="947">
        <v>0</v>
      </c>
      <c r="H224" s="947">
        <v>329.85136986301364</v>
      </c>
      <c r="I224" s="947">
        <v>318.08219178082186</v>
      </c>
      <c r="J224" s="898">
        <f t="shared" si="17"/>
        <v>11.769178082191786</v>
      </c>
      <c r="K224" s="948"/>
      <c r="L224" s="949"/>
      <c r="M224" s="949"/>
      <c r="N224" s="661">
        <f t="shared" si="16"/>
        <v>0</v>
      </c>
    </row>
    <row r="225" spans="1:14" s="88" customFormat="1">
      <c r="A225" s="941" t="s">
        <v>1730</v>
      </c>
      <c r="B225" s="939" t="s">
        <v>845</v>
      </c>
      <c r="C225" s="945" t="s">
        <v>1740</v>
      </c>
      <c r="D225" s="940">
        <v>44460</v>
      </c>
      <c r="E225" s="940">
        <v>45012</v>
      </c>
      <c r="F225" s="946">
        <v>4.2999999999999997E-2</v>
      </c>
      <c r="G225" s="947">
        <v>0</v>
      </c>
      <c r="H225" s="947">
        <v>329.85136986301364</v>
      </c>
      <c r="I225" s="947">
        <v>318.08219178082186</v>
      </c>
      <c r="J225" s="898">
        <f t="shared" si="17"/>
        <v>11.769178082191786</v>
      </c>
      <c r="K225" s="948"/>
      <c r="L225" s="949"/>
      <c r="M225" s="949"/>
      <c r="N225" s="661">
        <f t="shared" si="16"/>
        <v>0</v>
      </c>
    </row>
    <row r="226" spans="1:14" s="88" customFormat="1">
      <c r="A226" s="941" t="s">
        <v>1730</v>
      </c>
      <c r="B226" s="939" t="s">
        <v>845</v>
      </c>
      <c r="C226" s="945" t="s">
        <v>1741</v>
      </c>
      <c r="D226" s="940">
        <v>44460</v>
      </c>
      <c r="E226" s="940">
        <v>45012</v>
      </c>
      <c r="F226" s="946">
        <v>4.2999999999999997E-2</v>
      </c>
      <c r="G226" s="947">
        <v>0</v>
      </c>
      <c r="H226" s="947">
        <v>329.85136986301364</v>
      </c>
      <c r="I226" s="947">
        <v>318.08219178082186</v>
      </c>
      <c r="J226" s="898">
        <f t="shared" si="17"/>
        <v>11.769178082191786</v>
      </c>
      <c r="K226" s="948"/>
      <c r="L226" s="949"/>
      <c r="M226" s="949"/>
      <c r="N226" s="661">
        <f t="shared" si="16"/>
        <v>0</v>
      </c>
    </row>
    <row r="227" spans="1:14" s="88" customFormat="1">
      <c r="A227" s="941" t="s">
        <v>1730</v>
      </c>
      <c r="B227" s="939" t="s">
        <v>845</v>
      </c>
      <c r="C227" s="945" t="s">
        <v>1742</v>
      </c>
      <c r="D227" s="940">
        <v>44460</v>
      </c>
      <c r="E227" s="940">
        <v>45012</v>
      </c>
      <c r="F227" s="946">
        <v>4.2999999999999997E-2</v>
      </c>
      <c r="G227" s="947">
        <v>0</v>
      </c>
      <c r="H227" s="947">
        <v>494.79205479452054</v>
      </c>
      <c r="I227" s="947">
        <v>477.1232876712329</v>
      </c>
      <c r="J227" s="898">
        <f t="shared" si="17"/>
        <v>17.668767123287637</v>
      </c>
      <c r="K227" s="948"/>
      <c r="L227" s="949"/>
      <c r="M227" s="949"/>
      <c r="N227" s="661">
        <f t="shared" si="16"/>
        <v>0</v>
      </c>
    </row>
    <row r="228" spans="1:14" s="88" customFormat="1">
      <c r="A228" s="941" t="s">
        <v>1730</v>
      </c>
      <c r="B228" s="939" t="s">
        <v>845</v>
      </c>
      <c r="C228" s="945" t="s">
        <v>1743</v>
      </c>
      <c r="D228" s="940">
        <v>44460</v>
      </c>
      <c r="E228" s="940">
        <v>45012</v>
      </c>
      <c r="F228" s="946">
        <v>4.2999999999999997E-2</v>
      </c>
      <c r="G228" s="947">
        <v>0</v>
      </c>
      <c r="H228" s="947">
        <v>494.79205479452054</v>
      </c>
      <c r="I228" s="947">
        <v>477.1232876712329</v>
      </c>
      <c r="J228" s="898">
        <f t="shared" si="17"/>
        <v>17.668767123287637</v>
      </c>
      <c r="K228" s="948"/>
      <c r="L228" s="949"/>
      <c r="M228" s="949"/>
      <c r="N228" s="661">
        <f t="shared" si="16"/>
        <v>0</v>
      </c>
    </row>
    <row r="229" spans="1:14" s="88" customFormat="1">
      <c r="A229" s="941" t="s">
        <v>1730</v>
      </c>
      <c r="B229" s="939" t="s">
        <v>845</v>
      </c>
      <c r="C229" s="945" t="s">
        <v>1744</v>
      </c>
      <c r="D229" s="940">
        <v>44460</v>
      </c>
      <c r="E229" s="940">
        <v>45012</v>
      </c>
      <c r="F229" s="946">
        <v>4.2999999999999997E-2</v>
      </c>
      <c r="G229" s="947">
        <v>0</v>
      </c>
      <c r="H229" s="947">
        <v>494.79205479452054</v>
      </c>
      <c r="I229" s="947">
        <v>477.1232876712329</v>
      </c>
      <c r="J229" s="898">
        <f t="shared" si="17"/>
        <v>17.668767123287637</v>
      </c>
      <c r="K229" s="948"/>
      <c r="L229" s="949"/>
      <c r="M229" s="949"/>
      <c r="N229" s="661">
        <f t="shared" si="16"/>
        <v>0</v>
      </c>
    </row>
    <row r="230" spans="1:14" s="88" customFormat="1">
      <c r="A230" s="941" t="s">
        <v>1730</v>
      </c>
      <c r="B230" s="939" t="s">
        <v>845</v>
      </c>
      <c r="C230" s="945" t="s">
        <v>1745</v>
      </c>
      <c r="D230" s="940">
        <v>44460</v>
      </c>
      <c r="E230" s="940">
        <v>45012</v>
      </c>
      <c r="F230" s="946">
        <v>4.2999999999999997E-2</v>
      </c>
      <c r="G230" s="947">
        <v>0</v>
      </c>
      <c r="H230" s="947">
        <v>494.79205479452054</v>
      </c>
      <c r="I230" s="947">
        <v>477.1232876712329</v>
      </c>
      <c r="J230" s="898">
        <f t="shared" si="17"/>
        <v>17.668767123287637</v>
      </c>
      <c r="K230" s="948"/>
      <c r="L230" s="949"/>
      <c r="M230" s="949"/>
      <c r="N230" s="661">
        <f t="shared" si="16"/>
        <v>0</v>
      </c>
    </row>
    <row r="231" spans="1:14" s="88" customFormat="1">
      <c r="A231" s="941" t="s">
        <v>1730</v>
      </c>
      <c r="B231" s="939" t="s">
        <v>845</v>
      </c>
      <c r="C231" s="945" t="s">
        <v>1746</v>
      </c>
      <c r="D231" s="940">
        <v>44460</v>
      </c>
      <c r="E231" s="940">
        <v>45012</v>
      </c>
      <c r="F231" s="946">
        <v>4.2999999999999997E-2</v>
      </c>
      <c r="G231" s="947">
        <v>0</v>
      </c>
      <c r="H231" s="947">
        <v>824.66342465753416</v>
      </c>
      <c r="I231" s="947">
        <v>795.20547945205476</v>
      </c>
      <c r="J231" s="898">
        <f t="shared" si="17"/>
        <v>29.457945205479405</v>
      </c>
      <c r="K231" s="948"/>
      <c r="L231" s="949"/>
      <c r="M231" s="949"/>
      <c r="N231" s="661">
        <f t="shared" si="16"/>
        <v>0</v>
      </c>
    </row>
    <row r="232" spans="1:14" s="88" customFormat="1">
      <c r="A232" s="941" t="s">
        <v>1730</v>
      </c>
      <c r="B232" s="939" t="s">
        <v>845</v>
      </c>
      <c r="C232" s="945" t="s">
        <v>1747</v>
      </c>
      <c r="D232" s="940">
        <v>44460</v>
      </c>
      <c r="E232" s="940">
        <v>45012</v>
      </c>
      <c r="F232" s="946">
        <v>4.2999999999999997E-2</v>
      </c>
      <c r="G232" s="947">
        <v>0</v>
      </c>
      <c r="H232" s="947">
        <v>824.66342465753416</v>
      </c>
      <c r="I232" s="947">
        <v>795.20547945205476</v>
      </c>
      <c r="J232" s="898">
        <f t="shared" si="17"/>
        <v>29.457945205479405</v>
      </c>
      <c r="K232" s="948"/>
      <c r="L232" s="949"/>
      <c r="M232" s="949"/>
      <c r="N232" s="661">
        <f t="shared" si="16"/>
        <v>0</v>
      </c>
    </row>
    <row r="233" spans="1:14" s="88" customFormat="1">
      <c r="A233" s="941" t="s">
        <v>1730</v>
      </c>
      <c r="B233" s="939" t="s">
        <v>845</v>
      </c>
      <c r="C233" s="945" t="s">
        <v>1748</v>
      </c>
      <c r="D233" s="940">
        <v>44460</v>
      </c>
      <c r="E233" s="940">
        <v>45012</v>
      </c>
      <c r="F233" s="946">
        <v>4.2999999999999997E-2</v>
      </c>
      <c r="G233" s="947">
        <v>0</v>
      </c>
      <c r="H233" s="947">
        <v>824.66342465753416</v>
      </c>
      <c r="I233" s="947">
        <v>795.20547945205476</v>
      </c>
      <c r="J233" s="898">
        <f t="shared" si="17"/>
        <v>29.457945205479405</v>
      </c>
      <c r="K233" s="948"/>
      <c r="L233" s="949"/>
      <c r="M233" s="949"/>
      <c r="N233" s="661">
        <f t="shared" si="16"/>
        <v>0</v>
      </c>
    </row>
    <row r="234" spans="1:14" s="88" customFormat="1">
      <c r="A234" s="941" t="s">
        <v>1730</v>
      </c>
      <c r="B234" s="939" t="s">
        <v>845</v>
      </c>
      <c r="C234" s="945" t="s">
        <v>1749</v>
      </c>
      <c r="D234" s="940">
        <v>44460</v>
      </c>
      <c r="E234" s="940">
        <v>45012</v>
      </c>
      <c r="F234" s="946">
        <v>4.2999999999999997E-2</v>
      </c>
      <c r="G234" s="947">
        <v>0</v>
      </c>
      <c r="H234" s="947">
        <v>824.66342465753416</v>
      </c>
      <c r="I234" s="947">
        <v>795.20547945205476</v>
      </c>
      <c r="J234" s="898">
        <f t="shared" si="17"/>
        <v>29.457945205479405</v>
      </c>
      <c r="K234" s="948"/>
      <c r="L234" s="949"/>
      <c r="M234" s="949"/>
      <c r="N234" s="661">
        <f t="shared" si="16"/>
        <v>0</v>
      </c>
    </row>
    <row r="235" spans="1:14" s="88" customFormat="1">
      <c r="A235" s="941" t="s">
        <v>1730</v>
      </c>
      <c r="B235" s="939" t="s">
        <v>845</v>
      </c>
      <c r="C235" s="945" t="s">
        <v>1750</v>
      </c>
      <c r="D235" s="940">
        <v>44460</v>
      </c>
      <c r="E235" s="940">
        <v>45012</v>
      </c>
      <c r="F235" s="946">
        <v>4.2999999999999997E-2</v>
      </c>
      <c r="G235" s="947">
        <v>0</v>
      </c>
      <c r="H235" s="947">
        <v>824.66342465753416</v>
      </c>
      <c r="I235" s="947">
        <v>795.20547945205476</v>
      </c>
      <c r="J235" s="898">
        <f t="shared" si="17"/>
        <v>29.457945205479405</v>
      </c>
      <c r="K235" s="948"/>
      <c r="L235" s="949"/>
      <c r="M235" s="949"/>
      <c r="N235" s="661">
        <f t="shared" si="16"/>
        <v>0</v>
      </c>
    </row>
    <row r="236" spans="1:14" s="88" customFormat="1">
      <c r="A236" s="941" t="s">
        <v>1730</v>
      </c>
      <c r="B236" s="939" t="s">
        <v>845</v>
      </c>
      <c r="C236" s="945" t="s">
        <v>1751</v>
      </c>
      <c r="D236" s="940">
        <v>44428</v>
      </c>
      <c r="E236" s="940">
        <v>44977</v>
      </c>
      <c r="F236" s="946">
        <v>4.65E-2</v>
      </c>
      <c r="G236" s="947">
        <v>0</v>
      </c>
      <c r="H236" s="947">
        <v>347.79095890410952</v>
      </c>
      <c r="I236" s="947">
        <v>299.38356164383561</v>
      </c>
      <c r="J236" s="898">
        <f t="shared" si="17"/>
        <v>48.40739726027391</v>
      </c>
      <c r="K236" s="948"/>
      <c r="L236" s="949"/>
      <c r="M236" s="949"/>
      <c r="N236" s="661">
        <f t="shared" si="16"/>
        <v>0</v>
      </c>
    </row>
    <row r="237" spans="1:14" s="88" customFormat="1">
      <c r="A237" s="941" t="s">
        <v>1730</v>
      </c>
      <c r="B237" s="939" t="s">
        <v>845</v>
      </c>
      <c r="C237" s="945" t="s">
        <v>1752</v>
      </c>
      <c r="D237" s="940">
        <v>44428</v>
      </c>
      <c r="E237" s="940">
        <v>44977</v>
      </c>
      <c r="F237" s="946">
        <v>4.65E-2</v>
      </c>
      <c r="G237" s="947">
        <v>0</v>
      </c>
      <c r="H237" s="947">
        <v>347.79095890410952</v>
      </c>
      <c r="I237" s="947">
        <v>299.38356164383561</v>
      </c>
      <c r="J237" s="898">
        <f t="shared" si="17"/>
        <v>48.40739726027391</v>
      </c>
      <c r="K237" s="948"/>
      <c r="L237" s="949"/>
      <c r="M237" s="949"/>
      <c r="N237" s="661">
        <f t="shared" si="16"/>
        <v>0</v>
      </c>
    </row>
    <row r="238" spans="1:14" s="88" customFormat="1">
      <c r="A238" s="941" t="s">
        <v>1730</v>
      </c>
      <c r="B238" s="939" t="s">
        <v>845</v>
      </c>
      <c r="C238" s="945" t="s">
        <v>1753</v>
      </c>
      <c r="D238" s="940">
        <v>44428</v>
      </c>
      <c r="E238" s="940">
        <v>44977</v>
      </c>
      <c r="F238" s="946">
        <v>4.65E-2</v>
      </c>
      <c r="G238" s="947">
        <v>0</v>
      </c>
      <c r="H238" s="947">
        <v>347.79095890410952</v>
      </c>
      <c r="I238" s="947">
        <v>299.38356164383561</v>
      </c>
      <c r="J238" s="898">
        <f t="shared" si="17"/>
        <v>48.40739726027391</v>
      </c>
      <c r="K238" s="948"/>
      <c r="L238" s="949"/>
      <c r="M238" s="949"/>
      <c r="N238" s="661">
        <f t="shared" si="16"/>
        <v>0</v>
      </c>
    </row>
    <row r="239" spans="1:14" s="88" customFormat="1">
      <c r="A239" s="941" t="s">
        <v>1730</v>
      </c>
      <c r="B239" s="939" t="s">
        <v>845</v>
      </c>
      <c r="C239" s="945" t="s">
        <v>1754</v>
      </c>
      <c r="D239" s="940">
        <v>44428</v>
      </c>
      <c r="E239" s="940">
        <v>44977</v>
      </c>
      <c r="F239" s="946">
        <v>4.65E-2</v>
      </c>
      <c r="G239" s="947">
        <v>0</v>
      </c>
      <c r="H239" s="947">
        <v>347.79095890410952</v>
      </c>
      <c r="I239" s="947">
        <v>299.38356164383561</v>
      </c>
      <c r="J239" s="898">
        <f t="shared" si="17"/>
        <v>48.40739726027391</v>
      </c>
      <c r="K239" s="948"/>
      <c r="L239" s="949"/>
      <c r="M239" s="949"/>
      <c r="N239" s="661">
        <f t="shared" si="16"/>
        <v>0</v>
      </c>
    </row>
    <row r="240" spans="1:14" s="88" customFormat="1">
      <c r="A240" s="941" t="s">
        <v>1730</v>
      </c>
      <c r="B240" s="939" t="s">
        <v>845</v>
      </c>
      <c r="C240" s="945" t="s">
        <v>1755</v>
      </c>
      <c r="D240" s="940">
        <v>44428</v>
      </c>
      <c r="E240" s="940">
        <v>44977</v>
      </c>
      <c r="F240" s="946">
        <v>4.65E-2</v>
      </c>
      <c r="G240" s="947">
        <v>0</v>
      </c>
      <c r="H240" s="947">
        <v>347.79095890410952</v>
      </c>
      <c r="I240" s="947">
        <v>299.38356164383561</v>
      </c>
      <c r="J240" s="898">
        <f t="shared" si="17"/>
        <v>48.40739726027391</v>
      </c>
      <c r="K240" s="948"/>
      <c r="L240" s="949"/>
      <c r="M240" s="949"/>
      <c r="N240" s="661">
        <f t="shared" si="16"/>
        <v>0</v>
      </c>
    </row>
    <row r="241" spans="1:14" s="88" customFormat="1">
      <c r="A241" s="941" t="s">
        <v>1730</v>
      </c>
      <c r="B241" s="939" t="s">
        <v>845</v>
      </c>
      <c r="C241" s="945" t="s">
        <v>1756</v>
      </c>
      <c r="D241" s="940">
        <v>44428</v>
      </c>
      <c r="E241" s="940">
        <v>44977</v>
      </c>
      <c r="F241" s="946">
        <v>4.65E-2</v>
      </c>
      <c r="G241" s="947">
        <v>0</v>
      </c>
      <c r="H241" s="947">
        <v>347.79095890410952</v>
      </c>
      <c r="I241" s="947">
        <v>299.38356164383561</v>
      </c>
      <c r="J241" s="898">
        <f t="shared" si="17"/>
        <v>48.40739726027391</v>
      </c>
      <c r="K241" s="948"/>
      <c r="L241" s="949"/>
      <c r="M241" s="949"/>
      <c r="N241" s="661">
        <f t="shared" si="16"/>
        <v>0</v>
      </c>
    </row>
    <row r="242" spans="1:14" s="88" customFormat="1">
      <c r="A242" s="941" t="s">
        <v>1730</v>
      </c>
      <c r="B242" s="939" t="s">
        <v>845</v>
      </c>
      <c r="C242" s="945" t="s">
        <v>1757</v>
      </c>
      <c r="D242" s="940">
        <v>44428</v>
      </c>
      <c r="E242" s="940">
        <v>44977</v>
      </c>
      <c r="F242" s="946">
        <v>4.65E-2</v>
      </c>
      <c r="G242" s="947">
        <v>0</v>
      </c>
      <c r="H242" s="947">
        <v>347.79095890410952</v>
      </c>
      <c r="I242" s="947">
        <v>299.38356164383561</v>
      </c>
      <c r="J242" s="898">
        <f t="shared" si="17"/>
        <v>48.40739726027391</v>
      </c>
      <c r="K242" s="948"/>
      <c r="L242" s="949"/>
      <c r="M242" s="949"/>
      <c r="N242" s="661">
        <f t="shared" si="16"/>
        <v>0</v>
      </c>
    </row>
    <row r="243" spans="1:14" s="88" customFormat="1">
      <c r="A243" s="941" t="s">
        <v>1730</v>
      </c>
      <c r="B243" s="939" t="s">
        <v>845</v>
      </c>
      <c r="C243" s="945" t="s">
        <v>1758</v>
      </c>
      <c r="D243" s="940">
        <v>44428</v>
      </c>
      <c r="E243" s="940">
        <v>44977</v>
      </c>
      <c r="F243" s="946">
        <v>4.65E-2</v>
      </c>
      <c r="G243" s="947">
        <v>0</v>
      </c>
      <c r="H243" s="947">
        <v>347.79095890410952</v>
      </c>
      <c r="I243" s="947">
        <v>299.38356164383561</v>
      </c>
      <c r="J243" s="898">
        <f t="shared" si="17"/>
        <v>48.40739726027391</v>
      </c>
      <c r="K243" s="948"/>
      <c r="L243" s="949"/>
      <c r="M243" s="949"/>
      <c r="N243" s="661">
        <f t="shared" si="16"/>
        <v>0</v>
      </c>
    </row>
    <row r="244" spans="1:14" s="88" customFormat="1">
      <c r="A244" s="941" t="s">
        <v>1730</v>
      </c>
      <c r="B244" s="939" t="s">
        <v>845</v>
      </c>
      <c r="C244" s="945" t="s">
        <v>1759</v>
      </c>
      <c r="D244" s="940">
        <v>44428</v>
      </c>
      <c r="E244" s="940">
        <v>44977</v>
      </c>
      <c r="F244" s="946">
        <v>4.65E-2</v>
      </c>
      <c r="G244" s="947">
        <v>0</v>
      </c>
      <c r="H244" s="947">
        <v>347.79095890410952</v>
      </c>
      <c r="I244" s="947">
        <v>299.38356164383561</v>
      </c>
      <c r="J244" s="898">
        <f>+G244+H244-I244</f>
        <v>48.40739726027391</v>
      </c>
      <c r="K244" s="948"/>
      <c r="L244" s="949"/>
      <c r="M244" s="949"/>
      <c r="N244" s="661">
        <f t="shared" si="16"/>
        <v>0</v>
      </c>
    </row>
    <row r="245" spans="1:14" s="88" customFormat="1">
      <c r="A245" s="941" t="s">
        <v>1730</v>
      </c>
      <c r="B245" s="939" t="s">
        <v>845</v>
      </c>
      <c r="C245" s="945" t="s">
        <v>1760</v>
      </c>
      <c r="D245" s="940">
        <v>44428</v>
      </c>
      <c r="E245" s="940">
        <v>44977</v>
      </c>
      <c r="F245" s="946">
        <v>4.65E-2</v>
      </c>
      <c r="G245" s="947">
        <v>0</v>
      </c>
      <c r="H245" s="947">
        <v>347.79095890410952</v>
      </c>
      <c r="I245" s="947">
        <v>299.38356164383561</v>
      </c>
      <c r="J245" s="898">
        <f>+G245+H245-I245</f>
        <v>48.40739726027391</v>
      </c>
      <c r="K245" s="948"/>
      <c r="L245" s="949"/>
      <c r="M245" s="949"/>
      <c r="N245" s="661">
        <f t="shared" si="16"/>
        <v>0</v>
      </c>
    </row>
    <row r="246" spans="1:14" s="88" customFormat="1">
      <c r="A246" s="941" t="s">
        <v>1761</v>
      </c>
      <c r="B246" s="939" t="s">
        <v>845</v>
      </c>
      <c r="C246" s="945" t="s">
        <v>1762</v>
      </c>
      <c r="D246" s="940">
        <v>44293</v>
      </c>
      <c r="E246" s="940">
        <v>45390</v>
      </c>
      <c r="F246" s="946">
        <v>3.95E-2</v>
      </c>
      <c r="G246" s="947">
        <v>0</v>
      </c>
      <c r="H246" s="947">
        <v>39616.140821917812</v>
      </c>
      <c r="I246" s="947">
        <v>35070.026301369864</v>
      </c>
      <c r="J246" s="898">
        <f t="shared" ref="J246:J253" si="18">+G246+H246-I246</f>
        <v>4546.1145205479479</v>
      </c>
      <c r="K246" s="948"/>
      <c r="L246" s="949"/>
      <c r="M246" s="949"/>
      <c r="N246" s="661">
        <f t="shared" si="16"/>
        <v>0</v>
      </c>
    </row>
    <row r="247" spans="1:14" s="88" customFormat="1">
      <c r="A247" s="941" t="s">
        <v>1761</v>
      </c>
      <c r="B247" s="939" t="s">
        <v>845</v>
      </c>
      <c r="C247" s="945" t="s">
        <v>1763</v>
      </c>
      <c r="D247" s="940">
        <v>44293</v>
      </c>
      <c r="E247" s="940">
        <v>45390</v>
      </c>
      <c r="F247" s="946">
        <v>3.95E-2</v>
      </c>
      <c r="G247" s="947">
        <v>0</v>
      </c>
      <c r="H247" s="947">
        <v>39616.140821917812</v>
      </c>
      <c r="I247" s="947">
        <v>35070.026301369864</v>
      </c>
      <c r="J247" s="898">
        <f t="shared" si="18"/>
        <v>4546.1145205479479</v>
      </c>
      <c r="K247" s="948"/>
      <c r="L247" s="949"/>
      <c r="M247" s="949"/>
      <c r="N247" s="661">
        <f t="shared" si="16"/>
        <v>0</v>
      </c>
    </row>
    <row r="248" spans="1:14" s="88" customFormat="1">
      <c r="A248" s="941" t="s">
        <v>1761</v>
      </c>
      <c r="B248" s="939" t="s">
        <v>845</v>
      </c>
      <c r="C248" s="945" t="s">
        <v>1764</v>
      </c>
      <c r="D248" s="940">
        <v>44302</v>
      </c>
      <c r="E248" s="940">
        <v>45398</v>
      </c>
      <c r="F248" s="946">
        <v>3.95E-2</v>
      </c>
      <c r="G248" s="947">
        <v>0</v>
      </c>
      <c r="H248" s="947">
        <v>39453.779589041093</v>
      </c>
      <c r="I248" s="947">
        <v>35502.989589041092</v>
      </c>
      <c r="J248" s="898">
        <f t="shared" si="18"/>
        <v>3950.7900000000009</v>
      </c>
      <c r="K248" s="948"/>
      <c r="L248" s="949"/>
      <c r="M248" s="949"/>
      <c r="N248" s="661">
        <f t="shared" si="16"/>
        <v>0</v>
      </c>
    </row>
    <row r="249" spans="1:14" s="88" customFormat="1">
      <c r="A249" s="941" t="s">
        <v>1761</v>
      </c>
      <c r="B249" s="939" t="s">
        <v>845</v>
      </c>
      <c r="C249" s="945" t="s">
        <v>1765</v>
      </c>
      <c r="D249" s="940">
        <v>44302</v>
      </c>
      <c r="E249" s="940">
        <v>45398</v>
      </c>
      <c r="F249" s="946">
        <v>3.95E-2</v>
      </c>
      <c r="G249" s="947">
        <v>0</v>
      </c>
      <c r="H249" s="947">
        <v>39453.779589041093</v>
      </c>
      <c r="I249" s="947">
        <v>35502.989589041092</v>
      </c>
      <c r="J249" s="898">
        <f t="shared" si="18"/>
        <v>3950.7900000000009</v>
      </c>
      <c r="K249" s="948"/>
      <c r="L249" s="949"/>
      <c r="M249" s="949"/>
      <c r="N249" s="661">
        <f t="shared" si="16"/>
        <v>0</v>
      </c>
    </row>
    <row r="250" spans="1:14" s="88" customFormat="1">
      <c r="A250" s="941" t="s">
        <v>1761</v>
      </c>
      <c r="B250" s="939" t="s">
        <v>845</v>
      </c>
      <c r="C250" s="945" t="s">
        <v>1766</v>
      </c>
      <c r="D250" s="940">
        <v>44273</v>
      </c>
      <c r="E250" s="940">
        <v>45369</v>
      </c>
      <c r="F250" s="946">
        <v>3.95E-2</v>
      </c>
      <c r="G250" s="947">
        <v>0</v>
      </c>
      <c r="H250" s="947">
        <v>39562.020410958903</v>
      </c>
      <c r="I250" s="947">
        <v>33933.497671232879</v>
      </c>
      <c r="J250" s="898">
        <f t="shared" si="18"/>
        <v>5628.5227397260242</v>
      </c>
      <c r="K250" s="948"/>
      <c r="L250" s="949"/>
      <c r="M250" s="949"/>
      <c r="N250" s="661">
        <f t="shared" si="16"/>
        <v>0</v>
      </c>
    </row>
    <row r="251" spans="1:14" s="88" customFormat="1">
      <c r="A251" s="941" t="s">
        <v>1761</v>
      </c>
      <c r="B251" s="939" t="s">
        <v>845</v>
      </c>
      <c r="C251" s="945" t="s">
        <v>1767</v>
      </c>
      <c r="D251" s="940">
        <v>44273</v>
      </c>
      <c r="E251" s="940">
        <v>45369</v>
      </c>
      <c r="F251" s="946">
        <v>3.95E-2</v>
      </c>
      <c r="G251" s="947">
        <v>0</v>
      </c>
      <c r="H251" s="947">
        <v>39562.020410958903</v>
      </c>
      <c r="I251" s="947">
        <v>33933.497671232879</v>
      </c>
      <c r="J251" s="898">
        <f t="shared" si="18"/>
        <v>5628.5227397260242</v>
      </c>
      <c r="K251" s="948"/>
      <c r="L251" s="949"/>
      <c r="M251" s="949"/>
      <c r="N251" s="661">
        <f t="shared" si="16"/>
        <v>0</v>
      </c>
    </row>
    <row r="252" spans="1:14" s="88" customFormat="1">
      <c r="A252" s="941" t="s">
        <v>1761</v>
      </c>
      <c r="B252" s="939" t="s">
        <v>845</v>
      </c>
      <c r="C252" s="945" t="s">
        <v>1768</v>
      </c>
      <c r="D252" s="940">
        <v>44273</v>
      </c>
      <c r="E252" s="940">
        <v>45369</v>
      </c>
      <c r="F252" s="946">
        <v>3.95E-2</v>
      </c>
      <c r="G252" s="947">
        <v>0</v>
      </c>
      <c r="H252" s="947">
        <v>39562.020410958903</v>
      </c>
      <c r="I252" s="947">
        <v>33933.497671232879</v>
      </c>
      <c r="J252" s="898">
        <f t="shared" si="18"/>
        <v>5628.5227397260242</v>
      </c>
      <c r="K252" s="948"/>
      <c r="L252" s="949"/>
      <c r="M252" s="949"/>
      <c r="N252" s="661">
        <f t="shared" si="16"/>
        <v>0</v>
      </c>
    </row>
    <row r="253" spans="1:14" s="88" customFormat="1">
      <c r="A253" s="941" t="s">
        <v>1761</v>
      </c>
      <c r="B253" s="939" t="s">
        <v>845</v>
      </c>
      <c r="C253" s="945" t="s">
        <v>1769</v>
      </c>
      <c r="D253" s="940">
        <v>44327</v>
      </c>
      <c r="E253" s="940">
        <v>45425</v>
      </c>
      <c r="F253" s="946">
        <v>3.7499999999999999E-2</v>
      </c>
      <c r="G253" s="947">
        <v>0</v>
      </c>
      <c r="H253" s="947">
        <v>37558.880136986299</v>
      </c>
      <c r="I253" s="947">
        <v>35092.63356164383</v>
      </c>
      <c r="J253" s="898">
        <f t="shared" si="18"/>
        <v>2466.2465753424694</v>
      </c>
      <c r="K253" s="948"/>
      <c r="L253" s="949"/>
      <c r="M253" s="949"/>
      <c r="N253" s="661">
        <f t="shared" si="16"/>
        <v>0</v>
      </c>
    </row>
    <row r="254" spans="1:14" s="88" customFormat="1">
      <c r="A254" s="941" t="s">
        <v>1770</v>
      </c>
      <c r="B254" s="939" t="s">
        <v>845</v>
      </c>
      <c r="C254" s="945" t="s">
        <v>1771</v>
      </c>
      <c r="D254" s="940">
        <v>44629</v>
      </c>
      <c r="E254" s="940">
        <v>45174</v>
      </c>
      <c r="F254" s="946">
        <v>3.6499999999999998E-2</v>
      </c>
      <c r="G254" s="947">
        <v>0</v>
      </c>
      <c r="H254" s="947">
        <v>4540</v>
      </c>
      <c r="I254" s="947">
        <v>4320</v>
      </c>
      <c r="J254" s="898">
        <f>+G254+H254-I254</f>
        <v>220</v>
      </c>
      <c r="K254" s="948"/>
      <c r="L254" s="949"/>
      <c r="M254" s="949"/>
      <c r="N254" s="661">
        <f t="shared" ref="N254:N273" si="19">+G254*M254</f>
        <v>0</v>
      </c>
    </row>
    <row r="255" spans="1:14" s="88" customFormat="1">
      <c r="A255" s="941" t="s">
        <v>1770</v>
      </c>
      <c r="B255" s="939" t="s">
        <v>845</v>
      </c>
      <c r="C255" s="945" t="s">
        <v>1772</v>
      </c>
      <c r="D255" s="940">
        <v>44629</v>
      </c>
      <c r="E255" s="940">
        <v>45174</v>
      </c>
      <c r="F255" s="946">
        <v>3.6499999999999998E-2</v>
      </c>
      <c r="G255" s="947">
        <v>0</v>
      </c>
      <c r="H255" s="947">
        <v>4540</v>
      </c>
      <c r="I255" s="947">
        <v>4320</v>
      </c>
      <c r="J255" s="898">
        <f t="shared" ref="J255:J258" si="20">+G255+H255-I255</f>
        <v>220</v>
      </c>
      <c r="K255" s="948"/>
      <c r="L255" s="949"/>
      <c r="M255" s="949"/>
      <c r="N255" s="661">
        <f t="shared" si="19"/>
        <v>0</v>
      </c>
    </row>
    <row r="256" spans="1:14" s="88" customFormat="1">
      <c r="A256" s="941" t="s">
        <v>1770</v>
      </c>
      <c r="B256" s="939" t="s">
        <v>845</v>
      </c>
      <c r="C256" s="945" t="s">
        <v>1773</v>
      </c>
      <c r="D256" s="940">
        <v>44658</v>
      </c>
      <c r="E256" s="940">
        <v>45398</v>
      </c>
      <c r="F256" s="946">
        <v>3.85E-2</v>
      </c>
      <c r="G256" s="947">
        <v>0</v>
      </c>
      <c r="H256" s="947">
        <v>7805.4794520547948</v>
      </c>
      <c r="I256" s="947">
        <v>6919.4520547945203</v>
      </c>
      <c r="J256" s="898">
        <f t="shared" si="20"/>
        <v>886.02739726027448</v>
      </c>
      <c r="K256" s="948"/>
      <c r="L256" s="949"/>
      <c r="M256" s="949"/>
      <c r="N256" s="661">
        <f t="shared" si="19"/>
        <v>0</v>
      </c>
    </row>
    <row r="257" spans="1:14" s="88" customFormat="1">
      <c r="A257" s="941" t="s">
        <v>1770</v>
      </c>
      <c r="B257" s="939" t="s">
        <v>845</v>
      </c>
      <c r="C257" s="945" t="s">
        <v>1774</v>
      </c>
      <c r="D257" s="940">
        <v>44658</v>
      </c>
      <c r="E257" s="940">
        <v>45398</v>
      </c>
      <c r="F257" s="946">
        <v>3.85E-2</v>
      </c>
      <c r="G257" s="947">
        <v>0</v>
      </c>
      <c r="H257" s="947">
        <v>7805.4794520547948</v>
      </c>
      <c r="I257" s="947">
        <v>6919.4520547945203</v>
      </c>
      <c r="J257" s="898">
        <f t="shared" si="20"/>
        <v>886.02739726027448</v>
      </c>
      <c r="K257" s="948"/>
      <c r="L257" s="949"/>
      <c r="M257" s="949"/>
      <c r="N257" s="661">
        <f t="shared" si="19"/>
        <v>0</v>
      </c>
    </row>
    <row r="258" spans="1:14" s="88" customFormat="1">
      <c r="A258" s="941" t="s">
        <v>1770</v>
      </c>
      <c r="B258" s="939" t="s">
        <v>845</v>
      </c>
      <c r="C258" s="945" t="s">
        <v>1775</v>
      </c>
      <c r="D258" s="940">
        <v>44658</v>
      </c>
      <c r="E258" s="940">
        <v>45398</v>
      </c>
      <c r="F258" s="946">
        <v>3.85E-2</v>
      </c>
      <c r="G258" s="947">
        <v>0</v>
      </c>
      <c r="H258" s="947">
        <v>7805.4794520547948</v>
      </c>
      <c r="I258" s="947">
        <v>6919.4520547945203</v>
      </c>
      <c r="J258" s="898">
        <f t="shared" si="20"/>
        <v>886.02739726027448</v>
      </c>
      <c r="K258" s="948"/>
      <c r="L258" s="949"/>
      <c r="M258" s="949"/>
      <c r="N258" s="661">
        <f t="shared" si="19"/>
        <v>0</v>
      </c>
    </row>
    <row r="259" spans="1:14" s="88" customFormat="1">
      <c r="A259" s="941" t="s">
        <v>1770</v>
      </c>
      <c r="B259" s="939" t="s">
        <v>845</v>
      </c>
      <c r="C259" s="945" t="s">
        <v>1776</v>
      </c>
      <c r="D259" s="940">
        <v>44629</v>
      </c>
      <c r="E259" s="940">
        <v>45174</v>
      </c>
      <c r="F259" s="946">
        <v>3.6499999999999998E-2</v>
      </c>
      <c r="G259" s="947">
        <v>0</v>
      </c>
      <c r="H259" s="947">
        <v>4540</v>
      </c>
      <c r="I259" s="947">
        <v>4320</v>
      </c>
      <c r="J259" s="898">
        <f>+G259+H259-I259</f>
        <v>220</v>
      </c>
      <c r="K259" s="948"/>
      <c r="L259" s="949"/>
      <c r="M259" s="949"/>
      <c r="N259" s="661">
        <f t="shared" si="19"/>
        <v>0</v>
      </c>
    </row>
    <row r="260" spans="1:14" s="88" customFormat="1">
      <c r="A260" s="941" t="s">
        <v>1770</v>
      </c>
      <c r="B260" s="939" t="s">
        <v>845</v>
      </c>
      <c r="C260" s="945" t="s">
        <v>1777</v>
      </c>
      <c r="D260" s="940">
        <v>44629</v>
      </c>
      <c r="E260" s="940">
        <v>45174</v>
      </c>
      <c r="F260" s="946">
        <v>3.6499999999999998E-2</v>
      </c>
      <c r="G260" s="947">
        <v>0</v>
      </c>
      <c r="H260" s="947">
        <v>4540</v>
      </c>
      <c r="I260" s="947">
        <v>4320</v>
      </c>
      <c r="J260" s="898">
        <f t="shared" ref="J260:J263" si="21">+G260+H260-I260</f>
        <v>220</v>
      </c>
      <c r="K260" s="948"/>
      <c r="L260" s="949"/>
      <c r="M260" s="949"/>
      <c r="N260" s="661">
        <f t="shared" si="19"/>
        <v>0</v>
      </c>
    </row>
    <row r="261" spans="1:14" s="88" customFormat="1">
      <c r="A261" s="941" t="s">
        <v>1770</v>
      </c>
      <c r="B261" s="939" t="s">
        <v>845</v>
      </c>
      <c r="C261" s="945" t="s">
        <v>1778</v>
      </c>
      <c r="D261" s="940">
        <v>44629</v>
      </c>
      <c r="E261" s="940">
        <v>45174</v>
      </c>
      <c r="F261" s="946">
        <v>3.6499999999999998E-2</v>
      </c>
      <c r="G261" s="947">
        <v>0</v>
      </c>
      <c r="H261" s="947">
        <v>4540</v>
      </c>
      <c r="I261" s="947">
        <v>4320</v>
      </c>
      <c r="J261" s="898">
        <f t="shared" si="21"/>
        <v>220</v>
      </c>
      <c r="K261" s="948"/>
      <c r="L261" s="949"/>
      <c r="M261" s="949"/>
      <c r="N261" s="661">
        <f t="shared" si="19"/>
        <v>0</v>
      </c>
    </row>
    <row r="262" spans="1:14" s="88" customFormat="1">
      <c r="A262" s="941" t="s">
        <v>1770</v>
      </c>
      <c r="B262" s="939" t="s">
        <v>845</v>
      </c>
      <c r="C262" s="945" t="s">
        <v>1779</v>
      </c>
      <c r="D262" s="940">
        <v>44204</v>
      </c>
      <c r="E262" s="940">
        <v>44944</v>
      </c>
      <c r="F262" s="946">
        <v>3.5000000000000003E-2</v>
      </c>
      <c r="G262" s="947">
        <v>0</v>
      </c>
      <c r="H262" s="947">
        <v>659.24657534246592</v>
      </c>
      <c r="I262" s="947">
        <v>484.24657534246586</v>
      </c>
      <c r="J262" s="898">
        <f t="shared" si="21"/>
        <v>175.00000000000006</v>
      </c>
      <c r="K262" s="948"/>
      <c r="L262" s="949"/>
      <c r="M262" s="949"/>
      <c r="N262" s="661">
        <f t="shared" si="19"/>
        <v>0</v>
      </c>
    </row>
    <row r="263" spans="1:14" s="88" customFormat="1">
      <c r="A263" s="941" t="s">
        <v>1770</v>
      </c>
      <c r="B263" s="939" t="s">
        <v>845</v>
      </c>
      <c r="C263" s="945" t="s">
        <v>1780</v>
      </c>
      <c r="D263" s="940">
        <v>44204</v>
      </c>
      <c r="E263" s="940">
        <v>44944</v>
      </c>
      <c r="F263" s="946">
        <v>3.5000000000000003E-2</v>
      </c>
      <c r="G263" s="947">
        <v>0</v>
      </c>
      <c r="H263" s="947">
        <v>659.24657534246592</v>
      </c>
      <c r="I263" s="947">
        <v>484.24657534246586</v>
      </c>
      <c r="J263" s="898">
        <f t="shared" si="21"/>
        <v>175.00000000000006</v>
      </c>
      <c r="K263" s="948"/>
      <c r="L263" s="949"/>
      <c r="M263" s="949"/>
      <c r="N263" s="661">
        <f t="shared" si="19"/>
        <v>0</v>
      </c>
    </row>
    <row r="264" spans="1:14" s="88" customFormat="1">
      <c r="A264" s="941" t="s">
        <v>1781</v>
      </c>
      <c r="B264" s="939" t="s">
        <v>845</v>
      </c>
      <c r="C264" s="945" t="s">
        <v>1782</v>
      </c>
      <c r="D264" s="940">
        <v>44694</v>
      </c>
      <c r="E264" s="940">
        <v>45775</v>
      </c>
      <c r="F264" s="946">
        <v>3.8699999999999998E-2</v>
      </c>
      <c r="G264" s="947">
        <v>0</v>
      </c>
      <c r="H264" s="947">
        <v>11461.561643835617</v>
      </c>
      <c r="I264" s="947">
        <v>10952.630136986301</v>
      </c>
      <c r="J264" s="898">
        <f>+G264+H264-I264</f>
        <v>508.93150684931607</v>
      </c>
      <c r="K264" s="948"/>
      <c r="L264" s="949"/>
      <c r="M264" s="949"/>
      <c r="N264" s="661">
        <f t="shared" si="19"/>
        <v>0</v>
      </c>
    </row>
    <row r="265" spans="1:14" s="88" customFormat="1">
      <c r="A265" s="941" t="s">
        <v>1781</v>
      </c>
      <c r="B265" s="939" t="s">
        <v>845</v>
      </c>
      <c r="C265" s="945" t="s">
        <v>1783</v>
      </c>
      <c r="D265" s="940">
        <v>44694</v>
      </c>
      <c r="E265" s="940">
        <v>45775</v>
      </c>
      <c r="F265" s="946">
        <v>3.8699999999999998E-2</v>
      </c>
      <c r="G265" s="947">
        <v>0</v>
      </c>
      <c r="H265" s="947">
        <v>11461.561643835617</v>
      </c>
      <c r="I265" s="947">
        <v>10952.630136986301</v>
      </c>
      <c r="J265" s="898">
        <f t="shared" ref="J265:J268" si="22">+G265+H265-I265</f>
        <v>508.93150684931607</v>
      </c>
      <c r="K265" s="948"/>
      <c r="L265" s="949"/>
      <c r="M265" s="949"/>
      <c r="N265" s="661">
        <f t="shared" si="19"/>
        <v>0</v>
      </c>
    </row>
    <row r="266" spans="1:14" s="88" customFormat="1">
      <c r="A266" s="941" t="s">
        <v>1781</v>
      </c>
      <c r="B266" s="939" t="s">
        <v>845</v>
      </c>
      <c r="C266" s="945" t="s">
        <v>1784</v>
      </c>
      <c r="D266" s="940">
        <v>44694</v>
      </c>
      <c r="E266" s="940">
        <v>45775</v>
      </c>
      <c r="F266" s="946">
        <v>3.8699999999999998E-2</v>
      </c>
      <c r="G266" s="947">
        <v>0</v>
      </c>
      <c r="H266" s="947">
        <v>11461.561643835617</v>
      </c>
      <c r="I266" s="947">
        <v>10952.630136986301</v>
      </c>
      <c r="J266" s="898">
        <f t="shared" si="22"/>
        <v>508.93150684931607</v>
      </c>
      <c r="K266" s="948"/>
      <c r="L266" s="949"/>
      <c r="M266" s="949"/>
      <c r="N266" s="661">
        <f t="shared" si="19"/>
        <v>0</v>
      </c>
    </row>
    <row r="267" spans="1:14" s="88" customFormat="1">
      <c r="A267" s="941" t="s">
        <v>1781</v>
      </c>
      <c r="B267" s="939" t="s">
        <v>845</v>
      </c>
      <c r="C267" s="945" t="s">
        <v>1785</v>
      </c>
      <c r="D267" s="940">
        <v>44694</v>
      </c>
      <c r="E267" s="940">
        <v>45775</v>
      </c>
      <c r="F267" s="946">
        <v>3.8699999999999998E-2</v>
      </c>
      <c r="G267" s="947">
        <v>0</v>
      </c>
      <c r="H267" s="947">
        <v>11461.561643835617</v>
      </c>
      <c r="I267" s="947">
        <v>10952.630136986301</v>
      </c>
      <c r="J267" s="898">
        <f t="shared" si="22"/>
        <v>508.93150684931607</v>
      </c>
      <c r="K267" s="948"/>
      <c r="L267" s="949"/>
      <c r="M267" s="949"/>
      <c r="N267" s="661">
        <f t="shared" si="19"/>
        <v>0</v>
      </c>
    </row>
    <row r="268" spans="1:14" s="88" customFormat="1">
      <c r="A268" s="941" t="s">
        <v>1781</v>
      </c>
      <c r="B268" s="939" t="s">
        <v>845</v>
      </c>
      <c r="C268" s="945" t="s">
        <v>1786</v>
      </c>
      <c r="D268" s="940">
        <v>44694</v>
      </c>
      <c r="E268" s="940">
        <v>45775</v>
      </c>
      <c r="F268" s="946">
        <v>3.8699999999999998E-2</v>
      </c>
      <c r="G268" s="947">
        <v>0</v>
      </c>
      <c r="H268" s="947">
        <v>11461.561643835617</v>
      </c>
      <c r="I268" s="947">
        <v>10952.630136986301</v>
      </c>
      <c r="J268" s="898">
        <f t="shared" si="22"/>
        <v>508.93150684931607</v>
      </c>
      <c r="K268" s="948"/>
      <c r="L268" s="949"/>
      <c r="M268" s="949"/>
      <c r="N268" s="661">
        <f t="shared" si="19"/>
        <v>0</v>
      </c>
    </row>
    <row r="269" spans="1:14" s="88" customFormat="1">
      <c r="A269" s="941" t="s">
        <v>1787</v>
      </c>
      <c r="B269" s="939" t="s">
        <v>845</v>
      </c>
      <c r="C269" s="945" t="s">
        <v>1247</v>
      </c>
      <c r="D269" s="940">
        <v>44060</v>
      </c>
      <c r="E269" s="940">
        <v>45156</v>
      </c>
      <c r="F269" s="946">
        <v>0.05</v>
      </c>
      <c r="G269" s="947">
        <v>0</v>
      </c>
      <c r="H269" s="947">
        <v>47876.713013698631</v>
      </c>
      <c r="I269" s="947">
        <v>42534.246575342462</v>
      </c>
      <c r="J269" s="898">
        <f>+G269+H269-I269</f>
        <v>5342.4664383561685</v>
      </c>
      <c r="K269" s="948"/>
      <c r="L269" s="949"/>
      <c r="M269" s="949"/>
      <c r="N269" s="661">
        <f t="shared" si="19"/>
        <v>0</v>
      </c>
    </row>
    <row r="270" spans="1:14" s="88" customFormat="1">
      <c r="A270" s="941" t="s">
        <v>1787</v>
      </c>
      <c r="B270" s="939" t="s">
        <v>845</v>
      </c>
      <c r="C270" s="945" t="s">
        <v>1246</v>
      </c>
      <c r="D270" s="940">
        <v>44060</v>
      </c>
      <c r="E270" s="940">
        <v>45156</v>
      </c>
      <c r="F270" s="946">
        <v>0.05</v>
      </c>
      <c r="G270" s="947">
        <v>0</v>
      </c>
      <c r="H270" s="947">
        <v>47876.713013698631</v>
      </c>
      <c r="I270" s="947">
        <v>42534.246575342462</v>
      </c>
      <c r="J270" s="898">
        <f t="shared" ref="J270:J273" si="23">+G270+H270-I270</f>
        <v>5342.4664383561685</v>
      </c>
      <c r="K270" s="948"/>
      <c r="L270" s="949"/>
      <c r="M270" s="949"/>
      <c r="N270" s="661">
        <f t="shared" si="19"/>
        <v>0</v>
      </c>
    </row>
    <row r="271" spans="1:14" s="88" customFormat="1">
      <c r="A271" s="941" t="s">
        <v>1787</v>
      </c>
      <c r="B271" s="939" t="s">
        <v>845</v>
      </c>
      <c r="C271" s="945" t="s">
        <v>1788</v>
      </c>
      <c r="D271" s="940">
        <v>44060</v>
      </c>
      <c r="E271" s="940">
        <v>45156</v>
      </c>
      <c r="F271" s="946">
        <v>0.05</v>
      </c>
      <c r="G271" s="947">
        <v>0</v>
      </c>
      <c r="H271" s="947">
        <v>47876.703013698629</v>
      </c>
      <c r="I271" s="947">
        <v>42534.246575342462</v>
      </c>
      <c r="J271" s="898">
        <f t="shared" si="23"/>
        <v>5342.4564383561665</v>
      </c>
      <c r="K271" s="948"/>
      <c r="L271" s="949"/>
      <c r="M271" s="949"/>
      <c r="N271" s="661">
        <f t="shared" si="19"/>
        <v>0</v>
      </c>
    </row>
    <row r="272" spans="1:14" s="88" customFormat="1">
      <c r="A272" s="941" t="s">
        <v>1787</v>
      </c>
      <c r="B272" s="939" t="s">
        <v>845</v>
      </c>
      <c r="C272" s="945" t="s">
        <v>1789</v>
      </c>
      <c r="D272" s="940">
        <v>43851</v>
      </c>
      <c r="E272" s="940">
        <v>45092</v>
      </c>
      <c r="F272" s="946">
        <v>5.5E-2</v>
      </c>
      <c r="G272" s="947">
        <v>0</v>
      </c>
      <c r="H272" s="947">
        <v>456903.83200000005</v>
      </c>
      <c r="I272" s="947">
        <v>128860.87123287673</v>
      </c>
      <c r="J272" s="898">
        <f t="shared" si="23"/>
        <v>328042.96076712332</v>
      </c>
      <c r="K272" s="948"/>
      <c r="L272" s="949"/>
      <c r="M272" s="949"/>
      <c r="N272" s="661">
        <f t="shared" si="19"/>
        <v>0</v>
      </c>
    </row>
    <row r="273" spans="1:15" s="88" customFormat="1">
      <c r="A273" s="941" t="s">
        <v>1787</v>
      </c>
      <c r="B273" s="939" t="s">
        <v>845</v>
      </c>
      <c r="C273" s="945" t="s">
        <v>1790</v>
      </c>
      <c r="D273" s="940">
        <v>44510</v>
      </c>
      <c r="E273" s="940">
        <v>45236</v>
      </c>
      <c r="F273" s="946">
        <v>3.5000000000000003E-2</v>
      </c>
      <c r="G273" s="947">
        <v>0</v>
      </c>
      <c r="H273" s="947">
        <v>39267.118767123298</v>
      </c>
      <c r="I273" s="947">
        <v>35527.397260273974</v>
      </c>
      <c r="J273" s="898">
        <f t="shared" si="23"/>
        <v>3739.7215068493242</v>
      </c>
      <c r="K273" s="948"/>
      <c r="L273" s="949"/>
      <c r="M273" s="949"/>
      <c r="N273" s="661">
        <f t="shared" si="19"/>
        <v>0</v>
      </c>
    </row>
    <row r="274" spans="1:15" s="902" customFormat="1" ht="14.4" thickBot="1">
      <c r="B274" s="903"/>
      <c r="C274" s="904"/>
      <c r="D274" s="905"/>
      <c r="E274" s="905"/>
      <c r="F274" s="906"/>
      <c r="G274" s="909">
        <f t="shared" ref="G274:I274" si="24">+SUM(G188:G273)</f>
        <v>0</v>
      </c>
      <c r="H274" s="909">
        <f t="shared" si="24"/>
        <v>2542787.4650136977</v>
      </c>
      <c r="I274" s="909">
        <f t="shared" si="24"/>
        <v>2114832.9063013694</v>
      </c>
      <c r="J274" s="909">
        <f>+SUM(J188:J273)</f>
        <v>427954.55871232873</v>
      </c>
      <c r="K274" s="676"/>
      <c r="L274" s="640"/>
      <c r="M274" s="640"/>
      <c r="N274" s="640"/>
    </row>
    <row r="275" spans="1:15" s="902" customFormat="1" ht="14.4" thickTop="1">
      <c r="B275" s="903"/>
      <c r="C275" s="904"/>
      <c r="D275" s="905"/>
      <c r="E275" s="905"/>
      <c r="F275" s="906"/>
      <c r="G275" s="910"/>
      <c r="H275" s="910"/>
      <c r="I275" s="910"/>
      <c r="J275" s="910"/>
      <c r="K275" s="676"/>
      <c r="L275" s="640"/>
      <c r="M275" s="640"/>
      <c r="N275" s="640"/>
      <c r="O275" s="640"/>
    </row>
    <row r="276" spans="1:15" s="902" customFormat="1">
      <c r="A276" s="899" t="s">
        <v>1791</v>
      </c>
      <c r="B276" s="900"/>
      <c r="C276" s="901"/>
      <c r="D276" s="900"/>
      <c r="E276" s="900"/>
      <c r="F276" s="900"/>
      <c r="G276" s="900"/>
      <c r="H276" s="900"/>
      <c r="I276" s="900"/>
      <c r="J276" s="900"/>
      <c r="K276" s="676"/>
      <c r="L276" s="650" t="s">
        <v>281</v>
      </c>
      <c r="M276" s="650" t="s">
        <v>281</v>
      </c>
      <c r="N276" s="677">
        <f t="shared" ref="N276:N278" si="25">+J276</f>
        <v>0</v>
      </c>
    </row>
    <row r="277" spans="1:15" s="902" customFormat="1">
      <c r="A277" s="891" t="s">
        <v>472</v>
      </c>
      <c r="B277" s="892" t="s">
        <v>844</v>
      </c>
      <c r="C277" s="896"/>
      <c r="D277" s="894">
        <v>44601</v>
      </c>
      <c r="E277" s="894">
        <v>48180</v>
      </c>
      <c r="F277" s="897">
        <v>7.2499999999999995E-2</v>
      </c>
      <c r="G277" s="895">
        <v>0</v>
      </c>
      <c r="H277" s="895"/>
      <c r="I277" s="895"/>
      <c r="J277" s="898">
        <v>1277933080</v>
      </c>
      <c r="K277" s="676"/>
      <c r="L277" s="650" t="s">
        <v>281</v>
      </c>
      <c r="M277" s="650" t="s">
        <v>281</v>
      </c>
      <c r="N277" s="677">
        <f t="shared" si="25"/>
        <v>1277933080</v>
      </c>
    </row>
    <row r="278" spans="1:15">
      <c r="K278" s="676"/>
      <c r="L278" s="650" t="s">
        <v>281</v>
      </c>
      <c r="M278" s="650" t="s">
        <v>281</v>
      </c>
      <c r="N278" s="677">
        <f t="shared" si="25"/>
        <v>0</v>
      </c>
    </row>
    <row r="280" spans="1:15">
      <c r="A280" s="931" t="s">
        <v>1799</v>
      </c>
      <c r="B280" s="932"/>
      <c r="C280" s="932"/>
      <c r="D280" s="932"/>
      <c r="E280" s="932"/>
      <c r="F280" s="932"/>
      <c r="G280" s="933"/>
    </row>
    <row r="281" spans="1:15">
      <c r="A281" s="942" t="s">
        <v>1727</v>
      </c>
      <c r="B281" s="913" t="s">
        <v>844</v>
      </c>
      <c r="C281" s="914" t="s">
        <v>1682</v>
      </c>
      <c r="D281" s="915" t="s">
        <v>72</v>
      </c>
      <c r="E281" s="915">
        <v>44736</v>
      </c>
      <c r="F281" s="915">
        <v>44743</v>
      </c>
      <c r="G281" s="914">
        <v>50000000</v>
      </c>
    </row>
    <row r="282" spans="1:15">
      <c r="A282" s="942" t="s">
        <v>1727</v>
      </c>
      <c r="B282" s="913" t="s">
        <v>844</v>
      </c>
      <c r="C282" s="914" t="s">
        <v>1683</v>
      </c>
      <c r="D282" s="915" t="s">
        <v>72</v>
      </c>
      <c r="E282" s="915">
        <v>44736</v>
      </c>
      <c r="F282" s="915">
        <v>44743</v>
      </c>
      <c r="G282" s="914">
        <v>50000000</v>
      </c>
    </row>
    <row r="283" spans="1:15">
      <c r="A283" s="942" t="s">
        <v>1727</v>
      </c>
      <c r="B283" s="913" t="s">
        <v>844</v>
      </c>
      <c r="C283" s="914" t="s">
        <v>1684</v>
      </c>
      <c r="D283" s="915" t="s">
        <v>72</v>
      </c>
      <c r="E283" s="915">
        <v>44736</v>
      </c>
      <c r="F283" s="915">
        <v>44743</v>
      </c>
      <c r="G283" s="914">
        <v>50000000</v>
      </c>
    </row>
    <row r="284" spans="1:15">
      <c r="A284" s="942" t="s">
        <v>1727</v>
      </c>
      <c r="B284" s="913" t="s">
        <v>844</v>
      </c>
      <c r="C284" s="914" t="s">
        <v>1685</v>
      </c>
      <c r="D284" s="915" t="s">
        <v>72</v>
      </c>
      <c r="E284" s="915">
        <v>44736</v>
      </c>
      <c r="F284" s="915">
        <v>44743</v>
      </c>
      <c r="G284" s="914">
        <v>50000000</v>
      </c>
    </row>
    <row r="285" spans="1:15">
      <c r="A285" s="942" t="s">
        <v>1727</v>
      </c>
      <c r="B285" s="913" t="s">
        <v>844</v>
      </c>
      <c r="C285" s="914" t="s">
        <v>1686</v>
      </c>
      <c r="D285" s="915" t="s">
        <v>72</v>
      </c>
      <c r="E285" s="915">
        <v>44736</v>
      </c>
      <c r="F285" s="915">
        <v>44743</v>
      </c>
      <c r="G285" s="914">
        <v>50000000</v>
      </c>
    </row>
    <row r="286" spans="1:15">
      <c r="A286" s="942" t="s">
        <v>1727</v>
      </c>
      <c r="B286" s="913" t="s">
        <v>844</v>
      </c>
      <c r="C286" s="914" t="s">
        <v>1687</v>
      </c>
      <c r="D286" s="915" t="s">
        <v>72</v>
      </c>
      <c r="E286" s="915">
        <v>44736</v>
      </c>
      <c r="F286" s="915">
        <v>44743</v>
      </c>
      <c r="G286" s="914">
        <v>50000000</v>
      </c>
    </row>
    <row r="287" spans="1:15">
      <c r="A287" s="942" t="s">
        <v>1727</v>
      </c>
      <c r="B287" s="913" t="s">
        <v>844</v>
      </c>
      <c r="C287" s="914" t="s">
        <v>1688</v>
      </c>
      <c r="D287" s="915" t="s">
        <v>72</v>
      </c>
      <c r="E287" s="915">
        <v>44736</v>
      </c>
      <c r="F287" s="915">
        <v>44743</v>
      </c>
      <c r="G287" s="914">
        <v>25000000</v>
      </c>
    </row>
    <row r="288" spans="1:15">
      <c r="A288" s="942" t="s">
        <v>1727</v>
      </c>
      <c r="B288" s="913" t="s">
        <v>844</v>
      </c>
      <c r="C288" s="914" t="s">
        <v>1689</v>
      </c>
      <c r="D288" s="915" t="s">
        <v>72</v>
      </c>
      <c r="E288" s="915">
        <v>44736</v>
      </c>
      <c r="F288" s="915">
        <v>44743</v>
      </c>
      <c r="G288" s="914">
        <v>150000000</v>
      </c>
    </row>
    <row r="289" spans="1:7">
      <c r="A289" s="942" t="s">
        <v>1727</v>
      </c>
      <c r="B289" s="913" t="s">
        <v>844</v>
      </c>
      <c r="C289" s="914" t="s">
        <v>1690</v>
      </c>
      <c r="D289" s="915" t="s">
        <v>72</v>
      </c>
      <c r="E289" s="915">
        <v>44736</v>
      </c>
      <c r="F289" s="915">
        <v>44743</v>
      </c>
      <c r="G289" s="914">
        <v>150000000</v>
      </c>
    </row>
    <row r="290" spans="1:7">
      <c r="A290" s="942" t="s">
        <v>1727</v>
      </c>
      <c r="B290" s="913" t="s">
        <v>844</v>
      </c>
      <c r="C290" s="914" t="s">
        <v>1691</v>
      </c>
      <c r="D290" s="915" t="s">
        <v>72</v>
      </c>
      <c r="E290" s="915">
        <v>44736</v>
      </c>
      <c r="F290" s="915">
        <v>44743</v>
      </c>
      <c r="G290" s="914">
        <v>150000000</v>
      </c>
    </row>
    <row r="291" spans="1:7">
      <c r="A291" s="942" t="s">
        <v>1727</v>
      </c>
      <c r="B291" s="913" t="s">
        <v>844</v>
      </c>
      <c r="C291" s="914" t="s">
        <v>1692</v>
      </c>
      <c r="D291" s="915" t="s">
        <v>72</v>
      </c>
      <c r="E291" s="915">
        <v>44736</v>
      </c>
      <c r="F291" s="915">
        <v>44743</v>
      </c>
      <c r="G291" s="914">
        <v>150000000</v>
      </c>
    </row>
    <row r="292" spans="1:7">
      <c r="A292" s="942" t="s">
        <v>1727</v>
      </c>
      <c r="B292" s="913" t="s">
        <v>844</v>
      </c>
      <c r="C292" s="914" t="s">
        <v>1674</v>
      </c>
      <c r="D292" s="915" t="s">
        <v>72</v>
      </c>
      <c r="E292" s="915">
        <v>44742</v>
      </c>
      <c r="F292" s="915">
        <v>44743</v>
      </c>
      <c r="G292" s="914">
        <v>250000000</v>
      </c>
    </row>
    <row r="293" spans="1:7">
      <c r="A293" s="942" t="s">
        <v>1727</v>
      </c>
      <c r="B293" s="913" t="s">
        <v>844</v>
      </c>
      <c r="C293" s="914" t="s">
        <v>1675</v>
      </c>
      <c r="D293" s="915" t="s">
        <v>72</v>
      </c>
      <c r="E293" s="915">
        <v>44742</v>
      </c>
      <c r="F293" s="915">
        <v>44743</v>
      </c>
      <c r="G293" s="914">
        <v>250000000</v>
      </c>
    </row>
    <row r="294" spans="1:7">
      <c r="A294" s="942" t="s">
        <v>1727</v>
      </c>
      <c r="B294" s="913" t="s">
        <v>844</v>
      </c>
      <c r="C294" s="914" t="s">
        <v>1676</v>
      </c>
      <c r="D294" s="915" t="s">
        <v>72</v>
      </c>
      <c r="E294" s="915">
        <v>44742</v>
      </c>
      <c r="F294" s="915">
        <v>44743</v>
      </c>
      <c r="G294" s="914">
        <v>250000000</v>
      </c>
    </row>
    <row r="295" spans="1:7">
      <c r="A295" s="942" t="s">
        <v>1727</v>
      </c>
      <c r="B295" s="913" t="s">
        <v>844</v>
      </c>
      <c r="C295" s="914" t="s">
        <v>1677</v>
      </c>
      <c r="D295" s="915" t="s">
        <v>72</v>
      </c>
      <c r="E295" s="915">
        <v>44742</v>
      </c>
      <c r="F295" s="915">
        <v>44743</v>
      </c>
      <c r="G295" s="914">
        <v>250000000</v>
      </c>
    </row>
    <row r="296" spans="1:7">
      <c r="A296" s="942" t="s">
        <v>1727</v>
      </c>
      <c r="B296" s="913" t="s">
        <v>844</v>
      </c>
      <c r="C296" s="914" t="s">
        <v>1678</v>
      </c>
      <c r="D296" s="915" t="s">
        <v>72</v>
      </c>
      <c r="E296" s="915">
        <v>44742</v>
      </c>
      <c r="F296" s="915">
        <v>44743</v>
      </c>
      <c r="G296" s="914">
        <v>250000000</v>
      </c>
    </row>
    <row r="297" spans="1:7">
      <c r="A297" s="942" t="s">
        <v>1727</v>
      </c>
      <c r="B297" s="913" t="s">
        <v>844</v>
      </c>
      <c r="C297" s="914" t="s">
        <v>1679</v>
      </c>
      <c r="D297" s="915" t="s">
        <v>72</v>
      </c>
      <c r="E297" s="915">
        <v>44742</v>
      </c>
      <c r="F297" s="915">
        <v>44743</v>
      </c>
      <c r="G297" s="914">
        <v>250000000</v>
      </c>
    </row>
    <row r="298" spans="1:7">
      <c r="A298" s="942" t="s">
        <v>1727</v>
      </c>
      <c r="B298" s="913" t="s">
        <v>844</v>
      </c>
      <c r="C298" s="914" t="s">
        <v>1680</v>
      </c>
      <c r="D298" s="915" t="s">
        <v>72</v>
      </c>
      <c r="E298" s="915">
        <v>44742</v>
      </c>
      <c r="F298" s="915">
        <v>44743</v>
      </c>
      <c r="G298" s="914">
        <v>250000000</v>
      </c>
    </row>
    <row r="299" spans="1:7">
      <c r="A299" s="942" t="s">
        <v>1727</v>
      </c>
      <c r="B299" s="913" t="s">
        <v>844</v>
      </c>
      <c r="C299" s="914" t="s">
        <v>1681</v>
      </c>
      <c r="D299" s="915" t="s">
        <v>72</v>
      </c>
      <c r="E299" s="915">
        <v>44742</v>
      </c>
      <c r="F299" s="915">
        <v>44743</v>
      </c>
      <c r="G299" s="914">
        <v>250000000</v>
      </c>
    </row>
    <row r="300" spans="1:7">
      <c r="A300" s="942" t="s">
        <v>1339</v>
      </c>
      <c r="B300" s="913" t="s">
        <v>844</v>
      </c>
      <c r="C300" s="914" t="s">
        <v>1694</v>
      </c>
      <c r="D300" s="915" t="s">
        <v>72</v>
      </c>
      <c r="E300" s="915">
        <v>44740</v>
      </c>
      <c r="F300" s="915">
        <v>44747</v>
      </c>
      <c r="G300" s="914">
        <v>150000000</v>
      </c>
    </row>
    <row r="301" spans="1:7">
      <c r="A301" s="942" t="s">
        <v>1339</v>
      </c>
      <c r="B301" s="913" t="s">
        <v>844</v>
      </c>
      <c r="C301" s="914" t="s">
        <v>1695</v>
      </c>
      <c r="D301" s="915" t="s">
        <v>72</v>
      </c>
      <c r="E301" s="915">
        <v>44740</v>
      </c>
      <c r="F301" s="915">
        <v>44747</v>
      </c>
      <c r="G301" s="914">
        <v>150000000</v>
      </c>
    </row>
    <row r="302" spans="1:7">
      <c r="A302" s="942" t="s">
        <v>1339</v>
      </c>
      <c r="B302" s="913" t="s">
        <v>844</v>
      </c>
      <c r="C302" s="914" t="s">
        <v>1696</v>
      </c>
      <c r="D302" s="915" t="s">
        <v>72</v>
      </c>
      <c r="E302" s="915">
        <v>44740</v>
      </c>
      <c r="F302" s="915">
        <v>44747</v>
      </c>
      <c r="G302" s="914">
        <v>100000000</v>
      </c>
    </row>
    <row r="303" spans="1:7">
      <c r="A303" s="942" t="s">
        <v>1343</v>
      </c>
      <c r="B303" s="913" t="s">
        <v>844</v>
      </c>
      <c r="C303" s="914" t="s">
        <v>1144</v>
      </c>
      <c r="D303" s="915" t="s">
        <v>655</v>
      </c>
      <c r="E303" s="915">
        <v>44720</v>
      </c>
      <c r="F303" s="915">
        <v>44810</v>
      </c>
      <c r="G303" s="914">
        <v>7000000000</v>
      </c>
    </row>
    <row r="304" spans="1:7">
      <c r="A304" s="943" t="s">
        <v>523</v>
      </c>
      <c r="B304" s="944" t="s">
        <v>844</v>
      </c>
      <c r="C304" s="925" t="s">
        <v>1211</v>
      </c>
      <c r="D304" s="915" t="s">
        <v>470</v>
      </c>
      <c r="E304" s="926">
        <v>44722</v>
      </c>
      <c r="F304" s="926">
        <v>44812</v>
      </c>
      <c r="G304" s="925">
        <v>15000000000</v>
      </c>
    </row>
    <row r="305" spans="1:7">
      <c r="A305" s="943" t="s">
        <v>1345</v>
      </c>
      <c r="B305" s="944" t="s">
        <v>844</v>
      </c>
      <c r="C305" s="925" t="s">
        <v>1619</v>
      </c>
      <c r="D305" s="915" t="s">
        <v>655</v>
      </c>
      <c r="E305" s="926">
        <v>44691</v>
      </c>
      <c r="F305" s="926">
        <v>44873</v>
      </c>
      <c r="G305" s="925">
        <v>2751000000</v>
      </c>
    </row>
    <row r="306" spans="1:7">
      <c r="A306" s="942" t="s">
        <v>1345</v>
      </c>
      <c r="B306" s="913" t="s">
        <v>844</v>
      </c>
      <c r="C306" s="914" t="s">
        <v>1619</v>
      </c>
      <c r="D306" s="915" t="s">
        <v>655</v>
      </c>
      <c r="E306" s="915">
        <v>44691</v>
      </c>
      <c r="F306" s="915">
        <v>44782</v>
      </c>
      <c r="G306" s="914">
        <v>3115000000</v>
      </c>
    </row>
    <row r="307" spans="1:7">
      <c r="A307" s="942" t="s">
        <v>1345</v>
      </c>
      <c r="B307" s="913" t="s">
        <v>844</v>
      </c>
      <c r="C307" s="914" t="s">
        <v>1618</v>
      </c>
      <c r="D307" s="915" t="s">
        <v>655</v>
      </c>
      <c r="E307" s="915">
        <v>44735</v>
      </c>
      <c r="F307" s="915">
        <v>44825</v>
      </c>
      <c r="G307" s="914">
        <v>7750000000</v>
      </c>
    </row>
    <row r="308" spans="1:7">
      <c r="A308" s="942" t="s">
        <v>1344</v>
      </c>
      <c r="B308" s="913" t="s">
        <v>844</v>
      </c>
      <c r="C308" s="914" t="s">
        <v>1361</v>
      </c>
      <c r="D308" s="915" t="s">
        <v>655</v>
      </c>
      <c r="E308" s="915">
        <v>44741</v>
      </c>
      <c r="F308" s="915">
        <v>44748</v>
      </c>
      <c r="G308" s="914">
        <v>2050000000</v>
      </c>
    </row>
    <row r="309" spans="1:7">
      <c r="A309" s="943" t="s">
        <v>1344</v>
      </c>
      <c r="B309" s="944" t="s">
        <v>844</v>
      </c>
      <c r="C309" s="925" t="s">
        <v>1361</v>
      </c>
      <c r="D309" s="915" t="s">
        <v>655</v>
      </c>
      <c r="E309" s="926">
        <v>44742</v>
      </c>
      <c r="F309" s="926">
        <v>44746</v>
      </c>
      <c r="G309" s="925">
        <v>2300000000</v>
      </c>
    </row>
    <row r="312" spans="1:7">
      <c r="A312" s="931" t="s">
        <v>1800</v>
      </c>
      <c r="B312" s="933"/>
      <c r="C312" s="933"/>
      <c r="D312" s="933"/>
      <c r="E312" s="933"/>
      <c r="F312" s="933"/>
      <c r="G312" s="933"/>
    </row>
    <row r="313" spans="1:7">
      <c r="A313" s="942" t="s">
        <v>1801</v>
      </c>
      <c r="B313" s="913" t="s">
        <v>844</v>
      </c>
      <c r="C313" s="914" t="s">
        <v>1634</v>
      </c>
      <c r="D313" s="915" t="s">
        <v>72</v>
      </c>
      <c r="E313" s="915">
        <v>44413</v>
      </c>
      <c r="F313" s="915">
        <v>44778</v>
      </c>
      <c r="G313" s="914">
        <v>250000000</v>
      </c>
    </row>
    <row r="314" spans="1:7">
      <c r="A314" s="942" t="s">
        <v>1801</v>
      </c>
      <c r="B314" s="913" t="s">
        <v>844</v>
      </c>
      <c r="C314" s="914" t="s">
        <v>1635</v>
      </c>
      <c r="D314" s="915" t="s">
        <v>72</v>
      </c>
      <c r="E314" s="915">
        <v>44413</v>
      </c>
      <c r="F314" s="915">
        <v>44778</v>
      </c>
      <c r="G314" s="914">
        <v>250000000</v>
      </c>
    </row>
    <row r="315" spans="1:7">
      <c r="A315" s="942" t="s">
        <v>1801</v>
      </c>
      <c r="B315" s="913" t="s">
        <v>844</v>
      </c>
      <c r="C315" s="914" t="s">
        <v>1636</v>
      </c>
      <c r="D315" s="915" t="s">
        <v>72</v>
      </c>
      <c r="E315" s="915">
        <v>44413</v>
      </c>
      <c r="F315" s="915">
        <v>44778</v>
      </c>
      <c r="G315" s="914">
        <v>250000000</v>
      </c>
    </row>
    <row r="316" spans="1:7">
      <c r="A316" s="942" t="s">
        <v>1801</v>
      </c>
      <c r="B316" s="913" t="s">
        <v>844</v>
      </c>
      <c r="C316" s="914" t="s">
        <v>1637</v>
      </c>
      <c r="D316" s="915" t="s">
        <v>72</v>
      </c>
      <c r="E316" s="915">
        <v>44413</v>
      </c>
      <c r="F316" s="915">
        <v>44778</v>
      </c>
      <c r="G316" s="914">
        <v>250000000</v>
      </c>
    </row>
    <row r="317" spans="1:7">
      <c r="A317" s="942" t="s">
        <v>1801</v>
      </c>
      <c r="B317" s="913" t="s">
        <v>844</v>
      </c>
      <c r="C317" s="914" t="s">
        <v>1638</v>
      </c>
      <c r="D317" s="915" t="s">
        <v>72</v>
      </c>
      <c r="E317" s="915">
        <v>44413</v>
      </c>
      <c r="F317" s="915">
        <v>44778</v>
      </c>
      <c r="G317" s="914">
        <v>250000000</v>
      </c>
    </row>
    <row r="318" spans="1:7">
      <c r="A318" s="942" t="s">
        <v>1801</v>
      </c>
      <c r="B318" s="913" t="s">
        <v>844</v>
      </c>
      <c r="C318" s="914" t="s">
        <v>1639</v>
      </c>
      <c r="D318" s="915" t="s">
        <v>72</v>
      </c>
      <c r="E318" s="915">
        <v>44413</v>
      </c>
      <c r="F318" s="915">
        <v>44778</v>
      </c>
      <c r="G318" s="914">
        <v>250000000</v>
      </c>
    </row>
    <row r="319" spans="1:7">
      <c r="A319" s="942" t="s">
        <v>1801</v>
      </c>
      <c r="B319" s="913" t="s">
        <v>844</v>
      </c>
      <c r="C319" s="914" t="s">
        <v>1640</v>
      </c>
      <c r="D319" s="915" t="s">
        <v>72</v>
      </c>
      <c r="E319" s="915">
        <v>44413</v>
      </c>
      <c r="F319" s="915">
        <v>44778</v>
      </c>
      <c r="G319" s="914">
        <v>250000000</v>
      </c>
    </row>
    <row r="320" spans="1:7">
      <c r="A320" s="942" t="s">
        <v>1801</v>
      </c>
      <c r="B320" s="913" t="s">
        <v>844</v>
      </c>
      <c r="C320" s="914" t="s">
        <v>1641</v>
      </c>
      <c r="D320" s="915" t="s">
        <v>72</v>
      </c>
      <c r="E320" s="915">
        <v>44413</v>
      </c>
      <c r="F320" s="915">
        <v>44778</v>
      </c>
      <c r="G320" s="914">
        <v>250000000</v>
      </c>
    </row>
    <row r="321" spans="1:7">
      <c r="A321" s="942" t="s">
        <v>1801</v>
      </c>
      <c r="B321" s="913" t="s">
        <v>844</v>
      </c>
      <c r="C321" s="914" t="s">
        <v>1642</v>
      </c>
      <c r="D321" s="915" t="s">
        <v>72</v>
      </c>
      <c r="E321" s="915">
        <v>44413</v>
      </c>
      <c r="F321" s="915">
        <v>44778</v>
      </c>
      <c r="G321" s="914">
        <v>250000000</v>
      </c>
    </row>
    <row r="322" spans="1:7">
      <c r="A322" s="942" t="s">
        <v>1801</v>
      </c>
      <c r="B322" s="913" t="s">
        <v>844</v>
      </c>
      <c r="C322" s="925" t="s">
        <v>1643</v>
      </c>
      <c r="D322" s="915" t="s">
        <v>72</v>
      </c>
      <c r="E322" s="915">
        <v>44413</v>
      </c>
      <c r="F322" s="915">
        <v>44778</v>
      </c>
      <c r="G322" s="925">
        <v>250000000</v>
      </c>
    </row>
    <row r="323" spans="1:7">
      <c r="A323" s="942" t="s">
        <v>1801</v>
      </c>
      <c r="B323" s="913" t="s">
        <v>844</v>
      </c>
      <c r="C323" s="914" t="s">
        <v>1644</v>
      </c>
      <c r="D323" s="915" t="s">
        <v>72</v>
      </c>
      <c r="E323" s="915">
        <v>44413</v>
      </c>
      <c r="F323" s="915">
        <v>44778</v>
      </c>
      <c r="G323" s="914">
        <v>250000000</v>
      </c>
    </row>
    <row r="324" spans="1:7">
      <c r="A324" s="942" t="s">
        <v>1801</v>
      </c>
      <c r="B324" s="913" t="s">
        <v>844</v>
      </c>
      <c r="C324" s="914" t="s">
        <v>1645</v>
      </c>
      <c r="D324" s="915" t="s">
        <v>72</v>
      </c>
      <c r="E324" s="915">
        <v>44413</v>
      </c>
      <c r="F324" s="915">
        <v>44778</v>
      </c>
      <c r="G324" s="914">
        <v>250000000</v>
      </c>
    </row>
    <row r="325" spans="1:7">
      <c r="A325" s="942" t="s">
        <v>1801</v>
      </c>
      <c r="B325" s="913" t="s">
        <v>844</v>
      </c>
      <c r="C325" s="914" t="s">
        <v>1646</v>
      </c>
      <c r="D325" s="915" t="s">
        <v>72</v>
      </c>
      <c r="E325" s="915">
        <v>44413</v>
      </c>
      <c r="F325" s="915">
        <v>44778</v>
      </c>
      <c r="G325" s="914">
        <v>250000000</v>
      </c>
    </row>
    <row r="326" spans="1:7">
      <c r="A326" s="942" t="s">
        <v>1801</v>
      </c>
      <c r="B326" s="913" t="s">
        <v>844</v>
      </c>
      <c r="C326" s="914" t="s">
        <v>1647</v>
      </c>
      <c r="D326" s="915" t="s">
        <v>72</v>
      </c>
      <c r="E326" s="915">
        <v>44413</v>
      </c>
      <c r="F326" s="915">
        <v>44778</v>
      </c>
      <c r="G326" s="914">
        <v>250000000</v>
      </c>
    </row>
    <row r="327" spans="1:7">
      <c r="A327" s="942" t="s">
        <v>1801</v>
      </c>
      <c r="B327" s="913" t="s">
        <v>844</v>
      </c>
      <c r="C327" s="914" t="s">
        <v>1648</v>
      </c>
      <c r="D327" s="915" t="s">
        <v>72</v>
      </c>
      <c r="E327" s="915">
        <v>44413</v>
      </c>
      <c r="F327" s="915">
        <v>44778</v>
      </c>
      <c r="G327" s="914">
        <v>250000000</v>
      </c>
    </row>
    <row r="328" spans="1:7">
      <c r="A328" s="942" t="s">
        <v>1801</v>
      </c>
      <c r="B328" s="913" t="s">
        <v>844</v>
      </c>
      <c r="C328" s="914" t="s">
        <v>1649</v>
      </c>
      <c r="D328" s="915" t="s">
        <v>72</v>
      </c>
      <c r="E328" s="915">
        <v>44413</v>
      </c>
      <c r="F328" s="915">
        <v>44778</v>
      </c>
      <c r="G328" s="914">
        <v>250000000</v>
      </c>
    </row>
    <row r="329" spans="1:7">
      <c r="A329" s="942" t="s">
        <v>1801</v>
      </c>
      <c r="B329" s="913" t="s">
        <v>844</v>
      </c>
      <c r="C329" s="914" t="s">
        <v>1650</v>
      </c>
      <c r="D329" s="915" t="s">
        <v>72</v>
      </c>
      <c r="E329" s="915">
        <v>44582</v>
      </c>
      <c r="F329" s="915">
        <v>44704</v>
      </c>
      <c r="G329" s="914">
        <v>250000000</v>
      </c>
    </row>
    <row r="330" spans="1:7">
      <c r="A330" s="942" t="s">
        <v>1801</v>
      </c>
      <c r="B330" s="913" t="s">
        <v>844</v>
      </c>
      <c r="C330" s="914" t="s">
        <v>1651</v>
      </c>
      <c r="D330" s="915" t="s">
        <v>72</v>
      </c>
      <c r="E330" s="915">
        <v>44582</v>
      </c>
      <c r="F330" s="915">
        <v>44704</v>
      </c>
      <c r="G330" s="914">
        <v>250000000</v>
      </c>
    </row>
    <row r="331" spans="1:7">
      <c r="A331" s="942" t="s">
        <v>1801</v>
      </c>
      <c r="B331" s="913" t="s">
        <v>844</v>
      </c>
      <c r="C331" s="925" t="s">
        <v>1652</v>
      </c>
      <c r="D331" s="915" t="s">
        <v>72</v>
      </c>
      <c r="E331" s="915">
        <v>44582</v>
      </c>
      <c r="F331" s="915">
        <v>44704</v>
      </c>
      <c r="G331" s="925">
        <v>250000000</v>
      </c>
    </row>
    <row r="332" spans="1:7">
      <c r="A332" s="942" t="s">
        <v>1801</v>
      </c>
      <c r="B332" s="913" t="s">
        <v>844</v>
      </c>
      <c r="C332" s="914" t="s">
        <v>1653</v>
      </c>
      <c r="D332" s="915" t="s">
        <v>72</v>
      </c>
      <c r="E332" s="915">
        <v>44582</v>
      </c>
      <c r="F332" s="915">
        <v>44704</v>
      </c>
      <c r="G332" s="914">
        <v>250000000</v>
      </c>
    </row>
    <row r="333" spans="1:7">
      <c r="A333" s="942" t="s">
        <v>1801</v>
      </c>
      <c r="B333" s="913" t="s">
        <v>844</v>
      </c>
      <c r="C333" s="914" t="s">
        <v>1654</v>
      </c>
      <c r="D333" s="915" t="s">
        <v>72</v>
      </c>
      <c r="E333" s="915">
        <v>44582</v>
      </c>
      <c r="F333" s="915">
        <v>44704</v>
      </c>
      <c r="G333" s="914">
        <v>250000000</v>
      </c>
    </row>
    <row r="334" spans="1:7">
      <c r="A334" s="942" t="s">
        <v>1801</v>
      </c>
      <c r="B334" s="913" t="s">
        <v>844</v>
      </c>
      <c r="C334" s="914" t="s">
        <v>1655</v>
      </c>
      <c r="D334" s="915" t="s">
        <v>72</v>
      </c>
      <c r="E334" s="915">
        <v>44582</v>
      </c>
      <c r="F334" s="915">
        <v>44704</v>
      </c>
      <c r="G334" s="914">
        <v>250000000</v>
      </c>
    </row>
    <row r="335" spans="1:7">
      <c r="A335" s="942" t="s">
        <v>1801</v>
      </c>
      <c r="B335" s="913" t="s">
        <v>844</v>
      </c>
      <c r="C335" s="914" t="s">
        <v>1656</v>
      </c>
      <c r="D335" s="915" t="s">
        <v>72</v>
      </c>
      <c r="E335" s="915">
        <v>44582</v>
      </c>
      <c r="F335" s="915">
        <v>44704</v>
      </c>
      <c r="G335" s="914">
        <v>250000000</v>
      </c>
    </row>
    <row r="336" spans="1:7">
      <c r="A336" s="942" t="s">
        <v>1801</v>
      </c>
      <c r="B336" s="913" t="s">
        <v>844</v>
      </c>
      <c r="C336" s="925" t="s">
        <v>1657</v>
      </c>
      <c r="D336" s="915" t="s">
        <v>72</v>
      </c>
      <c r="E336" s="915">
        <v>44582</v>
      </c>
      <c r="F336" s="915">
        <v>44704</v>
      </c>
      <c r="G336" s="925">
        <v>250000000</v>
      </c>
    </row>
    <row r="337" spans="1:7">
      <c r="A337" s="942" t="s">
        <v>1801</v>
      </c>
      <c r="B337" s="913" t="s">
        <v>844</v>
      </c>
      <c r="C337" s="914" t="s">
        <v>1658</v>
      </c>
      <c r="D337" s="915" t="s">
        <v>72</v>
      </c>
      <c r="E337" s="915">
        <v>44582</v>
      </c>
      <c r="F337" s="915">
        <v>44704</v>
      </c>
      <c r="G337" s="914">
        <v>250000000</v>
      </c>
    </row>
    <row r="338" spans="1:7">
      <c r="A338" s="942" t="s">
        <v>1801</v>
      </c>
      <c r="B338" s="913" t="s">
        <v>844</v>
      </c>
      <c r="C338" s="914" t="s">
        <v>1659</v>
      </c>
      <c r="D338" s="915" t="s">
        <v>72</v>
      </c>
      <c r="E338" s="915">
        <v>44582</v>
      </c>
      <c r="F338" s="915">
        <v>44704</v>
      </c>
      <c r="G338" s="914">
        <v>250000000</v>
      </c>
    </row>
    <row r="339" spans="1:7">
      <c r="A339" s="942" t="s">
        <v>1801</v>
      </c>
      <c r="B339" s="913" t="s">
        <v>844</v>
      </c>
      <c r="C339" s="914" t="s">
        <v>1660</v>
      </c>
      <c r="D339" s="915" t="s">
        <v>72</v>
      </c>
      <c r="E339" s="915">
        <v>44582</v>
      </c>
      <c r="F339" s="915">
        <v>44704</v>
      </c>
      <c r="G339" s="914">
        <v>250000000</v>
      </c>
    </row>
    <row r="340" spans="1:7">
      <c r="A340" s="942" t="s">
        <v>1801</v>
      </c>
      <c r="B340" s="913" t="s">
        <v>844</v>
      </c>
      <c r="C340" s="914" t="s">
        <v>1661</v>
      </c>
      <c r="D340" s="915" t="s">
        <v>72</v>
      </c>
      <c r="E340" s="915">
        <v>44582</v>
      </c>
      <c r="F340" s="915">
        <v>44704</v>
      </c>
      <c r="G340" s="914">
        <v>250000000</v>
      </c>
    </row>
    <row r="341" spans="1:7">
      <c r="A341" s="942" t="s">
        <v>1801</v>
      </c>
      <c r="B341" s="913" t="s">
        <v>844</v>
      </c>
      <c r="C341" s="914" t="s">
        <v>1662</v>
      </c>
      <c r="D341" s="915" t="s">
        <v>72</v>
      </c>
      <c r="E341" s="915">
        <v>44582</v>
      </c>
      <c r="F341" s="915">
        <v>44704</v>
      </c>
      <c r="G341" s="914">
        <v>250000000</v>
      </c>
    </row>
    <row r="342" spans="1:7">
      <c r="A342" s="942" t="s">
        <v>1801</v>
      </c>
      <c r="B342" s="913" t="s">
        <v>844</v>
      </c>
      <c r="C342" s="914" t="s">
        <v>1663</v>
      </c>
      <c r="D342" s="915" t="s">
        <v>72</v>
      </c>
      <c r="E342" s="915">
        <v>44582</v>
      </c>
      <c r="F342" s="915">
        <v>44704</v>
      </c>
      <c r="G342" s="914">
        <v>250000000</v>
      </c>
    </row>
    <row r="343" spans="1:7">
      <c r="A343" s="942" t="s">
        <v>1801</v>
      </c>
      <c r="B343" s="913" t="s">
        <v>844</v>
      </c>
      <c r="C343" s="914" t="s">
        <v>1664</v>
      </c>
      <c r="D343" s="915" t="s">
        <v>72</v>
      </c>
      <c r="E343" s="915">
        <v>44582</v>
      </c>
      <c r="F343" s="915">
        <v>44704</v>
      </c>
      <c r="G343" s="914">
        <v>250000000</v>
      </c>
    </row>
    <row r="344" spans="1:7">
      <c r="A344" s="942" t="s">
        <v>1801</v>
      </c>
      <c r="B344" s="913" t="s">
        <v>844</v>
      </c>
      <c r="C344" s="914" t="s">
        <v>1665</v>
      </c>
      <c r="D344" s="915" t="s">
        <v>72</v>
      </c>
      <c r="E344" s="915">
        <v>44582</v>
      </c>
      <c r="F344" s="915">
        <v>44704</v>
      </c>
      <c r="G344" s="914">
        <v>250000000</v>
      </c>
    </row>
    <row r="345" spans="1:7">
      <c r="A345" s="942" t="s">
        <v>1801</v>
      </c>
      <c r="B345" s="913" t="s">
        <v>844</v>
      </c>
      <c r="C345" s="925" t="s">
        <v>1666</v>
      </c>
      <c r="D345" s="915" t="s">
        <v>72</v>
      </c>
      <c r="E345" s="915">
        <v>44582</v>
      </c>
      <c r="F345" s="915">
        <v>44704</v>
      </c>
      <c r="G345" s="925">
        <v>250000000</v>
      </c>
    </row>
    <row r="346" spans="1:7">
      <c r="A346" s="942" t="s">
        <v>1801</v>
      </c>
      <c r="B346" s="913" t="s">
        <v>844</v>
      </c>
      <c r="C346" s="914" t="s">
        <v>1667</v>
      </c>
      <c r="D346" s="915" t="s">
        <v>72</v>
      </c>
      <c r="E346" s="915">
        <v>44582</v>
      </c>
      <c r="F346" s="915">
        <v>44704</v>
      </c>
      <c r="G346" s="914">
        <v>250000000</v>
      </c>
    </row>
    <row r="347" spans="1:7">
      <c r="A347" s="942" t="s">
        <v>1801</v>
      </c>
      <c r="B347" s="913" t="s">
        <v>844</v>
      </c>
      <c r="C347" s="914" t="s">
        <v>1668</v>
      </c>
      <c r="D347" s="915" t="s">
        <v>72</v>
      </c>
      <c r="E347" s="915">
        <v>44582</v>
      </c>
      <c r="F347" s="915">
        <v>44704</v>
      </c>
      <c r="G347" s="914">
        <v>250000000</v>
      </c>
    </row>
    <row r="348" spans="1:7">
      <c r="A348" s="942" t="s">
        <v>1801</v>
      </c>
      <c r="B348" s="913" t="s">
        <v>844</v>
      </c>
      <c r="C348" s="914" t="s">
        <v>1669</v>
      </c>
      <c r="D348" s="915" t="s">
        <v>72</v>
      </c>
      <c r="E348" s="915">
        <v>44582</v>
      </c>
      <c r="F348" s="915">
        <v>44704</v>
      </c>
      <c r="G348" s="914">
        <v>250000000</v>
      </c>
    </row>
    <row r="349" spans="1:7">
      <c r="A349" s="942" t="s">
        <v>1801</v>
      </c>
      <c r="B349" s="913" t="s">
        <v>844</v>
      </c>
      <c r="C349" s="914" t="s">
        <v>1671</v>
      </c>
      <c r="D349" s="915" t="s">
        <v>72</v>
      </c>
      <c r="E349" s="915">
        <v>44582</v>
      </c>
      <c r="F349" s="915">
        <v>44704</v>
      </c>
      <c r="G349" s="914">
        <v>500000000</v>
      </c>
    </row>
    <row r="350" spans="1:7">
      <c r="A350" s="942" t="s">
        <v>1801</v>
      </c>
      <c r="B350" s="913" t="s">
        <v>844</v>
      </c>
      <c r="C350" s="914" t="s">
        <v>1672</v>
      </c>
      <c r="D350" s="915" t="s">
        <v>72</v>
      </c>
      <c r="E350" s="915">
        <v>44582</v>
      </c>
      <c r="F350" s="915">
        <v>44704</v>
      </c>
      <c r="G350" s="914">
        <v>250000000</v>
      </c>
    </row>
    <row r="351" spans="1:7">
      <c r="A351" s="942" t="s">
        <v>1801</v>
      </c>
      <c r="B351" s="913" t="s">
        <v>844</v>
      </c>
      <c r="C351" s="914" t="s">
        <v>1670</v>
      </c>
      <c r="D351" s="915" t="s">
        <v>72</v>
      </c>
      <c r="E351" s="915">
        <v>44582</v>
      </c>
      <c r="F351" s="915">
        <v>44704</v>
      </c>
      <c r="G351" s="914">
        <v>100000000</v>
      </c>
    </row>
    <row r="352" spans="1:7">
      <c r="A352" s="935"/>
      <c r="B352" s="935"/>
      <c r="C352" s="935"/>
      <c r="D352" s="935"/>
      <c r="E352" s="935"/>
      <c r="F352" s="935"/>
      <c r="G352" s="935"/>
    </row>
    <row r="353" spans="1:7">
      <c r="A353" s="935"/>
      <c r="B353" s="935"/>
      <c r="C353" s="935"/>
      <c r="D353" s="935"/>
      <c r="E353" s="935"/>
      <c r="F353" s="935"/>
      <c r="G353" s="935"/>
    </row>
    <row r="354" spans="1:7">
      <c r="A354" s="931" t="s">
        <v>1802</v>
      </c>
      <c r="B354" s="933"/>
      <c r="C354" s="933"/>
      <c r="D354" s="933"/>
      <c r="E354" s="933"/>
      <c r="F354" s="933"/>
      <c r="G354" s="933"/>
    </row>
    <row r="355" spans="1:7">
      <c r="A355" s="942" t="s">
        <v>1520</v>
      </c>
      <c r="B355" s="913" t="s">
        <v>845</v>
      </c>
      <c r="C355" s="914" t="s">
        <v>1701</v>
      </c>
      <c r="D355" s="915" t="s">
        <v>1803</v>
      </c>
      <c r="E355" s="915">
        <v>44728</v>
      </c>
      <c r="F355" s="915">
        <v>44743</v>
      </c>
      <c r="G355" s="930">
        <v>412000</v>
      </c>
    </row>
    <row r="356" spans="1:7">
      <c r="A356" s="942" t="s">
        <v>1520</v>
      </c>
      <c r="B356" s="913" t="s">
        <v>845</v>
      </c>
      <c r="C356" s="914" t="s">
        <v>1701</v>
      </c>
      <c r="D356" s="915" t="s">
        <v>1803</v>
      </c>
      <c r="E356" s="915">
        <v>44736</v>
      </c>
      <c r="F356" s="915">
        <v>44743</v>
      </c>
      <c r="G356" s="930">
        <v>560000</v>
      </c>
    </row>
    <row r="357" spans="1:7">
      <c r="A357" s="942" t="s">
        <v>1804</v>
      </c>
      <c r="B357" s="913" t="s">
        <v>845</v>
      </c>
      <c r="C357" s="914" t="s">
        <v>1706</v>
      </c>
      <c r="D357" s="915" t="s">
        <v>1803</v>
      </c>
      <c r="E357" s="915">
        <v>44739</v>
      </c>
      <c r="F357" s="915">
        <v>44746</v>
      </c>
      <c r="G357" s="930">
        <v>408000</v>
      </c>
    </row>
    <row r="358" spans="1:7">
      <c r="A358" s="942" t="s">
        <v>1805</v>
      </c>
      <c r="B358" s="913" t="s">
        <v>845</v>
      </c>
      <c r="C358" s="914" t="s">
        <v>1704</v>
      </c>
      <c r="D358" s="915" t="s">
        <v>1803</v>
      </c>
      <c r="E358" s="915">
        <v>44740</v>
      </c>
      <c r="F358" s="915">
        <v>44747</v>
      </c>
      <c r="G358" s="930">
        <v>130000</v>
      </c>
    </row>
    <row r="359" spans="1:7">
      <c r="A359" s="942" t="s">
        <v>1805</v>
      </c>
      <c r="B359" s="913" t="s">
        <v>845</v>
      </c>
      <c r="C359" s="914" t="s">
        <v>1806</v>
      </c>
      <c r="D359" s="915" t="s">
        <v>1803</v>
      </c>
      <c r="E359" s="915">
        <v>44740</v>
      </c>
      <c r="F359" s="915">
        <v>44747</v>
      </c>
      <c r="G359" s="930">
        <v>260000</v>
      </c>
    </row>
    <row r="360" spans="1:7">
      <c r="A360" s="942" t="s">
        <v>1520</v>
      </c>
      <c r="B360" s="913" t="s">
        <v>845</v>
      </c>
      <c r="C360" s="914" t="s">
        <v>1701</v>
      </c>
      <c r="D360" s="915" t="s">
        <v>1803</v>
      </c>
      <c r="E360" s="915">
        <v>44741</v>
      </c>
      <c r="F360" s="915">
        <v>44748</v>
      </c>
      <c r="G360" s="930">
        <v>540000</v>
      </c>
    </row>
    <row r="361" spans="1:7">
      <c r="A361" s="942" t="s">
        <v>1521</v>
      </c>
      <c r="B361" s="913" t="s">
        <v>845</v>
      </c>
      <c r="C361" s="914" t="s">
        <v>1699</v>
      </c>
      <c r="D361" s="915" t="s">
        <v>1807</v>
      </c>
      <c r="E361" s="915">
        <v>44741</v>
      </c>
      <c r="F361" s="915">
        <v>44748</v>
      </c>
      <c r="G361" s="930">
        <v>45000</v>
      </c>
    </row>
    <row r="362" spans="1:7">
      <c r="A362" s="942" t="s">
        <v>1521</v>
      </c>
      <c r="B362" s="913" t="s">
        <v>845</v>
      </c>
      <c r="C362" s="914" t="s">
        <v>1699</v>
      </c>
      <c r="D362" s="915" t="s">
        <v>1807</v>
      </c>
      <c r="E362" s="915">
        <v>44742</v>
      </c>
      <c r="F362" s="915">
        <v>44749</v>
      </c>
      <c r="G362" s="930">
        <v>175000</v>
      </c>
    </row>
    <row r="363" spans="1:7">
      <c r="A363" s="941" t="s">
        <v>1808</v>
      </c>
      <c r="B363" s="939" t="s">
        <v>845</v>
      </c>
      <c r="C363" s="893" t="s">
        <v>1782</v>
      </c>
      <c r="D363" s="940" t="s">
        <v>72</v>
      </c>
      <c r="E363" s="940">
        <v>44736</v>
      </c>
      <c r="F363" s="940">
        <v>44917</v>
      </c>
      <c r="G363" s="898">
        <v>100000</v>
      </c>
    </row>
    <row r="364" spans="1:7">
      <c r="A364" s="941" t="s">
        <v>1808</v>
      </c>
      <c r="B364" s="939" t="s">
        <v>845</v>
      </c>
      <c r="C364" s="893" t="s">
        <v>1783</v>
      </c>
      <c r="D364" s="940" t="s">
        <v>72</v>
      </c>
      <c r="E364" s="940">
        <v>44736</v>
      </c>
      <c r="F364" s="940">
        <v>44917</v>
      </c>
      <c r="G364" s="898">
        <v>100000</v>
      </c>
    </row>
    <row r="365" spans="1:7">
      <c r="A365" s="941" t="s">
        <v>1808</v>
      </c>
      <c r="B365" s="939" t="s">
        <v>845</v>
      </c>
      <c r="C365" s="893" t="s">
        <v>1784</v>
      </c>
      <c r="D365" s="940" t="s">
        <v>72</v>
      </c>
      <c r="E365" s="940">
        <v>44736</v>
      </c>
      <c r="F365" s="940">
        <v>44917</v>
      </c>
      <c r="G365" s="898">
        <v>100000</v>
      </c>
    </row>
    <row r="366" spans="1:7">
      <c r="A366" s="941" t="s">
        <v>1808</v>
      </c>
      <c r="B366" s="939" t="s">
        <v>845</v>
      </c>
      <c r="C366" s="893" t="s">
        <v>1785</v>
      </c>
      <c r="D366" s="940" t="s">
        <v>72</v>
      </c>
      <c r="E366" s="940">
        <v>44736</v>
      </c>
      <c r="F366" s="940">
        <v>44917</v>
      </c>
      <c r="G366" s="898">
        <v>100000</v>
      </c>
    </row>
    <row r="367" spans="1:7">
      <c r="A367" s="941" t="s">
        <v>1808</v>
      </c>
      <c r="B367" s="939" t="s">
        <v>845</v>
      </c>
      <c r="C367" s="893" t="s">
        <v>1786</v>
      </c>
      <c r="D367" s="940" t="s">
        <v>72</v>
      </c>
      <c r="E367" s="940">
        <v>44736</v>
      </c>
      <c r="F367" s="940">
        <v>44917</v>
      </c>
      <c r="G367" s="898">
        <v>100000</v>
      </c>
    </row>
    <row r="368" spans="1:7">
      <c r="A368" s="938" t="s">
        <v>1809</v>
      </c>
      <c r="B368" s="939" t="s">
        <v>845</v>
      </c>
      <c r="C368" s="893" t="s">
        <v>1708</v>
      </c>
      <c r="D368" s="940" t="s">
        <v>72</v>
      </c>
      <c r="E368" s="940">
        <v>44736</v>
      </c>
      <c r="F368" s="940">
        <v>44917</v>
      </c>
      <c r="G368" s="898">
        <v>200000</v>
      </c>
    </row>
    <row r="369" spans="1:7">
      <c r="A369" s="938" t="s">
        <v>1809</v>
      </c>
      <c r="B369" s="939" t="s">
        <v>845</v>
      </c>
      <c r="C369" s="893" t="s">
        <v>1709</v>
      </c>
      <c r="D369" s="940" t="s">
        <v>72</v>
      </c>
      <c r="E369" s="940">
        <v>44736</v>
      </c>
      <c r="F369" s="940">
        <v>44917</v>
      </c>
      <c r="G369" s="898">
        <v>200000</v>
      </c>
    </row>
    <row r="370" spans="1:7">
      <c r="A370" s="938" t="s">
        <v>1809</v>
      </c>
      <c r="B370" s="939" t="s">
        <v>845</v>
      </c>
      <c r="C370" s="893" t="s">
        <v>1710</v>
      </c>
      <c r="D370" s="940" t="s">
        <v>72</v>
      </c>
      <c r="E370" s="940">
        <v>44742</v>
      </c>
      <c r="F370" s="940">
        <v>44749</v>
      </c>
      <c r="G370" s="898">
        <v>200000</v>
      </c>
    </row>
    <row r="371" spans="1:7">
      <c r="A371" s="938" t="s">
        <v>1809</v>
      </c>
      <c r="B371" s="939" t="s">
        <v>845</v>
      </c>
      <c r="C371" s="893" t="s">
        <v>1711</v>
      </c>
      <c r="D371" s="940" t="s">
        <v>72</v>
      </c>
      <c r="E371" s="940">
        <v>44742</v>
      </c>
      <c r="F371" s="940">
        <v>44749</v>
      </c>
      <c r="G371" s="898">
        <v>200000</v>
      </c>
    </row>
    <row r="372" spans="1:7">
      <c r="A372" s="938" t="s">
        <v>1809</v>
      </c>
      <c r="B372" s="939" t="s">
        <v>845</v>
      </c>
      <c r="C372" s="893" t="s">
        <v>1712</v>
      </c>
      <c r="D372" s="940" t="s">
        <v>72</v>
      </c>
      <c r="E372" s="940">
        <v>44742</v>
      </c>
      <c r="F372" s="940">
        <v>44749</v>
      </c>
      <c r="G372" s="898">
        <v>200000</v>
      </c>
    </row>
    <row r="373" spans="1:7">
      <c r="A373" s="938" t="s">
        <v>1770</v>
      </c>
      <c r="B373" s="939" t="s">
        <v>845</v>
      </c>
      <c r="C373" s="893" t="s">
        <v>1771</v>
      </c>
      <c r="D373" s="940" t="s">
        <v>72</v>
      </c>
      <c r="E373" s="940">
        <v>44736</v>
      </c>
      <c r="F373" s="940">
        <v>44917</v>
      </c>
      <c r="G373" s="898">
        <v>100000</v>
      </c>
    </row>
    <row r="374" spans="1:7">
      <c r="A374" s="938" t="s">
        <v>1770</v>
      </c>
      <c r="B374" s="939" t="s">
        <v>845</v>
      </c>
      <c r="C374" s="893" t="s">
        <v>1772</v>
      </c>
      <c r="D374" s="940" t="s">
        <v>72</v>
      </c>
      <c r="E374" s="940">
        <v>44736</v>
      </c>
      <c r="F374" s="940">
        <v>44917</v>
      </c>
      <c r="G374" s="898">
        <v>100000</v>
      </c>
    </row>
    <row r="375" spans="1:7">
      <c r="A375" s="938" t="s">
        <v>1770</v>
      </c>
      <c r="B375" s="939" t="s">
        <v>845</v>
      </c>
      <c r="C375" s="893" t="s">
        <v>1773</v>
      </c>
      <c r="D375" s="940" t="s">
        <v>72</v>
      </c>
      <c r="E375" s="940">
        <v>44736</v>
      </c>
      <c r="F375" s="940">
        <v>44917</v>
      </c>
      <c r="G375" s="898">
        <v>100000</v>
      </c>
    </row>
    <row r="376" spans="1:7">
      <c r="A376" s="938" t="s">
        <v>1770</v>
      </c>
      <c r="B376" s="939" t="s">
        <v>845</v>
      </c>
      <c r="C376" s="893" t="s">
        <v>1774</v>
      </c>
      <c r="D376" s="940" t="s">
        <v>72</v>
      </c>
      <c r="E376" s="940">
        <v>44736</v>
      </c>
      <c r="F376" s="940">
        <v>44917</v>
      </c>
      <c r="G376" s="898">
        <v>100000</v>
      </c>
    </row>
    <row r="377" spans="1:7">
      <c r="A377" s="938" t="s">
        <v>1770</v>
      </c>
      <c r="B377" s="939" t="s">
        <v>845</v>
      </c>
      <c r="C377" s="893" t="s">
        <v>1775</v>
      </c>
      <c r="D377" s="940" t="s">
        <v>72</v>
      </c>
      <c r="E377" s="940">
        <v>44736</v>
      </c>
      <c r="F377" s="940">
        <v>44917</v>
      </c>
      <c r="G377" s="898">
        <v>100000</v>
      </c>
    </row>
    <row r="378" spans="1:7">
      <c r="A378" s="938" t="s">
        <v>1770</v>
      </c>
      <c r="B378" s="939" t="s">
        <v>845</v>
      </c>
      <c r="C378" s="893" t="s">
        <v>1771</v>
      </c>
      <c r="D378" s="940" t="s">
        <v>72</v>
      </c>
      <c r="E378" s="940">
        <v>44742</v>
      </c>
      <c r="F378" s="940">
        <v>44749</v>
      </c>
      <c r="G378" s="898">
        <v>100000</v>
      </c>
    </row>
    <row r="379" spans="1:7">
      <c r="A379" s="938" t="s">
        <v>1770</v>
      </c>
      <c r="B379" s="939" t="s">
        <v>845</v>
      </c>
      <c r="C379" s="893" t="s">
        <v>1772</v>
      </c>
      <c r="D379" s="940" t="s">
        <v>72</v>
      </c>
      <c r="E379" s="940">
        <v>44742</v>
      </c>
      <c r="F379" s="940">
        <v>44749</v>
      </c>
      <c r="G379" s="898">
        <v>100000</v>
      </c>
    </row>
    <row r="380" spans="1:7">
      <c r="A380" s="938" t="s">
        <v>1770</v>
      </c>
      <c r="B380" s="939" t="s">
        <v>845</v>
      </c>
      <c r="C380" s="893" t="s">
        <v>1773</v>
      </c>
      <c r="D380" s="940" t="s">
        <v>72</v>
      </c>
      <c r="E380" s="940">
        <v>44742</v>
      </c>
      <c r="F380" s="940">
        <v>44749</v>
      </c>
      <c r="G380" s="898">
        <v>100000</v>
      </c>
    </row>
    <row r="381" spans="1:7">
      <c r="A381" s="938" t="s">
        <v>1770</v>
      </c>
      <c r="B381" s="939" t="s">
        <v>845</v>
      </c>
      <c r="C381" s="893" t="s">
        <v>1774</v>
      </c>
      <c r="D381" s="940" t="s">
        <v>72</v>
      </c>
      <c r="E381" s="940">
        <v>44742</v>
      </c>
      <c r="F381" s="940">
        <v>44749</v>
      </c>
      <c r="G381" s="898">
        <v>25000</v>
      </c>
    </row>
    <row r="382" spans="1:7">
      <c r="A382" s="938" t="s">
        <v>1770</v>
      </c>
      <c r="B382" s="939" t="s">
        <v>845</v>
      </c>
      <c r="C382" s="893" t="s">
        <v>1775</v>
      </c>
      <c r="D382" s="940" t="s">
        <v>72</v>
      </c>
      <c r="E382" s="940">
        <v>44742</v>
      </c>
      <c r="F382" s="940">
        <v>44749</v>
      </c>
      <c r="G382" s="898">
        <v>25000</v>
      </c>
    </row>
    <row r="383" spans="1:7">
      <c r="A383" s="938" t="s">
        <v>1810</v>
      </c>
      <c r="B383" s="939" t="s">
        <v>845</v>
      </c>
      <c r="C383" s="893" t="s">
        <v>1728</v>
      </c>
      <c r="D383" s="940" t="s">
        <v>72</v>
      </c>
      <c r="E383" s="940">
        <v>44733</v>
      </c>
      <c r="F383" s="940">
        <v>44747</v>
      </c>
      <c r="G383" s="898">
        <v>50000</v>
      </c>
    </row>
    <row r="384" spans="1:7">
      <c r="A384" s="938" t="s">
        <v>1810</v>
      </c>
      <c r="B384" s="939" t="s">
        <v>845</v>
      </c>
      <c r="C384" s="893" t="s">
        <v>1729</v>
      </c>
      <c r="D384" s="940" t="s">
        <v>72</v>
      </c>
      <c r="E384" s="940">
        <v>44733</v>
      </c>
      <c r="F384" s="940">
        <v>44747</v>
      </c>
      <c r="G384" s="898">
        <v>44000</v>
      </c>
    </row>
    <row r="385" spans="1:7">
      <c r="A385" s="938" t="s">
        <v>1693</v>
      </c>
      <c r="B385" s="939" t="s">
        <v>845</v>
      </c>
      <c r="C385" s="893" t="s">
        <v>1715</v>
      </c>
      <c r="D385" s="940" t="s">
        <v>72</v>
      </c>
      <c r="E385" s="940">
        <v>44736</v>
      </c>
      <c r="F385" s="940">
        <v>44743</v>
      </c>
      <c r="G385" s="898">
        <v>50000</v>
      </c>
    </row>
    <row r="386" spans="1:7">
      <c r="A386" s="938" t="s">
        <v>1693</v>
      </c>
      <c r="B386" s="939" t="s">
        <v>845</v>
      </c>
      <c r="C386" s="893" t="s">
        <v>1716</v>
      </c>
      <c r="D386" s="940" t="s">
        <v>72</v>
      </c>
      <c r="E386" s="940">
        <v>44736</v>
      </c>
      <c r="F386" s="940">
        <v>44743</v>
      </c>
      <c r="G386" s="898">
        <v>50000</v>
      </c>
    </row>
    <row r="387" spans="1:7">
      <c r="A387" s="938" t="s">
        <v>1693</v>
      </c>
      <c r="B387" s="939" t="s">
        <v>845</v>
      </c>
      <c r="C387" s="893" t="s">
        <v>1717</v>
      </c>
      <c r="D387" s="940" t="s">
        <v>72</v>
      </c>
      <c r="E387" s="940">
        <v>44736</v>
      </c>
      <c r="F387" s="940">
        <v>44743</v>
      </c>
      <c r="G387" s="898">
        <v>50000</v>
      </c>
    </row>
    <row r="388" spans="1:7">
      <c r="A388" s="938" t="s">
        <v>1693</v>
      </c>
      <c r="B388" s="939" t="s">
        <v>845</v>
      </c>
      <c r="C388" s="893" t="s">
        <v>1718</v>
      </c>
      <c r="D388" s="940" t="s">
        <v>72</v>
      </c>
      <c r="E388" s="940">
        <v>44736</v>
      </c>
      <c r="F388" s="940">
        <v>44743</v>
      </c>
      <c r="G388" s="898">
        <v>50000</v>
      </c>
    </row>
    <row r="389" spans="1:7">
      <c r="A389" s="938" t="s">
        <v>1693</v>
      </c>
      <c r="B389" s="939" t="s">
        <v>845</v>
      </c>
      <c r="C389" s="893" t="s">
        <v>1719</v>
      </c>
      <c r="D389" s="940" t="s">
        <v>72</v>
      </c>
      <c r="E389" s="940">
        <v>44736</v>
      </c>
      <c r="F389" s="940">
        <v>44743</v>
      </c>
      <c r="G389" s="898">
        <v>50000</v>
      </c>
    </row>
    <row r="390" spans="1:7">
      <c r="A390" s="938" t="s">
        <v>1693</v>
      </c>
      <c r="B390" s="939" t="s">
        <v>845</v>
      </c>
      <c r="C390" s="893" t="s">
        <v>1720</v>
      </c>
      <c r="D390" s="940" t="s">
        <v>72</v>
      </c>
      <c r="E390" s="940">
        <v>44736</v>
      </c>
      <c r="F390" s="940">
        <v>44743</v>
      </c>
      <c r="G390" s="898">
        <v>25000</v>
      </c>
    </row>
    <row r="391" spans="1:7">
      <c r="A391" s="938" t="s">
        <v>1693</v>
      </c>
      <c r="B391" s="939" t="s">
        <v>845</v>
      </c>
      <c r="C391" s="893" t="s">
        <v>1721</v>
      </c>
      <c r="D391" s="940" t="s">
        <v>72</v>
      </c>
      <c r="E391" s="940">
        <v>44736</v>
      </c>
      <c r="F391" s="940">
        <v>44743</v>
      </c>
      <c r="G391" s="898">
        <v>25000</v>
      </c>
    </row>
    <row r="392" spans="1:7">
      <c r="A392" s="938" t="s">
        <v>1693</v>
      </c>
      <c r="B392" s="939" t="s">
        <v>845</v>
      </c>
      <c r="C392" s="893" t="s">
        <v>1722</v>
      </c>
      <c r="D392" s="940" t="s">
        <v>72</v>
      </c>
      <c r="E392" s="940">
        <v>44736</v>
      </c>
      <c r="F392" s="940">
        <v>44743</v>
      </c>
      <c r="G392" s="898">
        <v>25000</v>
      </c>
    </row>
    <row r="393" spans="1:7">
      <c r="A393" s="938" t="s">
        <v>1693</v>
      </c>
      <c r="B393" s="939" t="s">
        <v>845</v>
      </c>
      <c r="C393" s="893" t="s">
        <v>1723</v>
      </c>
      <c r="D393" s="940" t="s">
        <v>72</v>
      </c>
      <c r="E393" s="940">
        <v>44736</v>
      </c>
      <c r="F393" s="940">
        <v>44743</v>
      </c>
      <c r="G393" s="898">
        <v>25000</v>
      </c>
    </row>
    <row r="394" spans="1:7">
      <c r="A394" s="938" t="s">
        <v>1693</v>
      </c>
      <c r="B394" s="939" t="s">
        <v>845</v>
      </c>
      <c r="C394" s="893" t="s">
        <v>1724</v>
      </c>
      <c r="D394" s="940" t="s">
        <v>72</v>
      </c>
      <c r="E394" s="940">
        <v>44736</v>
      </c>
      <c r="F394" s="940">
        <v>44743</v>
      </c>
      <c r="G394" s="898">
        <v>25000</v>
      </c>
    </row>
    <row r="395" spans="1:7">
      <c r="A395" s="938" t="s">
        <v>1693</v>
      </c>
      <c r="B395" s="939" t="s">
        <v>845</v>
      </c>
      <c r="C395" s="893" t="s">
        <v>1725</v>
      </c>
      <c r="D395" s="940" t="s">
        <v>72</v>
      </c>
      <c r="E395" s="940">
        <v>44736</v>
      </c>
      <c r="F395" s="940">
        <v>44743</v>
      </c>
      <c r="G395" s="898">
        <v>25000</v>
      </c>
    </row>
    <row r="396" spans="1:7">
      <c r="A396" s="938" t="s">
        <v>1693</v>
      </c>
      <c r="B396" s="939" t="s">
        <v>845</v>
      </c>
      <c r="C396" s="893" t="s">
        <v>1726</v>
      </c>
      <c r="D396" s="940" t="s">
        <v>72</v>
      </c>
      <c r="E396" s="940">
        <v>44736</v>
      </c>
      <c r="F396" s="940">
        <v>44743</v>
      </c>
      <c r="G396" s="898">
        <v>25000</v>
      </c>
    </row>
    <row r="397" spans="1:7">
      <c r="A397" s="938" t="s">
        <v>1811</v>
      </c>
      <c r="B397" s="939" t="s">
        <v>845</v>
      </c>
      <c r="C397" s="893" t="s">
        <v>1731</v>
      </c>
      <c r="D397" s="940" t="s">
        <v>72</v>
      </c>
      <c r="E397" s="940">
        <v>44736</v>
      </c>
      <c r="F397" s="940">
        <v>44743</v>
      </c>
      <c r="G397" s="898">
        <v>10000</v>
      </c>
    </row>
    <row r="398" spans="1:7">
      <c r="A398" s="938" t="s">
        <v>1811</v>
      </c>
      <c r="B398" s="939" t="s">
        <v>845</v>
      </c>
      <c r="C398" s="893" t="s">
        <v>1732</v>
      </c>
      <c r="D398" s="940" t="s">
        <v>72</v>
      </c>
      <c r="E398" s="940">
        <v>44736</v>
      </c>
      <c r="F398" s="940">
        <v>44743</v>
      </c>
      <c r="G398" s="898">
        <v>10000</v>
      </c>
    </row>
    <row r="399" spans="1:7">
      <c r="A399" s="938" t="s">
        <v>1811</v>
      </c>
      <c r="B399" s="939" t="s">
        <v>845</v>
      </c>
      <c r="C399" s="893" t="s">
        <v>1733</v>
      </c>
      <c r="D399" s="940" t="s">
        <v>72</v>
      </c>
      <c r="E399" s="940">
        <v>44736</v>
      </c>
      <c r="F399" s="940">
        <v>44743</v>
      </c>
      <c r="G399" s="898">
        <v>10000</v>
      </c>
    </row>
    <row r="400" spans="1:7">
      <c r="A400" s="938" t="s">
        <v>1811</v>
      </c>
      <c r="B400" s="939" t="s">
        <v>845</v>
      </c>
      <c r="C400" s="893" t="s">
        <v>1734</v>
      </c>
      <c r="D400" s="940" t="s">
        <v>72</v>
      </c>
      <c r="E400" s="940">
        <v>44736</v>
      </c>
      <c r="F400" s="940">
        <v>44743</v>
      </c>
      <c r="G400" s="898">
        <v>10000</v>
      </c>
    </row>
    <row r="401" spans="1:7">
      <c r="A401" s="938" t="s">
        <v>1811</v>
      </c>
      <c r="B401" s="939" t="s">
        <v>845</v>
      </c>
      <c r="C401" s="893" t="s">
        <v>1735</v>
      </c>
      <c r="D401" s="940" t="s">
        <v>72</v>
      </c>
      <c r="E401" s="940">
        <v>44736</v>
      </c>
      <c r="F401" s="940">
        <v>44743</v>
      </c>
      <c r="G401" s="898">
        <v>10000</v>
      </c>
    </row>
    <row r="402" spans="1:7">
      <c r="A402" s="938" t="s">
        <v>1811</v>
      </c>
      <c r="B402" s="939" t="s">
        <v>845</v>
      </c>
      <c r="C402" s="893" t="s">
        <v>1736</v>
      </c>
      <c r="D402" s="940" t="s">
        <v>72</v>
      </c>
      <c r="E402" s="940">
        <v>44736</v>
      </c>
      <c r="F402" s="940">
        <v>44743</v>
      </c>
      <c r="G402" s="898">
        <v>10000</v>
      </c>
    </row>
    <row r="403" spans="1:7">
      <c r="A403" s="938" t="s">
        <v>1811</v>
      </c>
      <c r="B403" s="939" t="s">
        <v>845</v>
      </c>
      <c r="C403" s="893" t="s">
        <v>1737</v>
      </c>
      <c r="D403" s="940" t="s">
        <v>72</v>
      </c>
      <c r="E403" s="940">
        <v>44736</v>
      </c>
      <c r="F403" s="940">
        <v>44743</v>
      </c>
      <c r="G403" s="898">
        <v>10000</v>
      </c>
    </row>
    <row r="404" spans="1:7">
      <c r="A404" s="938" t="s">
        <v>1811</v>
      </c>
      <c r="B404" s="939" t="s">
        <v>845</v>
      </c>
      <c r="C404" s="893" t="s">
        <v>1738</v>
      </c>
      <c r="D404" s="940" t="s">
        <v>72</v>
      </c>
      <c r="E404" s="940">
        <v>44736</v>
      </c>
      <c r="F404" s="940">
        <v>44743</v>
      </c>
      <c r="G404" s="898">
        <v>10000</v>
      </c>
    </row>
    <row r="405" spans="1:7">
      <c r="A405" s="938" t="s">
        <v>1811</v>
      </c>
      <c r="B405" s="939" t="s">
        <v>845</v>
      </c>
      <c r="C405" s="893" t="s">
        <v>1739</v>
      </c>
      <c r="D405" s="940" t="s">
        <v>72</v>
      </c>
      <c r="E405" s="940">
        <v>44736</v>
      </c>
      <c r="F405" s="940">
        <v>44743</v>
      </c>
      <c r="G405" s="898">
        <v>10000</v>
      </c>
    </row>
    <row r="406" spans="1:7">
      <c r="A406" s="938" t="s">
        <v>1811</v>
      </c>
      <c r="B406" s="939" t="s">
        <v>845</v>
      </c>
      <c r="C406" s="893" t="s">
        <v>1740</v>
      </c>
      <c r="D406" s="940" t="s">
        <v>72</v>
      </c>
      <c r="E406" s="940">
        <v>44736</v>
      </c>
      <c r="F406" s="940">
        <v>44743</v>
      </c>
      <c r="G406" s="898">
        <v>15000</v>
      </c>
    </row>
    <row r="407" spans="1:7">
      <c r="A407" s="938" t="s">
        <v>1811</v>
      </c>
      <c r="B407" s="939" t="s">
        <v>845</v>
      </c>
      <c r="C407" s="893" t="s">
        <v>1741</v>
      </c>
      <c r="D407" s="940" t="s">
        <v>72</v>
      </c>
      <c r="E407" s="940">
        <v>44736</v>
      </c>
      <c r="F407" s="940">
        <v>44743</v>
      </c>
      <c r="G407" s="898">
        <v>15000</v>
      </c>
    </row>
    <row r="408" spans="1:7">
      <c r="A408" s="938" t="s">
        <v>1811</v>
      </c>
      <c r="B408" s="939" t="s">
        <v>845</v>
      </c>
      <c r="C408" s="893" t="s">
        <v>1742</v>
      </c>
      <c r="D408" s="940" t="s">
        <v>72</v>
      </c>
      <c r="E408" s="940">
        <v>44736</v>
      </c>
      <c r="F408" s="940">
        <v>44743</v>
      </c>
      <c r="G408" s="898">
        <v>15000</v>
      </c>
    </row>
    <row r="409" spans="1:7">
      <c r="A409" s="938" t="s">
        <v>1811</v>
      </c>
      <c r="B409" s="939" t="s">
        <v>845</v>
      </c>
      <c r="C409" s="893" t="s">
        <v>1743</v>
      </c>
      <c r="D409" s="940" t="s">
        <v>72</v>
      </c>
      <c r="E409" s="940">
        <v>44736</v>
      </c>
      <c r="F409" s="940">
        <v>44743</v>
      </c>
      <c r="G409" s="898">
        <v>15000</v>
      </c>
    </row>
    <row r="410" spans="1:7">
      <c r="A410" s="938" t="s">
        <v>1811</v>
      </c>
      <c r="B410" s="939" t="s">
        <v>845</v>
      </c>
      <c r="C410" s="893" t="s">
        <v>1744</v>
      </c>
      <c r="D410" s="940" t="s">
        <v>72</v>
      </c>
      <c r="E410" s="940">
        <v>44736</v>
      </c>
      <c r="F410" s="940">
        <v>44743</v>
      </c>
      <c r="G410" s="898">
        <v>25000</v>
      </c>
    </row>
    <row r="411" spans="1:7">
      <c r="A411" s="938" t="s">
        <v>1811</v>
      </c>
      <c r="B411" s="939" t="s">
        <v>845</v>
      </c>
      <c r="C411" s="893" t="s">
        <v>1745</v>
      </c>
      <c r="D411" s="940" t="s">
        <v>72</v>
      </c>
      <c r="E411" s="940">
        <v>44736</v>
      </c>
      <c r="F411" s="940">
        <v>44743</v>
      </c>
      <c r="G411" s="898">
        <v>25000</v>
      </c>
    </row>
    <row r="412" spans="1:7">
      <c r="A412" s="938" t="s">
        <v>1811</v>
      </c>
      <c r="B412" s="939" t="s">
        <v>845</v>
      </c>
      <c r="C412" s="893" t="s">
        <v>1746</v>
      </c>
      <c r="D412" s="940" t="s">
        <v>72</v>
      </c>
      <c r="E412" s="940">
        <v>44736</v>
      </c>
      <c r="F412" s="940">
        <v>44743</v>
      </c>
      <c r="G412" s="898">
        <v>25000</v>
      </c>
    </row>
    <row r="413" spans="1:7">
      <c r="A413" s="938" t="s">
        <v>1811</v>
      </c>
      <c r="B413" s="939" t="s">
        <v>845</v>
      </c>
      <c r="C413" s="893" t="s">
        <v>1747</v>
      </c>
      <c r="D413" s="940" t="s">
        <v>72</v>
      </c>
      <c r="E413" s="940">
        <v>44736</v>
      </c>
      <c r="F413" s="940">
        <v>44743</v>
      </c>
      <c r="G413" s="898">
        <v>25000</v>
      </c>
    </row>
    <row r="414" spans="1:7">
      <c r="A414" s="938" t="s">
        <v>1811</v>
      </c>
      <c r="B414" s="939" t="s">
        <v>845</v>
      </c>
      <c r="C414" s="893" t="s">
        <v>1748</v>
      </c>
      <c r="D414" s="940" t="s">
        <v>72</v>
      </c>
      <c r="E414" s="940">
        <v>44736</v>
      </c>
      <c r="F414" s="940">
        <v>44743</v>
      </c>
      <c r="G414" s="898">
        <v>25000</v>
      </c>
    </row>
    <row r="415" spans="1:7">
      <c r="A415" s="938" t="s">
        <v>1811</v>
      </c>
      <c r="B415" s="939" t="s">
        <v>845</v>
      </c>
      <c r="C415" s="893" t="s">
        <v>1749</v>
      </c>
      <c r="D415" s="940" t="s">
        <v>72</v>
      </c>
      <c r="E415" s="940">
        <v>44736</v>
      </c>
      <c r="F415" s="940">
        <v>44743</v>
      </c>
      <c r="G415" s="898">
        <v>10000</v>
      </c>
    </row>
    <row r="416" spans="1:7">
      <c r="A416" s="938" t="s">
        <v>1811</v>
      </c>
      <c r="B416" s="939" t="s">
        <v>845</v>
      </c>
      <c r="C416" s="893" t="s">
        <v>1750</v>
      </c>
      <c r="D416" s="940" t="s">
        <v>72</v>
      </c>
      <c r="E416" s="940">
        <v>44736</v>
      </c>
      <c r="F416" s="940">
        <v>44743</v>
      </c>
      <c r="G416" s="898">
        <v>10000</v>
      </c>
    </row>
    <row r="417" spans="1:7">
      <c r="A417" s="938" t="s">
        <v>1811</v>
      </c>
      <c r="B417" s="939" t="s">
        <v>845</v>
      </c>
      <c r="C417" s="893" t="s">
        <v>1751</v>
      </c>
      <c r="D417" s="940" t="s">
        <v>72</v>
      </c>
      <c r="E417" s="940">
        <v>44736</v>
      </c>
      <c r="F417" s="940">
        <v>44743</v>
      </c>
      <c r="G417" s="898">
        <v>10000</v>
      </c>
    </row>
    <row r="418" spans="1:7">
      <c r="A418" s="938" t="s">
        <v>1811</v>
      </c>
      <c r="B418" s="939" t="s">
        <v>845</v>
      </c>
      <c r="C418" s="893" t="s">
        <v>1752</v>
      </c>
      <c r="D418" s="940" t="s">
        <v>72</v>
      </c>
      <c r="E418" s="940">
        <v>44736</v>
      </c>
      <c r="F418" s="940">
        <v>44743</v>
      </c>
      <c r="G418" s="898">
        <v>10000</v>
      </c>
    </row>
    <row r="419" spans="1:7">
      <c r="A419" s="938" t="s">
        <v>1811</v>
      </c>
      <c r="B419" s="939" t="s">
        <v>845</v>
      </c>
      <c r="C419" s="893" t="s">
        <v>1753</v>
      </c>
      <c r="D419" s="940" t="s">
        <v>72</v>
      </c>
      <c r="E419" s="940">
        <v>44736</v>
      </c>
      <c r="F419" s="940">
        <v>44743</v>
      </c>
      <c r="G419" s="898">
        <v>10000</v>
      </c>
    </row>
    <row r="420" spans="1:7">
      <c r="A420" s="938" t="s">
        <v>1811</v>
      </c>
      <c r="B420" s="939" t="s">
        <v>845</v>
      </c>
      <c r="C420" s="893" t="s">
        <v>1754</v>
      </c>
      <c r="D420" s="940" t="s">
        <v>72</v>
      </c>
      <c r="E420" s="940">
        <v>44736</v>
      </c>
      <c r="F420" s="940">
        <v>44743</v>
      </c>
      <c r="G420" s="898">
        <v>10000</v>
      </c>
    </row>
    <row r="421" spans="1:7">
      <c r="A421" s="938" t="s">
        <v>1811</v>
      </c>
      <c r="B421" s="939" t="s">
        <v>845</v>
      </c>
      <c r="C421" s="893" t="s">
        <v>1755</v>
      </c>
      <c r="D421" s="940" t="s">
        <v>72</v>
      </c>
      <c r="E421" s="940">
        <v>44736</v>
      </c>
      <c r="F421" s="940">
        <v>44743</v>
      </c>
      <c r="G421" s="898">
        <v>10000</v>
      </c>
    </row>
    <row r="422" spans="1:7">
      <c r="A422" s="938" t="s">
        <v>1811</v>
      </c>
      <c r="B422" s="939" t="s">
        <v>845</v>
      </c>
      <c r="C422" s="893" t="s">
        <v>1756</v>
      </c>
      <c r="D422" s="940" t="s">
        <v>72</v>
      </c>
      <c r="E422" s="940">
        <v>44736</v>
      </c>
      <c r="F422" s="940">
        <v>44743</v>
      </c>
      <c r="G422" s="898">
        <v>10000</v>
      </c>
    </row>
    <row r="423" spans="1:7">
      <c r="A423" s="938" t="s">
        <v>1811</v>
      </c>
      <c r="B423" s="939" t="s">
        <v>845</v>
      </c>
      <c r="C423" s="893" t="s">
        <v>1757</v>
      </c>
      <c r="D423" s="940" t="s">
        <v>72</v>
      </c>
      <c r="E423" s="940">
        <v>44736</v>
      </c>
      <c r="F423" s="940">
        <v>44743</v>
      </c>
      <c r="G423" s="898">
        <v>10000</v>
      </c>
    </row>
    <row r="424" spans="1:7">
      <c r="A424" s="938" t="s">
        <v>1811</v>
      </c>
      <c r="B424" s="939" t="s">
        <v>845</v>
      </c>
      <c r="C424" s="893" t="s">
        <v>1758</v>
      </c>
      <c r="D424" s="940" t="s">
        <v>72</v>
      </c>
      <c r="E424" s="940">
        <v>44736</v>
      </c>
      <c r="F424" s="940">
        <v>44743</v>
      </c>
      <c r="G424" s="898">
        <v>10000</v>
      </c>
    </row>
    <row r="425" spans="1:7">
      <c r="A425" s="938" t="s">
        <v>1811</v>
      </c>
      <c r="B425" s="939" t="s">
        <v>845</v>
      </c>
      <c r="C425" s="893" t="s">
        <v>1759</v>
      </c>
      <c r="D425" s="940" t="s">
        <v>72</v>
      </c>
      <c r="E425" s="940">
        <v>44739</v>
      </c>
      <c r="F425" s="940">
        <v>44746</v>
      </c>
      <c r="G425" s="898">
        <v>25000</v>
      </c>
    </row>
    <row r="426" spans="1:7">
      <c r="A426" s="938" t="s">
        <v>1811</v>
      </c>
      <c r="B426" s="939" t="s">
        <v>845</v>
      </c>
      <c r="C426" s="893" t="s">
        <v>1760</v>
      </c>
      <c r="D426" s="940" t="s">
        <v>72</v>
      </c>
      <c r="E426" s="940">
        <v>44739</v>
      </c>
      <c r="F426" s="940">
        <v>44746</v>
      </c>
      <c r="G426" s="898">
        <v>20000</v>
      </c>
    </row>
    <row r="427" spans="1:7">
      <c r="A427" s="941" t="s">
        <v>1787</v>
      </c>
      <c r="B427" s="939" t="s">
        <v>845</v>
      </c>
      <c r="C427" s="893" t="s">
        <v>1247</v>
      </c>
      <c r="D427" s="940" t="s">
        <v>72</v>
      </c>
      <c r="E427" s="940">
        <v>44715</v>
      </c>
      <c r="F427" s="940">
        <v>44883</v>
      </c>
      <c r="G427" s="898">
        <v>750000</v>
      </c>
    </row>
    <row r="428" spans="1:7">
      <c r="A428" s="941" t="s">
        <v>1787</v>
      </c>
      <c r="B428" s="939" t="s">
        <v>845</v>
      </c>
      <c r="C428" s="893" t="s">
        <v>1246</v>
      </c>
      <c r="D428" s="940" t="s">
        <v>72</v>
      </c>
      <c r="E428" s="940">
        <v>44715</v>
      </c>
      <c r="F428" s="940">
        <v>44904</v>
      </c>
      <c r="G428" s="898">
        <v>750000</v>
      </c>
    </row>
    <row r="429" spans="1:7">
      <c r="A429" s="941" t="s">
        <v>1787</v>
      </c>
      <c r="B429" s="939" t="s">
        <v>845</v>
      </c>
      <c r="C429" s="893" t="s">
        <v>1788</v>
      </c>
      <c r="D429" s="940" t="s">
        <v>72</v>
      </c>
      <c r="E429" s="940">
        <v>44720</v>
      </c>
      <c r="F429" s="940">
        <v>44819</v>
      </c>
      <c r="G429" s="898">
        <v>750000</v>
      </c>
    </row>
    <row r="430" spans="1:7">
      <c r="A430" s="941" t="s">
        <v>1787</v>
      </c>
      <c r="B430" s="939" t="s">
        <v>845</v>
      </c>
      <c r="C430" s="893" t="s">
        <v>1789</v>
      </c>
      <c r="D430" s="940" t="s">
        <v>72</v>
      </c>
      <c r="E430" s="940">
        <v>44727</v>
      </c>
      <c r="F430" s="940">
        <v>44917</v>
      </c>
      <c r="G430" s="898">
        <v>2443336</v>
      </c>
    </row>
    <row r="431" spans="1:7">
      <c r="A431" s="941" t="s">
        <v>1787</v>
      </c>
      <c r="B431" s="939" t="s">
        <v>845</v>
      </c>
      <c r="C431" s="893" t="s">
        <v>1790</v>
      </c>
      <c r="D431" s="940" t="s">
        <v>72</v>
      </c>
      <c r="E431" s="940">
        <v>44739</v>
      </c>
      <c r="F431" s="940">
        <v>44746</v>
      </c>
      <c r="G431" s="898">
        <v>750000</v>
      </c>
    </row>
    <row r="432" spans="1:7">
      <c r="A432" s="941" t="s">
        <v>1761</v>
      </c>
      <c r="B432" s="939" t="s">
        <v>845</v>
      </c>
      <c r="C432" s="893" t="s">
        <v>1762</v>
      </c>
      <c r="D432" s="940" t="s">
        <v>72</v>
      </c>
      <c r="E432" s="940">
        <v>44708</v>
      </c>
      <c r="F432" s="940">
        <v>44798</v>
      </c>
      <c r="G432" s="898">
        <v>500100</v>
      </c>
    </row>
    <row r="433" spans="1:10">
      <c r="A433" s="941" t="s">
        <v>1761</v>
      </c>
      <c r="B433" s="939" t="s">
        <v>845</v>
      </c>
      <c r="C433" s="893" t="s">
        <v>1763</v>
      </c>
      <c r="D433" s="940" t="s">
        <v>72</v>
      </c>
      <c r="E433" s="940">
        <v>44708</v>
      </c>
      <c r="F433" s="940">
        <v>44798</v>
      </c>
      <c r="G433" s="898">
        <v>500100</v>
      </c>
    </row>
    <row r="434" spans="1:10">
      <c r="A434" s="941" t="s">
        <v>1761</v>
      </c>
      <c r="B434" s="939" t="s">
        <v>845</v>
      </c>
      <c r="C434" s="893" t="s">
        <v>1764</v>
      </c>
      <c r="D434" s="940" t="s">
        <v>72</v>
      </c>
      <c r="E434" s="940">
        <v>44708</v>
      </c>
      <c r="F434" s="940">
        <v>44798</v>
      </c>
      <c r="G434" s="898">
        <v>500100</v>
      </c>
    </row>
    <row r="435" spans="1:10">
      <c r="A435" s="941" t="s">
        <v>1761</v>
      </c>
      <c r="B435" s="939" t="s">
        <v>845</v>
      </c>
      <c r="C435" s="893" t="s">
        <v>1765</v>
      </c>
      <c r="D435" s="940" t="s">
        <v>72</v>
      </c>
      <c r="E435" s="940">
        <v>44708</v>
      </c>
      <c r="F435" s="940">
        <v>44798</v>
      </c>
      <c r="G435" s="898">
        <v>500100</v>
      </c>
    </row>
    <row r="436" spans="1:10">
      <c r="A436" s="941" t="s">
        <v>1761</v>
      </c>
      <c r="B436" s="939" t="s">
        <v>845</v>
      </c>
      <c r="C436" s="893" t="s">
        <v>1766</v>
      </c>
      <c r="D436" s="940" t="s">
        <v>72</v>
      </c>
      <c r="E436" s="940">
        <v>44736</v>
      </c>
      <c r="F436" s="940">
        <v>44917</v>
      </c>
      <c r="G436" s="898">
        <v>500100</v>
      </c>
    </row>
    <row r="437" spans="1:10">
      <c r="A437" s="941" t="s">
        <v>1761</v>
      </c>
      <c r="B437" s="939" t="s">
        <v>845</v>
      </c>
      <c r="C437" s="893" t="s">
        <v>1767</v>
      </c>
      <c r="D437" s="940" t="s">
        <v>72</v>
      </c>
      <c r="E437" s="940">
        <v>44736</v>
      </c>
      <c r="F437" s="940">
        <v>44917</v>
      </c>
      <c r="G437" s="898">
        <v>500100</v>
      </c>
    </row>
    <row r="438" spans="1:10">
      <c r="A438" s="941" t="s">
        <v>1761</v>
      </c>
      <c r="B438" s="939" t="s">
        <v>845</v>
      </c>
      <c r="C438" s="893" t="s">
        <v>1768</v>
      </c>
      <c r="D438" s="940" t="s">
        <v>72</v>
      </c>
      <c r="E438" s="940">
        <v>44736</v>
      </c>
      <c r="F438" s="940">
        <v>44917</v>
      </c>
      <c r="G438" s="898">
        <v>500100</v>
      </c>
    </row>
    <row r="439" spans="1:10">
      <c r="A439" s="941" t="s">
        <v>1761</v>
      </c>
      <c r="B439" s="939" t="s">
        <v>845</v>
      </c>
      <c r="C439" s="893" t="s">
        <v>1769</v>
      </c>
      <c r="D439" s="940" t="s">
        <v>72</v>
      </c>
      <c r="E439" s="940">
        <v>44736</v>
      </c>
      <c r="F439" s="940">
        <v>44917</v>
      </c>
      <c r="G439" s="898">
        <v>500100</v>
      </c>
    </row>
    <row r="440" spans="1:10">
      <c r="A440" s="941" t="s">
        <v>1812</v>
      </c>
      <c r="B440" s="939" t="s">
        <v>845</v>
      </c>
      <c r="C440" s="893" t="s">
        <v>1714</v>
      </c>
      <c r="D440" s="940" t="s">
        <v>72</v>
      </c>
      <c r="E440" s="940">
        <v>44739</v>
      </c>
      <c r="F440" s="940">
        <v>44746</v>
      </c>
      <c r="G440" s="898">
        <v>100000</v>
      </c>
    </row>
    <row r="443" spans="1:10" ht="15.6">
      <c r="A443" s="936" t="s">
        <v>1813</v>
      </c>
      <c r="B443" s="902"/>
      <c r="C443" s="902"/>
      <c r="D443" s="902"/>
      <c r="E443" s="902"/>
      <c r="F443" s="902"/>
      <c r="G443" s="902"/>
    </row>
    <row r="444" spans="1:10">
      <c r="A444" s="902"/>
      <c r="B444" s="902"/>
      <c r="C444" s="902"/>
      <c r="D444" s="902"/>
      <c r="E444" s="902"/>
      <c r="F444" s="902"/>
      <c r="G444" s="902"/>
    </row>
    <row r="445" spans="1:10">
      <c r="A445" s="902"/>
      <c r="B445" s="902"/>
      <c r="C445" s="902"/>
      <c r="D445" s="902"/>
      <c r="E445" s="902"/>
      <c r="F445" s="902"/>
    </row>
    <row r="446" spans="1:10" ht="27.6">
      <c r="A446" s="937" t="s">
        <v>1139</v>
      </c>
      <c r="B446" s="937" t="s">
        <v>2</v>
      </c>
      <c r="C446" s="937" t="s">
        <v>1140</v>
      </c>
      <c r="D446" s="937" t="s">
        <v>1814</v>
      </c>
      <c r="E446" s="937" t="s">
        <v>1815</v>
      </c>
      <c r="F446" s="937" t="s">
        <v>1816</v>
      </c>
      <c r="G446" s="937" t="s">
        <v>1143</v>
      </c>
      <c r="H446" s="937" t="s">
        <v>1825</v>
      </c>
      <c r="I446" s="937" t="s">
        <v>1826</v>
      </c>
      <c r="J446" s="951" t="s">
        <v>1827</v>
      </c>
    </row>
    <row r="447" spans="1:10">
      <c r="A447" s="934" t="s">
        <v>291</v>
      </c>
      <c r="B447" s="892" t="s">
        <v>844</v>
      </c>
      <c r="C447" s="893" t="s">
        <v>1817</v>
      </c>
      <c r="D447" s="894" t="s">
        <v>72</v>
      </c>
      <c r="E447" s="894">
        <v>44739</v>
      </c>
      <c r="F447" s="894">
        <v>45104</v>
      </c>
      <c r="G447" s="893">
        <v>25000000</v>
      </c>
      <c r="H447" s="893">
        <v>2375000</v>
      </c>
      <c r="I447" s="893">
        <v>2355479.4520547944</v>
      </c>
      <c r="J447" s="952">
        <v>25019520.547945205</v>
      </c>
    </row>
    <row r="448" spans="1:10">
      <c r="A448" s="934" t="s">
        <v>1523</v>
      </c>
      <c r="B448" s="892" t="s">
        <v>845</v>
      </c>
      <c r="C448" s="893" t="s">
        <v>1818</v>
      </c>
      <c r="D448" s="894" t="s">
        <v>655</v>
      </c>
      <c r="E448" s="894">
        <v>44728</v>
      </c>
      <c r="F448" s="894">
        <v>44760</v>
      </c>
      <c r="G448" s="898">
        <v>50000</v>
      </c>
      <c r="H448" s="898">
        <v>287.21831488081079</v>
      </c>
      <c r="I448" s="898">
        <v>161.56030212045607</v>
      </c>
      <c r="J448" s="952">
        <v>320881153.03846771</v>
      </c>
    </row>
    <row r="449" spans="1:10">
      <c r="A449" s="934" t="s">
        <v>1819</v>
      </c>
      <c r="B449" s="892" t="s">
        <v>845</v>
      </c>
      <c r="C449" s="893" t="s">
        <v>1820</v>
      </c>
      <c r="D449" s="894" t="s">
        <v>878</v>
      </c>
      <c r="E449" s="894">
        <v>44728</v>
      </c>
      <c r="F449" s="894">
        <v>44760</v>
      </c>
      <c r="G449" s="898">
        <v>100000</v>
      </c>
      <c r="H449" s="898">
        <v>426.33000000000175</v>
      </c>
      <c r="I449" s="898">
        <v>239.81062500000098</v>
      </c>
      <c r="J449" s="952">
        <v>634645461.3943125</v>
      </c>
    </row>
  </sheetData>
  <autoFilter ref="A6:N449" xr:uid="{DDE71184-B8FA-43B3-A02B-193C5D0E570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S119"/>
  <sheetViews>
    <sheetView showGridLines="0" topLeftCell="A97" zoomScaleNormal="100" workbookViewId="0">
      <selection activeCell="C118" sqref="C118"/>
    </sheetView>
  </sheetViews>
  <sheetFormatPr baseColWidth="10" defaultColWidth="8.6640625" defaultRowHeight="13.8"/>
  <cols>
    <col min="1" max="1" width="2.44140625" style="723" customWidth="1"/>
    <col min="2" max="2" width="16.6640625" style="723" customWidth="1"/>
    <col min="3" max="3" width="26.6640625" style="723" customWidth="1"/>
    <col min="4" max="4" width="16" style="723" customWidth="1"/>
    <col min="5" max="5" width="14.44140625" style="723" customWidth="1"/>
    <col min="6" max="6" width="12.109375" style="723" customWidth="1"/>
    <col min="7" max="7" width="16.33203125" style="723" customWidth="1"/>
    <col min="8" max="10" width="12.109375" style="723" customWidth="1"/>
    <col min="11" max="11" width="8.6640625" style="723"/>
    <col min="12" max="12" width="13.6640625" style="723" bestFit="1" customWidth="1"/>
    <col min="13" max="13" width="8.6640625" style="723"/>
    <col min="14" max="14" width="8.88671875" style="723" bestFit="1" customWidth="1"/>
    <col min="15" max="15" width="11.88671875" style="723" bestFit="1" customWidth="1"/>
    <col min="16" max="16384" width="8.6640625" style="723"/>
  </cols>
  <sheetData>
    <row r="1" spans="1:19" s="160" customFormat="1" ht="10.199999999999999" customHeight="1">
      <c r="A1" s="160" t="s">
        <v>1844</v>
      </c>
      <c r="B1" s="159"/>
      <c r="C1" s="159"/>
      <c r="D1" s="159"/>
      <c r="E1" s="159"/>
      <c r="F1" s="159"/>
      <c r="G1" s="159"/>
      <c r="H1" s="159"/>
      <c r="I1" s="159"/>
      <c r="J1" s="159"/>
      <c r="K1" s="159"/>
      <c r="L1" s="159"/>
      <c r="O1" s="161"/>
      <c r="P1" s="161"/>
    </row>
    <row r="2" spans="1:19" s="160" customFormat="1" ht="20.399999999999999" customHeight="1">
      <c r="B2" s="722"/>
      <c r="C2" s="722"/>
      <c r="D2" s="722"/>
      <c r="E2" s="722"/>
      <c r="F2" s="722"/>
      <c r="G2" s="722"/>
      <c r="H2" s="722"/>
      <c r="I2" s="722"/>
      <c r="J2" s="722"/>
      <c r="K2" s="722"/>
      <c r="L2" s="722"/>
      <c r="M2" s="722"/>
      <c r="N2" s="722"/>
      <c r="O2" s="722"/>
      <c r="P2" s="722"/>
      <c r="Q2" s="722"/>
      <c r="R2" s="722"/>
      <c r="S2" s="722"/>
    </row>
    <row r="3" spans="1:19" s="160" customFormat="1" ht="18">
      <c r="B3" s="982"/>
      <c r="C3" s="982"/>
      <c r="D3" s="982"/>
      <c r="E3" s="982"/>
      <c r="F3" s="982"/>
      <c r="G3" s="982"/>
      <c r="H3" s="982"/>
      <c r="I3" s="982"/>
      <c r="J3" s="982"/>
      <c r="K3" s="982"/>
      <c r="L3" s="982"/>
      <c r="O3" s="161"/>
      <c r="P3" s="161"/>
    </row>
    <row r="4" spans="1:19" s="160" customFormat="1" ht="18">
      <c r="B4" s="982"/>
      <c r="C4" s="982"/>
      <c r="D4" s="982"/>
      <c r="E4" s="982"/>
      <c r="F4" s="982"/>
      <c r="G4" s="982"/>
      <c r="H4" s="982"/>
      <c r="I4" s="982"/>
      <c r="J4" s="982"/>
      <c r="K4" s="982"/>
      <c r="L4" s="982"/>
      <c r="O4" s="161"/>
      <c r="P4" s="161"/>
    </row>
    <row r="5" spans="1:19" s="160" customFormat="1" ht="18.600000000000001" customHeight="1">
      <c r="B5" s="982"/>
      <c r="C5" s="982"/>
      <c r="D5" s="982"/>
      <c r="E5" s="982"/>
      <c r="F5" s="982"/>
      <c r="G5" s="982"/>
      <c r="H5" s="982"/>
      <c r="I5" s="982"/>
      <c r="J5" s="982"/>
      <c r="K5" s="982"/>
      <c r="L5" s="982"/>
      <c r="O5" s="161"/>
      <c r="P5" s="161"/>
    </row>
    <row r="6" spans="1:19" s="160" customFormat="1" ht="20.399999999999999" customHeight="1">
      <c r="B6" s="158"/>
      <c r="C6" s="158"/>
      <c r="D6" s="158"/>
      <c r="E6" s="158"/>
      <c r="F6" s="158"/>
      <c r="G6" s="158"/>
      <c r="H6" s="158"/>
      <c r="I6" s="158"/>
      <c r="J6" s="158"/>
      <c r="K6" s="158"/>
      <c r="L6" s="158"/>
      <c r="M6" s="158"/>
      <c r="N6" s="158"/>
      <c r="O6" s="158"/>
      <c r="P6" s="158"/>
      <c r="Q6" s="158"/>
      <c r="R6" s="158"/>
      <c r="S6" s="158"/>
    </row>
    <row r="7" spans="1:19" s="160" customFormat="1" ht="15.6">
      <c r="F7" s="159"/>
      <c r="H7" s="162"/>
      <c r="K7" s="159"/>
      <c r="O7" s="161"/>
      <c r="P7" s="161"/>
    </row>
    <row r="8" spans="1:19">
      <c r="J8" s="167" t="s">
        <v>1170</v>
      </c>
    </row>
    <row r="9" spans="1:19" ht="15.6">
      <c r="B9" s="988" t="s">
        <v>481</v>
      </c>
      <c r="C9" s="988"/>
      <c r="D9" s="988"/>
      <c r="E9" s="988"/>
      <c r="F9" s="988"/>
      <c r="G9" s="988"/>
      <c r="H9" s="988"/>
      <c r="I9" s="988"/>
    </row>
    <row r="10" spans="1:19" ht="11.4" customHeight="1">
      <c r="B10" s="991" t="s">
        <v>408</v>
      </c>
      <c r="C10" s="991"/>
      <c r="D10" s="991"/>
      <c r="E10" s="991"/>
      <c r="F10" s="991"/>
      <c r="G10" s="991"/>
      <c r="H10" s="991"/>
      <c r="I10" s="991"/>
      <c r="J10" s="162"/>
    </row>
    <row r="11" spans="1:19" ht="14.4">
      <c r="B11" s="992" t="s">
        <v>1532</v>
      </c>
      <c r="C11" s="992"/>
      <c r="D11" s="992"/>
      <c r="E11" s="992"/>
      <c r="F11" s="992"/>
      <c r="G11" s="992"/>
      <c r="H11" s="992"/>
      <c r="I11" s="992"/>
      <c r="J11" s="162"/>
    </row>
    <row r="12" spans="1:19" ht="14.4">
      <c r="B12" s="724"/>
      <c r="C12" s="724"/>
      <c r="D12" s="162"/>
      <c r="E12" s="162"/>
      <c r="F12" s="162"/>
      <c r="G12" s="162"/>
      <c r="H12" s="162"/>
      <c r="I12" s="162"/>
      <c r="J12" s="162"/>
    </row>
    <row r="13" spans="1:19" ht="14.4">
      <c r="B13" s="725" t="s">
        <v>409</v>
      </c>
      <c r="C13" s="725"/>
      <c r="D13" s="162"/>
      <c r="E13" s="162"/>
      <c r="F13" s="162"/>
      <c r="G13" s="162"/>
      <c r="H13" s="162"/>
      <c r="I13" s="162"/>
      <c r="J13" s="162"/>
    </row>
    <row r="14" spans="1:19" ht="14.4">
      <c r="B14" s="724"/>
      <c r="C14" s="724"/>
      <c r="D14" s="162"/>
      <c r="E14" s="162"/>
      <c r="F14" s="162"/>
      <c r="G14" s="162"/>
      <c r="H14" s="162"/>
      <c r="I14" s="162"/>
      <c r="J14" s="162"/>
    </row>
    <row r="15" spans="1:19" ht="14.4">
      <c r="B15" s="726" t="s">
        <v>410</v>
      </c>
      <c r="C15" s="726"/>
      <c r="D15" s="727" t="s">
        <v>187</v>
      </c>
      <c r="E15" s="162"/>
      <c r="F15" s="162"/>
      <c r="G15" s="162"/>
      <c r="H15" s="162"/>
      <c r="I15" s="162"/>
      <c r="J15" s="162"/>
    </row>
    <row r="16" spans="1:19" ht="14.4">
      <c r="B16" s="726" t="s">
        <v>411</v>
      </c>
      <c r="C16" s="726"/>
      <c r="D16" s="727" t="s">
        <v>412</v>
      </c>
      <c r="E16" s="162"/>
      <c r="F16" s="162"/>
      <c r="G16" s="162"/>
      <c r="H16" s="162"/>
      <c r="I16" s="162"/>
      <c r="J16" s="162"/>
    </row>
    <row r="17" spans="2:10" ht="14.4">
      <c r="B17" s="726" t="s">
        <v>413</v>
      </c>
      <c r="C17" s="726"/>
      <c r="D17" s="728">
        <v>27</v>
      </c>
      <c r="E17" s="162"/>
      <c r="F17" s="162"/>
      <c r="G17" s="162"/>
      <c r="H17" s="162"/>
      <c r="I17" s="162"/>
      <c r="J17" s="162"/>
    </row>
    <row r="18" spans="2:10" ht="14.4">
      <c r="B18" s="726" t="s">
        <v>414</v>
      </c>
      <c r="C18" s="726"/>
      <c r="D18" s="727" t="s">
        <v>415</v>
      </c>
      <c r="E18" s="162"/>
      <c r="F18" s="162"/>
      <c r="G18" s="162"/>
      <c r="H18" s="162"/>
      <c r="I18" s="162"/>
      <c r="J18" s="162"/>
    </row>
    <row r="19" spans="2:10" ht="14.4">
      <c r="B19" s="726" t="s">
        <v>416</v>
      </c>
      <c r="C19" s="726"/>
      <c r="D19" s="727" t="s">
        <v>417</v>
      </c>
      <c r="E19" s="162"/>
      <c r="F19" s="162"/>
      <c r="G19" s="162"/>
      <c r="H19" s="162"/>
      <c r="I19" s="162"/>
      <c r="J19" s="162"/>
    </row>
    <row r="20" spans="2:10" ht="14.4">
      <c r="B20" s="726" t="s">
        <v>418</v>
      </c>
      <c r="C20" s="726"/>
      <c r="D20" s="729" t="s">
        <v>419</v>
      </c>
      <c r="E20" s="162"/>
      <c r="F20" s="162"/>
      <c r="G20" s="162"/>
      <c r="H20" s="162"/>
      <c r="I20" s="162"/>
      <c r="J20" s="162"/>
    </row>
    <row r="21" spans="2:10" ht="14.4">
      <c r="B21" s="726" t="s">
        <v>420</v>
      </c>
      <c r="C21" s="726"/>
      <c r="D21" s="729" t="s">
        <v>476</v>
      </c>
      <c r="E21" s="162"/>
      <c r="F21" s="162"/>
      <c r="G21" s="162"/>
      <c r="H21" s="162"/>
      <c r="I21" s="162"/>
      <c r="J21" s="162"/>
    </row>
    <row r="22" spans="2:10" ht="14.4">
      <c r="B22" s="726" t="s">
        <v>421</v>
      </c>
      <c r="C22" s="726"/>
      <c r="D22" s="727" t="s">
        <v>415</v>
      </c>
      <c r="E22" s="162"/>
      <c r="F22" s="162"/>
      <c r="G22" s="162"/>
      <c r="H22" s="162"/>
      <c r="I22" s="162"/>
      <c r="J22" s="162"/>
    </row>
    <row r="23" spans="2:10" ht="14.4">
      <c r="B23" s="730"/>
      <c r="C23" s="730"/>
      <c r="D23" s="162"/>
      <c r="E23" s="162"/>
      <c r="F23" s="162"/>
      <c r="G23" s="162"/>
      <c r="H23" s="162"/>
      <c r="I23" s="162"/>
      <c r="J23" s="162"/>
    </row>
    <row r="24" spans="2:10" ht="14.4">
      <c r="B24" s="730"/>
      <c r="C24" s="730"/>
      <c r="D24" s="162"/>
      <c r="E24" s="162"/>
      <c r="F24" s="162"/>
      <c r="G24" s="162"/>
      <c r="H24" s="162"/>
      <c r="I24" s="162"/>
      <c r="J24" s="162"/>
    </row>
    <row r="25" spans="2:10" ht="14.4">
      <c r="B25" s="725" t="s">
        <v>422</v>
      </c>
      <c r="C25" s="725"/>
      <c r="D25" s="162"/>
      <c r="E25" s="162"/>
      <c r="F25" s="162"/>
      <c r="G25" s="162"/>
      <c r="H25" s="162"/>
      <c r="I25" s="162"/>
      <c r="J25" s="162"/>
    </row>
    <row r="26" spans="2:10" ht="14.4">
      <c r="B26" s="724"/>
      <c r="C26" s="724"/>
      <c r="D26" s="162"/>
      <c r="E26" s="162"/>
      <c r="F26" s="162"/>
      <c r="G26" s="162"/>
      <c r="H26" s="162"/>
      <c r="I26" s="162"/>
      <c r="J26" s="162"/>
    </row>
    <row r="27" spans="2:10" ht="14.4">
      <c r="B27" s="726" t="s">
        <v>423</v>
      </c>
      <c r="C27" s="726"/>
      <c r="D27" s="727" t="s">
        <v>424</v>
      </c>
      <c r="E27" s="162"/>
      <c r="F27" s="162"/>
      <c r="G27" s="162"/>
      <c r="H27" s="162"/>
      <c r="I27" s="162"/>
      <c r="J27" s="162"/>
    </row>
    <row r="28" spans="2:10" ht="14.4">
      <c r="B28" s="726" t="s">
        <v>425</v>
      </c>
      <c r="C28" s="726"/>
      <c r="D28" s="727" t="s">
        <v>426</v>
      </c>
      <c r="E28" s="162"/>
      <c r="F28" s="162"/>
      <c r="G28" s="162"/>
      <c r="H28" s="162"/>
      <c r="I28" s="162"/>
      <c r="J28" s="162"/>
    </row>
    <row r="29" spans="2:10" ht="14.4">
      <c r="B29" s="726" t="s">
        <v>427</v>
      </c>
      <c r="C29" s="726"/>
      <c r="D29" s="727" t="s">
        <v>469</v>
      </c>
      <c r="E29" s="162"/>
      <c r="F29" s="162"/>
      <c r="G29" s="162"/>
      <c r="H29" s="162"/>
      <c r="I29" s="162"/>
      <c r="J29" s="162"/>
    </row>
    <row r="30" spans="2:10" ht="14.4">
      <c r="B30" s="726" t="s">
        <v>423</v>
      </c>
      <c r="C30" s="726"/>
      <c r="D30" s="727" t="s">
        <v>428</v>
      </c>
      <c r="E30" s="162"/>
      <c r="F30" s="162"/>
      <c r="G30" s="162"/>
      <c r="H30" s="162"/>
      <c r="I30" s="162"/>
      <c r="J30" s="162"/>
    </row>
    <row r="31" spans="2:10">
      <c r="B31" s="726" t="s">
        <v>425</v>
      </c>
      <c r="C31" s="726"/>
      <c r="D31" s="727" t="s">
        <v>429</v>
      </c>
    </row>
    <row r="32" spans="2:10">
      <c r="B32" s="731"/>
    </row>
    <row r="33" spans="2:6">
      <c r="B33" s="732" t="s">
        <v>430</v>
      </c>
      <c r="C33" s="733"/>
    </row>
    <row r="35" spans="2:6">
      <c r="B35" s="993" t="s">
        <v>431</v>
      </c>
      <c r="C35" s="993"/>
      <c r="D35" s="993" t="s">
        <v>432</v>
      </c>
      <c r="E35" s="993"/>
      <c r="F35" s="993"/>
    </row>
    <row r="36" spans="2:6" ht="13.95" customHeight="1">
      <c r="B36" s="995" t="s">
        <v>433</v>
      </c>
      <c r="C36" s="995"/>
      <c r="D36" s="983" t="s">
        <v>434</v>
      </c>
      <c r="E36" s="983"/>
      <c r="F36" s="983"/>
    </row>
    <row r="37" spans="2:6" ht="13.95" customHeight="1">
      <c r="B37" s="995"/>
      <c r="C37" s="995"/>
      <c r="D37" s="983" t="s">
        <v>435</v>
      </c>
      <c r="E37" s="983"/>
      <c r="F37" s="983"/>
    </row>
    <row r="38" spans="2:6" ht="13.95" customHeight="1">
      <c r="B38" s="984" t="s">
        <v>436</v>
      </c>
      <c r="C38" s="984"/>
      <c r="D38" s="984"/>
      <c r="E38" s="984"/>
      <c r="F38" s="984"/>
    </row>
    <row r="39" spans="2:6" ht="15.75" customHeight="1">
      <c r="B39" s="983" t="s">
        <v>107</v>
      </c>
      <c r="C39" s="983"/>
      <c r="D39" s="983" t="s">
        <v>434</v>
      </c>
      <c r="E39" s="983"/>
      <c r="F39" s="983"/>
    </row>
    <row r="40" spans="2:6" ht="15.75" customHeight="1">
      <c r="B40" s="983" t="s">
        <v>265</v>
      </c>
      <c r="C40" s="983"/>
      <c r="D40" s="983" t="s">
        <v>435</v>
      </c>
      <c r="E40" s="983"/>
      <c r="F40" s="983"/>
    </row>
    <row r="41" spans="2:6" ht="15.75" customHeight="1">
      <c r="B41" s="983" t="s">
        <v>437</v>
      </c>
      <c r="C41" s="983"/>
      <c r="D41" s="983" t="s">
        <v>438</v>
      </c>
      <c r="E41" s="983"/>
      <c r="F41" s="983"/>
    </row>
    <row r="42" spans="2:6" ht="15.75" customHeight="1">
      <c r="B42" s="983" t="s">
        <v>439</v>
      </c>
      <c r="C42" s="983"/>
      <c r="D42" s="983" t="s">
        <v>440</v>
      </c>
      <c r="E42" s="983"/>
      <c r="F42" s="983"/>
    </row>
    <row r="43" spans="2:6" ht="15.75" customHeight="1">
      <c r="B43" s="983" t="s">
        <v>441</v>
      </c>
      <c r="C43" s="983"/>
      <c r="D43" s="983" t="s">
        <v>468</v>
      </c>
      <c r="E43" s="983"/>
      <c r="F43" s="983"/>
    </row>
    <row r="44" spans="2:6">
      <c r="B44" s="984" t="s">
        <v>442</v>
      </c>
      <c r="C44" s="984"/>
      <c r="D44" s="984"/>
      <c r="E44" s="984"/>
      <c r="F44" s="984"/>
    </row>
    <row r="45" spans="2:6" ht="15.75" customHeight="1">
      <c r="B45" s="983" t="s">
        <v>443</v>
      </c>
      <c r="C45" s="983"/>
      <c r="D45" s="983" t="s">
        <v>435</v>
      </c>
      <c r="E45" s="985"/>
      <c r="F45" s="975"/>
    </row>
    <row r="46" spans="2:6" ht="15.75" customHeight="1">
      <c r="B46" s="983" t="s">
        <v>528</v>
      </c>
      <c r="C46" s="983"/>
      <c r="D46" s="983" t="s">
        <v>1494</v>
      </c>
      <c r="E46" s="985"/>
      <c r="F46" s="975"/>
    </row>
    <row r="47" spans="2:6" ht="15.75" customHeight="1">
      <c r="B47" s="983" t="s">
        <v>444</v>
      </c>
      <c r="C47" s="983"/>
      <c r="D47" s="983" t="s">
        <v>438</v>
      </c>
      <c r="E47" s="985"/>
      <c r="F47" s="975"/>
    </row>
    <row r="48" spans="2:6" ht="15" customHeight="1">
      <c r="B48" s="983" t="s">
        <v>1208</v>
      </c>
      <c r="C48" s="983"/>
      <c r="D48" s="983" t="s">
        <v>1207</v>
      </c>
      <c r="E48" s="985"/>
      <c r="F48" s="975"/>
    </row>
    <row r="49" spans="2:6" ht="15.75" customHeight="1">
      <c r="B49" s="983" t="s">
        <v>445</v>
      </c>
      <c r="C49" s="983"/>
      <c r="D49" s="983" t="s">
        <v>1209</v>
      </c>
      <c r="E49" s="985"/>
      <c r="F49" s="975"/>
    </row>
    <row r="50" spans="2:6" ht="15.75" customHeight="1">
      <c r="B50" s="983" t="s">
        <v>1210</v>
      </c>
      <c r="C50" s="983"/>
      <c r="D50" s="983" t="s">
        <v>1484</v>
      </c>
      <c r="E50" s="985"/>
      <c r="F50" s="975"/>
    </row>
    <row r="51" spans="2:6" ht="15.75" customHeight="1">
      <c r="B51" s="983" t="s">
        <v>447</v>
      </c>
      <c r="C51" s="983"/>
      <c r="D51" s="983" t="s">
        <v>1485</v>
      </c>
      <c r="E51" s="985"/>
      <c r="F51" s="975"/>
    </row>
    <row r="53" spans="2:6">
      <c r="B53" s="996" t="s">
        <v>449</v>
      </c>
      <c r="C53" s="996"/>
    </row>
    <row r="55" spans="2:6" s="735" customFormat="1">
      <c r="B55" s="734" t="s">
        <v>1533</v>
      </c>
      <c r="C55" s="734"/>
    </row>
    <row r="56" spans="2:6" s="735" customFormat="1">
      <c r="B56" s="734" t="s">
        <v>1476</v>
      </c>
      <c r="C56" s="734"/>
    </row>
    <row r="57" spans="2:6" s="735" customFormat="1">
      <c r="B57" s="734"/>
      <c r="C57" s="734"/>
    </row>
    <row r="58" spans="2:6" s="735" customFormat="1">
      <c r="B58" s="734" t="s">
        <v>1567</v>
      </c>
      <c r="C58" s="734"/>
    </row>
    <row r="59" spans="2:6" s="735" customFormat="1">
      <c r="B59" s="734"/>
      <c r="C59" s="734"/>
    </row>
    <row r="60" spans="2:6" s="735" customFormat="1">
      <c r="B60" s="734" t="s">
        <v>1534</v>
      </c>
      <c r="C60" s="734"/>
    </row>
    <row r="61" spans="2:6" s="735" customFormat="1">
      <c r="B61" s="734"/>
      <c r="C61" s="734"/>
    </row>
    <row r="62" spans="2:6" s="735" customFormat="1">
      <c r="B62" s="961" t="s">
        <v>1840</v>
      </c>
      <c r="C62" s="734"/>
    </row>
    <row r="63" spans="2:6" s="735" customFormat="1">
      <c r="B63" s="734"/>
      <c r="C63" s="734"/>
    </row>
    <row r="65" spans="2:12">
      <c r="B65" s="736" t="s">
        <v>450</v>
      </c>
      <c r="C65" s="736"/>
      <c r="D65" s="737">
        <v>30000000000</v>
      </c>
    </row>
    <row r="66" spans="2:12">
      <c r="B66" s="736" t="s">
        <v>451</v>
      </c>
      <c r="C66" s="736"/>
      <c r="D66" s="737">
        <v>25000000000</v>
      </c>
      <c r="F66" s="738"/>
      <c r="L66" s="739"/>
    </row>
    <row r="67" spans="2:12">
      <c r="B67" s="736" t="s">
        <v>383</v>
      </c>
      <c r="C67" s="736"/>
      <c r="D67" s="737">
        <v>25000000000</v>
      </c>
      <c r="F67" s="738"/>
      <c r="L67" s="739"/>
    </row>
    <row r="68" spans="2:12">
      <c r="B68" s="736" t="s">
        <v>452</v>
      </c>
      <c r="C68" s="736"/>
      <c r="D68" s="737">
        <v>1000000</v>
      </c>
      <c r="F68" s="738"/>
      <c r="L68" s="739"/>
    </row>
    <row r="69" spans="2:12" s="735" customFormat="1">
      <c r="B69" s="785" t="s">
        <v>1568</v>
      </c>
      <c r="D69" s="786">
        <v>4932000000</v>
      </c>
    </row>
    <row r="71" spans="2:12" ht="15" customHeight="1">
      <c r="B71" s="994" t="s">
        <v>453</v>
      </c>
      <c r="C71" s="994"/>
      <c r="D71" s="994"/>
      <c r="E71" s="994"/>
      <c r="F71" s="994"/>
      <c r="G71" s="994"/>
      <c r="H71" s="994"/>
      <c r="I71" s="994"/>
    </row>
    <row r="72" spans="2:12" ht="52.8">
      <c r="B72" s="315" t="s">
        <v>454</v>
      </c>
      <c r="C72" s="315" t="s">
        <v>289</v>
      </c>
      <c r="D72" s="315" t="s">
        <v>455</v>
      </c>
      <c r="E72" s="315" t="s">
        <v>456</v>
      </c>
      <c r="F72" s="315" t="s">
        <v>332</v>
      </c>
      <c r="G72" s="315" t="s">
        <v>457</v>
      </c>
      <c r="H72" s="315" t="s">
        <v>333</v>
      </c>
      <c r="I72" s="315" t="s">
        <v>458</v>
      </c>
    </row>
    <row r="73" spans="2:12">
      <c r="B73" s="1004">
        <v>1</v>
      </c>
      <c r="C73" s="1004" t="s">
        <v>291</v>
      </c>
      <c r="D73" s="740" t="s">
        <v>1206</v>
      </c>
      <c r="E73" s="997">
        <v>24999</v>
      </c>
      <c r="F73" s="1004" t="s">
        <v>459</v>
      </c>
      <c r="G73" s="997">
        <v>24999</v>
      </c>
      <c r="H73" s="1000">
        <v>24999000000</v>
      </c>
      <c r="I73" s="1002">
        <f>+H73/(H75+H73)</f>
        <v>0.99995999999999996</v>
      </c>
    </row>
    <row r="74" spans="2:12">
      <c r="B74" s="1005"/>
      <c r="C74" s="1005"/>
      <c r="D74" s="741" t="s">
        <v>1467</v>
      </c>
      <c r="E74" s="998"/>
      <c r="F74" s="1005"/>
      <c r="G74" s="998"/>
      <c r="H74" s="1001"/>
      <c r="I74" s="1003"/>
    </row>
    <row r="75" spans="2:12">
      <c r="B75" s="742">
        <v>2</v>
      </c>
      <c r="C75" s="742" t="s">
        <v>460</v>
      </c>
      <c r="D75" s="766">
        <v>10000</v>
      </c>
      <c r="E75" s="742">
        <v>1</v>
      </c>
      <c r="F75" s="742" t="s">
        <v>459</v>
      </c>
      <c r="G75" s="742">
        <v>1</v>
      </c>
      <c r="H75" s="743">
        <v>1000000</v>
      </c>
      <c r="I75" s="784">
        <f>+H75/(H75+H73)</f>
        <v>4.0000000000000003E-5</v>
      </c>
    </row>
    <row r="77" spans="2:12" ht="15" customHeight="1">
      <c r="B77" s="994" t="s">
        <v>461</v>
      </c>
      <c r="C77" s="994"/>
      <c r="D77" s="994"/>
      <c r="E77" s="994"/>
      <c r="F77" s="994"/>
      <c r="G77" s="994"/>
      <c r="H77" s="994"/>
      <c r="I77" s="994"/>
    </row>
    <row r="78" spans="2:12" ht="39.6">
      <c r="B78" s="315" t="s">
        <v>454</v>
      </c>
      <c r="C78" s="315" t="s">
        <v>289</v>
      </c>
      <c r="D78" s="315" t="s">
        <v>455</v>
      </c>
      <c r="E78" s="315" t="s">
        <v>456</v>
      </c>
      <c r="F78" s="315" t="s">
        <v>332</v>
      </c>
      <c r="G78" s="315" t="s">
        <v>457</v>
      </c>
      <c r="H78" s="315" t="s">
        <v>333</v>
      </c>
      <c r="I78" s="315" t="s">
        <v>462</v>
      </c>
    </row>
    <row r="79" spans="2:12">
      <c r="B79" s="1004">
        <v>1</v>
      </c>
      <c r="C79" s="1004" t="s">
        <v>291</v>
      </c>
      <c r="D79" s="740" t="s">
        <v>1206</v>
      </c>
      <c r="E79" s="997">
        <v>24999</v>
      </c>
      <c r="F79" s="1004" t="s">
        <v>459</v>
      </c>
      <c r="G79" s="997">
        <v>24999</v>
      </c>
      <c r="H79" s="1000">
        <v>24999000000</v>
      </c>
      <c r="I79" s="1002">
        <f>+H79/(H81+H79)</f>
        <v>0.99995999999999996</v>
      </c>
    </row>
    <row r="80" spans="2:12">
      <c r="B80" s="1005"/>
      <c r="C80" s="1005"/>
      <c r="D80" s="741" t="s">
        <v>1467</v>
      </c>
      <c r="E80" s="998"/>
      <c r="F80" s="1005"/>
      <c r="G80" s="998"/>
      <c r="H80" s="1001"/>
      <c r="I80" s="1003"/>
    </row>
    <row r="81" spans="2:9">
      <c r="B81" s="742">
        <v>2</v>
      </c>
      <c r="C81" s="742" t="s">
        <v>460</v>
      </c>
      <c r="D81" s="766">
        <v>10000</v>
      </c>
      <c r="E81" s="742">
        <v>1</v>
      </c>
      <c r="F81" s="742" t="s">
        <v>459</v>
      </c>
      <c r="G81" s="742">
        <v>1</v>
      </c>
      <c r="H81" s="743">
        <v>1000000</v>
      </c>
      <c r="I81" s="784">
        <v>1E-4</v>
      </c>
    </row>
    <row r="84" spans="2:9">
      <c r="B84" s="744" t="s">
        <v>1456</v>
      </c>
      <c r="C84" s="744"/>
    </row>
    <row r="86" spans="2:9">
      <c r="B86" s="744" t="s">
        <v>1841</v>
      </c>
      <c r="C86" s="744"/>
    </row>
    <row r="87" spans="2:9">
      <c r="B87" s="744" t="s">
        <v>1842</v>
      </c>
      <c r="C87" s="744"/>
    </row>
    <row r="89" spans="2:9">
      <c r="B89" s="744" t="s">
        <v>463</v>
      </c>
      <c r="C89" s="744"/>
    </row>
    <row r="91" spans="2:9" ht="15" customHeight="1">
      <c r="B91" s="986" t="s">
        <v>464</v>
      </c>
      <c r="C91" s="986"/>
      <c r="D91" s="987" t="s">
        <v>465</v>
      </c>
      <c r="E91" s="987"/>
    </row>
    <row r="92" spans="2:9">
      <c r="B92" s="745" t="s">
        <v>291</v>
      </c>
      <c r="C92" s="745"/>
      <c r="D92" s="989" t="s">
        <v>467</v>
      </c>
      <c r="E92" s="990"/>
    </row>
    <row r="93" spans="2:9">
      <c r="B93" s="748" t="s">
        <v>511</v>
      </c>
      <c r="C93" s="749"/>
      <c r="D93" s="989" t="s">
        <v>512</v>
      </c>
      <c r="E93" s="990"/>
    </row>
    <row r="94" spans="2:9">
      <c r="B94" s="745" t="s">
        <v>434</v>
      </c>
      <c r="C94" s="745"/>
      <c r="D94" s="746" t="s">
        <v>107</v>
      </c>
      <c r="E94" s="747"/>
    </row>
    <row r="95" spans="2:9">
      <c r="B95" s="745" t="s">
        <v>435</v>
      </c>
      <c r="C95" s="745"/>
      <c r="D95" s="746" t="s">
        <v>265</v>
      </c>
      <c r="E95" s="747"/>
    </row>
    <row r="96" spans="2:9">
      <c r="B96" s="745" t="s">
        <v>438</v>
      </c>
      <c r="C96" s="745"/>
      <c r="D96" s="746" t="s">
        <v>466</v>
      </c>
      <c r="E96" s="747"/>
    </row>
    <row r="97" spans="2:9">
      <c r="B97" s="745" t="s">
        <v>440</v>
      </c>
      <c r="C97" s="745"/>
      <c r="D97" s="746" t="s">
        <v>54</v>
      </c>
      <c r="E97" s="747"/>
    </row>
    <row r="98" spans="2:9">
      <c r="B98" s="745" t="s">
        <v>468</v>
      </c>
      <c r="C98" s="745"/>
      <c r="D98" s="746" t="s">
        <v>441</v>
      </c>
      <c r="E98" s="747"/>
    </row>
    <row r="99" spans="2:9" ht="15.75" customHeight="1">
      <c r="B99" s="999" t="s">
        <v>1494</v>
      </c>
      <c r="C99" s="999"/>
      <c r="D99" s="746" t="s">
        <v>528</v>
      </c>
      <c r="E99" s="747"/>
    </row>
    <row r="100" spans="2:9" ht="15.75" customHeight="1">
      <c r="B100" s="748" t="s">
        <v>1207</v>
      </c>
      <c r="C100" s="749"/>
      <c r="D100" s="748" t="s">
        <v>1468</v>
      </c>
      <c r="E100" s="749"/>
    </row>
    <row r="101" spans="2:9" ht="15.75" customHeight="1">
      <c r="B101" s="748" t="s">
        <v>1209</v>
      </c>
      <c r="C101" s="749"/>
      <c r="D101" s="748" t="s">
        <v>445</v>
      </c>
      <c r="E101" s="749"/>
    </row>
    <row r="102" spans="2:9" ht="15.75" customHeight="1">
      <c r="B102" s="748" t="s">
        <v>446</v>
      </c>
      <c r="C102" s="749"/>
      <c r="D102" s="748" t="s">
        <v>1210</v>
      </c>
      <c r="E102" s="749"/>
    </row>
    <row r="103" spans="2:9" ht="15.75" customHeight="1">
      <c r="B103" s="748" t="s">
        <v>448</v>
      </c>
      <c r="C103" s="749"/>
      <c r="D103" s="748" t="s">
        <v>447</v>
      </c>
      <c r="E103" s="749"/>
    </row>
    <row r="105" spans="2:9">
      <c r="B105" s="726" t="s">
        <v>1457</v>
      </c>
      <c r="C105" s="726"/>
    </row>
    <row r="106" spans="2:9">
      <c r="B106" s="726" t="s">
        <v>1458</v>
      </c>
      <c r="C106" s="726"/>
    </row>
    <row r="107" spans="2:9">
      <c r="B107" s="750" t="s">
        <v>1490</v>
      </c>
      <c r="C107" s="750"/>
    </row>
    <row r="108" spans="2:9">
      <c r="B108" s="726" t="s">
        <v>1459</v>
      </c>
      <c r="C108" s="726"/>
    </row>
    <row r="109" spans="2:9" ht="14.4" thickBot="1"/>
    <row r="110" spans="2:9" ht="14.4" thickBot="1">
      <c r="B110" s="1006" t="s">
        <v>1477</v>
      </c>
      <c r="C110" s="1007"/>
      <c r="D110" s="1007"/>
      <c r="E110" s="1007"/>
      <c r="F110" s="1007"/>
      <c r="G110" s="1007"/>
      <c r="H110" s="1007"/>
      <c r="I110" s="1008"/>
    </row>
    <row r="111" spans="2:9" ht="14.4" thickBot="1">
      <c r="B111" s="1009" t="s">
        <v>1469</v>
      </c>
      <c r="C111" s="1010"/>
      <c r="D111" s="780" t="s">
        <v>1478</v>
      </c>
      <c r="E111" s="1010" t="s">
        <v>1479</v>
      </c>
      <c r="F111" s="1010"/>
      <c r="G111" s="1010"/>
      <c r="H111" s="1010"/>
      <c r="I111" s="1011"/>
    </row>
    <row r="112" spans="2:9" ht="16.95" customHeight="1" thickBot="1">
      <c r="B112" s="1012" t="s">
        <v>1480</v>
      </c>
      <c r="C112" s="1013"/>
      <c r="D112" s="781">
        <v>0.5887</v>
      </c>
      <c r="E112" s="1014" t="s">
        <v>1481</v>
      </c>
      <c r="F112" s="1015"/>
      <c r="G112" s="1015"/>
      <c r="H112" s="1015"/>
      <c r="I112" s="1016"/>
    </row>
    <row r="113" spans="2:9" ht="45" customHeight="1" thickBot="1">
      <c r="B113" s="978" t="s">
        <v>1482</v>
      </c>
      <c r="C113" s="979"/>
      <c r="D113" s="782">
        <v>0.4113</v>
      </c>
      <c r="E113" s="980" t="s">
        <v>1483</v>
      </c>
      <c r="F113" s="980"/>
      <c r="G113" s="980"/>
      <c r="H113" s="980"/>
      <c r="I113" s="981"/>
    </row>
    <row r="114" spans="2:9" s="767" customFormat="1" ht="13.2"/>
    <row r="115" spans="2:9">
      <c r="C115" s="726"/>
    </row>
    <row r="116" spans="2:9">
      <c r="B116" s="726" t="s">
        <v>1460</v>
      </c>
      <c r="C116" s="726"/>
    </row>
    <row r="117" spans="2:9">
      <c r="B117" s="726" t="s">
        <v>1461</v>
      </c>
      <c r="C117" s="750"/>
    </row>
    <row r="118" spans="2:9">
      <c r="B118" s="750" t="s">
        <v>1845</v>
      </c>
      <c r="C118" s="726"/>
    </row>
    <row r="119" spans="2:9">
      <c r="B119" s="726" t="s">
        <v>1462</v>
      </c>
    </row>
  </sheetData>
  <mergeCells count="66">
    <mergeCell ref="B110:I110"/>
    <mergeCell ref="B111:C111"/>
    <mergeCell ref="E111:I111"/>
    <mergeCell ref="B112:C112"/>
    <mergeCell ref="E112:I112"/>
    <mergeCell ref="B99:C99"/>
    <mergeCell ref="B46:C46"/>
    <mergeCell ref="H73:H74"/>
    <mergeCell ref="I73:I74"/>
    <mergeCell ref="B79:B80"/>
    <mergeCell ref="C79:C80"/>
    <mergeCell ref="E79:E80"/>
    <mergeCell ref="F79:F80"/>
    <mergeCell ref="G79:G80"/>
    <mergeCell ref="H79:H80"/>
    <mergeCell ref="I79:I80"/>
    <mergeCell ref="B73:B74"/>
    <mergeCell ref="C73:C74"/>
    <mergeCell ref="F73:F74"/>
    <mergeCell ref="G73:G74"/>
    <mergeCell ref="D93:E93"/>
    <mergeCell ref="B91:C91"/>
    <mergeCell ref="D91:E91"/>
    <mergeCell ref="B9:I9"/>
    <mergeCell ref="D92:E92"/>
    <mergeCell ref="B10:I10"/>
    <mergeCell ref="B11:I11"/>
    <mergeCell ref="B35:C35"/>
    <mergeCell ref="D35:F35"/>
    <mergeCell ref="B71:I71"/>
    <mergeCell ref="B77:I77"/>
    <mergeCell ref="B36:C37"/>
    <mergeCell ref="B53:C53"/>
    <mergeCell ref="E73:E74"/>
    <mergeCell ref="D36:F36"/>
    <mergeCell ref="D37:F37"/>
    <mergeCell ref="D39:F39"/>
    <mergeCell ref="D40:F40"/>
    <mergeCell ref="D41:F41"/>
    <mergeCell ref="B38:F38"/>
    <mergeCell ref="D45:E45"/>
    <mergeCell ref="D46:E46"/>
    <mergeCell ref="D48:E48"/>
    <mergeCell ref="D49:E49"/>
    <mergeCell ref="D50:E50"/>
    <mergeCell ref="B51:C51"/>
    <mergeCell ref="B50:C50"/>
    <mergeCell ref="B48:C48"/>
    <mergeCell ref="B49:C49"/>
    <mergeCell ref="D51:E51"/>
    <mergeCell ref="B113:C113"/>
    <mergeCell ref="E113:I113"/>
    <mergeCell ref="B3:L3"/>
    <mergeCell ref="B4:L4"/>
    <mergeCell ref="B5:L5"/>
    <mergeCell ref="B47:C47"/>
    <mergeCell ref="B45:C45"/>
    <mergeCell ref="B39:C39"/>
    <mergeCell ref="B40:C40"/>
    <mergeCell ref="B41:C41"/>
    <mergeCell ref="B42:C42"/>
    <mergeCell ref="B43:C43"/>
    <mergeCell ref="B44:F44"/>
    <mergeCell ref="D42:F42"/>
    <mergeCell ref="D43:F43"/>
    <mergeCell ref="D47:E47"/>
  </mergeCells>
  <hyperlinks>
    <hyperlink ref="D21" r:id="rId1" xr:uid="{00000000-0004-0000-0100-000000000000}"/>
    <hyperlink ref="J8" location="INDICE!A1" display="Índice" xr:uid="{C65AC89A-E0A9-4E38-A1E6-85FE94EA86AA}"/>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107"/>
  <sheetViews>
    <sheetView showGridLines="0" tabSelected="1" zoomScale="70" zoomScaleNormal="70" zoomScaleSheetLayoutView="80" workbookViewId="0">
      <pane ySplit="16" topLeftCell="A88" activePane="bottomLeft" state="frozen"/>
      <selection pane="bottomLeft" activeCell="H99" sqref="H99"/>
    </sheetView>
  </sheetViews>
  <sheetFormatPr baseColWidth="10" defaultColWidth="11.44140625" defaultRowHeight="15.6"/>
  <cols>
    <col min="1" max="1" width="1.44140625" style="175" customWidth="1"/>
    <col min="2" max="2" width="62.88671875" style="175" customWidth="1"/>
    <col min="3" max="3" width="11.109375" style="175" customWidth="1"/>
    <col min="4" max="4" width="22" style="175" bestFit="1" customWidth="1"/>
    <col min="5" max="5" width="2" style="175" customWidth="1"/>
    <col min="6" max="6" width="22" style="176" bestFit="1" customWidth="1"/>
    <col min="7" max="7" width="0.6640625" style="160" customWidth="1"/>
    <col min="8" max="8" width="63" style="175" customWidth="1"/>
    <col min="9" max="9" width="11.109375" style="175" customWidth="1"/>
    <col min="10" max="10" width="22" style="175" bestFit="1" customWidth="1"/>
    <col min="11" max="11" width="2.33203125" style="176" customWidth="1"/>
    <col min="12" max="12" width="22" style="175" bestFit="1" customWidth="1"/>
    <col min="13" max="13" width="2.5546875" style="175" customWidth="1"/>
    <col min="14" max="14" width="17.6640625" style="175" customWidth="1"/>
    <col min="15" max="15" width="16.6640625" style="177" customWidth="1"/>
    <col min="16" max="16" width="18.88671875" style="177" bestFit="1" customWidth="1"/>
    <col min="17" max="17" width="13.5546875" style="175" bestFit="1" customWidth="1"/>
    <col min="18" max="16384" width="11.44140625" style="175"/>
  </cols>
  <sheetData>
    <row r="1" spans="2:16" s="160" customFormat="1" ht="10.199999999999999" customHeight="1">
      <c r="B1" s="159"/>
      <c r="C1" s="159"/>
      <c r="D1" s="159"/>
      <c r="E1" s="159"/>
      <c r="F1" s="159"/>
      <c r="G1" s="159"/>
      <c r="H1" s="159"/>
      <c r="I1" s="159"/>
      <c r="J1" s="159"/>
      <c r="K1" s="159"/>
      <c r="L1" s="159"/>
      <c r="O1" s="161"/>
      <c r="P1" s="161"/>
    </row>
    <row r="2" spans="2:16" s="160" customFormat="1" ht="20.399999999999999" customHeight="1">
      <c r="B2" s="722"/>
      <c r="C2" s="722"/>
      <c r="D2" s="722"/>
      <c r="E2" s="722"/>
      <c r="F2" s="722"/>
      <c r="G2" s="722"/>
      <c r="H2" s="722"/>
      <c r="I2" s="722"/>
      <c r="J2" s="722"/>
      <c r="K2" s="722"/>
      <c r="L2" s="722"/>
      <c r="M2" s="722"/>
      <c r="N2" s="722"/>
      <c r="O2" s="722"/>
      <c r="P2" s="161"/>
    </row>
    <row r="3" spans="2:16" s="160" customFormat="1" ht="18">
      <c r="B3" s="982"/>
      <c r="C3" s="982"/>
      <c r="D3" s="982"/>
      <c r="E3" s="982"/>
      <c r="F3" s="982"/>
      <c r="G3" s="982"/>
      <c r="H3" s="982"/>
      <c r="I3" s="982"/>
      <c r="J3" s="982"/>
      <c r="K3" s="982"/>
      <c r="L3" s="982"/>
      <c r="O3" s="161"/>
      <c r="P3" s="161"/>
    </row>
    <row r="4" spans="2:16" s="160" customFormat="1" ht="18">
      <c r="B4" s="982"/>
      <c r="C4" s="982"/>
      <c r="D4" s="982"/>
      <c r="E4" s="982"/>
      <c r="F4" s="982"/>
      <c r="G4" s="982"/>
      <c r="H4" s="982"/>
      <c r="I4" s="982"/>
      <c r="J4" s="982"/>
      <c r="K4" s="982"/>
      <c r="L4" s="982"/>
      <c r="O4" s="161"/>
      <c r="P4" s="161"/>
    </row>
    <row r="5" spans="2:16" s="160" customFormat="1" ht="18">
      <c r="B5" s="982"/>
      <c r="C5" s="982"/>
      <c r="D5" s="982"/>
      <c r="E5" s="982"/>
      <c r="F5" s="982"/>
      <c r="G5" s="982"/>
      <c r="H5" s="982"/>
      <c r="I5" s="982"/>
      <c r="J5" s="982"/>
      <c r="K5" s="982"/>
      <c r="L5" s="982"/>
      <c r="O5" s="161"/>
      <c r="P5" s="161"/>
    </row>
    <row r="6" spans="2:16" s="160" customFormat="1" ht="18.600000000000001" customHeight="1">
      <c r="B6" s="982"/>
      <c r="C6" s="982"/>
      <c r="D6" s="982"/>
      <c r="E6" s="982"/>
      <c r="F6" s="982"/>
      <c r="G6" s="982"/>
      <c r="H6" s="982"/>
      <c r="I6" s="982"/>
      <c r="J6" s="982"/>
      <c r="K6" s="982"/>
      <c r="L6" s="982"/>
      <c r="O6" s="161"/>
      <c r="P6" s="161"/>
    </row>
    <row r="7" spans="2:16" s="160" customFormat="1" ht="20.399999999999999" customHeight="1">
      <c r="B7" s="158"/>
      <c r="C7" s="158"/>
      <c r="D7" s="158"/>
      <c r="E7" s="158"/>
      <c r="F7" s="158"/>
      <c r="G7" s="158"/>
      <c r="H7" s="158"/>
      <c r="I7" s="158"/>
      <c r="J7" s="158"/>
      <c r="K7" s="158"/>
      <c r="L7" s="158"/>
      <c r="M7" s="158"/>
      <c r="N7" s="158"/>
      <c r="O7" s="158"/>
      <c r="P7" s="161"/>
    </row>
    <row r="8" spans="2:16" s="160" customFormat="1" ht="18.600000000000001" customHeight="1">
      <c r="B8" s="152"/>
      <c r="C8" s="152"/>
      <c r="D8" s="152"/>
      <c r="E8" s="152"/>
      <c r="F8" s="152"/>
      <c r="G8" s="152"/>
      <c r="H8" s="152"/>
      <c r="I8" s="152"/>
      <c r="J8" s="152"/>
      <c r="K8" s="152"/>
      <c r="L8" s="152"/>
      <c r="O8" s="161"/>
      <c r="P8" s="161"/>
    </row>
    <row r="9" spans="2:16" s="160" customFormat="1">
      <c r="F9" s="159"/>
      <c r="H9" s="162"/>
      <c r="K9" s="159"/>
      <c r="O9" s="161"/>
      <c r="P9" s="161"/>
    </row>
    <row r="10" spans="2:16" s="168" customFormat="1" ht="19.2">
      <c r="B10" s="153" t="s">
        <v>481</v>
      </c>
      <c r="C10" s="164"/>
      <c r="D10" s="163"/>
      <c r="E10" s="163"/>
      <c r="F10" s="165"/>
      <c r="G10" s="166"/>
      <c r="H10" s="163"/>
      <c r="I10" s="163"/>
      <c r="J10" s="163"/>
      <c r="K10" s="165"/>
      <c r="L10" s="167" t="s">
        <v>1170</v>
      </c>
      <c r="M10" s="163"/>
      <c r="O10" s="169"/>
      <c r="P10" s="169"/>
    </row>
    <row r="11" spans="2:16" s="168" customFormat="1" ht="16.8">
      <c r="B11" s="231" t="s">
        <v>485</v>
      </c>
      <c r="C11" s="171"/>
      <c r="D11" s="170"/>
      <c r="E11" s="170"/>
      <c r="F11" s="170"/>
      <c r="G11" s="170"/>
      <c r="H11" s="170"/>
      <c r="I11" s="170"/>
      <c r="J11" s="170"/>
      <c r="K11" s="170"/>
      <c r="L11" s="170"/>
      <c r="O11" s="169"/>
      <c r="P11" s="169"/>
    </row>
    <row r="12" spans="2:16" s="168" customFormat="1" ht="16.8">
      <c r="B12" s="231" t="s">
        <v>1535</v>
      </c>
      <c r="C12" s="171"/>
      <c r="D12" s="170"/>
      <c r="E12" s="170"/>
      <c r="F12" s="170"/>
      <c r="G12" s="170"/>
      <c r="H12" s="170"/>
      <c r="I12" s="170"/>
      <c r="J12" s="170"/>
      <c r="K12" s="170"/>
      <c r="L12" s="170"/>
      <c r="O12" s="169"/>
      <c r="P12" s="169"/>
    </row>
    <row r="13" spans="2:16" s="168" customFormat="1">
      <c r="B13" s="172" t="s">
        <v>486</v>
      </c>
      <c r="C13" s="172"/>
      <c r="D13" s="172"/>
      <c r="E13" s="172"/>
      <c r="F13" s="173"/>
      <c r="G13" s="174"/>
      <c r="H13" s="172"/>
      <c r="I13" s="172"/>
      <c r="J13" s="172"/>
      <c r="K13" s="173"/>
      <c r="L13" s="172"/>
      <c r="O13" s="169"/>
      <c r="P13" s="169"/>
    </row>
    <row r="14" spans="2:16" ht="9.6" customHeight="1"/>
    <row r="15" spans="2:16" ht="9.6" customHeight="1">
      <c r="G15" s="178"/>
    </row>
    <row r="16" spans="2:16" ht="18">
      <c r="B16" s="179" t="s">
        <v>3</v>
      </c>
      <c r="C16" s="190"/>
      <c r="D16" s="191">
        <v>44742</v>
      </c>
      <c r="E16" s="191"/>
      <c r="F16" s="191">
        <v>44561</v>
      </c>
      <c r="G16" s="192"/>
      <c r="H16" s="179" t="s">
        <v>8</v>
      </c>
      <c r="I16" s="180"/>
      <c r="J16" s="191">
        <v>44742</v>
      </c>
      <c r="K16" s="191"/>
      <c r="L16" s="191">
        <v>44561</v>
      </c>
    </row>
    <row r="17" spans="2:16" ht="18">
      <c r="B17" s="193" t="s">
        <v>4</v>
      </c>
      <c r="C17" s="765"/>
      <c r="D17" s="195"/>
      <c r="E17" s="195"/>
      <c r="F17" s="196"/>
      <c r="G17" s="192"/>
      <c r="H17" s="197" t="s">
        <v>9</v>
      </c>
      <c r="I17" s="197"/>
      <c r="J17" s="198"/>
      <c r="K17" s="198"/>
      <c r="L17" s="195"/>
      <c r="O17" s="175"/>
      <c r="P17" s="175"/>
    </row>
    <row r="18" spans="2:16" ht="18">
      <c r="B18" s="193" t="s">
        <v>259</v>
      </c>
      <c r="C18" s="763" t="s">
        <v>559</v>
      </c>
      <c r="D18" s="199">
        <v>1350719970</v>
      </c>
      <c r="E18" s="199"/>
      <c r="F18" s="199">
        <v>2889773997</v>
      </c>
      <c r="G18" s="192"/>
      <c r="H18" s="197" t="s">
        <v>80</v>
      </c>
      <c r="I18" s="755"/>
      <c r="J18" s="199">
        <v>811925238</v>
      </c>
      <c r="K18" s="199"/>
      <c r="L18" s="199">
        <v>400495800</v>
      </c>
      <c r="O18" s="175"/>
      <c r="P18" s="175"/>
    </row>
    <row r="19" spans="2:16" ht="18">
      <c r="B19" s="200" t="s">
        <v>15</v>
      </c>
      <c r="C19" s="765"/>
      <c r="D19" s="201">
        <v>0</v>
      </c>
      <c r="E19" s="201"/>
      <c r="F19" s="201">
        <v>0</v>
      </c>
      <c r="G19" s="202"/>
      <c r="H19" s="203" t="s">
        <v>606</v>
      </c>
      <c r="I19" s="756" t="s">
        <v>588</v>
      </c>
      <c r="J19" s="201">
        <v>596517673</v>
      </c>
      <c r="K19" s="201"/>
      <c r="L19" s="201">
        <v>147957960</v>
      </c>
      <c r="O19" s="181"/>
      <c r="P19" s="181"/>
    </row>
    <row r="20" spans="2:16" ht="18">
      <c r="B20" s="200" t="s">
        <v>560</v>
      </c>
      <c r="C20" s="765"/>
      <c r="D20" s="201">
        <v>0</v>
      </c>
      <c r="E20" s="201"/>
      <c r="F20" s="201">
        <v>0</v>
      </c>
      <c r="G20" s="202"/>
      <c r="H20" s="203" t="s">
        <v>275</v>
      </c>
      <c r="I20" s="756" t="s">
        <v>589</v>
      </c>
      <c r="J20" s="201">
        <v>202466846</v>
      </c>
      <c r="K20" s="201"/>
      <c r="L20" s="201">
        <v>248478737</v>
      </c>
      <c r="O20" s="181"/>
      <c r="P20" s="181"/>
    </row>
    <row r="21" spans="2:16" ht="18">
      <c r="B21" s="200" t="s">
        <v>16</v>
      </c>
      <c r="C21" s="765"/>
      <c r="D21" s="201">
        <v>1350719970</v>
      </c>
      <c r="E21" s="201"/>
      <c r="F21" s="201">
        <v>2889773997</v>
      </c>
      <c r="G21" s="202"/>
      <c r="H21" s="203" t="s">
        <v>1273</v>
      </c>
      <c r="I21" s="756" t="s">
        <v>1463</v>
      </c>
      <c r="J21" s="201">
        <v>12940719</v>
      </c>
      <c r="K21" s="201"/>
      <c r="L21" s="201">
        <v>4059103</v>
      </c>
      <c r="O21" s="181"/>
      <c r="P21" s="181"/>
    </row>
    <row r="22" spans="2:16" ht="18">
      <c r="B22" s="200"/>
      <c r="C22" s="765"/>
      <c r="D22" s="201"/>
      <c r="E22" s="201"/>
      <c r="F22" s="201"/>
      <c r="G22" s="202"/>
      <c r="H22" s="203" t="s">
        <v>212</v>
      </c>
      <c r="I22" s="756"/>
      <c r="J22" s="201">
        <v>0</v>
      </c>
      <c r="K22" s="204"/>
      <c r="L22" s="201">
        <v>0</v>
      </c>
      <c r="O22" s="175"/>
      <c r="P22" s="181"/>
    </row>
    <row r="23" spans="2:16" ht="18">
      <c r="B23" s="193" t="s">
        <v>140</v>
      </c>
      <c r="C23" s="763" t="s">
        <v>570</v>
      </c>
      <c r="D23" s="199">
        <v>187761109906</v>
      </c>
      <c r="E23" s="199"/>
      <c r="F23" s="199">
        <v>87224765301</v>
      </c>
      <c r="G23" s="192"/>
      <c r="H23" s="203" t="s">
        <v>81</v>
      </c>
      <c r="I23" s="756"/>
      <c r="J23" s="201">
        <v>0</v>
      </c>
      <c r="K23" s="204"/>
      <c r="L23" s="201">
        <v>0</v>
      </c>
      <c r="O23" s="175"/>
      <c r="P23" s="181"/>
    </row>
    <row r="24" spans="2:16" ht="18">
      <c r="B24" s="200" t="s">
        <v>484</v>
      </c>
      <c r="C24" s="765"/>
      <c r="D24" s="201">
        <v>0</v>
      </c>
      <c r="E24" s="201"/>
      <c r="F24" s="201">
        <v>0</v>
      </c>
      <c r="G24" s="202"/>
      <c r="H24" s="200"/>
      <c r="I24" s="757"/>
      <c r="J24" s="201"/>
      <c r="K24" s="201"/>
      <c r="L24" s="201"/>
      <c r="O24" s="175"/>
      <c r="P24" s="175"/>
    </row>
    <row r="25" spans="2:16" ht="18">
      <c r="B25" s="200" t="s">
        <v>83</v>
      </c>
      <c r="C25" s="765"/>
      <c r="D25" s="201">
        <v>28587976021</v>
      </c>
      <c r="E25" s="201"/>
      <c r="F25" s="201">
        <v>15972022950</v>
      </c>
      <c r="G25" s="202"/>
      <c r="H25" s="200"/>
      <c r="I25" s="757"/>
      <c r="J25" s="201"/>
      <c r="K25" s="201"/>
      <c r="L25" s="201"/>
      <c r="O25" s="181"/>
      <c r="P25" s="181"/>
    </row>
    <row r="26" spans="2:16" ht="18">
      <c r="B26" s="200" t="s">
        <v>483</v>
      </c>
      <c r="C26" s="763"/>
      <c r="D26" s="201">
        <v>159173133885</v>
      </c>
      <c r="E26" s="201"/>
      <c r="F26" s="201">
        <v>71252742351</v>
      </c>
      <c r="G26" s="202"/>
      <c r="H26" s="197" t="s">
        <v>213</v>
      </c>
      <c r="I26" s="756" t="s">
        <v>586</v>
      </c>
      <c r="J26" s="199">
        <v>13436558606</v>
      </c>
      <c r="K26" s="199"/>
      <c r="L26" s="199">
        <v>1848050034</v>
      </c>
      <c r="N26" s="950"/>
      <c r="O26" s="181"/>
      <c r="P26" s="181"/>
    </row>
    <row r="27" spans="2:16" ht="18">
      <c r="B27" s="200" t="s">
        <v>82</v>
      </c>
      <c r="C27" s="765"/>
      <c r="D27" s="201">
        <v>0</v>
      </c>
      <c r="E27" s="201"/>
      <c r="F27" s="201">
        <v>0</v>
      </c>
      <c r="G27" s="202"/>
      <c r="H27" s="203" t="s">
        <v>607</v>
      </c>
      <c r="I27" s="756"/>
      <c r="J27" s="201">
        <v>13436558606</v>
      </c>
      <c r="K27" s="201"/>
      <c r="L27" s="201">
        <v>1848050034</v>
      </c>
      <c r="O27" s="181"/>
      <c r="P27" s="181"/>
    </row>
    <row r="28" spans="2:16" ht="18">
      <c r="B28" s="200"/>
      <c r="C28" s="765"/>
      <c r="D28" s="201"/>
      <c r="E28" s="201"/>
      <c r="F28" s="201"/>
      <c r="G28" s="202"/>
      <c r="H28" s="203" t="s">
        <v>532</v>
      </c>
      <c r="I28" s="756"/>
      <c r="J28" s="201">
        <v>0</v>
      </c>
      <c r="K28" s="201"/>
      <c r="L28" s="201">
        <v>0</v>
      </c>
      <c r="O28" s="181"/>
      <c r="P28" s="181"/>
    </row>
    <row r="29" spans="2:16" ht="18">
      <c r="B29" s="200"/>
      <c r="C29" s="765"/>
      <c r="D29" s="201"/>
      <c r="E29" s="201"/>
      <c r="F29" s="201"/>
      <c r="G29" s="202"/>
      <c r="H29" s="205"/>
      <c r="I29" s="758"/>
      <c r="J29" s="205"/>
      <c r="K29" s="195"/>
      <c r="L29" s="205"/>
      <c r="O29" s="181"/>
      <c r="P29" s="181"/>
    </row>
    <row r="30" spans="2:16" ht="18">
      <c r="B30" s="200"/>
      <c r="C30" s="765"/>
      <c r="D30" s="201"/>
      <c r="E30" s="201"/>
      <c r="F30" s="201"/>
      <c r="G30" s="202"/>
      <c r="H30" s="197" t="s">
        <v>590</v>
      </c>
      <c r="I30" s="756" t="s">
        <v>591</v>
      </c>
      <c r="J30" s="199">
        <v>212790995</v>
      </c>
      <c r="K30" s="199"/>
      <c r="L30" s="199">
        <v>241513713</v>
      </c>
      <c r="O30" s="175"/>
      <c r="P30" s="175"/>
    </row>
    <row r="31" spans="2:16" ht="18">
      <c r="B31" s="193" t="s">
        <v>850</v>
      </c>
      <c r="C31" s="765"/>
      <c r="D31" s="199">
        <v>32779411</v>
      </c>
      <c r="E31" s="199"/>
      <c r="F31" s="199">
        <v>1584860254</v>
      </c>
      <c r="G31" s="202"/>
      <c r="H31" s="203" t="s">
        <v>84</v>
      </c>
      <c r="I31" s="758"/>
      <c r="J31" s="201">
        <v>135316207</v>
      </c>
      <c r="K31" s="195"/>
      <c r="L31" s="201">
        <v>152286289</v>
      </c>
      <c r="O31" s="175"/>
      <c r="P31" s="175"/>
    </row>
    <row r="32" spans="2:16" ht="18">
      <c r="B32" s="200" t="s">
        <v>17</v>
      </c>
      <c r="C32" s="763" t="s">
        <v>572</v>
      </c>
      <c r="D32" s="201">
        <v>11403462</v>
      </c>
      <c r="E32" s="201"/>
      <c r="F32" s="201">
        <v>73016363</v>
      </c>
      <c r="G32" s="192"/>
      <c r="H32" s="203" t="s">
        <v>85</v>
      </c>
      <c r="I32" s="759"/>
      <c r="J32" s="201">
        <v>5061518</v>
      </c>
      <c r="K32" s="201"/>
      <c r="L32" s="201">
        <v>9036062</v>
      </c>
      <c r="O32" s="175"/>
      <c r="P32" s="175"/>
    </row>
    <row r="33" spans="2:17" ht="18">
      <c r="B33" s="200" t="s">
        <v>86</v>
      </c>
      <c r="C33" s="763" t="s">
        <v>573</v>
      </c>
      <c r="D33" s="201">
        <v>8139019</v>
      </c>
      <c r="E33" s="201"/>
      <c r="F33" s="201">
        <v>1509567151</v>
      </c>
      <c r="G33" s="202"/>
      <c r="H33" s="203" t="s">
        <v>32</v>
      </c>
      <c r="I33" s="758"/>
      <c r="J33" s="201">
        <v>6</v>
      </c>
      <c r="K33" s="195"/>
      <c r="L33" s="201">
        <v>16334400</v>
      </c>
      <c r="O33" s="181"/>
      <c r="P33" s="181"/>
    </row>
    <row r="34" spans="2:17" ht="18">
      <c r="B34" s="200" t="s">
        <v>87</v>
      </c>
      <c r="C34" s="763"/>
      <c r="D34" s="201">
        <v>0</v>
      </c>
      <c r="E34" s="201"/>
      <c r="F34" s="201">
        <v>0</v>
      </c>
      <c r="G34" s="202"/>
      <c r="H34" s="203" t="s">
        <v>156</v>
      </c>
      <c r="I34" s="759"/>
      <c r="J34" s="201">
        <v>72413264</v>
      </c>
      <c r="K34" s="201"/>
      <c r="L34" s="201">
        <v>63856962</v>
      </c>
      <c r="O34" s="181"/>
      <c r="P34" s="181"/>
    </row>
    <row r="35" spans="2:17" ht="18">
      <c r="B35" s="200" t="s">
        <v>209</v>
      </c>
      <c r="C35" s="765"/>
      <c r="D35" s="201">
        <v>0</v>
      </c>
      <c r="E35" s="201"/>
      <c r="F35" s="201">
        <v>0</v>
      </c>
      <c r="G35" s="202"/>
      <c r="H35" s="203"/>
      <c r="I35" s="759"/>
      <c r="J35" s="201"/>
      <c r="K35" s="201"/>
      <c r="L35" s="201"/>
      <c r="O35" s="181"/>
      <c r="P35" s="181"/>
    </row>
    <row r="36" spans="2:17" ht="18">
      <c r="B36" s="200" t="s">
        <v>18</v>
      </c>
      <c r="C36" s="763" t="s">
        <v>576</v>
      </c>
      <c r="D36" s="201">
        <v>13236930</v>
      </c>
      <c r="E36" s="201"/>
      <c r="F36" s="201">
        <v>2276740</v>
      </c>
      <c r="G36" s="202"/>
      <c r="H36" s="197" t="s">
        <v>25</v>
      </c>
      <c r="I36" s="755"/>
      <c r="J36" s="199">
        <v>155358703515</v>
      </c>
      <c r="K36" s="199"/>
      <c r="L36" s="199">
        <v>68959033628</v>
      </c>
      <c r="O36" s="182"/>
      <c r="P36" s="181"/>
    </row>
    <row r="37" spans="2:17" ht="18">
      <c r="B37" s="200" t="s">
        <v>88</v>
      </c>
      <c r="C37" s="765"/>
      <c r="D37" s="201"/>
      <c r="E37" s="201"/>
      <c r="F37" s="201"/>
      <c r="G37" s="202"/>
      <c r="H37" s="203" t="s">
        <v>91</v>
      </c>
      <c r="I37" s="759"/>
      <c r="J37" s="201">
        <v>0</v>
      </c>
      <c r="K37" s="201"/>
      <c r="L37" s="201">
        <v>0</v>
      </c>
      <c r="O37" s="182"/>
      <c r="P37" s="175"/>
    </row>
    <row r="38" spans="2:17" ht="18">
      <c r="B38" s="200" t="s">
        <v>210</v>
      </c>
      <c r="C38" s="765"/>
      <c r="D38" s="201">
        <v>0</v>
      </c>
      <c r="E38" s="201"/>
      <c r="F38" s="201">
        <v>0</v>
      </c>
      <c r="G38" s="202"/>
      <c r="H38" s="203" t="s">
        <v>214</v>
      </c>
      <c r="I38" s="759"/>
      <c r="J38" s="201">
        <v>0</v>
      </c>
      <c r="K38" s="201"/>
      <c r="L38" s="201">
        <v>0</v>
      </c>
      <c r="O38" s="182"/>
      <c r="P38" s="175"/>
    </row>
    <row r="39" spans="2:17" ht="18">
      <c r="B39" s="200" t="s">
        <v>575</v>
      </c>
      <c r="C39" s="763" t="s">
        <v>574</v>
      </c>
      <c r="D39" s="201">
        <v>0</v>
      </c>
      <c r="E39" s="201"/>
      <c r="F39" s="201">
        <v>0</v>
      </c>
      <c r="G39" s="202"/>
      <c r="H39" s="203" t="s">
        <v>608</v>
      </c>
      <c r="I39" s="756" t="s">
        <v>597</v>
      </c>
      <c r="J39" s="201">
        <v>818456992</v>
      </c>
      <c r="K39" s="201"/>
      <c r="L39" s="201">
        <v>854597575</v>
      </c>
      <c r="O39" s="182"/>
      <c r="P39" s="175"/>
    </row>
    <row r="40" spans="2:17" ht="18">
      <c r="B40" s="200"/>
      <c r="C40" s="765"/>
      <c r="D40" s="201"/>
      <c r="E40" s="201"/>
      <c r="F40" s="201"/>
      <c r="G40" s="202"/>
      <c r="H40" s="203" t="s">
        <v>522</v>
      </c>
      <c r="I40" s="756"/>
      <c r="J40" s="201">
        <v>154540246523</v>
      </c>
      <c r="K40" s="201"/>
      <c r="L40" s="201">
        <v>68104436053</v>
      </c>
      <c r="O40" s="182"/>
      <c r="P40" s="175"/>
    </row>
    <row r="41" spans="2:17" ht="18">
      <c r="B41" s="200"/>
      <c r="C41" s="765"/>
      <c r="D41" s="201"/>
      <c r="E41" s="201"/>
      <c r="F41" s="201"/>
      <c r="G41" s="202"/>
      <c r="H41" s="203"/>
      <c r="I41" s="756"/>
      <c r="J41" s="201"/>
      <c r="K41" s="201"/>
      <c r="L41" s="201"/>
      <c r="O41" s="182"/>
      <c r="P41" s="175"/>
    </row>
    <row r="42" spans="2:17" ht="18">
      <c r="B42" s="193" t="s">
        <v>90</v>
      </c>
      <c r="C42" s="763" t="s">
        <v>1465</v>
      </c>
      <c r="D42" s="199">
        <v>325491417</v>
      </c>
      <c r="E42" s="199"/>
      <c r="F42" s="199">
        <v>292361268</v>
      </c>
      <c r="G42" s="202"/>
      <c r="H42" s="197" t="s">
        <v>26</v>
      </c>
      <c r="I42" s="755"/>
      <c r="J42" s="199">
        <v>169819978354</v>
      </c>
      <c r="K42" s="199"/>
      <c r="L42" s="199">
        <v>71449093175</v>
      </c>
      <c r="O42" s="182"/>
      <c r="P42" s="175"/>
    </row>
    <row r="43" spans="2:17" ht="18">
      <c r="B43" s="200" t="s">
        <v>604</v>
      </c>
      <c r="C43" s="763"/>
      <c r="D43" s="201">
        <v>325491417</v>
      </c>
      <c r="E43" s="201"/>
      <c r="F43" s="201">
        <v>292361268</v>
      </c>
      <c r="G43" s="202"/>
      <c r="H43" s="203"/>
      <c r="I43" s="759"/>
      <c r="J43" s="201"/>
      <c r="K43" s="201"/>
      <c r="L43" s="201"/>
      <c r="O43" s="182"/>
      <c r="P43" s="175"/>
    </row>
    <row r="44" spans="2:17" ht="18">
      <c r="B44" s="205"/>
      <c r="C44" s="764"/>
      <c r="D44" s="205"/>
      <c r="E44" s="205"/>
      <c r="F44" s="205"/>
      <c r="G44" s="192"/>
      <c r="H44" s="193" t="s">
        <v>96</v>
      </c>
      <c r="I44" s="760"/>
      <c r="J44" s="201"/>
      <c r="K44" s="201"/>
      <c r="L44" s="201"/>
      <c r="O44" s="182"/>
      <c r="P44" s="181"/>
      <c r="Q44" s="181"/>
    </row>
    <row r="45" spans="2:17" ht="18">
      <c r="B45" s="200"/>
      <c r="C45" s="765"/>
      <c r="D45" s="201"/>
      <c r="E45" s="201"/>
      <c r="F45" s="201"/>
      <c r="G45" s="202"/>
      <c r="H45" s="193" t="s">
        <v>97</v>
      </c>
      <c r="I45" s="760"/>
      <c r="J45" s="201">
        <v>0</v>
      </c>
      <c r="K45" s="201"/>
      <c r="L45" s="201">
        <v>0</v>
      </c>
      <c r="O45" s="181"/>
      <c r="P45" s="181"/>
    </row>
    <row r="46" spans="2:17" ht="18">
      <c r="B46" s="193" t="s">
        <v>19</v>
      </c>
      <c r="C46" s="765"/>
      <c r="D46" s="199">
        <v>189470100704</v>
      </c>
      <c r="E46" s="199"/>
      <c r="F46" s="199">
        <v>91991760820</v>
      </c>
      <c r="G46" s="202"/>
      <c r="H46" s="206" t="s">
        <v>212</v>
      </c>
      <c r="I46" s="761"/>
      <c r="J46" s="201">
        <v>0</v>
      </c>
      <c r="K46" s="201"/>
      <c r="L46" s="201">
        <v>0</v>
      </c>
      <c r="O46" s="181"/>
      <c r="P46" s="181"/>
    </row>
    <row r="47" spans="2:17" ht="18">
      <c r="B47" s="200"/>
      <c r="C47" s="765"/>
      <c r="D47" s="201"/>
      <c r="E47" s="201"/>
      <c r="F47" s="201"/>
      <c r="G47" s="202"/>
      <c r="H47" s="206" t="s">
        <v>225</v>
      </c>
      <c r="I47" s="761"/>
      <c r="J47" s="201">
        <v>0</v>
      </c>
      <c r="K47" s="201"/>
      <c r="L47" s="201">
        <v>0</v>
      </c>
      <c r="O47" s="181"/>
      <c r="P47" s="175"/>
    </row>
    <row r="48" spans="2:17" ht="18">
      <c r="B48" s="193" t="s">
        <v>7</v>
      </c>
      <c r="C48" s="765"/>
      <c r="D48" s="201"/>
      <c r="E48" s="201"/>
      <c r="F48" s="201"/>
      <c r="G48" s="202"/>
      <c r="H48" s="206" t="s">
        <v>81</v>
      </c>
      <c r="I48" s="761"/>
      <c r="J48" s="201">
        <v>0</v>
      </c>
      <c r="K48" s="201"/>
      <c r="L48" s="201">
        <v>0</v>
      </c>
      <c r="O48" s="181"/>
      <c r="P48" s="175"/>
    </row>
    <row r="49" spans="2:16" ht="18">
      <c r="B49" s="193" t="s">
        <v>605</v>
      </c>
      <c r="C49" s="763" t="s">
        <v>570</v>
      </c>
      <c r="D49" s="199">
        <v>9353158107</v>
      </c>
      <c r="E49" s="199"/>
      <c r="F49" s="199">
        <v>7946406868</v>
      </c>
      <c r="G49" s="192"/>
      <c r="H49" s="206" t="s">
        <v>98</v>
      </c>
      <c r="I49" s="761"/>
      <c r="J49" s="201"/>
      <c r="K49" s="201"/>
      <c r="L49" s="201"/>
      <c r="O49" s="175"/>
      <c r="P49" s="175"/>
    </row>
    <row r="50" spans="2:16" ht="18">
      <c r="B50" s="200" t="s">
        <v>524</v>
      </c>
      <c r="C50" s="765"/>
      <c r="D50" s="201">
        <v>8453158107</v>
      </c>
      <c r="E50" s="201"/>
      <c r="F50" s="201">
        <v>7046406868</v>
      </c>
      <c r="G50" s="202"/>
      <c r="H50" s="206" t="s">
        <v>211</v>
      </c>
      <c r="I50" s="761"/>
      <c r="J50" s="201">
        <v>0</v>
      </c>
      <c r="K50" s="201"/>
      <c r="L50" s="201">
        <v>0</v>
      </c>
      <c r="O50" s="175"/>
      <c r="P50" s="175"/>
    </row>
    <row r="51" spans="2:16" ht="18">
      <c r="B51" s="200" t="s">
        <v>83</v>
      </c>
      <c r="C51" s="765"/>
      <c r="D51" s="201">
        <v>0</v>
      </c>
      <c r="E51" s="201"/>
      <c r="F51" s="201">
        <v>0</v>
      </c>
      <c r="G51" s="202"/>
      <c r="H51" s="206" t="s">
        <v>99</v>
      </c>
      <c r="I51" s="761"/>
      <c r="J51" s="201">
        <v>0</v>
      </c>
      <c r="K51" s="201"/>
      <c r="L51" s="201">
        <v>0</v>
      </c>
      <c r="O51" s="175"/>
      <c r="P51" s="175"/>
    </row>
    <row r="52" spans="2:16" ht="18">
      <c r="B52" s="200" t="s">
        <v>73</v>
      </c>
      <c r="C52" s="765"/>
      <c r="D52" s="201">
        <v>900000000</v>
      </c>
      <c r="E52" s="201"/>
      <c r="F52" s="201">
        <v>900000000</v>
      </c>
      <c r="G52" s="192"/>
      <c r="H52" s="206"/>
      <c r="I52" s="761"/>
      <c r="J52" s="201"/>
      <c r="K52" s="201"/>
      <c r="L52" s="201"/>
      <c r="O52" s="175"/>
      <c r="P52" s="175"/>
    </row>
    <row r="53" spans="2:16" ht="18">
      <c r="B53" s="200" t="s">
        <v>82</v>
      </c>
      <c r="C53" s="765"/>
      <c r="D53" s="201">
        <v>0</v>
      </c>
      <c r="E53" s="201"/>
      <c r="F53" s="201">
        <v>0</v>
      </c>
      <c r="G53" s="202"/>
      <c r="H53" s="193" t="s">
        <v>224</v>
      </c>
      <c r="I53" s="760"/>
      <c r="J53" s="199">
        <v>0</v>
      </c>
      <c r="K53" s="199"/>
      <c r="L53" s="201">
        <v>0</v>
      </c>
      <c r="O53" s="181"/>
      <c r="P53" s="175"/>
    </row>
    <row r="54" spans="2:16" ht="18">
      <c r="B54" s="200"/>
      <c r="C54" s="765"/>
      <c r="D54" s="201"/>
      <c r="E54" s="201"/>
      <c r="F54" s="201"/>
      <c r="G54" s="202"/>
      <c r="H54" s="206" t="s">
        <v>100</v>
      </c>
      <c r="I54" s="761"/>
      <c r="J54" s="201">
        <v>0</v>
      </c>
      <c r="K54" s="201"/>
      <c r="L54" s="201">
        <v>0</v>
      </c>
      <c r="O54" s="181"/>
      <c r="P54" s="175"/>
    </row>
    <row r="55" spans="2:16" ht="18">
      <c r="B55" s="193" t="s">
        <v>220</v>
      </c>
      <c r="C55" s="765"/>
      <c r="D55" s="199">
        <v>0</v>
      </c>
      <c r="E55" s="199"/>
      <c r="F55" s="201">
        <v>0</v>
      </c>
      <c r="G55" s="202"/>
      <c r="H55" s="206" t="s">
        <v>276</v>
      </c>
      <c r="I55" s="761"/>
      <c r="J55" s="201">
        <v>0</v>
      </c>
      <c r="K55" s="201"/>
      <c r="L55" s="201">
        <v>0</v>
      </c>
      <c r="O55" s="181"/>
      <c r="P55" s="175"/>
    </row>
    <row r="56" spans="2:16" ht="18">
      <c r="B56" s="200" t="s">
        <v>92</v>
      </c>
      <c r="C56" s="765"/>
      <c r="D56" s="201">
        <v>0</v>
      </c>
      <c r="E56" s="201"/>
      <c r="F56" s="201">
        <v>0</v>
      </c>
      <c r="G56" s="202"/>
      <c r="H56" s="206"/>
      <c r="I56" s="761"/>
      <c r="J56" s="201"/>
      <c r="K56" s="201"/>
      <c r="L56" s="201"/>
      <c r="O56" s="181"/>
      <c r="P56" s="175"/>
    </row>
    <row r="57" spans="2:16" ht="18">
      <c r="B57" s="200" t="s">
        <v>192</v>
      </c>
      <c r="C57" s="765"/>
      <c r="D57" s="201">
        <v>0</v>
      </c>
      <c r="E57" s="201"/>
      <c r="F57" s="201">
        <v>0</v>
      </c>
      <c r="G57" s="202"/>
      <c r="H57" s="193" t="s">
        <v>223</v>
      </c>
      <c r="I57" s="760"/>
      <c r="J57" s="199">
        <v>0</v>
      </c>
      <c r="K57" s="199"/>
      <c r="L57" s="201">
        <v>0</v>
      </c>
      <c r="O57" s="175"/>
      <c r="P57" s="175"/>
    </row>
    <row r="58" spans="2:16" ht="18">
      <c r="B58" s="200" t="s">
        <v>93</v>
      </c>
      <c r="C58" s="765"/>
      <c r="D58" s="201">
        <v>0</v>
      </c>
      <c r="E58" s="201"/>
      <c r="F58" s="201">
        <v>0</v>
      </c>
      <c r="G58" s="192"/>
      <c r="H58" s="206" t="s">
        <v>101</v>
      </c>
      <c r="I58" s="761"/>
      <c r="J58" s="201">
        <v>0</v>
      </c>
      <c r="K58" s="201"/>
      <c r="L58" s="201">
        <v>0</v>
      </c>
      <c r="O58" s="175"/>
      <c r="P58" s="175"/>
    </row>
    <row r="59" spans="2:16" ht="18">
      <c r="B59" s="200" t="s">
        <v>215</v>
      </c>
      <c r="C59" s="765"/>
      <c r="D59" s="201">
        <v>0</v>
      </c>
      <c r="E59" s="201"/>
      <c r="F59" s="201">
        <v>0</v>
      </c>
      <c r="G59" s="202"/>
      <c r="H59" s="206" t="s">
        <v>222</v>
      </c>
      <c r="I59" s="761"/>
      <c r="J59" s="201">
        <v>0</v>
      </c>
      <c r="K59" s="201"/>
      <c r="L59" s="201">
        <v>0</v>
      </c>
      <c r="O59" s="175"/>
      <c r="P59" s="175"/>
    </row>
    <row r="60" spans="2:16" ht="18">
      <c r="B60" s="200" t="s">
        <v>278</v>
      </c>
      <c r="C60" s="765"/>
      <c r="D60" s="201">
        <v>0</v>
      </c>
      <c r="E60" s="201"/>
      <c r="F60" s="201">
        <v>0</v>
      </c>
      <c r="G60" s="202"/>
      <c r="H60" s="206" t="s">
        <v>221</v>
      </c>
      <c r="I60" s="761"/>
      <c r="J60" s="201">
        <v>0</v>
      </c>
      <c r="K60" s="201"/>
      <c r="L60" s="201">
        <v>0</v>
      </c>
      <c r="O60" s="175"/>
      <c r="P60" s="175"/>
    </row>
    <row r="61" spans="2:16" ht="18">
      <c r="B61" s="200" t="s">
        <v>88</v>
      </c>
      <c r="C61" s="765"/>
      <c r="D61" s="201"/>
      <c r="E61" s="201"/>
      <c r="F61" s="201"/>
      <c r="G61" s="202"/>
      <c r="H61" s="197" t="s">
        <v>102</v>
      </c>
      <c r="I61" s="755"/>
      <c r="J61" s="199">
        <v>0</v>
      </c>
      <c r="K61" s="199"/>
      <c r="L61" s="201">
        <v>0</v>
      </c>
      <c r="O61" s="175"/>
      <c r="P61" s="175"/>
    </row>
    <row r="62" spans="2:16" ht="18">
      <c r="B62" s="200" t="s">
        <v>216</v>
      </c>
      <c r="C62" s="765"/>
      <c r="D62" s="201">
        <v>0</v>
      </c>
      <c r="E62" s="201"/>
      <c r="F62" s="201">
        <v>0</v>
      </c>
      <c r="G62" s="202"/>
      <c r="H62" s="197" t="s">
        <v>27</v>
      </c>
      <c r="I62" s="755"/>
      <c r="J62" s="199">
        <v>169819978354</v>
      </c>
      <c r="K62" s="199"/>
      <c r="L62" s="199">
        <v>71449093175</v>
      </c>
      <c r="O62" s="175"/>
      <c r="P62" s="175"/>
    </row>
    <row r="63" spans="2:16" ht="18">
      <c r="B63" s="200" t="s">
        <v>89</v>
      </c>
      <c r="C63" s="765"/>
      <c r="D63" s="201">
        <v>0</v>
      </c>
      <c r="E63" s="201"/>
      <c r="F63" s="201">
        <v>0</v>
      </c>
      <c r="G63" s="202"/>
      <c r="H63" s="200"/>
      <c r="I63" s="757"/>
      <c r="J63" s="201"/>
      <c r="K63" s="201"/>
      <c r="L63" s="201"/>
      <c r="O63" s="175"/>
      <c r="P63" s="175"/>
    </row>
    <row r="64" spans="2:16" ht="18">
      <c r="B64" s="200"/>
      <c r="C64" s="765"/>
      <c r="D64" s="201"/>
      <c r="E64" s="201"/>
      <c r="F64" s="201"/>
      <c r="G64" s="202"/>
      <c r="H64" s="197" t="s">
        <v>22</v>
      </c>
      <c r="I64" s="755"/>
      <c r="J64" s="201"/>
      <c r="K64" s="201"/>
      <c r="L64" s="201"/>
      <c r="O64" s="175"/>
      <c r="P64" s="175"/>
    </row>
    <row r="65" spans="2:16" ht="36">
      <c r="B65" s="193" t="s">
        <v>1270</v>
      </c>
      <c r="C65" s="763" t="s">
        <v>1466</v>
      </c>
      <c r="D65" s="199">
        <v>1157964391</v>
      </c>
      <c r="E65" s="199"/>
      <c r="F65" s="199">
        <v>1045579988</v>
      </c>
      <c r="G65" s="202"/>
      <c r="H65" s="207" t="s">
        <v>28</v>
      </c>
      <c r="I65" s="762" t="s">
        <v>1464</v>
      </c>
      <c r="J65" s="199">
        <v>30963356600</v>
      </c>
      <c r="K65" s="199"/>
      <c r="L65" s="199">
        <v>30343385024</v>
      </c>
      <c r="O65" s="175"/>
      <c r="P65" s="175"/>
    </row>
    <row r="66" spans="2:16" ht="18">
      <c r="B66" s="200" t="s">
        <v>1271</v>
      </c>
      <c r="C66" s="763"/>
      <c r="D66" s="201">
        <v>-99777440</v>
      </c>
      <c r="E66" s="199"/>
      <c r="F66" s="199">
        <v>-10541588</v>
      </c>
      <c r="G66" s="202"/>
      <c r="H66" s="207"/>
      <c r="I66" s="754"/>
      <c r="J66" s="199"/>
      <c r="K66" s="199"/>
      <c r="L66" s="199"/>
      <c r="O66" s="175"/>
      <c r="P66" s="175"/>
    </row>
    <row r="67" spans="2:16" ht="18">
      <c r="B67" s="195"/>
      <c r="C67" s="765"/>
      <c r="D67" s="195"/>
      <c r="E67" s="195"/>
      <c r="F67" s="195"/>
      <c r="G67" s="202"/>
      <c r="H67" s="200"/>
      <c r="I67" s="752"/>
      <c r="J67" s="201"/>
      <c r="K67" s="201"/>
      <c r="L67" s="201"/>
      <c r="O67" s="175"/>
      <c r="P67" s="175"/>
    </row>
    <row r="68" spans="2:16" ht="18">
      <c r="B68" s="193" t="s">
        <v>582</v>
      </c>
      <c r="C68" s="765" t="s">
        <v>583</v>
      </c>
      <c r="D68" s="199">
        <v>889514274</v>
      </c>
      <c r="E68" s="199"/>
      <c r="F68" s="199">
        <v>806897193</v>
      </c>
      <c r="G68" s="202"/>
      <c r="H68" s="200"/>
      <c r="I68" s="752"/>
      <c r="J68" s="201"/>
      <c r="K68" s="201"/>
      <c r="L68" s="201"/>
      <c r="O68" s="175"/>
      <c r="P68" s="175"/>
    </row>
    <row r="69" spans="2:16" ht="18">
      <c r="B69" s="200" t="s">
        <v>94</v>
      </c>
      <c r="C69" s="763"/>
      <c r="D69" s="201">
        <v>424253188</v>
      </c>
      <c r="E69" s="201"/>
      <c r="F69" s="201">
        <v>345173952</v>
      </c>
      <c r="G69" s="192"/>
      <c r="H69" s="197"/>
      <c r="I69" s="751"/>
      <c r="J69" s="201"/>
      <c r="K69" s="201"/>
      <c r="L69" s="201"/>
      <c r="O69" s="175"/>
      <c r="P69" s="175"/>
    </row>
    <row r="70" spans="2:16" ht="18">
      <c r="B70" s="200" t="s">
        <v>95</v>
      </c>
      <c r="C70" s="763"/>
      <c r="D70" s="201">
        <v>8000000</v>
      </c>
      <c r="E70" s="201"/>
      <c r="F70" s="201">
        <v>8000000</v>
      </c>
      <c r="G70" s="202"/>
      <c r="H70" s="208"/>
      <c r="I70" s="753"/>
      <c r="J70" s="201"/>
      <c r="K70" s="201"/>
      <c r="L70" s="201"/>
      <c r="O70" s="175"/>
      <c r="P70" s="175"/>
    </row>
    <row r="71" spans="2:16" ht="18">
      <c r="B71" s="200" t="s">
        <v>263</v>
      </c>
      <c r="C71" s="763"/>
      <c r="D71" s="201">
        <v>57764419</v>
      </c>
      <c r="E71" s="201"/>
      <c r="F71" s="201">
        <v>57764419</v>
      </c>
      <c r="G71" s="202"/>
      <c r="H71" s="208"/>
      <c r="I71" s="753"/>
      <c r="J71" s="201"/>
      <c r="K71" s="201"/>
      <c r="L71" s="201"/>
      <c r="O71" s="175"/>
      <c r="P71" s="175"/>
    </row>
    <row r="72" spans="2:16" ht="18">
      <c r="B72" s="200" t="s">
        <v>721</v>
      </c>
      <c r="C72" s="763"/>
      <c r="D72" s="201">
        <v>847571064</v>
      </c>
      <c r="E72" s="201"/>
      <c r="F72" s="201">
        <v>736036747</v>
      </c>
      <c r="G72" s="202"/>
      <c r="H72" s="208"/>
      <c r="I72" s="753"/>
      <c r="J72" s="201"/>
      <c r="K72" s="201"/>
      <c r="L72" s="201"/>
      <c r="O72" s="175"/>
      <c r="P72" s="175"/>
    </row>
    <row r="73" spans="2:16" ht="18">
      <c r="B73" s="200" t="s">
        <v>1272</v>
      </c>
      <c r="C73" s="763"/>
      <c r="D73" s="201">
        <v>-448074397</v>
      </c>
      <c r="E73" s="201"/>
      <c r="F73" s="201">
        <v>-340077925</v>
      </c>
      <c r="G73" s="202"/>
      <c r="H73" s="208"/>
      <c r="I73" s="753"/>
      <c r="J73" s="201"/>
      <c r="K73" s="201"/>
      <c r="L73" s="201"/>
      <c r="O73" s="175"/>
      <c r="P73" s="175"/>
    </row>
    <row r="74" spans="2:16" ht="18">
      <c r="B74" s="200"/>
      <c r="C74" s="765"/>
      <c r="D74" s="201"/>
      <c r="E74" s="201"/>
      <c r="F74" s="201"/>
      <c r="G74" s="202"/>
      <c r="H74" s="208"/>
      <c r="I74" s="753"/>
      <c r="J74" s="201"/>
      <c r="K74" s="201"/>
      <c r="L74" s="201"/>
      <c r="O74" s="175"/>
      <c r="P74" s="175"/>
    </row>
    <row r="75" spans="2:16" ht="18">
      <c r="B75" s="193" t="s">
        <v>1202</v>
      </c>
      <c r="C75" s="763" t="s">
        <v>1465</v>
      </c>
      <c r="D75" s="199">
        <v>12374918</v>
      </c>
      <c r="E75" s="199"/>
      <c r="F75" s="199">
        <v>12374918</v>
      </c>
      <c r="G75" s="202"/>
      <c r="H75" s="208"/>
      <c r="I75" s="753"/>
      <c r="J75" s="201"/>
      <c r="K75" s="201"/>
      <c r="L75" s="201"/>
      <c r="O75" s="175"/>
      <c r="P75" s="175"/>
    </row>
    <row r="76" spans="2:16" ht="18">
      <c r="B76" s="200" t="s">
        <v>1203</v>
      </c>
      <c r="C76" s="763"/>
      <c r="D76" s="201">
        <v>12374918</v>
      </c>
      <c r="E76" s="201"/>
      <c r="F76" s="201">
        <v>12374918</v>
      </c>
      <c r="G76" s="202"/>
      <c r="H76" s="208"/>
      <c r="I76" s="753"/>
      <c r="J76" s="201"/>
      <c r="K76" s="201"/>
      <c r="L76" s="201"/>
      <c r="O76" s="175"/>
      <c r="P76" s="175"/>
    </row>
    <row r="77" spans="2:16" ht="18">
      <c r="B77" s="200"/>
      <c r="C77" s="765"/>
      <c r="D77" s="201"/>
      <c r="E77" s="201"/>
      <c r="F77" s="201"/>
      <c r="G77" s="202"/>
      <c r="H77" s="208"/>
      <c r="I77" s="753"/>
      <c r="J77" s="201"/>
      <c r="K77" s="201"/>
      <c r="L77" s="201"/>
      <c r="O77" s="175"/>
      <c r="P77" s="175"/>
    </row>
    <row r="78" spans="2:16" ht="18">
      <c r="B78" s="193" t="s">
        <v>23</v>
      </c>
      <c r="C78" s="765"/>
      <c r="D78" s="199">
        <v>11313234250</v>
      </c>
      <c r="E78" s="199"/>
      <c r="F78" s="199">
        <v>9800717379</v>
      </c>
      <c r="G78" s="202"/>
      <c r="H78" s="208"/>
      <c r="I78" s="753"/>
      <c r="J78" s="201"/>
      <c r="K78" s="201"/>
      <c r="L78" s="201"/>
      <c r="O78" s="175"/>
      <c r="P78" s="175"/>
    </row>
    <row r="79" spans="2:16" ht="18">
      <c r="B79" s="193"/>
      <c r="C79" s="194"/>
      <c r="D79" s="199"/>
      <c r="E79" s="199"/>
      <c r="F79" s="199"/>
      <c r="G79" s="192"/>
      <c r="H79" s="195"/>
      <c r="I79" s="752"/>
      <c r="J79" s="201"/>
      <c r="K79" s="201"/>
      <c r="L79" s="201"/>
      <c r="O79" s="175"/>
      <c r="P79" s="175"/>
    </row>
    <row r="80" spans="2:16" ht="18">
      <c r="B80" s="193" t="s">
        <v>24</v>
      </c>
      <c r="C80" s="194"/>
      <c r="D80" s="199">
        <v>200783334954</v>
      </c>
      <c r="E80" s="199"/>
      <c r="F80" s="199">
        <v>101792478199</v>
      </c>
      <c r="G80" s="192"/>
      <c r="H80" s="197" t="s">
        <v>29</v>
      </c>
      <c r="I80" s="751"/>
      <c r="J80" s="199">
        <v>200783334954</v>
      </c>
      <c r="K80" s="199"/>
      <c r="L80" s="199">
        <v>101792478199</v>
      </c>
      <c r="N80" s="183">
        <v>0</v>
      </c>
      <c r="O80" s="183">
        <v>0</v>
      </c>
      <c r="P80" s="175"/>
    </row>
    <row r="81" spans="2:16" ht="18">
      <c r="B81" s="193"/>
      <c r="C81" s="194"/>
      <c r="D81" s="199"/>
      <c r="E81" s="199"/>
      <c r="F81" s="199"/>
      <c r="G81" s="192"/>
      <c r="H81" s="195"/>
      <c r="I81" s="752"/>
      <c r="J81" s="209"/>
      <c r="K81" s="209"/>
      <c r="L81" s="195"/>
      <c r="N81" s="183"/>
      <c r="O81" s="183"/>
      <c r="P81" s="175"/>
    </row>
    <row r="82" spans="2:16" ht="18">
      <c r="B82" s="210"/>
      <c r="C82" s="210"/>
      <c r="D82" s="211"/>
      <c r="E82" s="211"/>
      <c r="F82" s="212"/>
      <c r="G82" s="213"/>
      <c r="H82" s="210"/>
      <c r="I82" s="210"/>
      <c r="J82" s="210"/>
      <c r="K82" s="214"/>
      <c r="L82" s="210"/>
      <c r="N82" s="184"/>
      <c r="O82" s="184"/>
      <c r="P82" s="175"/>
    </row>
    <row r="83" spans="2:16" ht="18">
      <c r="B83" s="215" t="s">
        <v>549</v>
      </c>
      <c r="C83" s="216"/>
      <c r="D83" s="216"/>
      <c r="E83" s="216"/>
      <c r="F83" s="217"/>
      <c r="G83" s="216"/>
      <c r="H83" s="210"/>
      <c r="I83" s="210"/>
      <c r="J83" s="210"/>
      <c r="K83" s="214"/>
      <c r="L83" s="210"/>
      <c r="O83" s="175"/>
      <c r="P83" s="175"/>
    </row>
    <row r="84" spans="2:16" ht="18">
      <c r="B84" s="210"/>
      <c r="C84" s="210"/>
      <c r="D84" s="210"/>
      <c r="E84" s="210"/>
      <c r="F84" s="214"/>
      <c r="G84" s="218"/>
      <c r="H84" s="210"/>
      <c r="I84" s="210"/>
      <c r="J84" s="210"/>
      <c r="K84" s="214"/>
      <c r="L84" s="210"/>
      <c r="O84" s="175"/>
      <c r="P84" s="175"/>
    </row>
    <row r="85" spans="2:16" ht="18">
      <c r="B85" s="219" t="s">
        <v>3</v>
      </c>
      <c r="C85" s="190"/>
      <c r="D85" s="191">
        <v>44742</v>
      </c>
      <c r="E85" s="191"/>
      <c r="F85" s="191">
        <v>44561</v>
      </c>
      <c r="G85" s="220"/>
      <c r="H85" s="219" t="s">
        <v>8</v>
      </c>
      <c r="I85" s="219"/>
      <c r="J85" s="191">
        <v>44742</v>
      </c>
      <c r="K85" s="191"/>
      <c r="L85" s="191">
        <v>44561</v>
      </c>
      <c r="O85" s="175"/>
      <c r="P85" s="175"/>
    </row>
    <row r="86" spans="2:16" ht="18">
      <c r="B86" s="200" t="s">
        <v>103</v>
      </c>
      <c r="C86" s="195"/>
      <c r="D86" s="222">
        <v>497283364136</v>
      </c>
      <c r="E86" s="196"/>
      <c r="F86" s="221">
        <v>1153596897526.0789</v>
      </c>
      <c r="G86" s="220"/>
      <c r="H86" s="200" t="s">
        <v>105</v>
      </c>
      <c r="I86" s="195"/>
      <c r="J86" s="221">
        <v>497283364136</v>
      </c>
      <c r="K86" s="196"/>
      <c r="L86" s="221">
        <v>1153596897526.0789</v>
      </c>
      <c r="N86" s="160"/>
      <c r="O86" s="175"/>
      <c r="P86" s="175"/>
    </row>
    <row r="87" spans="2:16" ht="18">
      <c r="B87" s="200" t="s">
        <v>104</v>
      </c>
      <c r="C87" s="195"/>
      <c r="D87" s="222">
        <v>0</v>
      </c>
      <c r="E87" s="222"/>
      <c r="F87" s="222">
        <v>0</v>
      </c>
      <c r="G87" s="220"/>
      <c r="H87" s="200" t="s">
        <v>106</v>
      </c>
      <c r="I87" s="195"/>
      <c r="J87" s="222">
        <v>0</v>
      </c>
      <c r="K87" s="222"/>
      <c r="L87" s="222">
        <v>0</v>
      </c>
      <c r="O87" s="175"/>
      <c r="P87" s="175"/>
    </row>
    <row r="88" spans="2:16" ht="18">
      <c r="B88" s="210"/>
      <c r="C88" s="210"/>
      <c r="D88" s="210"/>
      <c r="E88" s="210"/>
      <c r="F88" s="214"/>
      <c r="G88" s="220"/>
      <c r="H88" s="210"/>
      <c r="I88" s="210"/>
      <c r="J88" s="211"/>
      <c r="K88" s="212"/>
      <c r="L88" s="210"/>
      <c r="O88" s="175"/>
      <c r="P88" s="175"/>
    </row>
    <row r="89" spans="2:16" ht="18">
      <c r="B89" s="210"/>
      <c r="C89" s="210"/>
      <c r="D89" s="210"/>
      <c r="E89" s="210"/>
      <c r="F89" s="214"/>
      <c r="G89" s="220"/>
      <c r="H89" s="210"/>
      <c r="I89" s="210"/>
      <c r="J89" s="211"/>
      <c r="K89" s="212"/>
      <c r="L89" s="210"/>
      <c r="O89" s="175"/>
      <c r="P89" s="175"/>
    </row>
    <row r="90" spans="2:16" ht="18">
      <c r="B90" s="223" t="s">
        <v>279</v>
      </c>
      <c r="C90" s="223"/>
      <c r="D90" s="210"/>
      <c r="E90" s="210"/>
      <c r="F90" s="214"/>
      <c r="G90" s="218"/>
      <c r="H90" s="210"/>
      <c r="I90" s="210"/>
      <c r="J90" s="224"/>
      <c r="K90" s="225"/>
      <c r="L90" s="210"/>
      <c r="O90" s="175"/>
      <c r="P90" s="175"/>
    </row>
    <row r="91" spans="2:16" ht="18">
      <c r="B91" s="223"/>
      <c r="C91" s="223"/>
      <c r="D91" s="210"/>
      <c r="E91" s="210"/>
      <c r="F91" s="882"/>
      <c r="G91" s="218"/>
      <c r="H91" s="210"/>
      <c r="I91" s="210"/>
      <c r="J91" s="224"/>
      <c r="K91" s="225"/>
      <c r="L91" s="210"/>
      <c r="O91" s="175"/>
      <c r="P91" s="175"/>
    </row>
    <row r="92" spans="2:16" ht="18">
      <c r="B92" s="223"/>
      <c r="C92" s="223"/>
      <c r="D92" s="210"/>
      <c r="E92" s="210"/>
      <c r="F92" s="214"/>
      <c r="G92" s="218"/>
      <c r="H92" s="210"/>
      <c r="I92" s="210"/>
      <c r="J92" s="224"/>
      <c r="K92" s="225"/>
      <c r="L92" s="210"/>
      <c r="O92" s="175"/>
      <c r="P92" s="175"/>
    </row>
    <row r="93" spans="2:16" ht="18">
      <c r="B93" s="226"/>
      <c r="C93" s="227"/>
      <c r="D93" s="226"/>
      <c r="E93" s="226"/>
      <c r="F93" s="228"/>
      <c r="G93" s="226"/>
      <c r="H93" s="226"/>
      <c r="I93" s="226"/>
      <c r="J93" s="226"/>
      <c r="K93" s="228"/>
      <c r="L93" s="226"/>
      <c r="O93" s="175"/>
      <c r="P93" s="175"/>
    </row>
    <row r="94" spans="2:16" s="186" customFormat="1" ht="18">
      <c r="B94" s="717" t="s">
        <v>266</v>
      </c>
      <c r="C94" s="276"/>
      <c r="E94" s="276"/>
      <c r="F94" s="587"/>
      <c r="H94" s="717"/>
      <c r="J94" s="229"/>
      <c r="K94" s="718" t="s">
        <v>488</v>
      </c>
    </row>
    <row r="95" spans="2:16" s="187" customFormat="1" ht="18">
      <c r="B95" s="719" t="s">
        <v>1846</v>
      </c>
      <c r="C95" s="276"/>
      <c r="E95" s="276"/>
      <c r="F95" s="720"/>
      <c r="H95" s="719"/>
      <c r="J95" s="230"/>
      <c r="K95" s="719" t="s">
        <v>264</v>
      </c>
    </row>
    <row r="96" spans="2:16" ht="4.5" customHeight="1">
      <c r="B96" s="185"/>
      <c r="C96" s="185"/>
      <c r="O96" s="175"/>
      <c r="P96" s="175"/>
    </row>
    <row r="97" spans="2:16">
      <c r="B97" s="185"/>
      <c r="C97" s="185"/>
      <c r="O97" s="175"/>
      <c r="P97" s="175"/>
    </row>
    <row r="98" spans="2:16">
      <c r="B98" s="185"/>
      <c r="C98" s="185"/>
      <c r="O98" s="175"/>
      <c r="P98" s="175"/>
    </row>
    <row r="99" spans="2:16">
      <c r="F99" s="188"/>
      <c r="G99" s="189"/>
      <c r="O99" s="175"/>
      <c r="P99" s="175"/>
    </row>
    <row r="100" spans="2:16">
      <c r="O100" s="175"/>
      <c r="P100" s="175"/>
    </row>
    <row r="101" spans="2:16">
      <c r="O101" s="175"/>
      <c r="P101" s="175"/>
    </row>
    <row r="102" spans="2:16">
      <c r="O102" s="175"/>
      <c r="P102" s="175"/>
    </row>
    <row r="103" spans="2:16">
      <c r="B103" s="794"/>
    </row>
    <row r="104" spans="2:16">
      <c r="B104" s="795"/>
    </row>
    <row r="105" spans="2:16">
      <c r="B105" s="796"/>
    </row>
    <row r="106" spans="2:16">
      <c r="B106" s="797"/>
    </row>
    <row r="107" spans="2:16">
      <c r="B107" s="794"/>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4">
    <mergeCell ref="B3:L3"/>
    <mergeCell ref="B4:L4"/>
    <mergeCell ref="B5:L5"/>
    <mergeCell ref="B6:L6"/>
  </mergeCells>
  <hyperlinks>
    <hyperlink ref="L10"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40" orientation="portrait" r:id="rId5"/>
  <colBreaks count="1" manualBreakCount="1">
    <brk id="12"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rgb="FF0070C0"/>
    <pageSetUpPr fitToPage="1"/>
  </sheetPr>
  <dimension ref="B1:Q110"/>
  <sheetViews>
    <sheetView showGridLines="0" zoomScale="70" zoomScaleNormal="70" zoomScaleSheetLayoutView="90" workbookViewId="0">
      <pane ySplit="15" topLeftCell="A82" activePane="bottomLeft" state="frozen"/>
      <selection activeCell="G31" sqref="G31"/>
      <selection pane="bottomLeft" activeCell="B100" sqref="B100"/>
    </sheetView>
  </sheetViews>
  <sheetFormatPr baseColWidth="10" defaultColWidth="11.44140625" defaultRowHeight="18"/>
  <cols>
    <col min="1" max="1" width="2.6640625" style="256" customWidth="1"/>
    <col min="2" max="2" width="63.6640625" style="256" customWidth="1"/>
    <col min="3" max="3" width="8.88671875" style="256" customWidth="1"/>
    <col min="4" max="5" width="13.5546875" style="256" customWidth="1"/>
    <col min="6" max="7" width="18.6640625" style="867" customWidth="1"/>
    <col min="8" max="8" width="17.88671875" style="842" bestFit="1" customWidth="1"/>
    <col min="9" max="9" width="15.33203125" style="256" customWidth="1"/>
    <col min="10" max="10" width="14.5546875" style="256" bestFit="1" customWidth="1"/>
    <col min="11" max="11" width="20.6640625" style="256" bestFit="1" customWidth="1"/>
    <col min="12" max="16384" width="11.44140625" style="256"/>
  </cols>
  <sheetData>
    <row r="1" spans="2:17" s="831" customFormat="1" ht="10.199999999999999" customHeight="1">
      <c r="B1" s="830"/>
      <c r="C1" s="830"/>
      <c r="D1" s="830"/>
      <c r="E1" s="830"/>
      <c r="F1" s="830"/>
      <c r="G1" s="830"/>
      <c r="H1" s="830"/>
      <c r="I1" s="830"/>
      <c r="J1" s="830"/>
      <c r="K1" s="830"/>
      <c r="L1" s="830"/>
      <c r="M1" s="830"/>
    </row>
    <row r="2" spans="2:17" s="831" customFormat="1" ht="14.4" customHeight="1">
      <c r="B2" s="721"/>
      <c r="C2" s="721"/>
      <c r="D2" s="721"/>
      <c r="E2" s="721"/>
      <c r="F2" s="721"/>
      <c r="G2" s="721"/>
      <c r="H2" s="721"/>
      <c r="I2" s="721"/>
      <c r="J2" s="721"/>
      <c r="K2" s="721"/>
      <c r="L2" s="721"/>
      <c r="M2" s="721"/>
      <c r="N2" s="721"/>
      <c r="O2" s="721"/>
      <c r="P2" s="721"/>
      <c r="Q2" s="721"/>
    </row>
    <row r="3" spans="2:17" s="831" customFormat="1">
      <c r="B3" s="982"/>
      <c r="C3" s="982"/>
      <c r="D3" s="982"/>
      <c r="E3" s="982"/>
      <c r="F3" s="982"/>
      <c r="G3" s="982"/>
      <c r="H3" s="982"/>
      <c r="I3" s="982"/>
      <c r="J3" s="153"/>
      <c r="K3" s="153"/>
      <c r="L3" s="153"/>
      <c r="M3" s="153"/>
    </row>
    <row r="4" spans="2:17" s="831" customFormat="1">
      <c r="B4" s="982"/>
      <c r="C4" s="982"/>
      <c r="D4" s="982"/>
      <c r="E4" s="982"/>
      <c r="F4" s="982"/>
      <c r="G4" s="982"/>
      <c r="H4" s="982"/>
      <c r="I4" s="982"/>
      <c r="J4" s="153"/>
      <c r="K4" s="153"/>
      <c r="L4" s="153"/>
      <c r="M4" s="153"/>
    </row>
    <row r="5" spans="2:17" s="831" customFormat="1">
      <c r="B5" s="982"/>
      <c r="C5" s="982"/>
      <c r="D5" s="982"/>
      <c r="E5" s="982"/>
      <c r="F5" s="982"/>
      <c r="G5" s="982"/>
      <c r="H5" s="982"/>
      <c r="I5" s="982"/>
      <c r="J5" s="153"/>
      <c r="K5" s="153"/>
      <c r="L5" s="153"/>
      <c r="M5" s="153"/>
    </row>
    <row r="6" spans="2:17" s="831" customFormat="1" ht="18.600000000000001" customHeight="1">
      <c r="B6" s="982"/>
      <c r="C6" s="982"/>
      <c r="D6" s="982"/>
      <c r="E6" s="982"/>
      <c r="F6" s="982"/>
      <c r="G6" s="982"/>
      <c r="H6" s="982"/>
      <c r="I6" s="982"/>
      <c r="J6" s="153"/>
      <c r="K6" s="153"/>
      <c r="L6" s="153"/>
      <c r="M6" s="153"/>
      <c r="N6" s="153"/>
    </row>
    <row r="7" spans="2:17" s="831" customFormat="1" ht="20.399999999999999" customHeight="1">
      <c r="B7" s="158"/>
      <c r="C7" s="158"/>
      <c r="D7" s="158"/>
      <c r="E7" s="158"/>
      <c r="F7" s="158"/>
      <c r="G7" s="158"/>
      <c r="H7" s="158"/>
      <c r="I7" s="158"/>
      <c r="J7" s="158"/>
      <c r="K7" s="158"/>
      <c r="L7" s="158"/>
      <c r="M7" s="158"/>
      <c r="N7" s="158"/>
      <c r="O7" s="158"/>
      <c r="P7" s="158"/>
      <c r="Q7" s="158"/>
    </row>
    <row r="8" spans="2:17" s="831" customFormat="1" ht="18.600000000000001" customHeight="1">
      <c r="B8" s="291"/>
      <c r="C8" s="291"/>
      <c r="D8" s="291"/>
      <c r="E8" s="291"/>
      <c r="F8" s="291"/>
      <c r="G8" s="291"/>
      <c r="H8" s="291"/>
      <c r="I8" s="291"/>
      <c r="J8" s="153"/>
      <c r="K8" s="153"/>
      <c r="L8" s="153"/>
      <c r="M8" s="153"/>
      <c r="N8" s="153"/>
    </row>
    <row r="9" spans="2:17" s="831" customFormat="1">
      <c r="G9" s="830"/>
      <c r="I9" s="290"/>
      <c r="L9" s="830"/>
    </row>
    <row r="10" spans="2:17" s="837" customFormat="1" ht="16.8">
      <c r="B10" s="832" t="s">
        <v>481</v>
      </c>
      <c r="C10" s="832"/>
      <c r="D10" s="832"/>
      <c r="E10" s="832"/>
      <c r="F10" s="833"/>
      <c r="G10" s="833"/>
      <c r="H10" s="834"/>
      <c r="I10" s="835" t="s">
        <v>1170</v>
      </c>
      <c r="J10" s="836"/>
    </row>
    <row r="11" spans="2:17" s="837" customFormat="1" ht="16.8">
      <c r="B11" s="838" t="s">
        <v>487</v>
      </c>
      <c r="C11" s="838"/>
      <c r="D11" s="838"/>
      <c r="E11" s="838"/>
      <c r="F11" s="839"/>
      <c r="G11" s="839"/>
      <c r="H11" s="840"/>
      <c r="I11" s="259"/>
    </row>
    <row r="12" spans="2:17" s="837" customFormat="1" ht="16.8">
      <c r="B12" s="259" t="s">
        <v>1536</v>
      </c>
      <c r="C12" s="259"/>
      <c r="D12" s="259"/>
      <c r="E12" s="259"/>
      <c r="F12" s="259"/>
      <c r="G12" s="259"/>
      <c r="H12" s="259"/>
      <c r="I12" s="259"/>
    </row>
    <row r="13" spans="2:17" ht="15" customHeight="1">
      <c r="B13" s="249" t="s">
        <v>486</v>
      </c>
      <c r="C13" s="250"/>
      <c r="D13" s="250"/>
      <c r="E13" s="250"/>
      <c r="F13" s="251"/>
      <c r="G13" s="252"/>
      <c r="H13" s="253"/>
      <c r="I13" s="248"/>
    </row>
    <row r="14" spans="2:17" ht="15" customHeight="1">
      <c r="B14" s="249"/>
      <c r="C14" s="250"/>
      <c r="D14" s="250"/>
      <c r="E14" s="250"/>
      <c r="F14" s="251"/>
      <c r="G14" s="252"/>
      <c r="H14" s="253"/>
      <c r="I14" s="248"/>
    </row>
    <row r="15" spans="2:17">
      <c r="B15" s="841"/>
      <c r="C15" s="841"/>
      <c r="D15" s="841"/>
      <c r="E15" s="841"/>
      <c r="F15" s="254">
        <v>44742</v>
      </c>
      <c r="G15" s="254">
        <v>44377</v>
      </c>
      <c r="I15" s="843"/>
    </row>
    <row r="16" spans="2:17">
      <c r="B16" s="844"/>
      <c r="C16" s="844"/>
      <c r="D16" s="844"/>
      <c r="E16" s="844"/>
      <c r="F16" s="255"/>
      <c r="G16" s="255"/>
      <c r="I16" s="843"/>
    </row>
    <row r="17" spans="2:10" ht="15" customHeight="1">
      <c r="B17" s="845" t="s">
        <v>33</v>
      </c>
      <c r="C17" s="845"/>
      <c r="D17" s="845"/>
      <c r="E17" s="845"/>
      <c r="F17" s="846">
        <v>8533937788</v>
      </c>
      <c r="G17" s="846">
        <v>12839415662</v>
      </c>
      <c r="H17" s="847"/>
      <c r="I17" s="848"/>
    </row>
    <row r="18" spans="2:10">
      <c r="B18" s="845"/>
      <c r="C18" s="845"/>
      <c r="D18" s="845"/>
      <c r="E18" s="845"/>
      <c r="F18" s="846"/>
      <c r="G18" s="846"/>
      <c r="H18" s="847"/>
      <c r="I18" s="848"/>
    </row>
    <row r="19" spans="2:10" ht="15" customHeight="1">
      <c r="B19" s="849" t="s">
        <v>108</v>
      </c>
      <c r="C19" s="849"/>
      <c r="D19" s="845"/>
      <c r="E19" s="845"/>
      <c r="F19" s="846">
        <v>320420877</v>
      </c>
      <c r="G19" s="846">
        <v>343363221</v>
      </c>
      <c r="H19" s="847"/>
      <c r="I19" s="848"/>
      <c r="J19" s="792"/>
    </row>
    <row r="20" spans="2:10" ht="15" customHeight="1">
      <c r="B20" s="850" t="s">
        <v>113</v>
      </c>
      <c r="C20" s="850"/>
      <c r="D20" s="845"/>
      <c r="E20" s="845"/>
      <c r="F20" s="851">
        <v>0</v>
      </c>
      <c r="G20" s="851">
        <v>23918795</v>
      </c>
      <c r="J20" s="792"/>
    </row>
    <row r="21" spans="2:10" ht="15" customHeight="1">
      <c r="B21" s="850" t="s">
        <v>114</v>
      </c>
      <c r="C21" s="850"/>
      <c r="D21" s="845"/>
      <c r="E21" s="845"/>
      <c r="F21" s="851">
        <v>320420877</v>
      </c>
      <c r="G21" s="851">
        <v>319444426</v>
      </c>
      <c r="J21" s="792"/>
    </row>
    <row r="22" spans="2:10" ht="15" customHeight="1">
      <c r="B22" s="845"/>
      <c r="C22" s="845"/>
      <c r="D22" s="845"/>
      <c r="E22" s="845"/>
      <c r="F22" s="846"/>
      <c r="G22" s="846"/>
      <c r="J22" s="792"/>
    </row>
    <row r="23" spans="2:10" ht="15" customHeight="1">
      <c r="B23" s="849" t="s">
        <v>109</v>
      </c>
      <c r="C23" s="849"/>
      <c r="D23" s="845"/>
      <c r="E23" s="845"/>
      <c r="F23" s="851">
        <v>0</v>
      </c>
      <c r="G23" s="851">
        <v>0</v>
      </c>
      <c r="J23" s="792"/>
    </row>
    <row r="24" spans="2:10" ht="15" customHeight="1">
      <c r="B24" s="850" t="s">
        <v>851</v>
      </c>
      <c r="C24" s="850"/>
      <c r="D24" s="845"/>
      <c r="E24" s="845"/>
      <c r="F24" s="851">
        <v>0</v>
      </c>
      <c r="G24" s="851">
        <v>0</v>
      </c>
      <c r="J24" s="792"/>
    </row>
    <row r="25" spans="2:10" ht="15" customHeight="1">
      <c r="B25" s="850" t="s">
        <v>248</v>
      </c>
      <c r="C25" s="850"/>
      <c r="D25" s="845"/>
      <c r="E25" s="845"/>
      <c r="F25" s="851">
        <v>0</v>
      </c>
      <c r="G25" s="851">
        <v>0</v>
      </c>
      <c r="J25" s="792"/>
    </row>
    <row r="26" spans="2:10" ht="15" customHeight="1">
      <c r="B26" s="850"/>
      <c r="C26" s="850"/>
      <c r="D26" s="852"/>
      <c r="E26" s="845"/>
      <c r="F26" s="846"/>
      <c r="G26" s="846"/>
      <c r="J26" s="792"/>
    </row>
    <row r="27" spans="2:10" ht="15" customHeight="1">
      <c r="B27" s="849" t="s">
        <v>112</v>
      </c>
      <c r="C27" s="849"/>
      <c r="D27" s="853"/>
      <c r="E27" s="854"/>
      <c r="F27" s="846">
        <v>454898480</v>
      </c>
      <c r="G27" s="846">
        <v>400000000</v>
      </c>
      <c r="I27" s="792"/>
    </row>
    <row r="28" spans="2:10" ht="15" customHeight="1">
      <c r="B28" s="855" t="s">
        <v>111</v>
      </c>
      <c r="C28" s="855"/>
      <c r="D28" s="856"/>
      <c r="E28" s="857"/>
      <c r="F28" s="851">
        <v>0</v>
      </c>
      <c r="G28" s="851">
        <v>0</v>
      </c>
      <c r="J28" s="792"/>
    </row>
    <row r="29" spans="2:10" ht="15" customHeight="1">
      <c r="B29" s="855" t="s">
        <v>110</v>
      </c>
      <c r="C29" s="855"/>
      <c r="D29" s="857"/>
      <c r="E29" s="857"/>
      <c r="F29" s="851">
        <v>454898480</v>
      </c>
      <c r="G29" s="851">
        <v>400000000</v>
      </c>
      <c r="J29" s="792"/>
    </row>
    <row r="30" spans="2:10" ht="15" customHeight="1">
      <c r="B30" s="857"/>
      <c r="C30" s="857"/>
      <c r="D30" s="857"/>
      <c r="E30" s="857"/>
      <c r="F30" s="851"/>
      <c r="G30" s="846"/>
      <c r="J30" s="792"/>
    </row>
    <row r="31" spans="2:10" ht="15" customHeight="1">
      <c r="B31" s="857" t="s">
        <v>35</v>
      </c>
      <c r="C31" s="857"/>
      <c r="D31" s="857"/>
      <c r="E31" s="857"/>
      <c r="F31" s="851">
        <v>0</v>
      </c>
      <c r="G31" s="851">
        <v>0</v>
      </c>
      <c r="I31" s="792"/>
    </row>
    <row r="32" spans="2:10" ht="15" customHeight="1">
      <c r="B32" s="857" t="s">
        <v>36</v>
      </c>
      <c r="C32" s="857"/>
      <c r="D32" s="857"/>
      <c r="E32" s="857"/>
      <c r="F32" s="851">
        <v>2297398</v>
      </c>
      <c r="G32" s="851">
        <v>181818</v>
      </c>
      <c r="I32" s="792"/>
    </row>
    <row r="33" spans="2:11" ht="15" customHeight="1">
      <c r="B33" s="857" t="s">
        <v>115</v>
      </c>
      <c r="C33" s="857"/>
      <c r="D33" s="857"/>
      <c r="E33" s="857"/>
      <c r="F33" s="851">
        <v>186095070</v>
      </c>
      <c r="G33" s="851">
        <v>221097900</v>
      </c>
      <c r="I33" s="792"/>
    </row>
    <row r="34" spans="2:11" ht="15" customHeight="1">
      <c r="B34" s="857" t="s">
        <v>116</v>
      </c>
      <c r="C34" s="857"/>
      <c r="D34" s="857"/>
      <c r="E34" s="857"/>
      <c r="F34" s="851">
        <v>4210534515</v>
      </c>
      <c r="G34" s="851">
        <v>567759022</v>
      </c>
      <c r="I34" s="792"/>
      <c r="K34" s="858"/>
    </row>
    <row r="35" spans="2:11" ht="15" customHeight="1">
      <c r="B35" s="857" t="s">
        <v>34</v>
      </c>
      <c r="C35" s="857"/>
      <c r="D35" s="857"/>
      <c r="E35" s="857"/>
      <c r="F35" s="851">
        <v>542546865</v>
      </c>
      <c r="G35" s="851">
        <v>2295724310</v>
      </c>
      <c r="I35" s="792"/>
    </row>
    <row r="36" spans="2:11" ht="15" customHeight="1">
      <c r="B36" s="857" t="s">
        <v>117</v>
      </c>
      <c r="C36" s="857"/>
      <c r="D36" s="844" t="s">
        <v>617</v>
      </c>
      <c r="E36" s="857"/>
      <c r="F36" s="851">
        <v>46858425</v>
      </c>
      <c r="G36" s="851">
        <v>0</v>
      </c>
      <c r="I36" s="792"/>
    </row>
    <row r="37" spans="2:11" ht="15" customHeight="1">
      <c r="B37" s="857" t="s">
        <v>226</v>
      </c>
      <c r="C37" s="857"/>
      <c r="D37" s="844" t="s">
        <v>617</v>
      </c>
      <c r="E37" s="844"/>
      <c r="F37" s="851">
        <v>124993907</v>
      </c>
      <c r="G37" s="851">
        <v>6825183679</v>
      </c>
      <c r="I37" s="792"/>
    </row>
    <row r="38" spans="2:11" ht="15" customHeight="1">
      <c r="B38" s="857" t="s">
        <v>609</v>
      </c>
      <c r="C38" s="857"/>
      <c r="D38" s="857" t="s">
        <v>1451</v>
      </c>
      <c r="E38" s="857"/>
      <c r="F38" s="851">
        <v>2583432056</v>
      </c>
      <c r="G38" s="851">
        <v>2128991488</v>
      </c>
      <c r="I38" s="792"/>
    </row>
    <row r="39" spans="2:11" ht="15" customHeight="1">
      <c r="B39" s="857" t="s">
        <v>190</v>
      </c>
      <c r="C39" s="857"/>
      <c r="D39" s="857" t="s">
        <v>1452</v>
      </c>
      <c r="E39" s="857"/>
      <c r="F39" s="851">
        <v>61860195</v>
      </c>
      <c r="G39" s="851">
        <v>57114224</v>
      </c>
      <c r="I39" s="792"/>
    </row>
    <row r="40" spans="2:11" ht="15" customHeight="1">
      <c r="B40" s="844"/>
      <c r="C40" s="844"/>
      <c r="D40" s="844"/>
      <c r="E40" s="844"/>
      <c r="F40" s="846"/>
      <c r="G40" s="851"/>
    </row>
    <row r="41" spans="2:11" ht="15" customHeight="1">
      <c r="B41" s="845" t="s">
        <v>37</v>
      </c>
      <c r="C41" s="845"/>
      <c r="D41" s="845"/>
      <c r="E41" s="845"/>
      <c r="F41" s="846">
        <v>-4086351076</v>
      </c>
      <c r="G41" s="846">
        <v>-8199632323</v>
      </c>
      <c r="I41" s="792"/>
    </row>
    <row r="42" spans="2:11" ht="15" customHeight="1">
      <c r="B42" s="844" t="s">
        <v>39</v>
      </c>
      <c r="C42" s="844"/>
      <c r="D42" s="844"/>
      <c r="E42" s="844"/>
      <c r="F42" s="851">
        <v>-750000</v>
      </c>
      <c r="G42" s="851">
        <v>-157953638</v>
      </c>
      <c r="I42" s="792"/>
    </row>
    <row r="43" spans="2:11" ht="14.4" customHeight="1">
      <c r="B43" s="844" t="s">
        <v>38</v>
      </c>
      <c r="C43" s="844"/>
      <c r="D43" s="844"/>
      <c r="E43" s="844"/>
      <c r="F43" s="851">
        <v>-84242063</v>
      </c>
      <c r="G43" s="851">
        <v>-135853252</v>
      </c>
      <c r="I43" s="792"/>
    </row>
    <row r="44" spans="2:11" ht="14.4" customHeight="1">
      <c r="B44" s="844" t="s">
        <v>610</v>
      </c>
      <c r="C44" s="844"/>
      <c r="D44" s="844" t="s">
        <v>600</v>
      </c>
      <c r="E44" s="844"/>
      <c r="F44" s="851">
        <v>-4001359013</v>
      </c>
      <c r="G44" s="851">
        <v>-7905825433</v>
      </c>
      <c r="I44" s="792"/>
    </row>
    <row r="45" spans="2:11">
      <c r="B45" s="844"/>
      <c r="C45" s="844"/>
      <c r="D45" s="844"/>
      <c r="E45" s="844"/>
      <c r="F45" s="851"/>
      <c r="G45" s="851"/>
    </row>
    <row r="46" spans="2:11" ht="15" customHeight="1">
      <c r="B46" s="845" t="s">
        <v>40</v>
      </c>
      <c r="C46" s="845"/>
      <c r="D46" s="845"/>
      <c r="E46" s="845"/>
      <c r="F46" s="846">
        <v>4447586712</v>
      </c>
      <c r="G46" s="846">
        <v>4639783339</v>
      </c>
      <c r="I46" s="792"/>
    </row>
    <row r="47" spans="2:11" ht="15" customHeight="1">
      <c r="B47" s="845"/>
      <c r="C47" s="845"/>
      <c r="D47" s="845"/>
      <c r="E47" s="845"/>
      <c r="F47" s="846"/>
      <c r="G47" s="851"/>
    </row>
    <row r="48" spans="2:11" ht="15" customHeight="1">
      <c r="B48" s="845" t="s">
        <v>41</v>
      </c>
      <c r="C48" s="845"/>
      <c r="D48" s="845"/>
      <c r="E48" s="845"/>
      <c r="F48" s="846">
        <v>-500237048</v>
      </c>
      <c r="G48" s="846">
        <v>-506000000</v>
      </c>
      <c r="I48" s="792"/>
    </row>
    <row r="49" spans="2:11" ht="15" customHeight="1">
      <c r="B49" s="844" t="s">
        <v>42</v>
      </c>
      <c r="C49" s="844"/>
      <c r="D49" s="844"/>
      <c r="E49" s="844"/>
      <c r="F49" s="851">
        <v>-163174020</v>
      </c>
      <c r="G49" s="851">
        <v>-120000000</v>
      </c>
      <c r="I49" s="792"/>
    </row>
    <row r="50" spans="2:11" ht="15" customHeight="1">
      <c r="B50" s="844" t="s">
        <v>44</v>
      </c>
      <c r="C50" s="844"/>
      <c r="D50" s="844"/>
      <c r="E50" s="844"/>
      <c r="F50" s="851">
        <v>0</v>
      </c>
      <c r="G50" s="851">
        <v>0</v>
      </c>
      <c r="I50" s="792"/>
    </row>
    <row r="51" spans="2:11" ht="15" customHeight="1">
      <c r="B51" s="844" t="s">
        <v>43</v>
      </c>
      <c r="C51" s="844"/>
      <c r="D51" s="844" t="s">
        <v>600</v>
      </c>
      <c r="E51" s="857"/>
      <c r="F51" s="851">
        <v>-337063028</v>
      </c>
      <c r="G51" s="851">
        <v>-386000000</v>
      </c>
      <c r="I51" s="792"/>
    </row>
    <row r="52" spans="2:11" ht="15" customHeight="1">
      <c r="B52" s="844"/>
      <c r="C52" s="844"/>
      <c r="D52" s="844"/>
      <c r="E52" s="844"/>
      <c r="F52" s="851"/>
      <c r="G52" s="851"/>
    </row>
    <row r="53" spans="2:11" ht="15" customHeight="1">
      <c r="B53" s="845" t="s">
        <v>45</v>
      </c>
      <c r="C53" s="845"/>
      <c r="D53" s="845"/>
      <c r="E53" s="845"/>
      <c r="F53" s="846">
        <v>-4196060939</v>
      </c>
      <c r="G53" s="846">
        <v>-3277518139</v>
      </c>
      <c r="I53" s="792"/>
    </row>
    <row r="54" spans="2:11" ht="15" customHeight="1">
      <c r="B54" s="844" t="s">
        <v>118</v>
      </c>
      <c r="C54" s="844"/>
      <c r="D54" s="845"/>
      <c r="E54" s="845"/>
      <c r="F54" s="851">
        <v>-2883743125</v>
      </c>
      <c r="G54" s="851">
        <v>-2320107512</v>
      </c>
      <c r="I54" s="792"/>
    </row>
    <row r="55" spans="2:11" ht="15" customHeight="1">
      <c r="B55" s="844" t="s">
        <v>119</v>
      </c>
      <c r="C55" s="844"/>
      <c r="D55" s="844"/>
      <c r="E55" s="844"/>
      <c r="F55" s="851">
        <v>-197232324</v>
      </c>
      <c r="G55" s="851">
        <v>-91525434</v>
      </c>
      <c r="I55" s="792"/>
    </row>
    <row r="56" spans="2:11" ht="15" customHeight="1">
      <c r="B56" s="844" t="s">
        <v>49</v>
      </c>
      <c r="C56" s="844"/>
      <c r="D56" s="844"/>
      <c r="E56" s="844"/>
      <c r="F56" s="851">
        <v>-79715368</v>
      </c>
      <c r="G56" s="851">
        <v>-55608251</v>
      </c>
      <c r="K56" s="248"/>
    </row>
    <row r="57" spans="2:11" ht="15" customHeight="1">
      <c r="B57" s="844" t="s">
        <v>47</v>
      </c>
      <c r="C57" s="844"/>
      <c r="D57" s="844"/>
      <c r="E57" s="844"/>
      <c r="F57" s="851">
        <v>-118200200</v>
      </c>
      <c r="G57" s="851">
        <v>-25615469</v>
      </c>
      <c r="I57" s="792"/>
    </row>
    <row r="58" spans="2:11" ht="15" customHeight="1">
      <c r="B58" s="844" t="s">
        <v>50</v>
      </c>
      <c r="C58" s="844"/>
      <c r="D58" s="844"/>
      <c r="E58" s="844"/>
      <c r="F58" s="851">
        <v>-14731560</v>
      </c>
      <c r="G58" s="851">
        <v>-13647194</v>
      </c>
      <c r="I58" s="792"/>
    </row>
    <row r="59" spans="2:11" ht="15" customHeight="1">
      <c r="B59" s="844" t="s">
        <v>48</v>
      </c>
      <c r="C59" s="844"/>
      <c r="D59" s="844"/>
      <c r="E59" s="844"/>
      <c r="F59" s="851">
        <v>-3668369</v>
      </c>
      <c r="G59" s="851">
        <v>-3512443</v>
      </c>
      <c r="I59" s="792"/>
    </row>
    <row r="60" spans="2:11" ht="15" customHeight="1">
      <c r="B60" s="844" t="s">
        <v>120</v>
      </c>
      <c r="C60" s="844"/>
      <c r="D60" s="844"/>
      <c r="E60" s="844"/>
      <c r="F60" s="851">
        <v>-270717</v>
      </c>
      <c r="G60" s="851">
        <v>-2695600</v>
      </c>
      <c r="I60" s="792"/>
    </row>
    <row r="61" spans="2:11" ht="15" customHeight="1">
      <c r="B61" s="844" t="s">
        <v>51</v>
      </c>
      <c r="C61" s="844"/>
      <c r="D61" s="844"/>
      <c r="E61" s="844"/>
      <c r="F61" s="851">
        <v>-44275879</v>
      </c>
      <c r="G61" s="851">
        <v>-33022853</v>
      </c>
      <c r="I61" s="792"/>
    </row>
    <row r="62" spans="2:11" ht="15" customHeight="1">
      <c r="B62" s="844" t="s">
        <v>611</v>
      </c>
      <c r="C62" s="844"/>
      <c r="D62" s="844" t="s">
        <v>600</v>
      </c>
      <c r="E62" s="857"/>
      <c r="F62" s="851">
        <v>-854223397</v>
      </c>
      <c r="G62" s="851">
        <v>-731783383</v>
      </c>
      <c r="H62" s="859"/>
      <c r="I62" s="792"/>
    </row>
    <row r="63" spans="2:11" ht="15" customHeight="1">
      <c r="B63" s="844"/>
      <c r="C63" s="844"/>
      <c r="D63" s="844"/>
      <c r="E63" s="844"/>
      <c r="F63" s="846"/>
      <c r="G63" s="851"/>
    </row>
    <row r="64" spans="2:11" ht="15" customHeight="1">
      <c r="B64" s="845" t="s">
        <v>52</v>
      </c>
      <c r="C64" s="845"/>
      <c r="D64" s="845"/>
      <c r="E64" s="845"/>
      <c r="F64" s="846">
        <v>-248711275</v>
      </c>
      <c r="G64" s="846">
        <v>856265200</v>
      </c>
      <c r="I64" s="792"/>
    </row>
    <row r="65" spans="2:10" ht="15" customHeight="1">
      <c r="B65" s="845"/>
      <c r="C65" s="845"/>
      <c r="D65" s="845"/>
      <c r="E65" s="845"/>
      <c r="F65" s="846"/>
      <c r="G65" s="846"/>
      <c r="I65" s="792"/>
    </row>
    <row r="66" spans="2:10" ht="15" customHeight="1">
      <c r="B66" s="845" t="s">
        <v>612</v>
      </c>
      <c r="C66" s="845"/>
      <c r="D66" s="845"/>
      <c r="E66" s="845"/>
      <c r="F66" s="846">
        <v>1419948200</v>
      </c>
      <c r="G66" s="846">
        <v>871281075</v>
      </c>
      <c r="I66" s="792"/>
    </row>
    <row r="67" spans="2:10" ht="15" customHeight="1">
      <c r="B67" s="844" t="s">
        <v>161</v>
      </c>
      <c r="C67" s="844"/>
      <c r="D67" s="857" t="s">
        <v>601</v>
      </c>
      <c r="E67" s="857"/>
      <c r="F67" s="851">
        <v>1419958345</v>
      </c>
      <c r="G67" s="851">
        <v>871286873</v>
      </c>
      <c r="I67" s="792"/>
    </row>
    <row r="68" spans="2:10" ht="15" customHeight="1">
      <c r="B68" s="844" t="s">
        <v>193</v>
      </c>
      <c r="C68" s="844"/>
      <c r="D68" s="857" t="s">
        <v>601</v>
      </c>
      <c r="E68" s="857"/>
      <c r="F68" s="851">
        <v>-10145</v>
      </c>
      <c r="G68" s="851">
        <v>-5798</v>
      </c>
      <c r="I68" s="792"/>
    </row>
    <row r="69" spans="2:10" ht="15" customHeight="1">
      <c r="B69" s="844"/>
      <c r="C69" s="844"/>
      <c r="D69" s="844"/>
      <c r="E69" s="844"/>
      <c r="F69" s="846"/>
      <c r="G69" s="851"/>
    </row>
    <row r="70" spans="2:10" ht="15" customHeight="1">
      <c r="B70" s="845" t="s">
        <v>613</v>
      </c>
      <c r="C70" s="845"/>
      <c r="D70" s="845"/>
      <c r="E70" s="845"/>
      <c r="F70" s="846">
        <v>-422422892</v>
      </c>
      <c r="G70" s="846">
        <v>-181979416</v>
      </c>
      <c r="I70" s="792"/>
    </row>
    <row r="71" spans="2:10" ht="15" customHeight="1">
      <c r="B71" s="845" t="s">
        <v>194</v>
      </c>
      <c r="C71" s="844"/>
      <c r="D71" s="857" t="s">
        <v>602</v>
      </c>
      <c r="E71" s="857"/>
      <c r="F71" s="846">
        <v>-2159777948</v>
      </c>
      <c r="G71" s="846">
        <v>-285049442</v>
      </c>
      <c r="I71" s="792"/>
    </row>
    <row r="72" spans="2:10" ht="15" customHeight="1">
      <c r="B72" s="844" t="s">
        <v>121</v>
      </c>
      <c r="C72" s="844"/>
      <c r="D72" s="844"/>
      <c r="E72" s="844"/>
      <c r="F72" s="851">
        <v>612814</v>
      </c>
      <c r="G72" s="851">
        <v>2985129</v>
      </c>
      <c r="I72" s="792"/>
    </row>
    <row r="73" spans="2:10" ht="15" customHeight="1">
      <c r="B73" s="844" t="s">
        <v>1491</v>
      </c>
      <c r="C73" s="844"/>
      <c r="D73" s="857" t="s">
        <v>558</v>
      </c>
      <c r="E73" s="857"/>
      <c r="F73" s="851">
        <v>-2160390762</v>
      </c>
      <c r="G73" s="851">
        <v>-288034571</v>
      </c>
      <c r="I73" s="792"/>
      <c r="J73" s="792"/>
    </row>
    <row r="74" spans="2:10" ht="15" customHeight="1">
      <c r="B74" s="845" t="s">
        <v>195</v>
      </c>
      <c r="C74" s="844"/>
      <c r="D74" s="857" t="s">
        <v>602</v>
      </c>
      <c r="E74" s="857"/>
      <c r="F74" s="846">
        <v>1737355056</v>
      </c>
      <c r="G74" s="846">
        <v>103070026</v>
      </c>
      <c r="I74" s="792"/>
    </row>
    <row r="75" spans="2:10" ht="15" customHeight="1">
      <c r="B75" s="844" t="s">
        <v>196</v>
      </c>
      <c r="C75" s="844"/>
      <c r="D75" s="844"/>
      <c r="E75" s="844"/>
      <c r="F75" s="851">
        <v>-254263541</v>
      </c>
      <c r="G75" s="851">
        <v>-148301269</v>
      </c>
      <c r="I75" s="792"/>
    </row>
    <row r="76" spans="2:10" ht="15" customHeight="1">
      <c r="B76" s="844" t="s">
        <v>1491</v>
      </c>
      <c r="C76" s="844"/>
      <c r="D76" s="857" t="s">
        <v>558</v>
      </c>
      <c r="E76" s="857"/>
      <c r="F76" s="851">
        <v>1991618597</v>
      </c>
      <c r="G76" s="851">
        <v>251371295</v>
      </c>
      <c r="H76" s="860"/>
      <c r="I76" s="792"/>
      <c r="J76" s="792"/>
    </row>
    <row r="77" spans="2:10" ht="15" customHeight="1">
      <c r="B77" s="844"/>
      <c r="C77" s="844"/>
      <c r="D77" s="844"/>
      <c r="E77" s="844"/>
      <c r="F77" s="846"/>
      <c r="G77" s="851"/>
    </row>
    <row r="78" spans="2:10" ht="15" customHeight="1">
      <c r="B78" s="845" t="s">
        <v>198</v>
      </c>
      <c r="C78" s="844"/>
      <c r="D78" s="845"/>
      <c r="E78" s="845"/>
      <c r="F78" s="846">
        <v>6473750</v>
      </c>
      <c r="G78" s="846">
        <v>441566</v>
      </c>
    </row>
    <row r="79" spans="2:10" ht="15" customHeight="1">
      <c r="B79" s="844" t="s">
        <v>614</v>
      </c>
      <c r="C79" s="844"/>
      <c r="D79" s="857" t="s">
        <v>602</v>
      </c>
      <c r="E79" s="857"/>
      <c r="F79" s="851">
        <v>6473750</v>
      </c>
      <c r="G79" s="851">
        <v>441566</v>
      </c>
    </row>
    <row r="80" spans="2:10" ht="15" customHeight="1">
      <c r="B80" s="844" t="s">
        <v>199</v>
      </c>
      <c r="C80" s="844"/>
      <c r="D80" s="857"/>
      <c r="E80" s="844"/>
      <c r="F80" s="851">
        <v>0</v>
      </c>
      <c r="G80" s="851">
        <v>0</v>
      </c>
    </row>
    <row r="81" spans="2:10" ht="15" customHeight="1">
      <c r="B81" s="844"/>
      <c r="C81" s="844"/>
      <c r="D81" s="844"/>
      <c r="E81" s="844"/>
      <c r="F81" s="846"/>
      <c r="G81" s="851"/>
    </row>
    <row r="82" spans="2:10" ht="15" customHeight="1">
      <c r="B82" s="845" t="s">
        <v>200</v>
      </c>
      <c r="C82" s="845"/>
      <c r="D82" s="844"/>
      <c r="E82" s="844"/>
      <c r="F82" s="846">
        <v>0</v>
      </c>
      <c r="G82" s="846">
        <v>0</v>
      </c>
    </row>
    <row r="83" spans="2:10" ht="15" customHeight="1">
      <c r="B83" s="844" t="s">
        <v>201</v>
      </c>
      <c r="C83" s="844"/>
      <c r="D83" s="861"/>
      <c r="E83" s="844"/>
      <c r="F83" s="851">
        <v>0</v>
      </c>
      <c r="G83" s="851">
        <v>0</v>
      </c>
    </row>
    <row r="84" spans="2:10" ht="15" customHeight="1">
      <c r="B84" s="844" t="s">
        <v>202</v>
      </c>
      <c r="C84" s="844"/>
      <c r="D84" s="861"/>
      <c r="E84" s="844"/>
      <c r="F84" s="851">
        <v>0</v>
      </c>
      <c r="G84" s="851">
        <v>0</v>
      </c>
    </row>
    <row r="85" spans="2:10" ht="15" customHeight="1">
      <c r="B85" s="844"/>
      <c r="C85" s="844"/>
      <c r="D85" s="861"/>
      <c r="E85" s="844"/>
      <c r="F85" s="846"/>
      <c r="G85" s="851"/>
    </row>
    <row r="86" spans="2:10" ht="15" customHeight="1">
      <c r="B86" s="845" t="s">
        <v>53</v>
      </c>
      <c r="C86" s="845"/>
      <c r="D86" s="852"/>
      <c r="E86" s="845"/>
      <c r="F86" s="846">
        <v>755287783</v>
      </c>
      <c r="G86" s="846">
        <v>1546008425</v>
      </c>
      <c r="I86" s="792"/>
    </row>
    <row r="87" spans="2:10" ht="15" customHeight="1">
      <c r="B87" s="845"/>
      <c r="C87" s="845"/>
      <c r="D87" s="845"/>
      <c r="E87" s="845"/>
      <c r="F87" s="846"/>
      <c r="G87" s="846"/>
      <c r="I87" s="792"/>
    </row>
    <row r="88" spans="2:10" ht="15" customHeight="1">
      <c r="B88" s="845" t="s">
        <v>615</v>
      </c>
      <c r="C88" s="845"/>
      <c r="D88" s="857"/>
      <c r="E88" s="857"/>
      <c r="F88" s="851">
        <v>-135316207</v>
      </c>
      <c r="G88" s="851">
        <v>-77684079</v>
      </c>
    </row>
    <row r="89" spans="2:10" ht="15" customHeight="1">
      <c r="B89" s="845"/>
      <c r="C89" s="845"/>
      <c r="D89" s="845"/>
      <c r="E89" s="845"/>
      <c r="F89" s="846"/>
      <c r="G89" s="851"/>
    </row>
    <row r="90" spans="2:10" ht="15" customHeight="1" thickBot="1">
      <c r="B90" s="845" t="s">
        <v>13</v>
      </c>
      <c r="C90" s="845"/>
      <c r="D90" s="845"/>
      <c r="E90" s="845"/>
      <c r="F90" s="862">
        <v>619971576</v>
      </c>
      <c r="G90" s="862">
        <v>1468324346</v>
      </c>
      <c r="H90" s="863">
        <v>0</v>
      </c>
      <c r="I90" s="860"/>
      <c r="J90" s="864"/>
    </row>
    <row r="91" spans="2:10" ht="15" customHeight="1" thickTop="1">
      <c r="B91" s="865"/>
      <c r="F91" s="866"/>
    </row>
    <row r="92" spans="2:10" ht="15" customHeight="1">
      <c r="F92" s="866"/>
    </row>
    <row r="93" spans="2:10" ht="15" customHeight="1">
      <c r="B93" s="1017" t="s">
        <v>549</v>
      </c>
      <c r="C93" s="1017"/>
      <c r="D93" s="1017"/>
      <c r="E93" s="1017"/>
      <c r="F93" s="1017"/>
      <c r="G93" s="1017"/>
      <c r="J93" s="792"/>
    </row>
    <row r="94" spans="2:10" ht="15" customHeight="1">
      <c r="H94" s="868"/>
    </row>
    <row r="95" spans="2:10" ht="15" customHeight="1">
      <c r="H95" s="868"/>
    </row>
    <row r="96" spans="2:10" ht="15" customHeight="1">
      <c r="H96" s="868"/>
    </row>
    <row r="97" spans="2:11" ht="15" customHeight="1">
      <c r="H97" s="868"/>
    </row>
    <row r="98" spans="2:11" ht="15" customHeight="1">
      <c r="H98" s="868"/>
    </row>
    <row r="99" spans="2:11" s="260" customFormat="1" ht="16.8">
      <c r="B99" s="869" t="s">
        <v>266</v>
      </c>
      <c r="F99" s="870"/>
      <c r="G99" s="871" t="s">
        <v>488</v>
      </c>
      <c r="K99" s="450"/>
    </row>
    <row r="100" spans="2:11" s="260" customFormat="1" ht="16.8">
      <c r="B100" s="719" t="s">
        <v>1846</v>
      </c>
      <c r="F100" s="873"/>
      <c r="G100" s="872" t="s">
        <v>264</v>
      </c>
      <c r="K100" s="450"/>
    </row>
    <row r="101" spans="2:11" s="157" customFormat="1" ht="15.6">
      <c r="B101" s="874"/>
    </row>
    <row r="108" spans="2:11">
      <c r="B108" s="875"/>
    </row>
    <row r="109" spans="2:11">
      <c r="B109" s="876"/>
    </row>
    <row r="110" spans="2:11">
      <c r="B110" s="877"/>
    </row>
  </sheetData>
  <mergeCells count="5">
    <mergeCell ref="B93:G93"/>
    <mergeCell ref="B3:I3"/>
    <mergeCell ref="B4:I4"/>
    <mergeCell ref="B5:I5"/>
    <mergeCell ref="B6:I6"/>
  </mergeCells>
  <hyperlinks>
    <hyperlink ref="I10" location="INDICE!A1" display="Índice" xr:uid="{546507BD-ABBE-4E1F-871D-6CF99634EE75}"/>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V72"/>
  <sheetViews>
    <sheetView showGridLines="0" zoomScale="70" zoomScaleNormal="70" zoomScaleSheetLayoutView="90" workbookViewId="0">
      <pane ySplit="15" topLeftCell="A50" activePane="bottomLeft" state="frozen"/>
      <selection pane="bottomLeft" activeCell="B62" sqref="B62"/>
    </sheetView>
  </sheetViews>
  <sheetFormatPr baseColWidth="10" defaultColWidth="11.44140625" defaultRowHeight="18"/>
  <cols>
    <col min="1" max="1" width="1.88671875" style="247" customWidth="1"/>
    <col min="2" max="2" width="52.5546875" style="284" customWidth="1"/>
    <col min="3" max="3" width="17" style="284" bestFit="1" customWidth="1"/>
    <col min="4" max="4" width="10.44140625" style="304" customWidth="1"/>
    <col min="5" max="5" width="23.109375" style="284" bestFit="1" customWidth="1"/>
    <col min="6" max="6" width="2.5546875" style="304" customWidth="1"/>
    <col min="7" max="7" width="19" style="310" customWidth="1"/>
    <col min="8" max="8" width="4.109375" style="247" customWidth="1"/>
    <col min="9" max="9" width="3" style="247" customWidth="1"/>
    <col min="10" max="10" width="18.109375" style="247" bestFit="1" customWidth="1"/>
    <col min="11" max="11" width="5.109375" style="243" customWidth="1"/>
    <col min="12" max="12" width="17.109375" style="243" bestFit="1" customWidth="1"/>
    <col min="13" max="16384" width="11.44140625" style="247"/>
  </cols>
  <sheetData>
    <row r="1" spans="2:22" s="218" customFormat="1" ht="10.199999999999999" customHeight="1">
      <c r="B1" s="246"/>
      <c r="C1" s="246"/>
      <c r="D1" s="246"/>
      <c r="E1" s="246"/>
      <c r="F1" s="246"/>
      <c r="G1" s="246"/>
      <c r="H1" s="246"/>
      <c r="I1" s="246"/>
      <c r="J1" s="246"/>
      <c r="K1" s="246"/>
      <c r="L1" s="246"/>
    </row>
    <row r="2" spans="2:22" s="160" customFormat="1">
      <c r="B2" s="721"/>
      <c r="C2" s="721"/>
      <c r="D2" s="721"/>
      <c r="E2" s="721"/>
      <c r="F2" s="721"/>
      <c r="G2" s="721"/>
      <c r="H2" s="721"/>
      <c r="I2" s="721"/>
      <c r="J2" s="721"/>
      <c r="K2" s="721"/>
      <c r="L2" s="721"/>
      <c r="M2" s="721"/>
      <c r="N2" s="721"/>
      <c r="O2" s="721"/>
      <c r="P2" s="721"/>
      <c r="Q2" s="721"/>
      <c r="R2" s="721"/>
      <c r="S2" s="721"/>
      <c r="T2" s="721"/>
      <c r="U2" s="721"/>
      <c r="V2" s="721"/>
    </row>
    <row r="3" spans="2:22" s="218" customFormat="1">
      <c r="B3" s="982"/>
      <c r="C3" s="982"/>
      <c r="D3" s="982"/>
      <c r="E3" s="982"/>
      <c r="F3" s="982"/>
      <c r="G3" s="982"/>
      <c r="H3" s="982"/>
      <c r="I3" s="982"/>
      <c r="J3" s="982"/>
      <c r="K3" s="982"/>
    </row>
    <row r="4" spans="2:22" s="218" customFormat="1">
      <c r="B4" s="982"/>
      <c r="C4" s="982"/>
      <c r="D4" s="982"/>
      <c r="E4" s="982"/>
      <c r="F4" s="982"/>
      <c r="G4" s="982"/>
      <c r="H4" s="982"/>
      <c r="I4" s="982"/>
      <c r="J4" s="982"/>
      <c r="K4" s="982"/>
      <c r="L4" s="153"/>
    </row>
    <row r="5" spans="2:22" s="218" customFormat="1">
      <c r="B5" s="982"/>
      <c r="C5" s="982"/>
      <c r="D5" s="982"/>
      <c r="E5" s="982"/>
      <c r="F5" s="982"/>
      <c r="G5" s="982"/>
      <c r="H5" s="982"/>
      <c r="I5" s="982"/>
      <c r="J5" s="982"/>
      <c r="K5" s="982"/>
      <c r="L5" s="153"/>
    </row>
    <row r="6" spans="2:22" s="218" customFormat="1">
      <c r="B6" s="982"/>
      <c r="C6" s="982"/>
      <c r="D6" s="982"/>
      <c r="E6" s="982"/>
      <c r="F6" s="982"/>
      <c r="G6" s="982"/>
      <c r="H6" s="982"/>
      <c r="I6" s="982"/>
      <c r="J6" s="982"/>
      <c r="K6" s="982"/>
      <c r="L6" s="153"/>
    </row>
    <row r="7" spans="2:22" s="218" customFormat="1" ht="20.399999999999999" customHeight="1">
      <c r="B7" s="158"/>
      <c r="C7" s="158"/>
      <c r="D7" s="158"/>
      <c r="E7" s="158"/>
      <c r="F7" s="158"/>
      <c r="G7" s="158"/>
      <c r="H7" s="158"/>
      <c r="I7" s="158"/>
      <c r="J7" s="158"/>
      <c r="K7" s="158"/>
      <c r="L7" s="158"/>
      <c r="M7" s="158"/>
      <c r="N7" s="158"/>
      <c r="O7" s="158"/>
      <c r="P7" s="158"/>
      <c r="Q7" s="158"/>
      <c r="R7" s="158"/>
      <c r="S7" s="158"/>
      <c r="T7" s="158"/>
      <c r="U7" s="158"/>
      <c r="V7" s="158"/>
    </row>
    <row r="8" spans="2:22" s="218" customFormat="1">
      <c r="F8" s="246"/>
      <c r="H8" s="247"/>
      <c r="K8" s="246"/>
    </row>
    <row r="9" spans="2:22">
      <c r="B9" s="247"/>
      <c r="C9" s="247"/>
      <c r="D9" s="247"/>
      <c r="E9" s="247"/>
      <c r="F9" s="247"/>
      <c r="G9" s="247"/>
      <c r="J9" s="244" t="s">
        <v>1170</v>
      </c>
    </row>
    <row r="10" spans="2:22" s="243" customFormat="1">
      <c r="B10" s="1018" t="s">
        <v>481</v>
      </c>
      <c r="C10" s="1018"/>
      <c r="D10" s="1018"/>
      <c r="E10" s="1018"/>
      <c r="F10" s="1018"/>
      <c r="G10" s="1018"/>
      <c r="H10" s="1018"/>
      <c r="I10" s="279"/>
      <c r="J10" s="279"/>
      <c r="K10" s="279"/>
    </row>
    <row r="11" spans="2:22" s="243" customFormat="1">
      <c r="B11" s="1018" t="s">
        <v>260</v>
      </c>
      <c r="C11" s="1018"/>
      <c r="D11" s="1018"/>
      <c r="E11" s="1018"/>
      <c r="F11" s="1018"/>
      <c r="G11" s="1018"/>
      <c r="H11" s="1018"/>
      <c r="I11" s="280"/>
      <c r="J11" s="280"/>
      <c r="K11" s="280"/>
    </row>
    <row r="12" spans="2:22" s="243" customFormat="1">
      <c r="B12" s="281" t="s">
        <v>1536</v>
      </c>
      <c r="C12" s="281"/>
      <c r="D12" s="281"/>
      <c r="E12" s="281"/>
      <c r="F12" s="281"/>
      <c r="G12" s="281"/>
      <c r="H12" s="281"/>
      <c r="I12" s="280"/>
      <c r="J12" s="280"/>
      <c r="K12" s="280"/>
    </row>
    <row r="13" spans="2:22" s="243" customFormat="1">
      <c r="B13" s="1019" t="s">
        <v>486</v>
      </c>
      <c r="C13" s="1019"/>
      <c r="D13" s="1019"/>
      <c r="E13" s="1019"/>
      <c r="F13" s="1019"/>
      <c r="G13" s="1019"/>
      <c r="H13" s="1019"/>
      <c r="I13" s="280"/>
      <c r="J13" s="280"/>
      <c r="K13" s="280"/>
    </row>
    <row r="14" spans="2:22">
      <c r="B14" s="282"/>
      <c r="C14" s="282"/>
      <c r="D14" s="282"/>
      <c r="E14" s="282"/>
      <c r="F14" s="282"/>
      <c r="G14" s="283"/>
      <c r="H14" s="284"/>
    </row>
    <row r="15" spans="2:22">
      <c r="B15" s="285"/>
      <c r="C15" s="285"/>
      <c r="D15" s="285"/>
      <c r="E15" s="191"/>
      <c r="F15" s="191"/>
      <c r="G15" s="191">
        <v>44742</v>
      </c>
      <c r="H15" s="191"/>
      <c r="I15" s="191"/>
      <c r="J15" s="191">
        <v>44377</v>
      </c>
      <c r="L15" s="247"/>
      <c r="N15" s="243"/>
    </row>
    <row r="16" spans="2:22" ht="31.5" customHeight="1">
      <c r="B16" s="1021" t="s">
        <v>57</v>
      </c>
      <c r="C16" s="1021"/>
      <c r="D16" s="1021"/>
      <c r="E16" s="286"/>
      <c r="F16" s="286"/>
      <c r="G16" s="286"/>
      <c r="H16" s="286"/>
      <c r="I16" s="286"/>
      <c r="J16" s="287"/>
      <c r="L16" s="247"/>
      <c r="N16" s="243"/>
    </row>
    <row r="17" spans="2:14" s="290" customFormat="1">
      <c r="B17" s="288" t="s">
        <v>133</v>
      </c>
      <c r="C17" s="288"/>
      <c r="D17" s="288"/>
      <c r="E17" s="289"/>
      <c r="F17" s="289"/>
      <c r="G17" s="289">
        <v>1608472774</v>
      </c>
      <c r="H17" s="289"/>
      <c r="I17" s="289"/>
      <c r="J17" s="289">
        <v>1039318823</v>
      </c>
      <c r="K17" s="291"/>
      <c r="N17" s="291"/>
    </row>
    <row r="18" spans="2:14" s="290" customFormat="1">
      <c r="B18" s="288" t="s">
        <v>58</v>
      </c>
      <c r="C18" s="288"/>
      <c r="D18" s="288"/>
      <c r="E18" s="289"/>
      <c r="F18" s="289"/>
      <c r="G18" s="289">
        <v>-2465026067</v>
      </c>
      <c r="H18" s="289"/>
      <c r="I18" s="289"/>
      <c r="J18" s="289">
        <v>-1713250313</v>
      </c>
      <c r="K18" s="291"/>
      <c r="N18" s="291"/>
    </row>
    <row r="19" spans="2:14" s="290" customFormat="1">
      <c r="B19" s="288" t="s">
        <v>134</v>
      </c>
      <c r="C19" s="288"/>
      <c r="D19" s="288"/>
      <c r="E19" s="289"/>
      <c r="F19" s="289"/>
      <c r="G19" s="289">
        <v>0</v>
      </c>
      <c r="H19" s="289"/>
      <c r="I19" s="289"/>
      <c r="J19" s="289">
        <v>1372483908</v>
      </c>
      <c r="K19" s="291"/>
      <c r="N19" s="291"/>
    </row>
    <row r="20" spans="2:14" s="290" customFormat="1" ht="31.5" customHeight="1">
      <c r="B20" s="1020" t="s">
        <v>59</v>
      </c>
      <c r="C20" s="1020"/>
      <c r="D20" s="1020"/>
      <c r="E20" s="292"/>
      <c r="F20" s="292"/>
      <c r="G20" s="292">
        <v>-856553293</v>
      </c>
      <c r="H20" s="292"/>
      <c r="I20" s="292"/>
      <c r="J20" s="292">
        <v>698552418</v>
      </c>
      <c r="K20" s="291"/>
      <c r="N20" s="291"/>
    </row>
    <row r="21" spans="2:14" s="290" customFormat="1" ht="36">
      <c r="B21" s="293" t="s">
        <v>135</v>
      </c>
      <c r="C21" s="293"/>
      <c r="D21" s="293"/>
      <c r="E21" s="292"/>
      <c r="F21" s="292"/>
      <c r="G21" s="292">
        <v>0</v>
      </c>
      <c r="H21" s="292"/>
      <c r="I21" s="292"/>
      <c r="J21" s="292">
        <v>0</v>
      </c>
      <c r="K21" s="291"/>
      <c r="N21" s="291"/>
    </row>
    <row r="22" spans="2:14" s="290" customFormat="1">
      <c r="B22" s="288" t="s">
        <v>136</v>
      </c>
      <c r="C22" s="288"/>
      <c r="D22" s="293"/>
      <c r="E22" s="292"/>
      <c r="F22" s="292"/>
      <c r="G22" s="292">
        <v>0</v>
      </c>
      <c r="H22" s="292"/>
      <c r="I22" s="292"/>
      <c r="J22" s="292">
        <v>0</v>
      </c>
      <c r="K22" s="291"/>
      <c r="N22" s="291"/>
    </row>
    <row r="23" spans="2:14" s="290" customFormat="1">
      <c r="B23" s="293" t="s">
        <v>137</v>
      </c>
      <c r="C23" s="293"/>
      <c r="D23" s="293"/>
      <c r="E23" s="292"/>
      <c r="F23" s="292"/>
      <c r="G23" s="292">
        <v>-2469034333</v>
      </c>
      <c r="H23" s="292"/>
      <c r="I23" s="292"/>
      <c r="J23" s="292">
        <v>0</v>
      </c>
      <c r="K23" s="291"/>
      <c r="N23" s="291"/>
    </row>
    <row r="24" spans="2:14" s="290" customFormat="1">
      <c r="B24" s="288" t="s">
        <v>60</v>
      </c>
      <c r="C24" s="288"/>
      <c r="D24" s="293"/>
      <c r="E24" s="289"/>
      <c r="F24" s="289"/>
      <c r="G24" s="289">
        <v>-2469034333</v>
      </c>
      <c r="H24" s="289"/>
      <c r="I24" s="289"/>
      <c r="J24" s="289">
        <v>0</v>
      </c>
      <c r="K24" s="311"/>
      <c r="N24" s="291"/>
    </row>
    <row r="25" spans="2:14" s="290" customFormat="1">
      <c r="B25" s="1020" t="s">
        <v>138</v>
      </c>
      <c r="C25" s="1020"/>
      <c r="D25" s="1020"/>
      <c r="E25" s="292"/>
      <c r="F25" s="292"/>
      <c r="G25" s="292">
        <v>-3325587626</v>
      </c>
      <c r="H25" s="292"/>
      <c r="I25" s="292"/>
      <c r="J25" s="292">
        <v>698552418</v>
      </c>
      <c r="K25" s="311"/>
      <c r="N25" s="291"/>
    </row>
    <row r="26" spans="2:14" s="290" customFormat="1">
      <c r="B26" s="288" t="s">
        <v>77</v>
      </c>
      <c r="C26" s="288"/>
      <c r="D26" s="293"/>
      <c r="E26" s="289"/>
      <c r="F26" s="289"/>
      <c r="G26" s="289">
        <v>-10339406</v>
      </c>
      <c r="H26" s="289"/>
      <c r="I26" s="289"/>
      <c r="J26" s="289">
        <v>-142679596</v>
      </c>
      <c r="K26" s="311"/>
      <c r="N26" s="291"/>
    </row>
    <row r="27" spans="2:14" s="290" customFormat="1">
      <c r="B27" s="293" t="s">
        <v>61</v>
      </c>
      <c r="C27" s="293"/>
      <c r="D27" s="293"/>
      <c r="E27" s="292"/>
      <c r="F27" s="292"/>
      <c r="G27" s="292">
        <v>-3335927032</v>
      </c>
      <c r="H27" s="292"/>
      <c r="I27" s="292"/>
      <c r="J27" s="292">
        <v>555872822</v>
      </c>
      <c r="K27" s="311"/>
      <c r="N27" s="291"/>
    </row>
    <row r="28" spans="2:14" s="290" customFormat="1">
      <c r="B28" s="293"/>
      <c r="C28" s="293"/>
      <c r="D28" s="293"/>
      <c r="E28" s="292"/>
      <c r="F28" s="292"/>
      <c r="G28" s="292"/>
      <c r="H28" s="292"/>
      <c r="I28" s="292"/>
      <c r="J28" s="292"/>
      <c r="K28" s="311"/>
      <c r="N28" s="291"/>
    </row>
    <row r="29" spans="2:14" s="290" customFormat="1" ht="31.5" customHeight="1">
      <c r="B29" s="1021" t="s">
        <v>62</v>
      </c>
      <c r="C29" s="1021"/>
      <c r="D29" s="1021"/>
      <c r="E29" s="294"/>
      <c r="F29" s="294"/>
      <c r="G29" s="294"/>
      <c r="H29" s="294"/>
      <c r="I29" s="294"/>
      <c r="J29" s="294"/>
      <c r="K29" s="311"/>
      <c r="N29" s="291"/>
    </row>
    <row r="30" spans="2:14" s="290" customFormat="1">
      <c r="B30" s="295" t="s">
        <v>139</v>
      </c>
      <c r="C30" s="295"/>
      <c r="D30" s="293"/>
      <c r="E30" s="289"/>
      <c r="F30" s="289"/>
      <c r="G30" s="289">
        <v>0</v>
      </c>
      <c r="H30" s="289"/>
      <c r="I30" s="289"/>
      <c r="J30" s="289">
        <v>0</v>
      </c>
      <c r="K30" s="311"/>
      <c r="N30" s="291"/>
    </row>
    <row r="31" spans="2:14" s="290" customFormat="1">
      <c r="B31" s="295" t="s">
        <v>140</v>
      </c>
      <c r="C31" s="295"/>
      <c r="D31" s="293"/>
      <c r="E31" s="289"/>
      <c r="F31" s="289"/>
      <c r="G31" s="289">
        <v>0</v>
      </c>
      <c r="H31" s="289"/>
      <c r="I31" s="289"/>
      <c r="J31" s="289">
        <v>0</v>
      </c>
      <c r="K31" s="311"/>
      <c r="N31" s="291"/>
    </row>
    <row r="32" spans="2:14" s="290" customFormat="1">
      <c r="B32" s="295" t="s">
        <v>141</v>
      </c>
      <c r="C32" s="295"/>
      <c r="D32" s="293"/>
      <c r="E32" s="289"/>
      <c r="F32" s="289"/>
      <c r="G32" s="289">
        <v>0</v>
      </c>
      <c r="H32" s="289"/>
      <c r="I32" s="289"/>
      <c r="J32" s="289">
        <v>0</v>
      </c>
      <c r="K32" s="311"/>
      <c r="N32" s="291"/>
    </row>
    <row r="33" spans="2:14" s="290" customFormat="1">
      <c r="B33" s="288" t="s">
        <v>854</v>
      </c>
      <c r="C33" s="288"/>
      <c r="D33" s="288"/>
      <c r="E33" s="289"/>
      <c r="F33" s="289"/>
      <c r="G33" s="289">
        <v>-112384403</v>
      </c>
      <c r="H33" s="289"/>
      <c r="I33" s="289"/>
      <c r="J33" s="289">
        <v>-976577674</v>
      </c>
      <c r="K33" s="311"/>
      <c r="N33" s="291"/>
    </row>
    <row r="34" spans="2:14" s="290" customFormat="1">
      <c r="B34" s="1023" t="s">
        <v>1529</v>
      </c>
      <c r="C34" s="1023"/>
      <c r="D34" s="1023"/>
      <c r="E34" s="289"/>
      <c r="F34" s="289"/>
      <c r="G34" s="289">
        <v>-12262262911</v>
      </c>
      <c r="H34" s="289"/>
      <c r="I34" s="289"/>
      <c r="J34" s="289">
        <v>864634152</v>
      </c>
      <c r="K34" s="311"/>
      <c r="N34" s="291"/>
    </row>
    <row r="35" spans="2:14" s="290" customFormat="1">
      <c r="B35" s="288" t="s">
        <v>143</v>
      </c>
      <c r="C35" s="288"/>
      <c r="D35" s="288"/>
      <c r="E35" s="289"/>
      <c r="F35" s="289"/>
      <c r="G35" s="289">
        <v>2998727008</v>
      </c>
      <c r="H35" s="289"/>
      <c r="I35" s="289"/>
      <c r="J35" s="289">
        <v>366304648</v>
      </c>
      <c r="K35" s="291"/>
      <c r="N35" s="291"/>
    </row>
    <row r="36" spans="2:14" s="290" customFormat="1" ht="15.6" customHeight="1">
      <c r="B36" s="288" t="s">
        <v>64</v>
      </c>
      <c r="C36" s="288"/>
      <c r="D36" s="288"/>
      <c r="E36" s="289"/>
      <c r="F36" s="289"/>
      <c r="G36" s="289">
        <v>0</v>
      </c>
      <c r="H36" s="289"/>
      <c r="I36" s="289"/>
      <c r="J36" s="289">
        <v>0</v>
      </c>
      <c r="K36" s="291"/>
      <c r="N36" s="291"/>
    </row>
    <row r="37" spans="2:14" s="290" customFormat="1">
      <c r="B37" s="288" t="s">
        <v>144</v>
      </c>
      <c r="C37" s="288"/>
      <c r="D37" s="288"/>
      <c r="E37" s="289"/>
      <c r="F37" s="289"/>
      <c r="G37" s="289">
        <v>0</v>
      </c>
      <c r="H37" s="289"/>
      <c r="I37" s="289"/>
      <c r="J37" s="289">
        <v>1369315</v>
      </c>
      <c r="K37" s="291"/>
      <c r="N37" s="291"/>
    </row>
    <row r="38" spans="2:14" s="290" customFormat="1">
      <c r="B38" s="296" t="s">
        <v>145</v>
      </c>
      <c r="C38" s="293"/>
      <c r="D38" s="293"/>
      <c r="E38" s="292"/>
      <c r="F38" s="292"/>
      <c r="G38" s="292">
        <v>-9375920306</v>
      </c>
      <c r="H38" s="292"/>
      <c r="I38" s="292"/>
      <c r="J38" s="292">
        <v>255730441</v>
      </c>
      <c r="K38" s="291"/>
      <c r="N38" s="291"/>
    </row>
    <row r="39" spans="2:14" s="290" customFormat="1" ht="7.5" customHeight="1">
      <c r="B39" s="293"/>
      <c r="C39" s="293"/>
      <c r="D39" s="293"/>
      <c r="E39" s="289"/>
      <c r="F39" s="289"/>
      <c r="G39" s="289"/>
      <c r="H39" s="289"/>
      <c r="I39" s="289"/>
      <c r="J39" s="289"/>
      <c r="K39" s="291"/>
      <c r="N39" s="291"/>
    </row>
    <row r="40" spans="2:14" s="290" customFormat="1" ht="31.5" customHeight="1">
      <c r="B40" s="1021" t="s">
        <v>65</v>
      </c>
      <c r="C40" s="1021"/>
      <c r="D40" s="1021"/>
      <c r="E40" s="289"/>
      <c r="F40" s="289"/>
      <c r="G40" s="289"/>
      <c r="H40" s="289"/>
      <c r="I40" s="289"/>
      <c r="J40" s="289"/>
      <c r="K40" s="291"/>
      <c r="N40" s="291"/>
    </row>
    <row r="41" spans="2:14" s="290" customFormat="1">
      <c r="B41" s="288" t="s">
        <v>146</v>
      </c>
      <c r="C41" s="288"/>
      <c r="D41" s="288"/>
      <c r="E41" s="289"/>
      <c r="F41" s="289"/>
      <c r="G41" s="289">
        <v>0</v>
      </c>
      <c r="H41" s="289"/>
      <c r="I41" s="289"/>
      <c r="J41" s="289">
        <v>5000000000</v>
      </c>
      <c r="K41" s="291"/>
      <c r="N41" s="291"/>
    </row>
    <row r="42" spans="2:14" s="290" customFormat="1">
      <c r="B42" s="288" t="s">
        <v>66</v>
      </c>
      <c r="C42" s="288"/>
      <c r="D42" s="288"/>
      <c r="E42" s="289"/>
      <c r="F42" s="289"/>
      <c r="G42" s="289">
        <v>11595829017</v>
      </c>
      <c r="H42" s="289"/>
      <c r="I42" s="289"/>
      <c r="J42" s="289">
        <v>-975825374</v>
      </c>
      <c r="K42" s="291"/>
      <c r="N42" s="291"/>
    </row>
    <row r="43" spans="2:14" s="290" customFormat="1">
      <c r="B43" s="288" t="s">
        <v>147</v>
      </c>
      <c r="C43" s="288"/>
      <c r="D43" s="288"/>
      <c r="E43" s="289"/>
      <c r="F43" s="289"/>
      <c r="G43" s="289">
        <v>0</v>
      </c>
      <c r="H43" s="289"/>
      <c r="I43" s="289"/>
      <c r="J43" s="289">
        <v>0</v>
      </c>
      <c r="K43" s="312"/>
      <c r="N43" s="291"/>
    </row>
    <row r="44" spans="2:14" s="290" customFormat="1">
      <c r="B44" s="288" t="s">
        <v>76</v>
      </c>
      <c r="C44" s="288"/>
      <c r="D44" s="288"/>
      <c r="E44" s="289"/>
      <c r="F44" s="289"/>
      <c r="G44" s="289">
        <v>-254263541</v>
      </c>
      <c r="H44" s="289"/>
      <c r="I44" s="289"/>
      <c r="J44" s="289">
        <v>-148301269</v>
      </c>
      <c r="K44" s="313"/>
      <c r="N44" s="291"/>
    </row>
    <row r="45" spans="2:14" s="290" customFormat="1">
      <c r="B45" s="293" t="s">
        <v>67</v>
      </c>
      <c r="C45" s="293"/>
      <c r="D45" s="293"/>
      <c r="E45" s="292"/>
      <c r="F45" s="292"/>
      <c r="G45" s="292">
        <v>11341565476</v>
      </c>
      <c r="H45" s="292"/>
      <c r="I45" s="292"/>
      <c r="J45" s="292">
        <v>3875873357</v>
      </c>
      <c r="K45" s="313"/>
      <c r="L45" s="297"/>
      <c r="M45" s="297"/>
      <c r="N45" s="298"/>
    </row>
    <row r="46" spans="2:14" s="290" customFormat="1" ht="9.6" customHeight="1">
      <c r="B46" s="293"/>
      <c r="C46" s="293"/>
      <c r="D46" s="293"/>
      <c r="E46" s="292"/>
      <c r="F46" s="292"/>
      <c r="G46" s="292"/>
      <c r="H46" s="292"/>
      <c r="I46" s="292"/>
      <c r="J46" s="294"/>
      <c r="K46" s="313"/>
      <c r="L46" s="297"/>
      <c r="M46" s="297"/>
      <c r="N46" s="298"/>
    </row>
    <row r="47" spans="2:14" s="290" customFormat="1">
      <c r="B47" s="288" t="s">
        <v>282</v>
      </c>
      <c r="C47" s="288"/>
      <c r="D47" s="288"/>
      <c r="E47" s="289"/>
      <c r="F47" s="289"/>
      <c r="G47" s="289">
        <v>-168772165</v>
      </c>
      <c r="H47" s="289"/>
      <c r="I47" s="289"/>
      <c r="J47" s="289">
        <v>-36663276</v>
      </c>
      <c r="K47" s="313"/>
      <c r="N47" s="291"/>
    </row>
    <row r="48" spans="2:14" s="290" customFormat="1" ht="9" customHeight="1">
      <c r="B48" s="288"/>
      <c r="C48" s="288"/>
      <c r="D48" s="288"/>
      <c r="E48" s="289"/>
      <c r="F48" s="289"/>
      <c r="G48" s="289"/>
      <c r="H48" s="289"/>
      <c r="I48" s="289"/>
      <c r="J48" s="289"/>
      <c r="K48" s="313"/>
      <c r="N48" s="291"/>
    </row>
    <row r="49" spans="2:14" s="290" customFormat="1">
      <c r="B49" s="1020" t="s">
        <v>68</v>
      </c>
      <c r="C49" s="1020"/>
      <c r="D49" s="1020"/>
      <c r="E49" s="292"/>
      <c r="F49" s="292"/>
      <c r="G49" s="292">
        <v>-1539054027</v>
      </c>
      <c r="H49" s="292"/>
      <c r="I49" s="292"/>
      <c r="J49" s="292">
        <v>4650813344</v>
      </c>
      <c r="K49" s="291"/>
      <c r="L49" s="297"/>
      <c r="M49" s="297"/>
      <c r="N49" s="298"/>
    </row>
    <row r="50" spans="2:14" s="290" customFormat="1">
      <c r="B50" s="293" t="s">
        <v>69</v>
      </c>
      <c r="C50" s="293"/>
      <c r="D50" s="293"/>
      <c r="E50" s="289"/>
      <c r="F50" s="289"/>
      <c r="G50" s="289">
        <v>2889773997</v>
      </c>
      <c r="H50" s="289"/>
      <c r="I50" s="289"/>
      <c r="J50" s="289">
        <v>662968891</v>
      </c>
      <c r="K50" s="291"/>
      <c r="L50" s="297"/>
      <c r="M50" s="297"/>
      <c r="N50" s="298"/>
    </row>
    <row r="51" spans="2:14" s="290" customFormat="1">
      <c r="B51" s="293" t="s">
        <v>603</v>
      </c>
      <c r="C51" s="293"/>
      <c r="D51" s="293"/>
      <c r="E51" s="292"/>
      <c r="F51" s="292"/>
      <c r="G51" s="292">
        <v>1350719970</v>
      </c>
      <c r="H51" s="292"/>
      <c r="I51" s="292"/>
      <c r="J51" s="292">
        <v>5313782235</v>
      </c>
      <c r="K51" s="291"/>
      <c r="L51" s="792">
        <v>0</v>
      </c>
      <c r="M51" s="792"/>
      <c r="N51" s="298"/>
    </row>
    <row r="52" spans="2:14" s="290" customFormat="1">
      <c r="B52" s="293"/>
      <c r="C52" s="293"/>
      <c r="D52" s="293"/>
      <c r="E52" s="299"/>
      <c r="F52" s="299"/>
      <c r="G52" s="299"/>
      <c r="H52" s="299"/>
      <c r="I52" s="299"/>
      <c r="J52" s="299"/>
      <c r="K52" s="291"/>
      <c r="L52" s="300"/>
      <c r="N52" s="298"/>
    </row>
    <row r="53" spans="2:14" s="290" customFormat="1">
      <c r="B53" s="301"/>
      <c r="J53" s="300"/>
      <c r="K53" s="291"/>
      <c r="L53" s="298"/>
    </row>
    <row r="54" spans="2:14" s="290" customFormat="1" ht="9" customHeight="1">
      <c r="B54" s="301"/>
      <c r="J54" s="300"/>
      <c r="K54" s="291"/>
      <c r="L54" s="298"/>
    </row>
    <row r="55" spans="2:14" s="290" customFormat="1">
      <c r="B55" s="1022" t="s">
        <v>549</v>
      </c>
      <c r="C55" s="1022"/>
      <c r="D55" s="1022"/>
      <c r="E55" s="1022"/>
      <c r="F55" s="1022"/>
      <c r="G55" s="1022"/>
      <c r="J55" s="302"/>
      <c r="K55" s="314"/>
      <c r="L55" s="298"/>
    </row>
    <row r="56" spans="2:14" s="290" customFormat="1">
      <c r="B56" s="303"/>
      <c r="C56" s="303"/>
      <c r="D56" s="303"/>
      <c r="E56" s="303"/>
      <c r="F56" s="303"/>
      <c r="G56" s="303"/>
      <c r="J56" s="302"/>
      <c r="K56" s="314"/>
      <c r="L56" s="298"/>
    </row>
    <row r="57" spans="2:14" s="290" customFormat="1">
      <c r="B57" s="303"/>
      <c r="C57" s="303"/>
      <c r="D57" s="303"/>
      <c r="E57" s="303"/>
      <c r="F57" s="303"/>
      <c r="G57" s="303"/>
      <c r="J57" s="302"/>
      <c r="K57" s="314"/>
      <c r="L57" s="298"/>
    </row>
    <row r="58" spans="2:14">
      <c r="E58" s="247"/>
      <c r="F58" s="305"/>
      <c r="G58" s="247"/>
      <c r="J58" s="306"/>
      <c r="K58" s="307"/>
      <c r="L58" s="307"/>
    </row>
    <row r="59" spans="2:14">
      <c r="E59" s="308"/>
      <c r="F59" s="309"/>
      <c r="G59" s="247"/>
      <c r="H59" s="284"/>
      <c r="J59" s="290"/>
    </row>
    <row r="60" spans="2:14">
      <c r="E60" s="247"/>
      <c r="F60" s="305"/>
      <c r="G60" s="247"/>
      <c r="H60" s="284"/>
      <c r="J60" s="290"/>
    </row>
    <row r="61" spans="2:14" s="276" customFormat="1" ht="16.8">
      <c r="B61" s="717" t="s">
        <v>266</v>
      </c>
      <c r="E61" s="717"/>
      <c r="F61" s="587"/>
      <c r="H61" s="718" t="s">
        <v>488</v>
      </c>
      <c r="J61" s="260"/>
      <c r="K61" s="245"/>
      <c r="L61" s="245"/>
    </row>
    <row r="62" spans="2:14" s="276" customFormat="1" ht="16.8">
      <c r="B62" s="719" t="s">
        <v>1846</v>
      </c>
      <c r="E62" s="719"/>
      <c r="F62" s="720"/>
      <c r="H62" s="719" t="s">
        <v>264</v>
      </c>
      <c r="J62" s="260"/>
      <c r="K62" s="245"/>
      <c r="L62" s="245"/>
    </row>
    <row r="63" spans="2:14">
      <c r="B63" s="304"/>
    </row>
    <row r="70" spans="2:2">
      <c r="B70" s="795"/>
    </row>
    <row r="71" spans="2:2">
      <c r="B71" s="796"/>
    </row>
    <row r="72" spans="2:2">
      <c r="B72" s="797"/>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5">
    <mergeCell ref="B13:H13"/>
    <mergeCell ref="B11:H11"/>
    <mergeCell ref="B49:D49"/>
    <mergeCell ref="B16:D16"/>
    <mergeCell ref="B55:G55"/>
    <mergeCell ref="B20:D20"/>
    <mergeCell ref="B25:D25"/>
    <mergeCell ref="B34:D34"/>
    <mergeCell ref="B40:D40"/>
    <mergeCell ref="B29:D29"/>
    <mergeCell ref="B3:K3"/>
    <mergeCell ref="B4:K4"/>
    <mergeCell ref="B5:K5"/>
    <mergeCell ref="B6:K6"/>
    <mergeCell ref="B10:H10"/>
  </mergeCells>
  <hyperlinks>
    <hyperlink ref="J9" location="INDICE!A1" display="Índice" xr:uid="{2923E5CC-2033-4C69-824A-361139E57F5F}"/>
  </hyperlinks>
  <pageMargins left="0.7" right="0.7" top="0.75" bottom="0.75" header="0.3" footer="0.3"/>
  <pageSetup paperSize="9" scale="30" fitToHeight="0"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Q79"/>
  <sheetViews>
    <sheetView showGridLines="0" topLeftCell="A10" zoomScale="70" zoomScaleNormal="70" zoomScaleSheetLayoutView="80" workbookViewId="0">
      <selection activeCell="B35" sqref="B35"/>
    </sheetView>
  </sheetViews>
  <sheetFormatPr baseColWidth="10" defaultColWidth="11.44140625" defaultRowHeight="15.6"/>
  <cols>
    <col min="1" max="1" width="1.88671875" style="156" customWidth="1"/>
    <col min="2" max="2" width="37.6640625" style="155" customWidth="1"/>
    <col min="3" max="4" width="16.6640625" style="156" customWidth="1"/>
    <col min="5" max="5" width="18.109375" style="156" bestFit="1" customWidth="1"/>
    <col min="6" max="11" width="16.6640625" style="156" customWidth="1"/>
    <col min="12" max="13" width="17.88671875" style="156" bestFit="1" customWidth="1"/>
    <col min="14" max="14" width="18.88671875" style="156" bestFit="1" customWidth="1"/>
    <col min="15" max="15" width="15.109375" style="156" bestFit="1" customWidth="1"/>
    <col min="16" max="16" width="15.44140625" style="156" bestFit="1" customWidth="1"/>
    <col min="17" max="17" width="21.88671875" style="156" bestFit="1" customWidth="1"/>
    <col min="18" max="16384" width="11.44140625" style="156"/>
  </cols>
  <sheetData>
    <row r="1" spans="2:16" s="160" customFormat="1" ht="10.199999999999999" customHeight="1">
      <c r="B1" s="246"/>
      <c r="C1" s="246"/>
      <c r="D1" s="246"/>
      <c r="E1" s="246"/>
      <c r="F1" s="246"/>
      <c r="G1" s="246"/>
      <c r="H1" s="246"/>
      <c r="I1" s="246"/>
      <c r="J1" s="246"/>
      <c r="K1" s="246"/>
      <c r="L1" s="246"/>
      <c r="O1" s="161"/>
      <c r="P1" s="161"/>
    </row>
    <row r="2" spans="2:16" s="160" customFormat="1" ht="18">
      <c r="B2" s="721"/>
      <c r="C2" s="721"/>
      <c r="D2" s="721"/>
      <c r="E2" s="721"/>
      <c r="F2" s="721"/>
      <c r="G2" s="721"/>
      <c r="H2" s="721"/>
      <c r="I2" s="721"/>
      <c r="J2" s="721"/>
      <c r="K2" s="721"/>
      <c r="L2" s="721"/>
      <c r="M2" s="721"/>
      <c r="N2" s="721"/>
      <c r="O2" s="721"/>
      <c r="P2" s="721"/>
    </row>
    <row r="3" spans="2:16" s="160" customFormat="1" ht="18">
      <c r="B3" s="982"/>
      <c r="C3" s="982"/>
      <c r="D3" s="982"/>
      <c r="E3" s="982"/>
      <c r="F3" s="982"/>
      <c r="G3" s="982"/>
      <c r="H3" s="982"/>
      <c r="I3" s="982"/>
      <c r="J3" s="982"/>
      <c r="K3" s="982"/>
      <c r="L3" s="982"/>
      <c r="M3" s="982"/>
      <c r="O3" s="161"/>
      <c r="P3" s="161"/>
    </row>
    <row r="4" spans="2:16" s="160" customFormat="1" ht="18">
      <c r="B4" s="982"/>
      <c r="C4" s="982"/>
      <c r="D4" s="982"/>
      <c r="E4" s="982"/>
      <c r="F4" s="982"/>
      <c r="G4" s="982"/>
      <c r="H4" s="982"/>
      <c r="I4" s="982"/>
      <c r="J4" s="982"/>
      <c r="K4" s="982"/>
      <c r="L4" s="982"/>
      <c r="M4" s="982"/>
      <c r="O4" s="161"/>
      <c r="P4" s="161"/>
    </row>
    <row r="5" spans="2:16" s="160" customFormat="1" ht="18">
      <c r="B5" s="982"/>
      <c r="C5" s="982"/>
      <c r="D5" s="982"/>
      <c r="E5" s="982"/>
      <c r="F5" s="982"/>
      <c r="G5" s="982"/>
      <c r="H5" s="982"/>
      <c r="I5" s="982"/>
      <c r="J5" s="982"/>
      <c r="K5" s="982"/>
      <c r="L5" s="982"/>
      <c r="M5" s="982"/>
      <c r="O5" s="161"/>
      <c r="P5" s="161"/>
    </row>
    <row r="6" spans="2:16" s="160" customFormat="1" ht="18">
      <c r="B6" s="982"/>
      <c r="C6" s="982"/>
      <c r="D6" s="982"/>
      <c r="E6" s="982"/>
      <c r="F6" s="982"/>
      <c r="G6" s="982"/>
      <c r="H6" s="982"/>
      <c r="I6" s="982"/>
      <c r="J6" s="982"/>
      <c r="K6" s="982"/>
      <c r="L6" s="982"/>
      <c r="M6" s="982"/>
      <c r="O6" s="161"/>
      <c r="P6" s="161"/>
    </row>
    <row r="7" spans="2:16" s="160" customFormat="1" ht="20.399999999999999" customHeight="1">
      <c r="B7" s="158"/>
      <c r="C7" s="158"/>
      <c r="D7" s="158"/>
      <c r="E7" s="158"/>
      <c r="F7" s="158"/>
      <c r="G7" s="158"/>
      <c r="H7" s="158"/>
      <c r="I7" s="158"/>
      <c r="J7" s="158"/>
      <c r="K7" s="158"/>
      <c r="L7" s="158"/>
      <c r="M7" s="158"/>
      <c r="N7" s="158"/>
      <c r="O7" s="158"/>
      <c r="P7" s="158"/>
    </row>
    <row r="8" spans="2:16" s="160" customFormat="1" ht="18.600000000000001" customHeight="1">
      <c r="B8" s="152"/>
      <c r="C8" s="152"/>
      <c r="D8" s="152"/>
      <c r="E8" s="152"/>
      <c r="F8" s="152"/>
      <c r="G8" s="152"/>
      <c r="H8" s="152"/>
      <c r="I8" s="152"/>
      <c r="J8" s="152"/>
      <c r="K8" s="152"/>
      <c r="L8" s="152"/>
      <c r="O8" s="161"/>
      <c r="P8" s="161"/>
    </row>
    <row r="9" spans="2:16" s="243" customFormat="1" ht="18">
      <c r="B9" s="1027" t="s">
        <v>481</v>
      </c>
      <c r="C9" s="1027"/>
      <c r="D9" s="1027"/>
      <c r="E9" s="1027"/>
      <c r="F9" s="1027"/>
      <c r="G9" s="1027"/>
      <c r="H9" s="1027"/>
      <c r="I9" s="1027"/>
      <c r="J9" s="1027"/>
      <c r="K9" s="1027"/>
      <c r="L9" s="1027"/>
      <c r="M9" s="1027"/>
      <c r="N9" s="244" t="s">
        <v>1170</v>
      </c>
    </row>
    <row r="10" spans="2:16" s="245" customFormat="1" ht="16.8">
      <c r="B10" s="1028" t="s">
        <v>489</v>
      </c>
      <c r="C10" s="1028"/>
      <c r="D10" s="1028"/>
      <c r="E10" s="1028"/>
      <c r="F10" s="1028"/>
      <c r="G10" s="1028"/>
      <c r="H10" s="1028"/>
      <c r="I10" s="1028"/>
      <c r="J10" s="1028"/>
      <c r="K10" s="1028"/>
      <c r="L10" s="1028"/>
      <c r="M10" s="1028"/>
    </row>
    <row r="11" spans="2:16" s="245" customFormat="1" ht="16.8">
      <c r="B11" s="1029" t="s">
        <v>1536</v>
      </c>
      <c r="C11" s="1030"/>
      <c r="D11" s="1030"/>
      <c r="E11" s="1030"/>
      <c r="F11" s="1030"/>
      <c r="G11" s="1030"/>
      <c r="H11" s="1030"/>
      <c r="I11" s="1030"/>
      <c r="J11" s="1030"/>
      <c r="K11" s="1030"/>
      <c r="L11" s="1030"/>
      <c r="M11" s="1030"/>
    </row>
    <row r="12" spans="2:16" s="154" customFormat="1">
      <c r="B12" s="1026" t="s">
        <v>486</v>
      </c>
      <c r="C12" s="1026"/>
      <c r="D12" s="1026"/>
      <c r="E12" s="1026"/>
      <c r="F12" s="1026"/>
      <c r="G12" s="1026"/>
      <c r="H12" s="1026"/>
      <c r="I12" s="1026"/>
      <c r="J12" s="1026"/>
      <c r="K12" s="1026"/>
      <c r="L12" s="1026"/>
      <c r="M12" s="1026"/>
    </row>
    <row r="13" spans="2:16" s="154" customFormat="1">
      <c r="B13" s="232"/>
      <c r="C13" s="233"/>
      <c r="D13" s="233"/>
      <c r="E13" s="233"/>
      <c r="F13" s="233"/>
      <c r="G13" s="233"/>
      <c r="H13" s="233"/>
      <c r="I13" s="233"/>
      <c r="J13" s="233"/>
      <c r="K13" s="233"/>
      <c r="L13" s="233"/>
      <c r="M13" s="233"/>
    </row>
    <row r="14" spans="2:16" s="157" customFormat="1" ht="31.5" customHeight="1">
      <c r="B14" s="1025" t="s">
        <v>55</v>
      </c>
      <c r="C14" s="1025" t="s">
        <v>11</v>
      </c>
      <c r="D14" s="1025"/>
      <c r="E14" s="1025"/>
      <c r="F14" s="1025" t="s">
        <v>477</v>
      </c>
      <c r="G14" s="1025" t="s">
        <v>12</v>
      </c>
      <c r="H14" s="1025"/>
      <c r="I14" s="1025"/>
      <c r="J14" s="1025" t="s">
        <v>129</v>
      </c>
      <c r="K14" s="1025"/>
      <c r="L14" s="1031" t="s">
        <v>22</v>
      </c>
      <c r="M14" s="1031"/>
      <c r="N14" s="260"/>
    </row>
    <row r="15" spans="2:16" s="157" customFormat="1" ht="30" customHeight="1">
      <c r="B15" s="1025"/>
      <c r="C15" s="261" t="s">
        <v>123</v>
      </c>
      <c r="D15" s="261" t="s">
        <v>124</v>
      </c>
      <c r="E15" s="261" t="s">
        <v>125</v>
      </c>
      <c r="F15" s="1025"/>
      <c r="G15" s="261" t="s">
        <v>126</v>
      </c>
      <c r="H15" s="261" t="s">
        <v>127</v>
      </c>
      <c r="I15" s="261" t="s">
        <v>128</v>
      </c>
      <c r="J15" s="261" t="s">
        <v>130</v>
      </c>
      <c r="K15" s="261" t="s">
        <v>131</v>
      </c>
      <c r="L15" s="262">
        <v>44742</v>
      </c>
      <c r="M15" s="262">
        <v>44377</v>
      </c>
      <c r="N15" s="260"/>
    </row>
    <row r="16" spans="2:16" s="234" customFormat="1" ht="30" customHeight="1">
      <c r="B16" s="263" t="s">
        <v>480</v>
      </c>
      <c r="C16" s="264">
        <v>30000000000</v>
      </c>
      <c r="D16" s="264">
        <v>-5000000000</v>
      </c>
      <c r="E16" s="265">
        <v>27560000000</v>
      </c>
      <c r="F16" s="265">
        <v>150000000</v>
      </c>
      <c r="G16" s="265">
        <v>135603954</v>
      </c>
      <c r="H16" s="265">
        <v>305172</v>
      </c>
      <c r="I16" s="265">
        <v>0</v>
      </c>
      <c r="J16" s="265">
        <v>0</v>
      </c>
      <c r="K16" s="265">
        <v>2497475898</v>
      </c>
      <c r="L16" s="266">
        <v>30343385024</v>
      </c>
      <c r="M16" s="267">
        <v>12796909126</v>
      </c>
      <c r="N16" s="268">
        <v>0</v>
      </c>
      <c r="O16" s="235"/>
    </row>
    <row r="17" spans="2:17" s="234" customFormat="1" ht="30" customHeight="1">
      <c r="B17" s="269" t="s">
        <v>132</v>
      </c>
      <c r="C17" s="264"/>
      <c r="D17" s="264"/>
      <c r="E17" s="264"/>
      <c r="F17" s="264"/>
      <c r="G17" s="264"/>
      <c r="H17" s="264"/>
      <c r="I17" s="264"/>
      <c r="J17" s="264"/>
      <c r="K17" s="264"/>
      <c r="L17" s="266"/>
      <c r="M17" s="267"/>
      <c r="N17" s="270"/>
      <c r="P17" s="236"/>
    </row>
    <row r="18" spans="2:17" s="237" customFormat="1" ht="30" customHeight="1">
      <c r="B18" s="271" t="s">
        <v>482</v>
      </c>
      <c r="C18" s="264">
        <v>0</v>
      </c>
      <c r="D18" s="264">
        <v>0</v>
      </c>
      <c r="E18" s="264">
        <v>0</v>
      </c>
      <c r="F18" s="264">
        <v>0</v>
      </c>
      <c r="G18" s="264">
        <v>0</v>
      </c>
      <c r="H18" s="264">
        <v>0</v>
      </c>
      <c r="I18" s="264">
        <v>0</v>
      </c>
      <c r="J18" s="264">
        <v>0</v>
      </c>
      <c r="K18" s="264">
        <v>0</v>
      </c>
      <c r="L18" s="266">
        <v>0</v>
      </c>
      <c r="M18" s="267">
        <v>5000000000</v>
      </c>
      <c r="N18" s="272"/>
      <c r="P18" s="238"/>
    </row>
    <row r="19" spans="2:17" s="237" customFormat="1" ht="30" customHeight="1">
      <c r="B19" s="271" t="s">
        <v>477</v>
      </c>
      <c r="C19" s="264">
        <v>0</v>
      </c>
      <c r="D19" s="264">
        <v>0</v>
      </c>
      <c r="E19" s="264">
        <v>0</v>
      </c>
      <c r="F19" s="264">
        <v>0</v>
      </c>
      <c r="G19" s="264">
        <v>0</v>
      </c>
      <c r="H19" s="264">
        <v>0</v>
      </c>
      <c r="I19" s="264">
        <v>0</v>
      </c>
      <c r="J19" s="264">
        <v>0</v>
      </c>
      <c r="K19" s="264">
        <v>0</v>
      </c>
      <c r="L19" s="266">
        <v>0</v>
      </c>
      <c r="M19" s="267">
        <v>49000000</v>
      </c>
      <c r="N19" s="272"/>
      <c r="P19" s="238"/>
    </row>
    <row r="20" spans="2:17" s="237" customFormat="1" ht="30" customHeight="1">
      <c r="B20" s="271" t="s">
        <v>529</v>
      </c>
      <c r="C20" s="264">
        <v>0</v>
      </c>
      <c r="D20" s="264">
        <v>0</v>
      </c>
      <c r="E20" s="264">
        <v>2372000000</v>
      </c>
      <c r="F20" s="264">
        <v>0</v>
      </c>
      <c r="G20" s="264">
        <v>124873795</v>
      </c>
      <c r="H20" s="264">
        <v>602103</v>
      </c>
      <c r="I20" s="264">
        <v>0</v>
      </c>
      <c r="J20" s="264">
        <v>0</v>
      </c>
      <c r="K20" s="264">
        <v>-2497475898</v>
      </c>
      <c r="L20" s="266">
        <v>0</v>
      </c>
      <c r="M20" s="267">
        <v>0</v>
      </c>
      <c r="N20" s="272"/>
      <c r="P20" s="238"/>
    </row>
    <row r="21" spans="2:17" s="237" customFormat="1" ht="30" customHeight="1">
      <c r="B21" s="263" t="s">
        <v>56</v>
      </c>
      <c r="C21" s="264">
        <v>0</v>
      </c>
      <c r="D21" s="264">
        <v>0</v>
      </c>
      <c r="E21" s="264">
        <v>0</v>
      </c>
      <c r="F21" s="264">
        <v>0</v>
      </c>
      <c r="G21" s="264">
        <v>0</v>
      </c>
      <c r="H21" s="264">
        <v>0</v>
      </c>
      <c r="I21" s="264">
        <v>0</v>
      </c>
      <c r="J21" s="264">
        <v>0</v>
      </c>
      <c r="K21" s="264">
        <v>619971576</v>
      </c>
      <c r="L21" s="266">
        <v>619971576</v>
      </c>
      <c r="M21" s="267">
        <v>1564254645</v>
      </c>
      <c r="N21" s="273"/>
      <c r="P21" s="238"/>
    </row>
    <row r="22" spans="2:17" s="237" customFormat="1" ht="30" customHeight="1">
      <c r="B22" s="269" t="s">
        <v>1538</v>
      </c>
      <c r="C22" s="265">
        <v>30000000000</v>
      </c>
      <c r="D22" s="265">
        <v>-5000000000</v>
      </c>
      <c r="E22" s="265">
        <v>29932000000</v>
      </c>
      <c r="F22" s="265">
        <v>150000000</v>
      </c>
      <c r="G22" s="265">
        <v>260477749</v>
      </c>
      <c r="H22" s="265">
        <v>907275</v>
      </c>
      <c r="I22" s="265">
        <v>0</v>
      </c>
      <c r="J22" s="265">
        <v>0</v>
      </c>
      <c r="K22" s="265">
        <v>619971576</v>
      </c>
      <c r="L22" s="266">
        <v>30963356600</v>
      </c>
      <c r="M22" s="267">
        <v>0</v>
      </c>
      <c r="N22" s="274">
        <v>0</v>
      </c>
      <c r="O22" s="239"/>
    </row>
    <row r="23" spans="2:17" s="237" customFormat="1" ht="30" customHeight="1">
      <c r="B23" s="269" t="s">
        <v>1537</v>
      </c>
      <c r="C23" s="265">
        <v>15000000000</v>
      </c>
      <c r="D23" s="265">
        <v>-5000000000</v>
      </c>
      <c r="E23" s="265">
        <v>10615000000</v>
      </c>
      <c r="F23" s="265">
        <v>150000000</v>
      </c>
      <c r="G23" s="265">
        <v>32519922</v>
      </c>
      <c r="H23" s="265">
        <v>2818523</v>
      </c>
      <c r="I23" s="265">
        <v>0</v>
      </c>
      <c r="J23" s="265">
        <v>2045570681</v>
      </c>
      <c r="K23" s="265">
        <v>775214118</v>
      </c>
      <c r="L23" s="266">
        <v>0</v>
      </c>
      <c r="M23" s="267">
        <v>19410163771</v>
      </c>
      <c r="N23" s="268">
        <v>0</v>
      </c>
      <c r="O23" s="240"/>
    </row>
    <row r="24" spans="2:17" ht="16.8">
      <c r="B24" s="275"/>
      <c r="C24" s="276"/>
      <c r="D24" s="276"/>
      <c r="E24" s="277">
        <v>0</v>
      </c>
      <c r="F24" s="278">
        <v>0</v>
      </c>
      <c r="G24" s="278">
        <v>0</v>
      </c>
      <c r="H24" s="278">
        <v>0</v>
      </c>
      <c r="I24" s="276"/>
      <c r="J24" s="276"/>
      <c r="K24" s="276"/>
      <c r="L24" s="276"/>
      <c r="M24" s="276"/>
      <c r="N24" s="276"/>
      <c r="Q24" s="242"/>
    </row>
    <row r="25" spans="2:17" ht="16.8">
      <c r="B25" s="1024" t="s">
        <v>549</v>
      </c>
      <c r="C25" s="1024"/>
      <c r="D25" s="1024"/>
      <c r="E25" s="1024"/>
      <c r="F25" s="1024"/>
      <c r="G25" s="1024"/>
      <c r="H25" s="1024"/>
      <c r="I25" s="1024"/>
      <c r="J25" s="1024"/>
      <c r="K25" s="1024"/>
      <c r="L25" s="1024"/>
      <c r="M25" s="1024"/>
      <c r="N25" s="276"/>
      <c r="Q25" s="242"/>
    </row>
    <row r="26" spans="2:17" ht="16.8">
      <c r="B26" s="275"/>
      <c r="C26" s="276"/>
      <c r="D26" s="276"/>
      <c r="E26" s="276"/>
      <c r="F26" s="276"/>
      <c r="G26" s="276"/>
      <c r="H26" s="276"/>
      <c r="I26" s="276"/>
      <c r="J26" s="276"/>
      <c r="K26" s="276"/>
      <c r="L26" s="276"/>
      <c r="M26" s="276"/>
      <c r="N26" s="276"/>
      <c r="Q26" s="242"/>
    </row>
    <row r="27" spans="2:17">
      <c r="Q27" s="242"/>
    </row>
    <row r="28" spans="2:17">
      <c r="Q28" s="242"/>
    </row>
    <row r="29" spans="2:17">
      <c r="Q29" s="242"/>
    </row>
    <row r="30" spans="2:17">
      <c r="Q30" s="242"/>
    </row>
    <row r="31" spans="2:17">
      <c r="Q31" s="242"/>
    </row>
    <row r="32" spans="2:17">
      <c r="L32" s="241"/>
      <c r="Q32" s="242"/>
    </row>
    <row r="33" spans="2:17">
      <c r="Q33" s="242"/>
    </row>
    <row r="34" spans="2:17" s="276" customFormat="1" ht="16.8">
      <c r="B34" s="717" t="s">
        <v>266</v>
      </c>
      <c r="D34" s="717"/>
      <c r="F34" s="587"/>
      <c r="I34" s="717"/>
      <c r="J34" s="260"/>
      <c r="K34" s="245"/>
      <c r="M34" s="718" t="s">
        <v>488</v>
      </c>
    </row>
    <row r="35" spans="2:17" s="276" customFormat="1" ht="16.8">
      <c r="B35" s="719" t="s">
        <v>1846</v>
      </c>
      <c r="D35" s="719"/>
      <c r="F35" s="720"/>
      <c r="I35" s="719"/>
      <c r="J35" s="260"/>
      <c r="K35" s="245"/>
      <c r="M35" s="719" t="s">
        <v>264</v>
      </c>
    </row>
    <row r="44" spans="2:17">
      <c r="B44" s="795"/>
    </row>
    <row r="45" spans="2:17">
      <c r="B45" s="796"/>
    </row>
    <row r="46" spans="2:17">
      <c r="B46" s="797"/>
    </row>
    <row r="79" spans="4:4">
      <c r="D79" s="156">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6">
    <mergeCell ref="B3:M3"/>
    <mergeCell ref="B4:M4"/>
    <mergeCell ref="B5:M5"/>
    <mergeCell ref="B6:M6"/>
    <mergeCell ref="B25:M25"/>
    <mergeCell ref="F14:F15"/>
    <mergeCell ref="B12:G12"/>
    <mergeCell ref="H12:M12"/>
    <mergeCell ref="B9:M9"/>
    <mergeCell ref="B10:M10"/>
    <mergeCell ref="B11:M11"/>
    <mergeCell ref="C14:E14"/>
    <mergeCell ref="G14:I14"/>
    <mergeCell ref="J14:K14"/>
    <mergeCell ref="L14:M14"/>
    <mergeCell ref="B14:B15"/>
  </mergeCells>
  <hyperlinks>
    <hyperlink ref="N9" location="INDICE!A1" display="Índice" xr:uid="{83A0A79E-FAA2-4E1D-B7DB-DEF502477F8B}"/>
  </hyperlinks>
  <pageMargins left="0.25" right="0.25" top="0.75" bottom="0.75" header="0.3" footer="0.3"/>
  <pageSetup scale="47" orientation="portrait"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T333"/>
  <sheetViews>
    <sheetView showGridLines="0" zoomScale="80" zoomScaleNormal="80" zoomScaleSheetLayoutView="90" workbookViewId="0">
      <selection activeCell="B15" sqref="B15:M15"/>
    </sheetView>
  </sheetViews>
  <sheetFormatPr baseColWidth="10" defaultColWidth="11.44140625" defaultRowHeight="18"/>
  <cols>
    <col min="1" max="1" width="3.5546875" style="305" customWidth="1"/>
    <col min="2" max="3" width="11.44140625" style="247"/>
    <col min="4" max="4" width="13.5546875" style="247" bestFit="1" customWidth="1"/>
    <col min="5" max="5" width="15" style="247" customWidth="1"/>
    <col min="6" max="6" width="19.6640625" style="247" customWidth="1"/>
    <col min="7" max="7" width="18" style="247" customWidth="1"/>
    <col min="8" max="8" width="13.109375" style="247" customWidth="1"/>
    <col min="9" max="10" width="11.44140625" style="247"/>
    <col min="11" max="11" width="12.5546875" style="247" customWidth="1"/>
    <col min="12" max="12" width="4.44140625" style="247" customWidth="1"/>
    <col min="13" max="15" width="11.44140625" style="247"/>
    <col min="16" max="16" width="29.5546875" style="316" customWidth="1"/>
    <col min="17" max="16384" width="11.44140625" style="247"/>
  </cols>
  <sheetData>
    <row r="1" spans="1:20" s="218" customFormat="1" ht="10.199999999999999" customHeight="1">
      <c r="B1" s="246"/>
      <c r="C1" s="246"/>
      <c r="D1" s="246"/>
      <c r="E1" s="246"/>
      <c r="F1" s="246"/>
      <c r="G1" s="246"/>
      <c r="H1" s="246"/>
      <c r="I1" s="246"/>
      <c r="J1" s="246"/>
      <c r="K1" s="246"/>
      <c r="L1" s="246"/>
    </row>
    <row r="2" spans="1:20" s="218" customFormat="1">
      <c r="B2" s="721"/>
      <c r="C2" s="721"/>
      <c r="D2" s="721"/>
      <c r="E2" s="721"/>
      <c r="F2" s="721"/>
      <c r="G2" s="721"/>
      <c r="H2" s="721"/>
      <c r="I2" s="721"/>
      <c r="J2" s="721"/>
      <c r="K2" s="721"/>
      <c r="L2" s="721"/>
      <c r="M2" s="721"/>
      <c r="N2" s="721"/>
      <c r="O2" s="721"/>
      <c r="P2" s="721"/>
      <c r="Q2" s="721"/>
      <c r="R2" s="721"/>
      <c r="S2" s="721"/>
      <c r="T2" s="721"/>
    </row>
    <row r="3" spans="1:20" s="218" customFormat="1">
      <c r="B3" s="1037"/>
      <c r="C3" s="1037"/>
      <c r="D3" s="1037"/>
      <c r="E3" s="1037"/>
      <c r="F3" s="1037"/>
      <c r="G3" s="1037"/>
      <c r="H3" s="1037"/>
      <c r="I3" s="1037"/>
      <c r="J3" s="1037"/>
      <c r="K3" s="1037"/>
      <c r="L3" s="1037"/>
      <c r="M3" s="1037"/>
      <c r="N3" s="1037"/>
      <c r="O3" s="1037"/>
      <c r="P3" s="1037"/>
      <c r="Q3" s="1037"/>
      <c r="R3" s="1037"/>
      <c r="S3" s="1037"/>
      <c r="T3" s="1037"/>
    </row>
    <row r="4" spans="1:20" s="218" customFormat="1">
      <c r="B4" s="1037"/>
      <c r="C4" s="1037"/>
      <c r="D4" s="1037"/>
      <c r="E4" s="1037"/>
      <c r="F4" s="1037"/>
      <c r="G4" s="1037"/>
      <c r="H4" s="1037"/>
      <c r="I4" s="1037"/>
      <c r="J4" s="1037"/>
      <c r="K4" s="1037"/>
      <c r="L4" s="1037"/>
      <c r="M4" s="1037"/>
    </row>
    <row r="5" spans="1:20" s="218" customFormat="1">
      <c r="B5" s="1037"/>
      <c r="C5" s="1037"/>
      <c r="D5" s="1037"/>
      <c r="E5" s="1037"/>
      <c r="F5" s="1037"/>
      <c r="G5" s="1037"/>
      <c r="H5" s="1037"/>
      <c r="I5" s="1037"/>
      <c r="J5" s="1037"/>
      <c r="K5" s="1037"/>
      <c r="L5" s="1037"/>
      <c r="M5" s="1037"/>
    </row>
    <row r="6" spans="1:20" s="218" customFormat="1">
      <c r="B6" s="1037"/>
      <c r="C6" s="1037"/>
      <c r="D6" s="1037"/>
      <c r="E6" s="1037"/>
      <c r="F6" s="1037"/>
      <c r="G6" s="1037"/>
      <c r="H6" s="1037"/>
      <c r="I6" s="1037"/>
      <c r="J6" s="1037"/>
      <c r="K6" s="1037"/>
      <c r="L6" s="1037"/>
      <c r="M6" s="1037"/>
    </row>
    <row r="7" spans="1:20" s="218" customFormat="1" ht="20.399999999999999" customHeight="1">
      <c r="B7" s="158"/>
      <c r="C7" s="158"/>
      <c r="D7" s="158"/>
      <c r="E7" s="158"/>
      <c r="F7" s="158"/>
      <c r="G7" s="158"/>
      <c r="H7" s="158"/>
      <c r="I7" s="158"/>
      <c r="J7" s="158"/>
      <c r="K7" s="158"/>
      <c r="L7" s="158"/>
      <c r="M7" s="158"/>
      <c r="N7" s="158"/>
      <c r="O7" s="158"/>
      <c r="P7" s="158"/>
      <c r="Q7" s="158"/>
      <c r="R7" s="158"/>
      <c r="S7" s="158"/>
      <c r="T7" s="158"/>
    </row>
    <row r="9" spans="1:20">
      <c r="M9" s="244" t="s">
        <v>1170</v>
      </c>
    </row>
    <row r="10" spans="1:20">
      <c r="B10" s="1039" t="s">
        <v>481</v>
      </c>
      <c r="C10" s="1039"/>
      <c r="D10" s="1039"/>
      <c r="E10" s="1039"/>
      <c r="F10" s="1039"/>
      <c r="G10" s="1039"/>
      <c r="H10" s="1039"/>
      <c r="I10" s="1039"/>
      <c r="J10" s="1039"/>
      <c r="K10" s="1039"/>
      <c r="L10" s="1039"/>
      <c r="M10" s="1039"/>
    </row>
    <row r="11" spans="1:20">
      <c r="B11" s="1039" t="s">
        <v>1539</v>
      </c>
      <c r="C11" s="1039"/>
      <c r="D11" s="1039"/>
      <c r="E11" s="1039"/>
      <c r="F11" s="1039"/>
      <c r="G11" s="1039"/>
      <c r="H11" s="1039"/>
      <c r="I11" s="1039"/>
      <c r="J11" s="1039"/>
      <c r="K11" s="1039"/>
      <c r="L11" s="1039"/>
      <c r="M11" s="1039"/>
    </row>
    <row r="12" spans="1:20">
      <c r="B12" s="1040" t="s">
        <v>486</v>
      </c>
      <c r="C12" s="1040"/>
      <c r="D12" s="1040"/>
      <c r="E12" s="1040"/>
      <c r="F12" s="1040"/>
      <c r="G12" s="1040"/>
      <c r="H12" s="1040"/>
      <c r="I12" s="1040"/>
      <c r="J12" s="1040"/>
      <c r="K12" s="1040"/>
      <c r="L12" s="1040"/>
      <c r="M12" s="1040"/>
    </row>
    <row r="13" spans="1:20">
      <c r="B13" s="305"/>
      <c r="C13" s="305"/>
      <c r="D13" s="305"/>
      <c r="E13" s="305"/>
      <c r="F13" s="305"/>
      <c r="G13" s="305"/>
      <c r="H13" s="305"/>
      <c r="I13" s="305"/>
      <c r="J13" s="305"/>
      <c r="K13" s="305"/>
      <c r="L13" s="305"/>
    </row>
    <row r="14" spans="1:20">
      <c r="B14" s="320" t="s">
        <v>499</v>
      </c>
      <c r="C14" s="321"/>
      <c r="D14" s="321"/>
      <c r="E14" s="321"/>
      <c r="F14" s="321"/>
      <c r="G14" s="321"/>
      <c r="H14" s="321"/>
      <c r="I14" s="321"/>
      <c r="J14" s="321"/>
      <c r="K14" s="321"/>
      <c r="L14" s="321"/>
      <c r="M14" s="276"/>
      <c r="N14" s="276"/>
      <c r="O14" s="276"/>
    </row>
    <row r="15" spans="1:20" s="318" customFormat="1" ht="59.4" customHeight="1">
      <c r="A15" s="317"/>
      <c r="B15" s="1032" t="s">
        <v>1508</v>
      </c>
      <c r="C15" s="1032"/>
      <c r="D15" s="1032"/>
      <c r="E15" s="1032"/>
      <c r="F15" s="1032"/>
      <c r="G15" s="1032"/>
      <c r="H15" s="1032"/>
      <c r="I15" s="1032"/>
      <c r="J15" s="1032"/>
      <c r="K15" s="1032"/>
      <c r="L15" s="1032"/>
      <c r="M15" s="1032"/>
      <c r="N15" s="322"/>
      <c r="O15" s="322"/>
      <c r="P15" s="319"/>
    </row>
    <row r="16" spans="1:20" s="318" customFormat="1" ht="43.2" customHeight="1">
      <c r="A16" s="317"/>
      <c r="B16" s="1032" t="s">
        <v>1843</v>
      </c>
      <c r="C16" s="1032"/>
      <c r="D16" s="1032"/>
      <c r="E16" s="1032"/>
      <c r="F16" s="1032"/>
      <c r="G16" s="1032"/>
      <c r="H16" s="1032"/>
      <c r="I16" s="1032"/>
      <c r="J16" s="1032"/>
      <c r="K16" s="1032"/>
      <c r="L16" s="1032"/>
      <c r="M16" s="1032"/>
      <c r="N16" s="322"/>
      <c r="O16" s="322"/>
      <c r="P16" s="319"/>
    </row>
    <row r="17" spans="1:16">
      <c r="B17" s="323"/>
      <c r="C17" s="323"/>
      <c r="D17" s="323"/>
      <c r="E17" s="323"/>
      <c r="F17" s="323"/>
      <c r="G17" s="323"/>
      <c r="H17" s="323"/>
      <c r="I17" s="323"/>
      <c r="J17" s="323"/>
      <c r="K17" s="323"/>
      <c r="L17" s="321"/>
      <c r="M17" s="276"/>
      <c r="N17" s="276"/>
      <c r="O17" s="276"/>
    </row>
    <row r="18" spans="1:16">
      <c r="B18" s="320" t="s">
        <v>500</v>
      </c>
      <c r="C18" s="321"/>
      <c r="D18" s="321"/>
      <c r="E18" s="321"/>
      <c r="F18" s="321"/>
      <c r="G18" s="321"/>
      <c r="H18" s="321"/>
      <c r="I18" s="321"/>
      <c r="J18" s="321"/>
      <c r="K18" s="321"/>
      <c r="L18" s="321"/>
      <c r="M18" s="276"/>
      <c r="N18" s="276"/>
      <c r="O18" s="276"/>
    </row>
    <row r="19" spans="1:16">
      <c r="B19" s="321"/>
      <c r="C19" s="321"/>
      <c r="D19" s="321"/>
      <c r="E19" s="321"/>
      <c r="F19" s="321"/>
      <c r="G19" s="321"/>
      <c r="H19" s="321"/>
      <c r="I19" s="321"/>
      <c r="J19" s="321"/>
      <c r="K19" s="321"/>
      <c r="L19" s="321"/>
      <c r="M19" s="276"/>
      <c r="N19" s="276"/>
      <c r="O19" s="276"/>
    </row>
    <row r="20" spans="1:16">
      <c r="B20" s="320" t="s">
        <v>280</v>
      </c>
      <c r="C20" s="321"/>
      <c r="D20" s="321"/>
      <c r="E20" s="321"/>
      <c r="F20" s="321"/>
      <c r="G20" s="321"/>
      <c r="H20" s="321"/>
      <c r="I20" s="321"/>
      <c r="J20" s="321"/>
      <c r="K20" s="321"/>
      <c r="L20" s="321"/>
      <c r="M20" s="276"/>
      <c r="N20" s="276"/>
      <c r="O20" s="276"/>
    </row>
    <row r="21" spans="1:16">
      <c r="B21" s="321"/>
      <c r="C21" s="321"/>
      <c r="D21" s="321"/>
      <c r="E21" s="321"/>
      <c r="F21" s="321"/>
      <c r="G21" s="321"/>
      <c r="H21" s="321"/>
      <c r="I21" s="321"/>
      <c r="J21" s="321"/>
      <c r="K21" s="321"/>
      <c r="L21" s="321"/>
      <c r="M21" s="276"/>
      <c r="N21" s="276"/>
      <c r="O21" s="276"/>
    </row>
    <row r="22" spans="1:16" s="318" customFormat="1" ht="75" customHeight="1">
      <c r="A22" s="317"/>
      <c r="B22" s="1032" t="s">
        <v>299</v>
      </c>
      <c r="C22" s="1032"/>
      <c r="D22" s="1032"/>
      <c r="E22" s="1032"/>
      <c r="F22" s="1032"/>
      <c r="G22" s="1032"/>
      <c r="H22" s="1032"/>
      <c r="I22" s="1032"/>
      <c r="J22" s="1032"/>
      <c r="K22" s="1032"/>
      <c r="L22" s="1032"/>
      <c r="M22" s="1032"/>
      <c r="N22" s="322"/>
      <c r="O22" s="322"/>
      <c r="P22" s="319"/>
    </row>
    <row r="23" spans="1:16" s="318" customFormat="1" ht="53.4" customHeight="1">
      <c r="A23" s="317"/>
      <c r="B23" s="1032" t="s">
        <v>300</v>
      </c>
      <c r="C23" s="1032"/>
      <c r="D23" s="1032"/>
      <c r="E23" s="1032"/>
      <c r="F23" s="1032"/>
      <c r="G23" s="1032"/>
      <c r="H23" s="1032"/>
      <c r="I23" s="1032"/>
      <c r="J23" s="1032"/>
      <c r="K23" s="1032"/>
      <c r="L23" s="1032"/>
      <c r="M23" s="1032"/>
      <c r="N23" s="322"/>
      <c r="O23" s="322"/>
      <c r="P23" s="319"/>
    </row>
    <row r="24" spans="1:16" ht="11.4" customHeight="1">
      <c r="B24" s="321"/>
      <c r="C24" s="321"/>
      <c r="D24" s="321"/>
      <c r="E24" s="321"/>
      <c r="F24" s="321"/>
      <c r="G24" s="321"/>
      <c r="H24" s="321"/>
      <c r="I24" s="321"/>
      <c r="J24" s="321"/>
      <c r="K24" s="321"/>
      <c r="L24" s="321"/>
      <c r="M24" s="276"/>
      <c r="N24" s="276"/>
      <c r="O24" s="276"/>
    </row>
    <row r="25" spans="1:16">
      <c r="B25" s="321" t="s">
        <v>301</v>
      </c>
      <c r="C25" s="321"/>
      <c r="D25" s="321"/>
      <c r="E25" s="321"/>
      <c r="F25" s="321"/>
      <c r="G25" s="321"/>
      <c r="H25" s="321"/>
      <c r="I25" s="321"/>
      <c r="J25" s="321"/>
      <c r="K25" s="321"/>
      <c r="L25" s="321"/>
      <c r="M25" s="276"/>
      <c r="N25" s="276"/>
      <c r="O25" s="276"/>
    </row>
    <row r="26" spans="1:16">
      <c r="B26" s="321" t="s">
        <v>218</v>
      </c>
      <c r="C26" s="321"/>
      <c r="D26" s="321"/>
      <c r="E26" s="321"/>
      <c r="F26" s="321"/>
      <c r="G26" s="321"/>
      <c r="H26" s="321"/>
      <c r="I26" s="321"/>
      <c r="J26" s="321"/>
      <c r="K26" s="321"/>
      <c r="L26" s="321"/>
      <c r="M26" s="276"/>
      <c r="N26" s="276"/>
      <c r="O26" s="276"/>
    </row>
    <row r="27" spans="1:16">
      <c r="B27" s="1038" t="s">
        <v>302</v>
      </c>
      <c r="C27" s="1038"/>
      <c r="D27" s="1038"/>
      <c r="E27" s="1038"/>
      <c r="F27" s="1038"/>
      <c r="G27" s="1038"/>
      <c r="H27" s="1038"/>
      <c r="I27" s="1038"/>
      <c r="J27" s="1038"/>
      <c r="K27" s="1038"/>
      <c r="L27" s="321"/>
      <c r="M27" s="276"/>
      <c r="N27" s="276"/>
      <c r="O27" s="276"/>
    </row>
    <row r="28" spans="1:16">
      <c r="B28" s="321" t="s">
        <v>303</v>
      </c>
      <c r="C28" s="321"/>
      <c r="D28" s="321"/>
      <c r="E28" s="321"/>
      <c r="F28" s="321"/>
      <c r="G28" s="321"/>
      <c r="H28" s="321"/>
      <c r="I28" s="321"/>
      <c r="J28" s="321"/>
      <c r="K28" s="321"/>
      <c r="L28" s="321"/>
      <c r="M28" s="276"/>
      <c r="N28" s="276"/>
      <c r="O28" s="276"/>
    </row>
    <row r="29" spans="1:16">
      <c r="B29" s="321" t="s">
        <v>304</v>
      </c>
      <c r="C29" s="321"/>
      <c r="D29" s="321"/>
      <c r="E29" s="321"/>
      <c r="F29" s="321"/>
      <c r="G29" s="321"/>
      <c r="H29" s="321"/>
      <c r="I29" s="321"/>
      <c r="J29" s="321"/>
      <c r="K29" s="321"/>
      <c r="L29" s="321"/>
      <c r="M29" s="276"/>
      <c r="N29" s="276"/>
      <c r="O29" s="276"/>
    </row>
    <row r="30" spans="1:16">
      <c r="B30" s="321" t="s">
        <v>219</v>
      </c>
      <c r="C30" s="321"/>
      <c r="D30" s="321"/>
      <c r="E30" s="321"/>
      <c r="F30" s="321"/>
      <c r="G30" s="321"/>
      <c r="H30" s="321"/>
      <c r="I30" s="321"/>
      <c r="J30" s="321"/>
      <c r="K30" s="321"/>
      <c r="L30" s="321"/>
      <c r="M30" s="276"/>
      <c r="N30" s="276"/>
      <c r="O30" s="276"/>
    </row>
    <row r="31" spans="1:16">
      <c r="B31" s="321" t="s">
        <v>305</v>
      </c>
      <c r="C31" s="321"/>
      <c r="D31" s="321"/>
      <c r="E31" s="321"/>
      <c r="F31" s="321"/>
      <c r="G31" s="321"/>
      <c r="H31" s="321"/>
      <c r="I31" s="321"/>
      <c r="J31" s="321"/>
      <c r="K31" s="321"/>
      <c r="L31" s="321"/>
      <c r="M31" s="276"/>
      <c r="N31" s="276"/>
      <c r="O31" s="276"/>
    </row>
    <row r="32" spans="1:16" s="318" customFormat="1" ht="40.950000000000003" customHeight="1">
      <c r="A32" s="317"/>
      <c r="B32" s="1032" t="s">
        <v>306</v>
      </c>
      <c r="C32" s="1032"/>
      <c r="D32" s="1032"/>
      <c r="E32" s="1032"/>
      <c r="F32" s="1032"/>
      <c r="G32" s="1032"/>
      <c r="H32" s="1032"/>
      <c r="I32" s="1032"/>
      <c r="J32" s="1032"/>
      <c r="K32" s="1032"/>
      <c r="L32" s="1032"/>
      <c r="M32" s="1032"/>
      <c r="N32" s="322"/>
      <c r="O32" s="322"/>
      <c r="P32" s="319"/>
    </row>
    <row r="33" spans="1:16" s="318" customFormat="1" ht="37.950000000000003" customHeight="1">
      <c r="A33" s="317"/>
      <c r="B33" s="1032" t="s">
        <v>307</v>
      </c>
      <c r="C33" s="1032"/>
      <c r="D33" s="1032"/>
      <c r="E33" s="1032"/>
      <c r="F33" s="1032"/>
      <c r="G33" s="1032"/>
      <c r="H33" s="1032"/>
      <c r="I33" s="1032"/>
      <c r="J33" s="1032"/>
      <c r="K33" s="1032"/>
      <c r="L33" s="1032"/>
      <c r="M33" s="1032"/>
      <c r="N33" s="322"/>
      <c r="O33" s="322"/>
      <c r="P33" s="319"/>
    </row>
    <row r="34" spans="1:16">
      <c r="B34" s="321" t="s">
        <v>308</v>
      </c>
      <c r="C34" s="321"/>
      <c r="D34" s="321"/>
      <c r="E34" s="321"/>
      <c r="F34" s="321"/>
      <c r="G34" s="321"/>
      <c r="H34" s="321"/>
      <c r="I34" s="321"/>
      <c r="J34" s="321"/>
      <c r="K34" s="321"/>
      <c r="L34" s="321"/>
      <c r="M34" s="276"/>
      <c r="N34" s="276"/>
      <c r="O34" s="276"/>
    </row>
    <row r="35" spans="1:16" s="318" customFormat="1" ht="58.95" customHeight="1">
      <c r="A35" s="317"/>
      <c r="B35" s="1032" t="s">
        <v>309</v>
      </c>
      <c r="C35" s="1032"/>
      <c r="D35" s="1032"/>
      <c r="E35" s="1032"/>
      <c r="F35" s="1032"/>
      <c r="G35" s="1032"/>
      <c r="H35" s="1032"/>
      <c r="I35" s="1032"/>
      <c r="J35" s="1032"/>
      <c r="K35" s="1032"/>
      <c r="L35" s="1032"/>
      <c r="M35" s="1032"/>
      <c r="N35" s="322"/>
      <c r="O35" s="322"/>
      <c r="P35" s="319"/>
    </row>
    <row r="36" spans="1:16" ht="12.75" customHeight="1">
      <c r="B36" s="321"/>
      <c r="C36" s="321"/>
      <c r="D36" s="321"/>
      <c r="E36" s="321"/>
      <c r="F36" s="321"/>
      <c r="G36" s="321"/>
      <c r="H36" s="321"/>
      <c r="I36" s="321"/>
      <c r="J36" s="321"/>
      <c r="K36" s="321"/>
      <c r="L36" s="321"/>
      <c r="M36" s="276"/>
      <c r="N36" s="276"/>
      <c r="O36" s="276"/>
    </row>
    <row r="37" spans="1:16">
      <c r="B37" s="324" t="s">
        <v>310</v>
      </c>
      <c r="C37" s="321"/>
      <c r="D37" s="321"/>
      <c r="E37" s="321"/>
      <c r="F37" s="321"/>
      <c r="G37" s="321"/>
      <c r="H37" s="321"/>
      <c r="I37" s="321"/>
      <c r="J37" s="321"/>
      <c r="K37" s="321"/>
      <c r="L37" s="321"/>
      <c r="M37" s="276"/>
      <c r="N37" s="276"/>
      <c r="O37" s="276"/>
    </row>
    <row r="38" spans="1:16" s="318" customFormat="1" ht="53.4" customHeight="1">
      <c r="A38" s="317"/>
      <c r="B38" s="1032" t="s">
        <v>1278</v>
      </c>
      <c r="C38" s="1032"/>
      <c r="D38" s="1032"/>
      <c r="E38" s="1032"/>
      <c r="F38" s="1032"/>
      <c r="G38" s="1032"/>
      <c r="H38" s="1032"/>
      <c r="I38" s="1032"/>
      <c r="J38" s="1032"/>
      <c r="K38" s="1032"/>
      <c r="L38" s="1032"/>
      <c r="M38" s="1032"/>
      <c r="N38" s="322"/>
      <c r="O38" s="322"/>
      <c r="P38" s="319"/>
    </row>
    <row r="39" spans="1:16" s="318" customFormat="1" ht="33.6" customHeight="1">
      <c r="A39" s="317"/>
      <c r="B39" s="1032" t="s">
        <v>497</v>
      </c>
      <c r="C39" s="1032"/>
      <c r="D39" s="1032"/>
      <c r="E39" s="1032"/>
      <c r="F39" s="1032"/>
      <c r="G39" s="1032"/>
      <c r="H39" s="1032"/>
      <c r="I39" s="1032"/>
      <c r="J39" s="1032"/>
      <c r="K39" s="1032"/>
      <c r="L39" s="1032"/>
      <c r="M39" s="1032"/>
      <c r="N39" s="322"/>
      <c r="O39" s="322"/>
      <c r="P39" s="319"/>
    </row>
    <row r="40" spans="1:16" s="318" customFormat="1" ht="72.599999999999994" customHeight="1">
      <c r="A40" s="317"/>
      <c r="B40" s="1034" t="s">
        <v>490</v>
      </c>
      <c r="C40" s="1034"/>
      <c r="D40" s="1034"/>
      <c r="E40" s="326" t="s">
        <v>491</v>
      </c>
      <c r="F40" s="326" t="s">
        <v>492</v>
      </c>
      <c r="G40" s="326" t="s">
        <v>493</v>
      </c>
      <c r="H40" s="326" t="s">
        <v>494</v>
      </c>
      <c r="I40" s="325"/>
      <c r="J40" s="325"/>
      <c r="K40" s="325"/>
      <c r="L40" s="325"/>
      <c r="M40" s="322"/>
      <c r="N40" s="322"/>
      <c r="O40" s="322"/>
      <c r="P40" s="319"/>
    </row>
    <row r="41" spans="1:16" s="318" customFormat="1" ht="36" customHeight="1">
      <c r="A41" s="317"/>
      <c r="B41" s="1035" t="s">
        <v>496</v>
      </c>
      <c r="C41" s="1035"/>
      <c r="D41" s="1035"/>
      <c r="E41" s="960">
        <v>4999000000</v>
      </c>
      <c r="F41" s="969">
        <v>0.99980000000000002</v>
      </c>
      <c r="G41" s="969">
        <f>+E41/25000000000</f>
        <v>0.19996</v>
      </c>
      <c r="H41" s="955" t="s">
        <v>495</v>
      </c>
      <c r="I41" s="325"/>
      <c r="J41" s="325"/>
      <c r="K41" s="325"/>
      <c r="L41" s="325"/>
      <c r="M41" s="322"/>
      <c r="N41" s="322"/>
      <c r="O41" s="322"/>
      <c r="P41" s="319"/>
    </row>
    <row r="42" spans="1:16" s="318" customFormat="1">
      <c r="A42" s="317"/>
      <c r="B42" s="325"/>
      <c r="C42" s="325"/>
      <c r="D42" s="325"/>
      <c r="E42" s="325"/>
      <c r="F42" s="325"/>
      <c r="G42" s="325"/>
      <c r="H42" s="325"/>
      <c r="I42" s="325"/>
      <c r="J42" s="325"/>
      <c r="K42" s="325"/>
      <c r="L42" s="325"/>
      <c r="M42" s="322"/>
      <c r="N42" s="322"/>
      <c r="O42" s="322"/>
      <c r="P42" s="319"/>
    </row>
    <row r="43" spans="1:16" s="318" customFormat="1">
      <c r="A43" s="317"/>
      <c r="B43" s="325"/>
      <c r="C43" s="325"/>
      <c r="D43" s="325"/>
      <c r="E43" s="325"/>
      <c r="F43" s="325"/>
      <c r="G43" s="325"/>
      <c r="H43" s="325"/>
      <c r="I43" s="325"/>
      <c r="J43" s="325"/>
      <c r="K43" s="325"/>
      <c r="L43" s="325"/>
      <c r="M43" s="322"/>
      <c r="N43" s="322"/>
      <c r="O43" s="322"/>
      <c r="P43" s="319"/>
    </row>
    <row r="44" spans="1:16">
      <c r="B44" s="320" t="s">
        <v>501</v>
      </c>
      <c r="C44" s="321"/>
      <c r="D44" s="321"/>
      <c r="E44" s="321"/>
      <c r="F44" s="321"/>
      <c r="G44" s="321"/>
      <c r="H44" s="321"/>
      <c r="I44" s="321"/>
      <c r="J44" s="321"/>
      <c r="K44" s="321"/>
      <c r="L44" s="321"/>
      <c r="M44" s="276"/>
      <c r="N44" s="276"/>
      <c r="O44" s="276"/>
    </row>
    <row r="45" spans="1:16">
      <c r="B45" s="321"/>
      <c r="C45" s="321"/>
      <c r="D45" s="321"/>
      <c r="E45" s="321"/>
      <c r="F45" s="321"/>
      <c r="G45" s="321"/>
      <c r="H45" s="321"/>
      <c r="I45" s="321"/>
      <c r="J45" s="321"/>
      <c r="K45" s="321"/>
      <c r="L45" s="321"/>
      <c r="M45" s="276"/>
      <c r="N45" s="276"/>
      <c r="O45" s="276"/>
    </row>
    <row r="46" spans="1:16">
      <c r="B46" s="320" t="s">
        <v>311</v>
      </c>
      <c r="C46" s="321"/>
      <c r="D46" s="321"/>
      <c r="E46" s="321"/>
      <c r="F46" s="321"/>
      <c r="G46" s="321"/>
      <c r="H46" s="321"/>
      <c r="I46" s="321"/>
      <c r="J46" s="321"/>
      <c r="K46" s="321"/>
      <c r="L46" s="321"/>
      <c r="M46" s="276"/>
      <c r="N46" s="276"/>
      <c r="O46" s="276"/>
    </row>
    <row r="47" spans="1:16" s="318" customFormat="1" ht="53.4" customHeight="1">
      <c r="A47" s="317"/>
      <c r="B47" s="1032" t="s">
        <v>543</v>
      </c>
      <c r="C47" s="1032"/>
      <c r="D47" s="1032"/>
      <c r="E47" s="1032"/>
      <c r="F47" s="1032"/>
      <c r="G47" s="1032"/>
      <c r="H47" s="1032"/>
      <c r="I47" s="1032"/>
      <c r="J47" s="1032"/>
      <c r="K47" s="1032"/>
      <c r="L47" s="1032"/>
      <c r="M47" s="1032"/>
      <c r="N47" s="322"/>
      <c r="O47" s="322"/>
      <c r="P47" s="319"/>
    </row>
    <row r="48" spans="1:16" s="318" customFormat="1" ht="24" customHeight="1">
      <c r="A48" s="317"/>
      <c r="B48" s="1033" t="s">
        <v>312</v>
      </c>
      <c r="C48" s="1033"/>
      <c r="D48" s="1033"/>
      <c r="E48" s="1033"/>
      <c r="F48" s="1033"/>
      <c r="G48" s="1033"/>
      <c r="H48" s="1033"/>
      <c r="I48" s="1033"/>
      <c r="J48" s="1033"/>
      <c r="K48" s="1033"/>
      <c r="L48" s="1033"/>
      <c r="M48" s="1033"/>
      <c r="N48" s="322"/>
      <c r="O48" s="322"/>
      <c r="P48" s="319"/>
    </row>
    <row r="49" spans="1:16" ht="12" customHeight="1">
      <c r="B49" s="321"/>
      <c r="C49" s="321"/>
      <c r="D49" s="321"/>
      <c r="E49" s="321"/>
      <c r="F49" s="321"/>
      <c r="G49" s="321"/>
      <c r="H49" s="321"/>
      <c r="I49" s="321"/>
      <c r="J49" s="321"/>
      <c r="K49" s="321"/>
      <c r="L49" s="321"/>
      <c r="M49" s="276"/>
      <c r="N49" s="276"/>
      <c r="O49" s="276"/>
    </row>
    <row r="50" spans="1:16">
      <c r="B50" s="320" t="s">
        <v>313</v>
      </c>
      <c r="C50" s="321"/>
      <c r="D50" s="321"/>
      <c r="E50" s="321"/>
      <c r="F50" s="321"/>
      <c r="G50" s="321"/>
      <c r="H50" s="321"/>
      <c r="I50" s="321"/>
      <c r="J50" s="321"/>
      <c r="K50" s="321"/>
      <c r="L50" s="321"/>
      <c r="M50" s="276"/>
      <c r="N50" s="276"/>
      <c r="O50" s="276"/>
    </row>
    <row r="51" spans="1:16" s="318" customFormat="1" ht="83.4" customHeight="1">
      <c r="A51" s="317"/>
      <c r="B51" s="1032" t="s">
        <v>544</v>
      </c>
      <c r="C51" s="1032"/>
      <c r="D51" s="1032"/>
      <c r="E51" s="1032"/>
      <c r="F51" s="1032"/>
      <c r="G51" s="1032"/>
      <c r="H51" s="1032"/>
      <c r="I51" s="1032"/>
      <c r="J51" s="1032"/>
      <c r="K51" s="1032"/>
      <c r="L51" s="1032"/>
      <c r="M51" s="1032"/>
      <c r="N51" s="322"/>
      <c r="O51" s="322"/>
      <c r="P51" s="319"/>
    </row>
    <row r="52" spans="1:16" s="318" customFormat="1" ht="53.4" customHeight="1">
      <c r="A52" s="317"/>
      <c r="B52" s="1032" t="s">
        <v>1543</v>
      </c>
      <c r="C52" s="1032"/>
      <c r="D52" s="1032"/>
      <c r="E52" s="1032"/>
      <c r="F52" s="1032"/>
      <c r="G52" s="1032"/>
      <c r="H52" s="1032"/>
      <c r="I52" s="1032"/>
      <c r="J52" s="1032"/>
      <c r="K52" s="1032"/>
      <c r="L52" s="1032"/>
      <c r="M52" s="1032"/>
      <c r="N52" s="322"/>
      <c r="O52" s="322"/>
      <c r="P52" s="319"/>
    </row>
    <row r="53" spans="1:16">
      <c r="B53" s="328"/>
      <c r="C53" s="328"/>
      <c r="D53" s="328"/>
      <c r="E53" s="328"/>
      <c r="F53" s="328"/>
      <c r="G53" s="328"/>
      <c r="H53" s="328"/>
      <c r="I53" s="328"/>
      <c r="J53" s="328"/>
      <c r="K53" s="328"/>
      <c r="L53" s="321"/>
      <c r="M53" s="276"/>
      <c r="N53" s="276"/>
      <c r="O53" s="276"/>
    </row>
    <row r="54" spans="1:16">
      <c r="B54" s="329" t="s">
        <v>314</v>
      </c>
      <c r="C54" s="328"/>
      <c r="D54" s="328"/>
      <c r="E54" s="328"/>
      <c r="F54" s="328"/>
      <c r="G54" s="328"/>
      <c r="H54" s="328"/>
      <c r="I54" s="328"/>
      <c r="J54" s="328"/>
      <c r="K54" s="328"/>
      <c r="L54" s="321"/>
      <c r="M54" s="276"/>
      <c r="N54" s="276"/>
      <c r="O54" s="276"/>
    </row>
    <row r="55" spans="1:16" s="318" customFormat="1" ht="56.4" customHeight="1">
      <c r="A55" s="317"/>
      <c r="B55" s="1032" t="s">
        <v>1544</v>
      </c>
      <c r="C55" s="1032"/>
      <c r="D55" s="1032"/>
      <c r="E55" s="1032"/>
      <c r="F55" s="1032"/>
      <c r="G55" s="1032"/>
      <c r="H55" s="1032"/>
      <c r="I55" s="1032"/>
      <c r="J55" s="1032"/>
      <c r="K55" s="1032"/>
      <c r="L55" s="1032"/>
      <c r="M55" s="1032"/>
      <c r="N55" s="322"/>
      <c r="O55" s="322"/>
      <c r="P55" s="319"/>
    </row>
    <row r="56" spans="1:16" s="318" customFormat="1" ht="42" customHeight="1">
      <c r="A56" s="317"/>
      <c r="B56" s="1032" t="s">
        <v>1545</v>
      </c>
      <c r="C56" s="1032"/>
      <c r="D56" s="1032"/>
      <c r="E56" s="1032"/>
      <c r="F56" s="1032"/>
      <c r="G56" s="1032"/>
      <c r="H56" s="1032"/>
      <c r="I56" s="1032"/>
      <c r="J56" s="1032"/>
      <c r="K56" s="1032"/>
      <c r="L56" s="1032"/>
      <c r="M56" s="1032"/>
      <c r="N56" s="322"/>
      <c r="O56" s="322"/>
      <c r="P56" s="319"/>
    </row>
    <row r="57" spans="1:16">
      <c r="B57" s="329"/>
      <c r="C57" s="328"/>
      <c r="D57" s="328"/>
      <c r="E57" s="328"/>
      <c r="F57" s="328"/>
      <c r="G57" s="328"/>
      <c r="H57" s="328"/>
      <c r="I57" s="328"/>
      <c r="J57" s="328"/>
      <c r="K57" s="328"/>
      <c r="L57" s="321"/>
      <c r="M57" s="276"/>
      <c r="N57" s="276"/>
      <c r="O57" s="276"/>
    </row>
    <row r="58" spans="1:16">
      <c r="B58" s="329" t="s">
        <v>315</v>
      </c>
      <c r="C58" s="328"/>
      <c r="D58" s="328"/>
      <c r="E58" s="328"/>
      <c r="F58" s="328"/>
      <c r="G58" s="328"/>
      <c r="H58" s="328"/>
      <c r="I58" s="328"/>
      <c r="J58" s="328"/>
      <c r="K58" s="328"/>
      <c r="L58" s="321"/>
      <c r="M58" s="276"/>
      <c r="N58" s="276"/>
      <c r="O58" s="276"/>
    </row>
    <row r="59" spans="1:16" s="318" customFormat="1" ht="53.4" customHeight="1">
      <c r="A59" s="317"/>
      <c r="B59" s="1032" t="s">
        <v>545</v>
      </c>
      <c r="C59" s="1032"/>
      <c r="D59" s="1032"/>
      <c r="E59" s="1032"/>
      <c r="F59" s="1032"/>
      <c r="G59" s="1032"/>
      <c r="H59" s="1032"/>
      <c r="I59" s="1032"/>
      <c r="J59" s="1032"/>
      <c r="K59" s="1032"/>
      <c r="L59" s="1032"/>
      <c r="M59" s="1032"/>
      <c r="N59" s="322"/>
      <c r="O59" s="322"/>
      <c r="P59" s="319"/>
    </row>
    <row r="60" spans="1:16">
      <c r="B60" s="328"/>
      <c r="C60" s="328"/>
      <c r="D60" s="328"/>
      <c r="E60" s="328"/>
      <c r="F60" s="328"/>
      <c r="G60" s="328"/>
      <c r="H60" s="328"/>
      <c r="I60" s="328"/>
      <c r="J60" s="328"/>
      <c r="K60" s="328"/>
      <c r="L60" s="321"/>
      <c r="M60" s="276"/>
      <c r="N60" s="276"/>
      <c r="O60" s="276"/>
    </row>
    <row r="61" spans="1:16">
      <c r="B61" s="329" t="s">
        <v>316</v>
      </c>
      <c r="C61" s="328"/>
      <c r="D61" s="328"/>
      <c r="E61" s="328"/>
      <c r="F61" s="328"/>
      <c r="G61" s="328"/>
      <c r="H61" s="328"/>
      <c r="I61" s="328"/>
      <c r="J61" s="328"/>
      <c r="K61" s="328"/>
      <c r="L61" s="321"/>
      <c r="M61" s="276"/>
      <c r="N61" s="276"/>
      <c r="O61" s="276"/>
    </row>
    <row r="62" spans="1:16" ht="14.4" customHeight="1">
      <c r="B62" s="329"/>
      <c r="C62" s="328"/>
      <c r="D62" s="328"/>
      <c r="E62" s="328"/>
      <c r="F62" s="328"/>
      <c r="G62" s="328"/>
      <c r="H62" s="328"/>
      <c r="I62" s="328"/>
      <c r="J62" s="328"/>
      <c r="K62" s="328"/>
      <c r="L62" s="321"/>
      <c r="M62" s="276"/>
      <c r="N62" s="276"/>
      <c r="O62" s="276"/>
    </row>
    <row r="63" spans="1:16">
      <c r="B63" s="329" t="s">
        <v>551</v>
      </c>
      <c r="C63" s="328"/>
      <c r="D63" s="328"/>
      <c r="E63" s="328"/>
      <c r="F63" s="328"/>
      <c r="G63" s="328"/>
      <c r="H63" s="328"/>
      <c r="I63" s="328"/>
      <c r="J63" s="328"/>
      <c r="K63" s="328"/>
      <c r="L63" s="321"/>
      <c r="M63" s="276"/>
      <c r="N63" s="276"/>
      <c r="O63" s="276"/>
    </row>
    <row r="64" spans="1:16">
      <c r="B64" s="1036" t="s">
        <v>1487</v>
      </c>
      <c r="C64" s="1036"/>
      <c r="D64" s="1036"/>
      <c r="E64" s="1036"/>
      <c r="F64" s="1036"/>
      <c r="G64" s="1036"/>
      <c r="H64" s="1036"/>
      <c r="I64" s="1036"/>
      <c r="J64" s="1036"/>
      <c r="K64" s="1036"/>
      <c r="L64" s="321"/>
      <c r="M64" s="276"/>
      <c r="N64" s="276"/>
      <c r="O64" s="276"/>
    </row>
    <row r="65" spans="1:16">
      <c r="B65" s="328"/>
      <c r="C65" s="328"/>
      <c r="D65" s="328"/>
      <c r="E65" s="328"/>
      <c r="F65" s="328"/>
      <c r="G65" s="328"/>
      <c r="H65" s="328"/>
      <c r="I65" s="328"/>
      <c r="J65" s="328"/>
      <c r="K65" s="328"/>
      <c r="L65" s="321"/>
      <c r="M65" s="276"/>
      <c r="N65" s="276"/>
      <c r="O65" s="276"/>
    </row>
    <row r="66" spans="1:16">
      <c r="B66" s="1041" t="s">
        <v>1136</v>
      </c>
      <c r="C66" s="1041"/>
      <c r="D66" s="1041"/>
      <c r="E66" s="1041"/>
      <c r="F66" s="1041"/>
      <c r="G66" s="1041"/>
      <c r="H66" s="1041"/>
      <c r="I66" s="1041"/>
      <c r="J66" s="1041"/>
      <c r="K66" s="1041"/>
      <c r="L66" s="321"/>
      <c r="M66" s="276"/>
      <c r="N66" s="276"/>
      <c r="O66" s="276"/>
    </row>
    <row r="67" spans="1:16">
      <c r="B67" s="330" t="s">
        <v>552</v>
      </c>
      <c r="C67" s="331"/>
      <c r="D67" s="331"/>
      <c r="E67" s="331"/>
      <c r="F67" s="331"/>
      <c r="G67" s="331"/>
      <c r="H67" s="331"/>
      <c r="I67" s="331"/>
      <c r="J67" s="331"/>
      <c r="K67" s="331"/>
      <c r="L67" s="321"/>
      <c r="M67" s="276"/>
      <c r="N67" s="276"/>
      <c r="O67" s="276"/>
    </row>
    <row r="68" spans="1:16" s="318" customFormat="1" ht="53.4" customHeight="1">
      <c r="A68" s="317"/>
      <c r="B68" s="1032" t="s">
        <v>553</v>
      </c>
      <c r="C68" s="1032"/>
      <c r="D68" s="1032"/>
      <c r="E68" s="1032"/>
      <c r="F68" s="1032"/>
      <c r="G68" s="1032"/>
      <c r="H68" s="1032"/>
      <c r="I68" s="1032"/>
      <c r="J68" s="1032"/>
      <c r="K68" s="1032"/>
      <c r="L68" s="1032"/>
      <c r="M68" s="1032"/>
      <c r="N68" s="322"/>
      <c r="O68" s="322"/>
      <c r="P68" s="319"/>
    </row>
    <row r="69" spans="1:16" ht="24.6" customHeight="1">
      <c r="B69" s="330" t="s">
        <v>554</v>
      </c>
      <c r="C69" s="332"/>
      <c r="D69" s="332"/>
      <c r="E69" s="332"/>
      <c r="F69" s="332"/>
      <c r="G69" s="332"/>
      <c r="H69" s="332"/>
      <c r="I69" s="332"/>
      <c r="J69" s="332"/>
      <c r="K69" s="332"/>
      <c r="L69" s="321"/>
      <c r="M69" s="276"/>
      <c r="N69" s="276"/>
      <c r="O69" s="276"/>
    </row>
    <row r="70" spans="1:16" s="318" customFormat="1" ht="33" customHeight="1">
      <c r="A70" s="317"/>
      <c r="B70" s="1032" t="s">
        <v>555</v>
      </c>
      <c r="C70" s="1032"/>
      <c r="D70" s="1032"/>
      <c r="E70" s="1032"/>
      <c r="F70" s="1032"/>
      <c r="G70" s="1032"/>
      <c r="H70" s="1032"/>
      <c r="I70" s="1032"/>
      <c r="J70" s="1032"/>
      <c r="K70" s="1032"/>
      <c r="L70" s="1032"/>
      <c r="M70" s="1032"/>
      <c r="N70" s="322"/>
      <c r="O70" s="322"/>
      <c r="P70" s="319"/>
    </row>
    <row r="71" spans="1:16" ht="30.6" customHeight="1">
      <c r="B71" s="333" t="s">
        <v>556</v>
      </c>
      <c r="C71" s="334"/>
      <c r="D71" s="334"/>
      <c r="E71" s="334"/>
      <c r="F71" s="334"/>
      <c r="G71" s="334"/>
      <c r="H71" s="334"/>
      <c r="I71" s="334"/>
      <c r="J71" s="334"/>
      <c r="K71" s="334"/>
      <c r="L71" s="321"/>
      <c r="M71" s="276"/>
      <c r="N71" s="276"/>
      <c r="O71" s="276"/>
    </row>
    <row r="72" spans="1:16" s="318" customFormat="1" ht="37.950000000000003" customHeight="1">
      <c r="A72" s="317"/>
      <c r="B72" s="1032" t="s">
        <v>1546</v>
      </c>
      <c r="C72" s="1032"/>
      <c r="D72" s="1032"/>
      <c r="E72" s="1032"/>
      <c r="F72" s="1032"/>
      <c r="G72" s="1032"/>
      <c r="H72" s="1032"/>
      <c r="I72" s="1032"/>
      <c r="J72" s="1032"/>
      <c r="K72" s="1032"/>
      <c r="L72" s="1032"/>
      <c r="M72" s="1032"/>
      <c r="N72" s="322"/>
      <c r="O72" s="322"/>
      <c r="P72" s="319"/>
    </row>
    <row r="73" spans="1:16">
      <c r="B73" s="335"/>
      <c r="C73" s="335"/>
      <c r="D73" s="335"/>
      <c r="E73" s="335"/>
      <c r="F73" s="335"/>
      <c r="G73" s="335"/>
      <c r="H73" s="335"/>
      <c r="I73" s="335"/>
      <c r="J73" s="335"/>
      <c r="K73" s="335"/>
      <c r="L73" s="321"/>
      <c r="M73" s="276"/>
      <c r="N73" s="276"/>
      <c r="O73" s="276"/>
    </row>
    <row r="74" spans="1:16" ht="16.5" customHeight="1">
      <c r="B74" s="336" t="s">
        <v>1279</v>
      </c>
      <c r="C74" s="328"/>
      <c r="D74" s="328"/>
      <c r="E74" s="328"/>
      <c r="F74" s="328"/>
      <c r="G74" s="328"/>
      <c r="H74" s="328"/>
      <c r="I74" s="328"/>
      <c r="J74" s="328"/>
      <c r="K74" s="328"/>
      <c r="L74" s="321"/>
      <c r="M74" s="276"/>
      <c r="N74" s="276"/>
      <c r="O74" s="276"/>
    </row>
    <row r="75" spans="1:16" s="318" customFormat="1" ht="40.950000000000003" customHeight="1">
      <c r="A75" s="317"/>
      <c r="B75" s="1032" t="s">
        <v>546</v>
      </c>
      <c r="C75" s="1032"/>
      <c r="D75" s="1032"/>
      <c r="E75" s="1032"/>
      <c r="F75" s="1032"/>
      <c r="G75" s="1032"/>
      <c r="H75" s="1032"/>
      <c r="I75" s="1032"/>
      <c r="J75" s="1032"/>
      <c r="K75" s="1032"/>
      <c r="L75" s="1032"/>
      <c r="M75" s="1032"/>
      <c r="N75" s="322"/>
      <c r="O75" s="322"/>
      <c r="P75" s="319"/>
    </row>
    <row r="76" spans="1:16" s="318" customFormat="1" ht="39.6" customHeight="1">
      <c r="A76" s="317"/>
      <c r="B76" s="1032" t="s">
        <v>498</v>
      </c>
      <c r="C76" s="1032"/>
      <c r="D76" s="1032"/>
      <c r="E76" s="1032"/>
      <c r="F76" s="1032"/>
      <c r="G76" s="1032"/>
      <c r="H76" s="1032"/>
      <c r="I76" s="1032"/>
      <c r="J76" s="1032"/>
      <c r="K76" s="1032"/>
      <c r="L76" s="1032"/>
      <c r="M76" s="1032"/>
      <c r="N76" s="322"/>
      <c r="O76" s="322"/>
      <c r="P76" s="319"/>
    </row>
    <row r="77" spans="1:16" ht="6" customHeight="1">
      <c r="B77" s="1036"/>
      <c r="C77" s="1036"/>
      <c r="D77" s="1036"/>
      <c r="E77" s="1036"/>
      <c r="F77" s="1036"/>
      <c r="G77" s="1036"/>
      <c r="H77" s="1036"/>
      <c r="I77" s="1036"/>
      <c r="J77" s="1036"/>
      <c r="K77" s="1036"/>
      <c r="L77" s="321"/>
      <c r="M77" s="257"/>
      <c r="N77" s="276"/>
      <c r="O77" s="276"/>
      <c r="P77" s="247"/>
    </row>
    <row r="78" spans="1:16" s="318" customFormat="1" ht="39" customHeight="1">
      <c r="A78" s="317"/>
      <c r="B78" s="1032" t="s">
        <v>1486</v>
      </c>
      <c r="C78" s="1032"/>
      <c r="D78" s="1032"/>
      <c r="E78" s="1032"/>
      <c r="F78" s="1032"/>
      <c r="G78" s="1032"/>
      <c r="H78" s="1032"/>
      <c r="I78" s="1032"/>
      <c r="J78" s="1032"/>
      <c r="K78" s="1032"/>
      <c r="L78" s="1032"/>
      <c r="M78" s="1032"/>
      <c r="N78" s="322"/>
      <c r="O78" s="322"/>
      <c r="P78" s="319"/>
    </row>
    <row r="79" spans="1:16">
      <c r="B79" s="328"/>
      <c r="C79" s="328"/>
      <c r="D79" s="328"/>
      <c r="E79" s="328"/>
      <c r="F79" s="328"/>
      <c r="G79" s="328"/>
      <c r="H79" s="328"/>
      <c r="I79" s="328"/>
      <c r="J79" s="328"/>
      <c r="K79" s="328"/>
      <c r="L79" s="321"/>
      <c r="M79" s="257"/>
      <c r="N79" s="276"/>
      <c r="O79" s="276"/>
      <c r="P79" s="247"/>
    </row>
    <row r="80" spans="1:16" ht="20.7" customHeight="1">
      <c r="B80" s="1041" t="s">
        <v>1280</v>
      </c>
      <c r="C80" s="1041"/>
      <c r="D80" s="1041"/>
      <c r="E80" s="1041"/>
      <c r="F80" s="1041"/>
      <c r="G80" s="1041"/>
      <c r="H80" s="1041"/>
      <c r="I80" s="1041"/>
      <c r="J80" s="1041"/>
      <c r="K80" s="1041"/>
      <c r="L80" s="321"/>
      <c r="M80" s="276"/>
      <c r="N80" s="276"/>
      <c r="O80" s="276"/>
    </row>
    <row r="81" spans="1:16" s="318" customFormat="1" ht="53.4" customHeight="1">
      <c r="A81" s="317"/>
      <c r="B81" s="1032" t="s">
        <v>1488</v>
      </c>
      <c r="C81" s="1032"/>
      <c r="D81" s="1032"/>
      <c r="E81" s="1032"/>
      <c r="F81" s="1032"/>
      <c r="G81" s="1032"/>
      <c r="H81" s="1032"/>
      <c r="I81" s="1032"/>
      <c r="J81" s="1032"/>
      <c r="K81" s="1032"/>
      <c r="L81" s="1032"/>
      <c r="M81" s="1032"/>
      <c r="N81" s="322"/>
      <c r="O81" s="322"/>
      <c r="P81" s="319"/>
    </row>
    <row r="82" spans="1:16" ht="10.5" customHeight="1">
      <c r="B82" s="328"/>
      <c r="C82" s="328"/>
      <c r="D82" s="328"/>
      <c r="E82" s="328"/>
      <c r="F82" s="328"/>
      <c r="G82" s="328"/>
      <c r="H82" s="328"/>
      <c r="I82" s="328"/>
      <c r="J82" s="328"/>
      <c r="K82" s="328"/>
      <c r="L82" s="321"/>
      <c r="M82" s="276"/>
      <c r="N82" s="276"/>
      <c r="O82" s="276"/>
    </row>
    <row r="83" spans="1:16">
      <c r="B83" s="320" t="s">
        <v>317</v>
      </c>
      <c r="C83" s="321"/>
      <c r="D83" s="321"/>
      <c r="E83" s="321"/>
      <c r="F83" s="321"/>
      <c r="G83" s="321"/>
      <c r="H83" s="321"/>
      <c r="I83" s="321"/>
      <c r="J83" s="321"/>
      <c r="K83" s="321"/>
      <c r="L83" s="321"/>
      <c r="M83" s="276"/>
      <c r="N83" s="276"/>
      <c r="O83" s="276"/>
    </row>
    <row r="84" spans="1:16" s="318" customFormat="1" ht="37.200000000000003" customHeight="1">
      <c r="A84" s="317"/>
      <c r="B84" s="1032" t="s">
        <v>318</v>
      </c>
      <c r="C84" s="1032"/>
      <c r="D84" s="1032"/>
      <c r="E84" s="1032"/>
      <c r="F84" s="1032"/>
      <c r="G84" s="1032"/>
      <c r="H84" s="1032"/>
      <c r="I84" s="1032"/>
      <c r="J84" s="1032"/>
      <c r="K84" s="1032"/>
      <c r="L84" s="1032"/>
      <c r="M84" s="1032"/>
      <c r="N84" s="322"/>
      <c r="O84" s="322"/>
      <c r="P84" s="319"/>
    </row>
    <row r="85" spans="1:16">
      <c r="B85" s="321" t="s">
        <v>279</v>
      </c>
      <c r="C85" s="321"/>
      <c r="D85" s="321"/>
      <c r="E85" s="321"/>
      <c r="F85" s="321"/>
      <c r="G85" s="321"/>
      <c r="H85" s="321"/>
      <c r="I85" s="321"/>
      <c r="J85" s="321"/>
      <c r="K85" s="321"/>
      <c r="L85" s="321"/>
      <c r="M85" s="276"/>
      <c r="N85" s="276"/>
      <c r="O85" s="276"/>
    </row>
    <row r="86" spans="1:16">
      <c r="B86" s="320" t="s">
        <v>319</v>
      </c>
      <c r="C86" s="321"/>
      <c r="D86" s="321"/>
      <c r="E86" s="321"/>
      <c r="F86" s="321"/>
      <c r="G86" s="321"/>
      <c r="H86" s="321"/>
      <c r="I86" s="321"/>
      <c r="J86" s="321"/>
      <c r="K86" s="321"/>
      <c r="L86" s="321"/>
      <c r="M86" s="276"/>
      <c r="N86" s="276"/>
      <c r="O86" s="276"/>
    </row>
    <row r="87" spans="1:16" s="318" customFormat="1" ht="53.4" customHeight="1">
      <c r="A87" s="317"/>
      <c r="B87" s="1032" t="s">
        <v>547</v>
      </c>
      <c r="C87" s="1032"/>
      <c r="D87" s="1032"/>
      <c r="E87" s="1032"/>
      <c r="F87" s="1032"/>
      <c r="G87" s="1032"/>
      <c r="H87" s="1032"/>
      <c r="I87" s="1032"/>
      <c r="J87" s="1032"/>
      <c r="K87" s="1032"/>
      <c r="L87" s="1032"/>
      <c r="M87" s="1032"/>
      <c r="N87" s="322"/>
      <c r="O87" s="322"/>
      <c r="P87" s="319"/>
    </row>
    <row r="88" spans="1:16" s="318" customFormat="1" ht="53.4" customHeight="1">
      <c r="A88" s="317"/>
      <c r="B88" s="1032" t="s">
        <v>548</v>
      </c>
      <c r="C88" s="1032"/>
      <c r="D88" s="1032"/>
      <c r="E88" s="1032"/>
      <c r="F88" s="1032"/>
      <c r="G88" s="1032"/>
      <c r="H88" s="1032"/>
      <c r="I88" s="1032"/>
      <c r="J88" s="1032"/>
      <c r="K88" s="1032"/>
      <c r="L88" s="1032"/>
      <c r="M88" s="1032"/>
      <c r="N88" s="322"/>
      <c r="O88" s="322"/>
      <c r="P88" s="319"/>
    </row>
    <row r="89" spans="1:16">
      <c r="B89" s="321"/>
      <c r="C89" s="321"/>
      <c r="D89" s="321"/>
      <c r="E89" s="321"/>
      <c r="F89" s="321"/>
      <c r="G89" s="321"/>
      <c r="H89" s="321"/>
      <c r="I89" s="321"/>
      <c r="J89" s="321"/>
      <c r="K89" s="321"/>
      <c r="L89" s="321"/>
      <c r="M89" s="276"/>
      <c r="N89" s="276"/>
      <c r="O89" s="276"/>
    </row>
    <row r="90" spans="1:16">
      <c r="B90" s="320" t="s">
        <v>320</v>
      </c>
      <c r="C90" s="321"/>
      <c r="D90" s="321"/>
      <c r="E90" s="321"/>
      <c r="F90" s="321"/>
      <c r="G90" s="321"/>
      <c r="H90" s="321"/>
      <c r="I90" s="321"/>
      <c r="J90" s="321"/>
      <c r="K90" s="321"/>
      <c r="L90" s="321"/>
      <c r="M90" s="276"/>
      <c r="N90" s="276"/>
      <c r="O90" s="276"/>
    </row>
    <row r="91" spans="1:16" s="318" customFormat="1" ht="36" customHeight="1">
      <c r="A91" s="317"/>
      <c r="B91" s="1032" t="s">
        <v>1281</v>
      </c>
      <c r="C91" s="1032"/>
      <c r="D91" s="1032"/>
      <c r="E91" s="1032"/>
      <c r="F91" s="1032"/>
      <c r="G91" s="1032"/>
      <c r="H91" s="1032"/>
      <c r="I91" s="1032"/>
      <c r="J91" s="1032"/>
      <c r="K91" s="1032"/>
      <c r="L91" s="1032"/>
      <c r="M91" s="1032"/>
      <c r="N91" s="322"/>
      <c r="O91" s="322"/>
      <c r="P91" s="319"/>
    </row>
    <row r="92" spans="1:16" s="318" customFormat="1" ht="27.6" customHeight="1">
      <c r="A92" s="317"/>
      <c r="B92" s="1032" t="s">
        <v>321</v>
      </c>
      <c r="C92" s="1032"/>
      <c r="D92" s="1032"/>
      <c r="E92" s="1032"/>
      <c r="F92" s="1032"/>
      <c r="G92" s="1032"/>
      <c r="H92" s="1032"/>
      <c r="I92" s="1032"/>
      <c r="J92" s="1032"/>
      <c r="K92" s="1032"/>
      <c r="L92" s="1032"/>
      <c r="M92" s="1032"/>
      <c r="N92" s="322"/>
      <c r="O92" s="322"/>
      <c r="P92" s="319"/>
    </row>
    <row r="93" spans="1:16" ht="13.5" customHeight="1">
      <c r="B93" s="328"/>
      <c r="C93" s="328"/>
      <c r="D93" s="328"/>
      <c r="E93" s="328"/>
      <c r="F93" s="328"/>
      <c r="G93" s="328"/>
      <c r="H93" s="328"/>
      <c r="I93" s="328"/>
      <c r="J93" s="328"/>
      <c r="K93" s="328"/>
      <c r="L93" s="321"/>
      <c r="M93" s="276"/>
      <c r="N93" s="276"/>
      <c r="O93" s="276"/>
    </row>
    <row r="94" spans="1:16">
      <c r="B94" s="320" t="s">
        <v>322</v>
      </c>
      <c r="C94" s="321"/>
      <c r="D94" s="321"/>
      <c r="E94" s="321"/>
      <c r="F94" s="321"/>
      <c r="G94" s="321"/>
      <c r="H94" s="321"/>
      <c r="I94" s="321"/>
      <c r="J94" s="321"/>
      <c r="K94" s="321"/>
      <c r="L94" s="321"/>
      <c r="M94" s="276"/>
      <c r="N94" s="276"/>
      <c r="O94" s="276"/>
    </row>
    <row r="95" spans="1:16" s="318" customFormat="1" ht="50.4" customHeight="1">
      <c r="A95" s="317"/>
      <c r="B95" s="1032" t="s">
        <v>323</v>
      </c>
      <c r="C95" s="1032"/>
      <c r="D95" s="1032"/>
      <c r="E95" s="1032"/>
      <c r="F95" s="1032"/>
      <c r="G95" s="1032"/>
      <c r="H95" s="1032"/>
      <c r="I95" s="1032"/>
      <c r="J95" s="1032"/>
      <c r="K95" s="1032"/>
      <c r="L95" s="1032"/>
      <c r="M95" s="1032"/>
      <c r="N95" s="322"/>
      <c r="O95" s="322"/>
      <c r="P95" s="319"/>
    </row>
    <row r="96" spans="1:16" s="318" customFormat="1" ht="42" customHeight="1">
      <c r="A96" s="317"/>
      <c r="B96" s="1032" t="s">
        <v>324</v>
      </c>
      <c r="C96" s="1032"/>
      <c r="D96" s="1032"/>
      <c r="E96" s="1032"/>
      <c r="F96" s="1032"/>
      <c r="G96" s="1032"/>
      <c r="H96" s="1032"/>
      <c r="I96" s="1032"/>
      <c r="J96" s="1032"/>
      <c r="K96" s="1032"/>
      <c r="L96" s="1032"/>
      <c r="M96" s="1032"/>
      <c r="N96" s="322"/>
      <c r="O96" s="322"/>
      <c r="P96" s="319"/>
    </row>
    <row r="97" spans="1:16">
      <c r="B97" s="325"/>
      <c r="C97" s="325"/>
      <c r="D97" s="325"/>
      <c r="E97" s="325"/>
      <c r="F97" s="325"/>
      <c r="G97" s="325"/>
      <c r="H97" s="325"/>
      <c r="I97" s="325"/>
      <c r="J97" s="325"/>
      <c r="K97" s="325"/>
      <c r="L97" s="321"/>
      <c r="M97" s="276"/>
      <c r="N97" s="276"/>
      <c r="O97" s="276"/>
    </row>
    <row r="98" spans="1:16">
      <c r="B98" s="320" t="s">
        <v>325</v>
      </c>
      <c r="C98" s="325"/>
      <c r="D98" s="325"/>
      <c r="E98" s="325"/>
      <c r="F98" s="325"/>
      <c r="G98" s="325"/>
      <c r="H98" s="325"/>
      <c r="I98" s="325"/>
      <c r="J98" s="325"/>
      <c r="K98" s="325"/>
      <c r="L98" s="321"/>
      <c r="M98" s="276"/>
      <c r="N98" s="276"/>
      <c r="O98" s="276"/>
    </row>
    <row r="99" spans="1:16" s="318" customFormat="1" ht="37.950000000000003" customHeight="1">
      <c r="A99" s="317"/>
      <c r="B99" s="1032" t="s">
        <v>326</v>
      </c>
      <c r="C99" s="1032"/>
      <c r="D99" s="1032"/>
      <c r="E99" s="1032"/>
      <c r="F99" s="1032"/>
      <c r="G99" s="1032"/>
      <c r="H99" s="1032"/>
      <c r="I99" s="1032"/>
      <c r="J99" s="1032"/>
      <c r="K99" s="1032"/>
      <c r="L99" s="1032"/>
      <c r="M99" s="1032"/>
      <c r="N99" s="322"/>
      <c r="O99" s="322"/>
      <c r="P99" s="319"/>
    </row>
    <row r="100" spans="1:16" s="318" customFormat="1" ht="37.950000000000003" customHeight="1">
      <c r="A100" s="317"/>
      <c r="B100" s="320" t="s">
        <v>1492</v>
      </c>
      <c r="C100" s="791"/>
      <c r="D100" s="791"/>
      <c r="E100" s="791"/>
      <c r="F100" s="791"/>
      <c r="G100" s="791"/>
      <c r="H100" s="791"/>
      <c r="I100" s="791"/>
      <c r="J100" s="791"/>
      <c r="K100" s="791"/>
      <c r="L100" s="321"/>
      <c r="M100" s="276"/>
      <c r="N100" s="322"/>
      <c r="O100" s="322"/>
      <c r="P100" s="319"/>
    </row>
    <row r="101" spans="1:16" s="318" customFormat="1" ht="45.45" customHeight="1">
      <c r="A101" s="317"/>
      <c r="B101" s="1032" t="s">
        <v>1493</v>
      </c>
      <c r="C101" s="1032"/>
      <c r="D101" s="1032"/>
      <c r="E101" s="1032"/>
      <c r="F101" s="1032"/>
      <c r="G101" s="1032"/>
      <c r="H101" s="1032"/>
      <c r="I101" s="1032"/>
      <c r="J101" s="1032"/>
      <c r="K101" s="1032"/>
      <c r="L101" s="1032"/>
      <c r="M101" s="1032"/>
      <c r="N101" s="322"/>
      <c r="O101" s="322"/>
      <c r="P101" s="319"/>
    </row>
    <row r="102" spans="1:16" s="318" customFormat="1" ht="18" customHeight="1">
      <c r="A102" s="317"/>
      <c r="B102" s="790"/>
      <c r="C102" s="790"/>
      <c r="D102" s="790"/>
      <c r="E102" s="790"/>
      <c r="F102" s="790"/>
      <c r="G102" s="790"/>
      <c r="H102" s="790"/>
      <c r="I102" s="790"/>
      <c r="J102" s="790"/>
      <c r="K102" s="790"/>
      <c r="L102" s="790"/>
      <c r="M102" s="790"/>
      <c r="N102" s="322"/>
      <c r="O102" s="322"/>
      <c r="P102" s="319"/>
    </row>
    <row r="103" spans="1:16">
      <c r="B103" s="321"/>
      <c r="C103" s="321"/>
      <c r="D103" s="321"/>
      <c r="E103" s="321"/>
      <c r="F103" s="321"/>
      <c r="G103" s="321"/>
      <c r="H103" s="321"/>
      <c r="I103" s="321"/>
      <c r="J103" s="321"/>
      <c r="K103" s="321"/>
      <c r="L103" s="321"/>
      <c r="M103" s="276"/>
      <c r="N103" s="276"/>
      <c r="O103" s="276"/>
    </row>
    <row r="104" spans="1:16">
      <c r="B104" s="320" t="s">
        <v>502</v>
      </c>
      <c r="C104" s="321"/>
      <c r="D104" s="321"/>
      <c r="E104" s="321"/>
      <c r="F104" s="321"/>
      <c r="G104" s="321"/>
      <c r="H104" s="321"/>
      <c r="I104" s="321"/>
      <c r="J104" s="321"/>
      <c r="K104" s="321"/>
      <c r="L104" s="321"/>
      <c r="M104" s="276"/>
      <c r="N104" s="276"/>
      <c r="O104" s="276"/>
    </row>
    <row r="105" spans="1:16" s="318" customFormat="1" ht="36.6" customHeight="1">
      <c r="A105" s="317"/>
      <c r="B105" s="1032" t="s">
        <v>1135</v>
      </c>
      <c r="C105" s="1032"/>
      <c r="D105" s="1032"/>
      <c r="E105" s="1032"/>
      <c r="F105" s="1032"/>
      <c r="G105" s="1032"/>
      <c r="H105" s="1032"/>
      <c r="I105" s="1032"/>
      <c r="J105" s="1032"/>
      <c r="K105" s="1032"/>
      <c r="L105" s="1032"/>
      <c r="M105" s="1032"/>
      <c r="N105" s="322"/>
      <c r="O105" s="322"/>
      <c r="P105" s="319"/>
    </row>
    <row r="106" spans="1:16" ht="34.950000000000003" customHeight="1">
      <c r="B106" s="276"/>
      <c r="C106" s="276"/>
      <c r="D106" s="276"/>
      <c r="E106" s="276"/>
      <c r="F106" s="276"/>
      <c r="G106" s="276"/>
      <c r="H106" s="276"/>
      <c r="I106" s="276"/>
      <c r="J106" s="276"/>
      <c r="K106" s="276"/>
      <c r="L106" s="321"/>
      <c r="M106" s="276"/>
      <c r="N106" s="276"/>
      <c r="O106" s="276"/>
    </row>
    <row r="107" spans="1:16">
      <c r="B107" s="321"/>
      <c r="C107" s="321"/>
      <c r="D107" s="321"/>
      <c r="E107" s="321"/>
      <c r="F107" s="321"/>
      <c r="G107" s="321"/>
      <c r="H107" s="321"/>
      <c r="I107" s="321"/>
      <c r="J107" s="321"/>
      <c r="K107" s="321"/>
      <c r="L107" s="321"/>
      <c r="M107" s="276"/>
      <c r="N107" s="276"/>
      <c r="O107" s="276"/>
    </row>
    <row r="108" spans="1:16">
      <c r="B108" s="276"/>
      <c r="C108" s="276"/>
      <c r="D108" s="276"/>
      <c r="E108" s="276"/>
      <c r="F108" s="276"/>
      <c r="G108" s="276"/>
      <c r="H108" s="276"/>
      <c r="I108" s="276"/>
      <c r="J108" s="276"/>
      <c r="K108" s="276"/>
      <c r="L108" s="276"/>
      <c r="M108" s="276"/>
      <c r="N108" s="276"/>
      <c r="O108" s="276"/>
    </row>
    <row r="109" spans="1:16">
      <c r="B109" s="276"/>
      <c r="C109" s="276"/>
      <c r="D109" s="276"/>
      <c r="E109" s="276"/>
      <c r="F109" s="276"/>
      <c r="G109" s="276"/>
      <c r="H109" s="276"/>
      <c r="I109" s="276"/>
      <c r="J109" s="276"/>
      <c r="K109" s="276"/>
      <c r="L109" s="276"/>
      <c r="M109" s="276"/>
      <c r="N109" s="276"/>
      <c r="O109" s="276"/>
    </row>
    <row r="110" spans="1:16">
      <c r="B110" s="276"/>
      <c r="C110" s="276"/>
      <c r="D110" s="276"/>
      <c r="E110" s="276"/>
      <c r="F110" s="276"/>
      <c r="G110" s="276"/>
      <c r="H110" s="276"/>
      <c r="I110" s="276"/>
      <c r="J110" s="276"/>
      <c r="K110" s="276"/>
      <c r="L110" s="276"/>
      <c r="M110" s="276"/>
      <c r="N110" s="276"/>
      <c r="O110" s="276"/>
    </row>
    <row r="111" spans="1:16">
      <c r="B111" s="276"/>
      <c r="C111" s="276"/>
      <c r="D111" s="276"/>
      <c r="E111" s="276"/>
      <c r="F111" s="276"/>
      <c r="G111" s="276"/>
      <c r="H111" s="276"/>
      <c r="I111" s="276"/>
      <c r="J111" s="276"/>
      <c r="K111" s="276"/>
      <c r="L111" s="276"/>
      <c r="M111" s="276"/>
      <c r="N111" s="276"/>
      <c r="O111" s="276"/>
    </row>
    <row r="112" spans="1:16">
      <c r="B112" s="276"/>
      <c r="C112" s="276"/>
      <c r="D112" s="276"/>
      <c r="E112" s="276"/>
      <c r="F112" s="276"/>
      <c r="G112" s="276"/>
      <c r="H112" s="276"/>
      <c r="I112" s="276"/>
      <c r="J112" s="276"/>
      <c r="K112" s="276"/>
      <c r="L112" s="276"/>
      <c r="M112" s="276"/>
      <c r="N112" s="276"/>
      <c r="O112" s="276"/>
    </row>
    <row r="113" spans="2:15">
      <c r="B113" s="276"/>
      <c r="C113" s="276"/>
      <c r="D113" s="276"/>
      <c r="E113" s="276"/>
      <c r="F113" s="276"/>
      <c r="G113" s="276"/>
      <c r="H113" s="276"/>
      <c r="I113" s="276"/>
      <c r="J113" s="276"/>
      <c r="K113" s="276"/>
      <c r="L113" s="276"/>
      <c r="M113" s="276"/>
      <c r="N113" s="276"/>
      <c r="O113" s="276"/>
    </row>
    <row r="114" spans="2:15">
      <c r="B114" s="276"/>
      <c r="C114" s="276"/>
      <c r="D114" s="276"/>
      <c r="E114" s="276"/>
      <c r="F114" s="276"/>
      <c r="G114" s="276"/>
      <c r="H114" s="276"/>
      <c r="I114" s="276"/>
      <c r="J114" s="276"/>
      <c r="K114" s="276"/>
      <c r="L114" s="276"/>
      <c r="M114" s="276"/>
      <c r="N114" s="276"/>
      <c r="O114" s="276"/>
    </row>
    <row r="115" spans="2:15">
      <c r="B115" s="276"/>
      <c r="C115" s="276"/>
      <c r="D115" s="276"/>
      <c r="E115" s="276"/>
      <c r="F115" s="276"/>
      <c r="G115" s="276"/>
      <c r="H115" s="276"/>
      <c r="I115" s="276"/>
      <c r="J115" s="276"/>
      <c r="K115" s="276"/>
      <c r="L115" s="276"/>
      <c r="M115" s="276"/>
      <c r="N115" s="276"/>
      <c r="O115" s="276"/>
    </row>
    <row r="116" spans="2:15">
      <c r="B116" s="276"/>
      <c r="C116" s="276"/>
      <c r="D116" s="276"/>
      <c r="E116" s="276"/>
      <c r="F116" s="276"/>
      <c r="G116" s="276"/>
      <c r="H116" s="276"/>
      <c r="I116" s="276"/>
      <c r="J116" s="276"/>
      <c r="K116" s="276"/>
      <c r="L116" s="276"/>
      <c r="M116" s="276"/>
      <c r="N116" s="276"/>
      <c r="O116" s="276"/>
    </row>
    <row r="117" spans="2:15">
      <c r="B117" s="276"/>
      <c r="C117" s="276"/>
      <c r="D117" s="276"/>
      <c r="E117" s="276"/>
      <c r="F117" s="276"/>
      <c r="G117" s="276"/>
      <c r="H117" s="276"/>
      <c r="I117" s="276"/>
      <c r="J117" s="276"/>
      <c r="K117" s="276"/>
      <c r="L117" s="276"/>
      <c r="M117" s="276"/>
      <c r="N117" s="276"/>
      <c r="O117" s="276"/>
    </row>
    <row r="118" spans="2:15">
      <c r="B118" s="276"/>
      <c r="C118" s="276"/>
      <c r="D118" s="276"/>
      <c r="E118" s="276"/>
      <c r="F118" s="276"/>
      <c r="G118" s="276"/>
      <c r="H118" s="276"/>
      <c r="I118" s="276"/>
      <c r="J118" s="276"/>
      <c r="K118" s="276"/>
      <c r="L118" s="276"/>
      <c r="M118" s="276"/>
      <c r="N118" s="276"/>
      <c r="O118" s="276"/>
    </row>
    <row r="119" spans="2:15">
      <c r="B119" s="276"/>
      <c r="C119" s="276"/>
      <c r="D119" s="276"/>
      <c r="E119" s="276"/>
      <c r="F119" s="276"/>
      <c r="G119" s="276"/>
      <c r="H119" s="276"/>
      <c r="I119" s="276"/>
      <c r="J119" s="276"/>
      <c r="K119" s="276"/>
      <c r="L119" s="276"/>
      <c r="M119" s="276"/>
      <c r="N119" s="276"/>
      <c r="O119" s="276"/>
    </row>
    <row r="120" spans="2:15">
      <c r="B120" s="276"/>
      <c r="C120" s="276"/>
      <c r="D120" s="276"/>
      <c r="E120" s="276"/>
      <c r="F120" s="276"/>
      <c r="G120" s="276"/>
      <c r="H120" s="276"/>
      <c r="I120" s="276"/>
      <c r="J120" s="276"/>
      <c r="K120" s="276"/>
      <c r="L120" s="276"/>
      <c r="M120" s="276"/>
      <c r="N120" s="276"/>
      <c r="O120" s="276"/>
    </row>
    <row r="121" spans="2:15">
      <c r="B121" s="276"/>
      <c r="C121" s="276"/>
      <c r="D121" s="276"/>
      <c r="E121" s="276"/>
      <c r="F121" s="276"/>
      <c r="G121" s="276"/>
      <c r="H121" s="276"/>
      <c r="I121" s="276"/>
      <c r="J121" s="276"/>
      <c r="K121" s="276"/>
      <c r="L121" s="276"/>
      <c r="M121" s="276"/>
      <c r="N121" s="276"/>
      <c r="O121" s="276"/>
    </row>
    <row r="122" spans="2:15">
      <c r="B122" s="276"/>
      <c r="C122" s="276"/>
      <c r="D122" s="276"/>
      <c r="E122" s="276"/>
      <c r="F122" s="276"/>
      <c r="G122" s="276"/>
      <c r="H122" s="276"/>
      <c r="I122" s="276"/>
      <c r="J122" s="276"/>
      <c r="K122" s="276"/>
      <c r="L122" s="276"/>
      <c r="M122" s="276"/>
      <c r="N122" s="276"/>
      <c r="O122" s="276"/>
    </row>
    <row r="123" spans="2:15">
      <c r="B123" s="276"/>
      <c r="C123" s="276"/>
      <c r="D123" s="276"/>
      <c r="E123" s="276"/>
      <c r="F123" s="276"/>
      <c r="G123" s="276"/>
      <c r="H123" s="276"/>
      <c r="I123" s="276"/>
      <c r="J123" s="276"/>
      <c r="K123" s="276"/>
      <c r="L123" s="276"/>
      <c r="M123" s="276"/>
      <c r="N123" s="276"/>
      <c r="O123" s="276"/>
    </row>
    <row r="124" spans="2:15">
      <c r="B124" s="276"/>
      <c r="C124" s="276"/>
      <c r="D124" s="276"/>
      <c r="E124" s="276"/>
      <c r="F124" s="276"/>
      <c r="G124" s="276"/>
      <c r="H124" s="276"/>
      <c r="I124" s="276"/>
      <c r="J124" s="276"/>
      <c r="K124" s="276"/>
      <c r="L124" s="276"/>
      <c r="M124" s="276"/>
      <c r="N124" s="276"/>
      <c r="O124" s="276"/>
    </row>
    <row r="125" spans="2:15">
      <c r="B125" s="276"/>
      <c r="C125" s="276"/>
      <c r="D125" s="276"/>
      <c r="E125" s="276"/>
      <c r="F125" s="276"/>
      <c r="G125" s="276"/>
      <c r="H125" s="276"/>
      <c r="I125" s="276"/>
      <c r="J125" s="276"/>
      <c r="K125" s="276"/>
      <c r="L125" s="276"/>
      <c r="M125" s="276"/>
      <c r="N125" s="276"/>
      <c r="O125" s="276"/>
    </row>
    <row r="126" spans="2:15">
      <c r="B126" s="276"/>
      <c r="C126" s="276"/>
      <c r="D126" s="276"/>
      <c r="E126" s="276"/>
      <c r="F126" s="276"/>
      <c r="G126" s="276"/>
      <c r="H126" s="276"/>
      <c r="I126" s="276"/>
      <c r="J126" s="276"/>
      <c r="K126" s="276"/>
      <c r="L126" s="276"/>
      <c r="M126" s="276"/>
      <c r="N126" s="276"/>
      <c r="O126" s="276"/>
    </row>
    <row r="127" spans="2:15">
      <c r="B127" s="276"/>
      <c r="C127" s="276"/>
      <c r="D127" s="276"/>
      <c r="E127" s="276"/>
      <c r="F127" s="276"/>
      <c r="G127" s="276"/>
      <c r="H127" s="276"/>
      <c r="I127" s="276"/>
      <c r="J127" s="276"/>
      <c r="K127" s="276"/>
      <c r="L127" s="276"/>
      <c r="M127" s="276"/>
      <c r="N127" s="276"/>
      <c r="O127" s="276"/>
    </row>
    <row r="128" spans="2:15">
      <c r="B128" s="276"/>
      <c r="C128" s="276"/>
      <c r="D128" s="276"/>
      <c r="E128" s="276"/>
      <c r="F128" s="276"/>
      <c r="G128" s="276"/>
      <c r="H128" s="276"/>
      <c r="I128" s="276"/>
      <c r="J128" s="276"/>
      <c r="K128" s="276"/>
      <c r="L128" s="276"/>
      <c r="M128" s="276"/>
      <c r="N128" s="276"/>
      <c r="O128" s="276"/>
    </row>
    <row r="129" spans="2:15">
      <c r="B129" s="276"/>
      <c r="C129" s="276"/>
      <c r="D129" s="276"/>
      <c r="E129" s="276"/>
      <c r="F129" s="276"/>
      <c r="G129" s="276"/>
      <c r="H129" s="276"/>
      <c r="I129" s="276"/>
      <c r="J129" s="276"/>
      <c r="K129" s="276"/>
      <c r="L129" s="276"/>
      <c r="M129" s="276"/>
      <c r="N129" s="276"/>
      <c r="O129" s="276"/>
    </row>
    <row r="130" spans="2:15">
      <c r="B130" s="276"/>
      <c r="C130" s="276"/>
      <c r="D130" s="276"/>
      <c r="E130" s="276"/>
      <c r="F130" s="276"/>
      <c r="G130" s="276"/>
      <c r="H130" s="276"/>
      <c r="I130" s="276"/>
      <c r="J130" s="276"/>
      <c r="K130" s="276"/>
      <c r="L130" s="276"/>
      <c r="M130" s="276"/>
      <c r="N130" s="276"/>
      <c r="O130" s="276"/>
    </row>
    <row r="131" spans="2:15">
      <c r="B131" s="276"/>
      <c r="C131" s="276"/>
      <c r="D131" s="276"/>
      <c r="E131" s="276"/>
      <c r="F131" s="276"/>
      <c r="G131" s="276"/>
      <c r="H131" s="276"/>
      <c r="I131" s="276"/>
      <c r="J131" s="276"/>
      <c r="K131" s="276"/>
      <c r="L131" s="276"/>
      <c r="M131" s="276"/>
      <c r="N131" s="276"/>
      <c r="O131" s="276"/>
    </row>
    <row r="132" spans="2:15">
      <c r="B132" s="276"/>
      <c r="C132" s="276"/>
      <c r="D132" s="276"/>
      <c r="E132" s="276"/>
      <c r="F132" s="276"/>
      <c r="G132" s="276"/>
      <c r="H132" s="276"/>
      <c r="I132" s="276"/>
      <c r="J132" s="276"/>
      <c r="K132" s="276"/>
      <c r="L132" s="276"/>
      <c r="M132" s="276"/>
      <c r="N132" s="276"/>
      <c r="O132" s="276"/>
    </row>
    <row r="133" spans="2:15">
      <c r="B133" s="276"/>
      <c r="C133" s="276"/>
      <c r="D133" s="276"/>
      <c r="E133" s="276"/>
      <c r="F133" s="276"/>
      <c r="G133" s="276"/>
      <c r="H133" s="276"/>
      <c r="I133" s="276"/>
      <c r="J133" s="276"/>
      <c r="K133" s="276"/>
      <c r="L133" s="276"/>
      <c r="M133" s="276"/>
      <c r="N133" s="276"/>
      <c r="O133" s="276"/>
    </row>
    <row r="134" spans="2:15">
      <c r="B134" s="276"/>
      <c r="C134" s="276"/>
      <c r="D134" s="276"/>
      <c r="E134" s="276"/>
      <c r="F134" s="276"/>
      <c r="G134" s="276"/>
      <c r="H134" s="276"/>
      <c r="I134" s="276"/>
      <c r="J134" s="276"/>
      <c r="K134" s="276"/>
      <c r="L134" s="276"/>
      <c r="M134" s="276"/>
      <c r="N134" s="276"/>
      <c r="O134" s="276"/>
    </row>
    <row r="135" spans="2:15">
      <c r="B135" s="276"/>
      <c r="C135" s="276"/>
      <c r="D135" s="276"/>
      <c r="E135" s="276"/>
      <c r="F135" s="276"/>
      <c r="G135" s="276"/>
      <c r="H135" s="276"/>
      <c r="I135" s="276"/>
      <c r="J135" s="276"/>
      <c r="K135" s="276"/>
      <c r="L135" s="276"/>
      <c r="M135" s="276"/>
      <c r="N135" s="276"/>
      <c r="O135" s="276"/>
    </row>
    <row r="136" spans="2:15">
      <c r="B136" s="276"/>
      <c r="C136" s="276"/>
      <c r="D136" s="276"/>
      <c r="E136" s="276"/>
      <c r="F136" s="276"/>
      <c r="G136" s="276"/>
      <c r="H136" s="276"/>
      <c r="I136" s="276"/>
      <c r="J136" s="276"/>
      <c r="K136" s="276"/>
      <c r="L136" s="276"/>
      <c r="M136" s="276"/>
      <c r="N136" s="276"/>
      <c r="O136" s="276"/>
    </row>
    <row r="137" spans="2:15">
      <c r="B137" s="276"/>
      <c r="C137" s="276"/>
      <c r="D137" s="276"/>
      <c r="E137" s="276"/>
      <c r="F137" s="276"/>
      <c r="G137" s="276"/>
      <c r="H137" s="276"/>
      <c r="I137" s="276"/>
      <c r="J137" s="276"/>
      <c r="K137" s="276"/>
      <c r="L137" s="276"/>
      <c r="M137" s="276"/>
      <c r="N137" s="276"/>
      <c r="O137" s="276"/>
    </row>
    <row r="138" spans="2:15">
      <c r="B138" s="276"/>
      <c r="C138" s="276"/>
      <c r="D138" s="276"/>
      <c r="E138" s="276"/>
      <c r="F138" s="276"/>
      <c r="G138" s="276"/>
      <c r="H138" s="276"/>
      <c r="I138" s="276"/>
      <c r="J138" s="276"/>
      <c r="K138" s="276"/>
      <c r="L138" s="276"/>
      <c r="M138" s="276"/>
      <c r="N138" s="276"/>
      <c r="O138" s="276"/>
    </row>
    <row r="139" spans="2:15">
      <c r="B139" s="276"/>
      <c r="C139" s="276"/>
      <c r="D139" s="276"/>
      <c r="E139" s="276"/>
      <c r="F139" s="276"/>
      <c r="G139" s="276"/>
      <c r="H139" s="276"/>
      <c r="I139" s="276"/>
      <c r="J139" s="276"/>
      <c r="K139" s="276"/>
      <c r="L139" s="276"/>
      <c r="M139" s="276"/>
      <c r="N139" s="276"/>
      <c r="O139" s="276"/>
    </row>
    <row r="140" spans="2:15">
      <c r="B140" s="276"/>
      <c r="C140" s="276"/>
      <c r="D140" s="276"/>
      <c r="E140" s="276"/>
      <c r="F140" s="276"/>
      <c r="G140" s="276"/>
      <c r="H140" s="276"/>
      <c r="I140" s="276"/>
      <c r="J140" s="276"/>
      <c r="K140" s="276"/>
      <c r="L140" s="276"/>
      <c r="M140" s="276"/>
      <c r="N140" s="276"/>
      <c r="O140" s="276"/>
    </row>
    <row r="141" spans="2:15">
      <c r="B141" s="276"/>
      <c r="C141" s="276"/>
      <c r="D141" s="276"/>
      <c r="E141" s="276"/>
      <c r="F141" s="276"/>
      <c r="G141" s="276"/>
      <c r="H141" s="276"/>
      <c r="I141" s="276"/>
      <c r="J141" s="276"/>
      <c r="K141" s="276"/>
      <c r="L141" s="276"/>
      <c r="M141" s="276"/>
      <c r="N141" s="276"/>
      <c r="O141" s="276"/>
    </row>
    <row r="142" spans="2:15">
      <c r="B142" s="276"/>
      <c r="C142" s="276"/>
      <c r="D142" s="276"/>
      <c r="E142" s="276"/>
      <c r="F142" s="276"/>
      <c r="G142" s="276"/>
      <c r="H142" s="276"/>
      <c r="I142" s="276"/>
      <c r="J142" s="276"/>
      <c r="K142" s="276"/>
      <c r="L142" s="276"/>
      <c r="M142" s="276"/>
      <c r="N142" s="276"/>
      <c r="O142" s="276"/>
    </row>
    <row r="143" spans="2:15">
      <c r="B143" s="276"/>
      <c r="C143" s="276"/>
      <c r="D143" s="276"/>
      <c r="E143" s="276"/>
      <c r="F143" s="276"/>
      <c r="G143" s="276"/>
      <c r="H143" s="276"/>
      <c r="I143" s="276"/>
      <c r="J143" s="276"/>
      <c r="K143" s="276"/>
      <c r="L143" s="276"/>
      <c r="M143" s="276"/>
      <c r="N143" s="276"/>
      <c r="O143" s="276"/>
    </row>
    <row r="144" spans="2:15">
      <c r="B144" s="276"/>
      <c r="C144" s="276"/>
      <c r="D144" s="276"/>
      <c r="E144" s="276"/>
      <c r="F144" s="276"/>
      <c r="G144" s="276"/>
      <c r="H144" s="276"/>
      <c r="I144" s="276"/>
      <c r="J144" s="276"/>
      <c r="K144" s="276"/>
      <c r="L144" s="276"/>
      <c r="M144" s="276"/>
      <c r="N144" s="276"/>
      <c r="O144" s="276"/>
    </row>
    <row r="145" spans="2:15">
      <c r="B145" s="276"/>
      <c r="C145" s="276"/>
      <c r="D145" s="276"/>
      <c r="E145" s="276"/>
      <c r="F145" s="276"/>
      <c r="G145" s="276"/>
      <c r="H145" s="276"/>
      <c r="I145" s="276"/>
      <c r="J145" s="276"/>
      <c r="K145" s="276"/>
      <c r="L145" s="276"/>
      <c r="M145" s="276"/>
      <c r="N145" s="276"/>
      <c r="O145" s="276"/>
    </row>
    <row r="146" spans="2:15">
      <c r="B146" s="276"/>
      <c r="C146" s="276"/>
      <c r="D146" s="276"/>
      <c r="E146" s="276"/>
      <c r="F146" s="276"/>
      <c r="G146" s="276"/>
      <c r="H146" s="276"/>
      <c r="I146" s="276"/>
      <c r="J146" s="276"/>
      <c r="K146" s="276"/>
      <c r="L146" s="276"/>
      <c r="M146" s="276"/>
      <c r="N146" s="276"/>
      <c r="O146" s="276"/>
    </row>
    <row r="147" spans="2:15">
      <c r="B147" s="276"/>
      <c r="C147" s="276"/>
      <c r="D147" s="276"/>
      <c r="E147" s="276"/>
      <c r="F147" s="276"/>
      <c r="G147" s="276"/>
      <c r="H147" s="276"/>
      <c r="I147" s="276"/>
      <c r="J147" s="276"/>
      <c r="K147" s="276"/>
      <c r="L147" s="276"/>
      <c r="M147" s="276"/>
      <c r="N147" s="276"/>
      <c r="O147" s="276"/>
    </row>
    <row r="148" spans="2:15">
      <c r="B148" s="276"/>
      <c r="C148" s="276"/>
      <c r="D148" s="276"/>
      <c r="E148" s="276"/>
      <c r="F148" s="276"/>
      <c r="G148" s="276"/>
      <c r="H148" s="276"/>
      <c r="I148" s="276"/>
      <c r="J148" s="276"/>
      <c r="K148" s="276"/>
      <c r="L148" s="276"/>
      <c r="M148" s="276"/>
      <c r="N148" s="276"/>
      <c r="O148" s="276"/>
    </row>
    <row r="149" spans="2:15">
      <c r="B149" s="276"/>
      <c r="C149" s="276"/>
      <c r="D149" s="276"/>
      <c r="E149" s="276"/>
      <c r="F149" s="276"/>
      <c r="G149" s="276"/>
      <c r="H149" s="276"/>
      <c r="I149" s="276"/>
      <c r="J149" s="276"/>
      <c r="K149" s="276"/>
      <c r="L149" s="276"/>
      <c r="M149" s="276"/>
      <c r="N149" s="276"/>
      <c r="O149" s="276"/>
    </row>
    <row r="150" spans="2:15">
      <c r="B150" s="276"/>
      <c r="C150" s="276"/>
      <c r="D150" s="276"/>
      <c r="E150" s="276"/>
      <c r="F150" s="276"/>
      <c r="G150" s="276"/>
      <c r="H150" s="276"/>
      <c r="I150" s="276"/>
      <c r="J150" s="276"/>
      <c r="K150" s="276"/>
      <c r="L150" s="276"/>
      <c r="M150" s="276"/>
      <c r="N150" s="276"/>
      <c r="O150" s="276"/>
    </row>
    <row r="151" spans="2:15">
      <c r="B151" s="276"/>
      <c r="C151" s="276"/>
      <c r="D151" s="276"/>
      <c r="E151" s="276"/>
      <c r="F151" s="276"/>
      <c r="G151" s="276"/>
      <c r="H151" s="276"/>
      <c r="I151" s="276"/>
      <c r="J151" s="276"/>
      <c r="K151" s="276"/>
      <c r="L151" s="276"/>
      <c r="M151" s="276"/>
      <c r="N151" s="276"/>
      <c r="O151" s="276"/>
    </row>
    <row r="152" spans="2:15">
      <c r="B152" s="276"/>
      <c r="C152" s="276"/>
      <c r="D152" s="276"/>
      <c r="E152" s="276"/>
      <c r="F152" s="276"/>
      <c r="G152" s="276"/>
      <c r="H152" s="276"/>
      <c r="I152" s="276"/>
      <c r="J152" s="276"/>
      <c r="K152" s="276"/>
      <c r="L152" s="276"/>
      <c r="M152" s="276"/>
      <c r="N152" s="276"/>
      <c r="O152" s="276"/>
    </row>
    <row r="153" spans="2:15">
      <c r="B153" s="276"/>
      <c r="C153" s="276"/>
      <c r="D153" s="276"/>
      <c r="E153" s="276"/>
      <c r="F153" s="276"/>
      <c r="G153" s="276"/>
      <c r="H153" s="276"/>
      <c r="I153" s="276"/>
      <c r="J153" s="276"/>
      <c r="K153" s="276"/>
      <c r="L153" s="276"/>
      <c r="M153" s="276"/>
      <c r="N153" s="276"/>
      <c r="O153" s="276"/>
    </row>
    <row r="154" spans="2:15">
      <c r="B154" s="276"/>
      <c r="C154" s="276"/>
      <c r="D154" s="276"/>
      <c r="E154" s="276"/>
      <c r="F154" s="276"/>
      <c r="G154" s="276"/>
      <c r="H154" s="276"/>
      <c r="I154" s="276"/>
      <c r="J154" s="276"/>
      <c r="K154" s="276"/>
      <c r="L154" s="276"/>
      <c r="M154" s="276"/>
      <c r="N154" s="276"/>
      <c r="O154" s="276"/>
    </row>
    <row r="155" spans="2:15">
      <c r="B155" s="276"/>
      <c r="C155" s="276"/>
      <c r="D155" s="276"/>
      <c r="E155" s="276"/>
      <c r="F155" s="276"/>
      <c r="G155" s="276"/>
      <c r="H155" s="276"/>
      <c r="I155" s="276"/>
      <c r="J155" s="276"/>
      <c r="K155" s="276"/>
      <c r="L155" s="276"/>
      <c r="M155" s="276"/>
      <c r="N155" s="276"/>
      <c r="O155" s="276"/>
    </row>
    <row r="156" spans="2:15">
      <c r="B156" s="276"/>
      <c r="C156" s="276"/>
      <c r="D156" s="276"/>
      <c r="E156" s="276"/>
      <c r="F156" s="276"/>
      <c r="G156" s="276"/>
      <c r="H156" s="276"/>
      <c r="I156" s="276"/>
      <c r="J156" s="276"/>
      <c r="K156" s="276"/>
      <c r="L156" s="276"/>
      <c r="M156" s="276"/>
      <c r="N156" s="276"/>
      <c r="O156" s="276"/>
    </row>
    <row r="157" spans="2:15">
      <c r="B157" s="276"/>
      <c r="C157" s="276"/>
      <c r="D157" s="276"/>
      <c r="E157" s="276"/>
      <c r="F157" s="276"/>
      <c r="G157" s="276"/>
      <c r="H157" s="276"/>
      <c r="I157" s="276"/>
      <c r="J157" s="276"/>
      <c r="K157" s="276"/>
      <c r="L157" s="276"/>
      <c r="M157" s="276"/>
      <c r="N157" s="276"/>
      <c r="O157" s="276"/>
    </row>
    <row r="158" spans="2:15">
      <c r="B158" s="276"/>
      <c r="C158" s="276"/>
      <c r="D158" s="276"/>
      <c r="E158" s="276"/>
      <c r="F158" s="276"/>
      <c r="G158" s="276"/>
      <c r="H158" s="276"/>
      <c r="I158" s="276"/>
      <c r="J158" s="276"/>
      <c r="K158" s="276"/>
      <c r="L158" s="276"/>
      <c r="M158" s="276"/>
      <c r="N158" s="276"/>
      <c r="O158" s="276"/>
    </row>
    <row r="159" spans="2:15">
      <c r="B159" s="276"/>
      <c r="C159" s="276"/>
      <c r="D159" s="276"/>
      <c r="E159" s="276"/>
      <c r="F159" s="276"/>
      <c r="G159" s="276"/>
      <c r="H159" s="276"/>
      <c r="I159" s="276"/>
      <c r="J159" s="276"/>
      <c r="K159" s="276"/>
      <c r="L159" s="276"/>
      <c r="M159" s="276"/>
      <c r="N159" s="276"/>
      <c r="O159" s="276"/>
    </row>
    <row r="160" spans="2:15">
      <c r="B160" s="276"/>
      <c r="C160" s="276"/>
      <c r="D160" s="276"/>
      <c r="E160" s="276"/>
      <c r="F160" s="276"/>
      <c r="G160" s="276"/>
      <c r="H160" s="276"/>
      <c r="I160" s="276"/>
      <c r="J160" s="276"/>
      <c r="K160" s="276"/>
      <c r="L160" s="276"/>
      <c r="M160" s="276"/>
      <c r="N160" s="276"/>
      <c r="O160" s="276"/>
    </row>
    <row r="161" spans="2:15">
      <c r="B161" s="276"/>
      <c r="C161" s="276"/>
      <c r="D161" s="276"/>
      <c r="E161" s="276"/>
      <c r="F161" s="276"/>
      <c r="G161" s="276"/>
      <c r="H161" s="276"/>
      <c r="I161" s="276"/>
      <c r="J161" s="276"/>
      <c r="K161" s="276"/>
      <c r="L161" s="276"/>
      <c r="M161" s="276"/>
      <c r="N161" s="276"/>
      <c r="O161" s="276"/>
    </row>
    <row r="162" spans="2:15">
      <c r="B162" s="276"/>
      <c r="C162" s="276"/>
      <c r="D162" s="276"/>
      <c r="E162" s="276"/>
      <c r="F162" s="276"/>
      <c r="G162" s="276"/>
      <c r="H162" s="276"/>
      <c r="I162" s="276"/>
      <c r="J162" s="276"/>
      <c r="K162" s="276"/>
      <c r="L162" s="276"/>
      <c r="M162" s="276"/>
      <c r="N162" s="276"/>
      <c r="O162" s="276"/>
    </row>
    <row r="163" spans="2:15">
      <c r="B163" s="276"/>
      <c r="C163" s="276"/>
      <c r="D163" s="276"/>
      <c r="E163" s="276"/>
      <c r="F163" s="276"/>
      <c r="G163" s="276"/>
      <c r="H163" s="276"/>
      <c r="I163" s="276"/>
      <c r="J163" s="276"/>
      <c r="K163" s="276"/>
      <c r="L163" s="276"/>
      <c r="M163" s="276"/>
      <c r="N163" s="276"/>
      <c r="O163" s="276"/>
    </row>
    <row r="164" spans="2:15">
      <c r="B164" s="276"/>
      <c r="C164" s="276"/>
      <c r="D164" s="276"/>
      <c r="E164" s="276"/>
      <c r="F164" s="276"/>
      <c r="G164" s="276"/>
      <c r="H164" s="276"/>
      <c r="I164" s="276"/>
      <c r="J164" s="276"/>
      <c r="K164" s="276"/>
      <c r="L164" s="276"/>
      <c r="M164" s="276"/>
      <c r="N164" s="276"/>
      <c r="O164" s="276"/>
    </row>
    <row r="165" spans="2:15">
      <c r="B165" s="276"/>
      <c r="C165" s="276"/>
      <c r="D165" s="276"/>
      <c r="E165" s="276"/>
      <c r="F165" s="276"/>
      <c r="G165" s="276"/>
      <c r="H165" s="276"/>
      <c r="I165" s="276"/>
      <c r="J165" s="276"/>
      <c r="K165" s="276"/>
      <c r="L165" s="276"/>
      <c r="M165" s="276"/>
      <c r="N165" s="276"/>
      <c r="O165" s="276"/>
    </row>
    <row r="166" spans="2:15">
      <c r="B166" s="276"/>
      <c r="C166" s="276"/>
      <c r="D166" s="276"/>
      <c r="E166" s="276"/>
      <c r="F166" s="276"/>
      <c r="G166" s="276"/>
      <c r="H166" s="276"/>
      <c r="I166" s="276"/>
      <c r="J166" s="276"/>
      <c r="K166" s="276"/>
      <c r="L166" s="276"/>
      <c r="M166" s="276"/>
      <c r="N166" s="276"/>
      <c r="O166" s="276"/>
    </row>
    <row r="167" spans="2:15">
      <c r="B167" s="276"/>
      <c r="C167" s="276"/>
      <c r="D167" s="276"/>
      <c r="E167" s="276"/>
      <c r="F167" s="276"/>
      <c r="G167" s="276"/>
      <c r="H167" s="276"/>
      <c r="I167" s="276"/>
      <c r="J167" s="276"/>
      <c r="K167" s="276"/>
      <c r="L167" s="276"/>
      <c r="M167" s="276"/>
      <c r="N167" s="276"/>
      <c r="O167" s="276"/>
    </row>
    <row r="168" spans="2:15">
      <c r="B168" s="276"/>
      <c r="C168" s="276"/>
      <c r="D168" s="276"/>
      <c r="E168" s="276"/>
      <c r="F168" s="276"/>
      <c r="G168" s="276"/>
      <c r="H168" s="276"/>
      <c r="I168" s="276"/>
      <c r="J168" s="276"/>
      <c r="K168" s="276"/>
      <c r="L168" s="276"/>
      <c r="M168" s="276"/>
      <c r="N168" s="276"/>
      <c r="O168" s="276"/>
    </row>
    <row r="169" spans="2:15">
      <c r="B169" s="276"/>
      <c r="C169" s="276"/>
      <c r="D169" s="276"/>
      <c r="E169" s="276"/>
      <c r="F169" s="276"/>
      <c r="G169" s="276"/>
      <c r="H169" s="276"/>
      <c r="I169" s="276"/>
      <c r="J169" s="276"/>
      <c r="K169" s="276"/>
      <c r="L169" s="276"/>
      <c r="M169" s="276"/>
      <c r="N169" s="276"/>
      <c r="O169" s="276"/>
    </row>
    <row r="170" spans="2:15">
      <c r="B170" s="276"/>
      <c r="C170" s="276"/>
      <c r="D170" s="276"/>
      <c r="E170" s="276"/>
      <c r="F170" s="276"/>
      <c r="G170" s="276"/>
      <c r="H170" s="276"/>
      <c r="I170" s="276"/>
      <c r="J170" s="276"/>
      <c r="K170" s="276"/>
      <c r="L170" s="276"/>
      <c r="M170" s="276"/>
      <c r="N170" s="276"/>
      <c r="O170" s="276"/>
    </row>
    <row r="171" spans="2:15">
      <c r="B171" s="276"/>
      <c r="C171" s="276"/>
      <c r="D171" s="276"/>
      <c r="E171" s="276"/>
      <c r="F171" s="276"/>
      <c r="G171" s="276"/>
      <c r="H171" s="276"/>
      <c r="I171" s="276"/>
      <c r="J171" s="276"/>
      <c r="K171" s="276"/>
      <c r="L171" s="276"/>
      <c r="M171" s="276"/>
      <c r="N171" s="276"/>
      <c r="O171" s="276"/>
    </row>
    <row r="172" spans="2:15">
      <c r="B172" s="276"/>
      <c r="C172" s="276"/>
      <c r="D172" s="276"/>
      <c r="E172" s="276"/>
      <c r="F172" s="276"/>
      <c r="G172" s="276"/>
      <c r="H172" s="276"/>
      <c r="I172" s="276"/>
      <c r="J172" s="276"/>
      <c r="K172" s="276"/>
      <c r="L172" s="276"/>
      <c r="M172" s="276"/>
      <c r="N172" s="276"/>
      <c r="O172" s="276"/>
    </row>
    <row r="173" spans="2:15">
      <c r="B173" s="276"/>
      <c r="C173" s="276"/>
      <c r="D173" s="276"/>
      <c r="E173" s="276"/>
      <c r="F173" s="276"/>
      <c r="G173" s="276"/>
      <c r="H173" s="276"/>
      <c r="I173" s="276"/>
      <c r="J173" s="276"/>
      <c r="K173" s="276"/>
      <c r="L173" s="276"/>
      <c r="M173" s="276"/>
      <c r="N173" s="276"/>
      <c r="O173" s="276"/>
    </row>
    <row r="174" spans="2:15">
      <c r="B174" s="276"/>
      <c r="C174" s="276"/>
      <c r="D174" s="276"/>
      <c r="E174" s="276"/>
      <c r="F174" s="276"/>
      <c r="G174" s="276"/>
      <c r="H174" s="276"/>
      <c r="I174" s="276"/>
      <c r="J174" s="276"/>
      <c r="K174" s="276"/>
      <c r="L174" s="276"/>
      <c r="M174" s="276"/>
      <c r="N174" s="276"/>
      <c r="O174" s="276"/>
    </row>
    <row r="175" spans="2:15">
      <c r="B175" s="276"/>
      <c r="C175" s="276"/>
      <c r="D175" s="276"/>
      <c r="E175" s="276"/>
      <c r="F175" s="276"/>
      <c r="G175" s="276"/>
      <c r="H175" s="276"/>
      <c r="I175" s="276"/>
      <c r="J175" s="276"/>
      <c r="K175" s="276"/>
      <c r="L175" s="276"/>
      <c r="M175" s="276"/>
      <c r="N175" s="276"/>
      <c r="O175" s="276"/>
    </row>
    <row r="176" spans="2:15">
      <c r="B176" s="276"/>
      <c r="C176" s="276"/>
      <c r="D176" s="276"/>
      <c r="E176" s="276"/>
      <c r="F176" s="276"/>
      <c r="G176" s="276"/>
      <c r="H176" s="276"/>
      <c r="I176" s="276"/>
      <c r="J176" s="276"/>
      <c r="K176" s="276"/>
      <c r="L176" s="276"/>
      <c r="M176" s="276"/>
      <c r="N176" s="276"/>
      <c r="O176" s="276"/>
    </row>
    <row r="177" spans="2:15">
      <c r="B177" s="276"/>
      <c r="C177" s="276"/>
      <c r="D177" s="276"/>
      <c r="E177" s="276"/>
      <c r="F177" s="276"/>
      <c r="G177" s="276"/>
      <c r="H177" s="276"/>
      <c r="I177" s="276"/>
      <c r="J177" s="276"/>
      <c r="K177" s="276"/>
      <c r="L177" s="276"/>
      <c r="M177" s="276"/>
      <c r="N177" s="276"/>
      <c r="O177" s="276"/>
    </row>
    <row r="178" spans="2:15">
      <c r="B178" s="276"/>
      <c r="C178" s="276"/>
      <c r="D178" s="276"/>
      <c r="E178" s="276"/>
      <c r="F178" s="276"/>
      <c r="G178" s="276"/>
      <c r="H178" s="276"/>
      <c r="I178" s="276"/>
      <c r="J178" s="276"/>
      <c r="K178" s="276"/>
      <c r="L178" s="276"/>
      <c r="M178" s="276"/>
      <c r="N178" s="276"/>
      <c r="O178" s="276"/>
    </row>
    <row r="179" spans="2:15">
      <c r="B179" s="276"/>
      <c r="C179" s="276"/>
      <c r="D179" s="276"/>
      <c r="E179" s="276"/>
      <c r="F179" s="276"/>
      <c r="G179" s="276"/>
      <c r="H179" s="276"/>
      <c r="I179" s="276"/>
      <c r="J179" s="276"/>
      <c r="K179" s="276"/>
      <c r="L179" s="276"/>
      <c r="M179" s="276"/>
      <c r="N179" s="276"/>
      <c r="O179" s="276"/>
    </row>
    <row r="180" spans="2:15">
      <c r="B180" s="276"/>
      <c r="C180" s="276"/>
      <c r="D180" s="276"/>
      <c r="E180" s="276"/>
      <c r="F180" s="276"/>
      <c r="G180" s="276"/>
      <c r="H180" s="276"/>
      <c r="I180" s="276"/>
      <c r="J180" s="276"/>
      <c r="K180" s="276"/>
      <c r="L180" s="276"/>
      <c r="M180" s="276"/>
      <c r="N180" s="276"/>
      <c r="O180" s="276"/>
    </row>
    <row r="181" spans="2:15">
      <c r="B181" s="276"/>
      <c r="C181" s="276"/>
      <c r="D181" s="276"/>
      <c r="E181" s="276"/>
      <c r="F181" s="276"/>
      <c r="G181" s="276"/>
      <c r="H181" s="276"/>
      <c r="I181" s="276"/>
      <c r="J181" s="276"/>
      <c r="K181" s="276"/>
      <c r="L181" s="276"/>
      <c r="M181" s="276"/>
      <c r="N181" s="276"/>
      <c r="O181" s="276"/>
    </row>
    <row r="182" spans="2:15">
      <c r="B182" s="276"/>
      <c r="C182" s="276"/>
      <c r="D182" s="276"/>
      <c r="E182" s="276"/>
      <c r="F182" s="276"/>
      <c r="G182" s="276"/>
      <c r="H182" s="276"/>
      <c r="I182" s="276"/>
      <c r="J182" s="276"/>
      <c r="K182" s="276"/>
      <c r="L182" s="276"/>
      <c r="M182" s="276"/>
      <c r="N182" s="276"/>
      <c r="O182" s="276"/>
    </row>
    <row r="183" spans="2:15">
      <c r="B183" s="276"/>
      <c r="C183" s="276"/>
      <c r="D183" s="276"/>
      <c r="E183" s="276"/>
      <c r="F183" s="276"/>
      <c r="G183" s="276"/>
      <c r="H183" s="276"/>
      <c r="I183" s="276"/>
      <c r="J183" s="276"/>
      <c r="K183" s="276"/>
      <c r="L183" s="276"/>
      <c r="M183" s="276"/>
      <c r="N183" s="276"/>
      <c r="O183" s="276"/>
    </row>
    <row r="184" spans="2:15">
      <c r="B184" s="276"/>
      <c r="C184" s="276"/>
      <c r="D184" s="276"/>
      <c r="E184" s="276"/>
      <c r="F184" s="276"/>
      <c r="G184" s="276"/>
      <c r="H184" s="276"/>
      <c r="I184" s="276"/>
      <c r="J184" s="276"/>
      <c r="K184" s="276"/>
      <c r="L184" s="276"/>
      <c r="M184" s="276"/>
      <c r="N184" s="276"/>
      <c r="O184" s="276"/>
    </row>
    <row r="185" spans="2:15">
      <c r="B185" s="276"/>
      <c r="C185" s="276"/>
      <c r="D185" s="276"/>
      <c r="E185" s="276"/>
      <c r="F185" s="276"/>
      <c r="G185" s="276"/>
      <c r="H185" s="276"/>
      <c r="I185" s="276"/>
      <c r="J185" s="276"/>
      <c r="K185" s="276"/>
      <c r="L185" s="276"/>
      <c r="M185" s="276"/>
      <c r="N185" s="276"/>
      <c r="O185" s="276"/>
    </row>
    <row r="186" spans="2:15">
      <c r="B186" s="276"/>
      <c r="C186" s="276"/>
      <c r="D186" s="276"/>
      <c r="E186" s="276"/>
      <c r="F186" s="276"/>
      <c r="G186" s="276"/>
      <c r="H186" s="276"/>
      <c r="I186" s="276"/>
      <c r="J186" s="276"/>
      <c r="K186" s="276"/>
      <c r="L186" s="276"/>
      <c r="M186" s="276"/>
      <c r="N186" s="276"/>
      <c r="O186" s="276"/>
    </row>
    <row r="187" spans="2:15">
      <c r="B187" s="276"/>
      <c r="C187" s="276"/>
      <c r="D187" s="276"/>
      <c r="E187" s="276"/>
      <c r="F187" s="276"/>
      <c r="G187" s="276"/>
      <c r="H187" s="276"/>
      <c r="I187" s="276"/>
      <c r="J187" s="276"/>
      <c r="K187" s="276"/>
      <c r="L187" s="276"/>
      <c r="M187" s="276"/>
      <c r="N187" s="276"/>
      <c r="O187" s="276"/>
    </row>
    <row r="188" spans="2:15">
      <c r="B188" s="276"/>
      <c r="C188" s="276"/>
      <c r="D188" s="276"/>
      <c r="E188" s="276"/>
      <c r="F188" s="276"/>
      <c r="G188" s="276"/>
      <c r="H188" s="276"/>
      <c r="I188" s="276"/>
      <c r="J188" s="276"/>
      <c r="K188" s="276"/>
      <c r="L188" s="276"/>
      <c r="M188" s="276"/>
      <c r="N188" s="276"/>
      <c r="O188" s="276"/>
    </row>
    <row r="189" spans="2:15">
      <c r="B189" s="276"/>
      <c r="C189" s="276"/>
      <c r="D189" s="276"/>
      <c r="E189" s="276"/>
      <c r="F189" s="276"/>
      <c r="G189" s="276"/>
      <c r="H189" s="276"/>
      <c r="I189" s="276"/>
      <c r="J189" s="276"/>
      <c r="K189" s="276"/>
      <c r="L189" s="276"/>
      <c r="M189" s="276"/>
      <c r="N189" s="276"/>
      <c r="O189" s="276"/>
    </row>
    <row r="190" spans="2:15">
      <c r="B190" s="276"/>
      <c r="C190" s="276"/>
      <c r="D190" s="276"/>
      <c r="E190" s="276"/>
      <c r="F190" s="276"/>
      <c r="G190" s="276"/>
      <c r="H190" s="276"/>
      <c r="I190" s="276"/>
      <c r="J190" s="276"/>
      <c r="K190" s="276"/>
      <c r="L190" s="276"/>
      <c r="M190" s="276"/>
      <c r="N190" s="276"/>
      <c r="O190" s="276"/>
    </row>
    <row r="191" spans="2:15">
      <c r="B191" s="276"/>
      <c r="C191" s="276"/>
      <c r="D191" s="276"/>
      <c r="E191" s="276"/>
      <c r="F191" s="276"/>
      <c r="G191" s="276"/>
      <c r="H191" s="276"/>
      <c r="I191" s="276"/>
      <c r="J191" s="276"/>
      <c r="K191" s="276"/>
      <c r="L191" s="276"/>
      <c r="M191" s="276"/>
      <c r="N191" s="276"/>
      <c r="O191" s="276"/>
    </row>
    <row r="192" spans="2:15">
      <c r="B192" s="276"/>
      <c r="C192" s="276"/>
      <c r="D192" s="276"/>
      <c r="E192" s="276"/>
      <c r="F192" s="276"/>
      <c r="G192" s="276"/>
      <c r="H192" s="276"/>
      <c r="I192" s="276"/>
      <c r="J192" s="276"/>
      <c r="K192" s="276"/>
      <c r="L192" s="276"/>
      <c r="M192" s="276"/>
      <c r="N192" s="276"/>
      <c r="O192" s="276"/>
    </row>
    <row r="193" spans="2:15">
      <c r="B193" s="276"/>
      <c r="C193" s="276"/>
      <c r="D193" s="276"/>
      <c r="E193" s="276"/>
      <c r="F193" s="276"/>
      <c r="G193" s="276"/>
      <c r="H193" s="276"/>
      <c r="I193" s="276"/>
      <c r="J193" s="276"/>
      <c r="K193" s="276"/>
      <c r="L193" s="276"/>
      <c r="M193" s="276"/>
      <c r="N193" s="276"/>
      <c r="O193" s="276"/>
    </row>
    <row r="194" spans="2:15">
      <c r="B194" s="276"/>
      <c r="C194" s="276"/>
      <c r="D194" s="276"/>
      <c r="E194" s="276"/>
      <c r="F194" s="276"/>
      <c r="G194" s="276"/>
      <c r="H194" s="276"/>
      <c r="I194" s="276"/>
      <c r="J194" s="276"/>
      <c r="K194" s="276"/>
      <c r="L194" s="276"/>
      <c r="M194" s="276"/>
      <c r="N194" s="276"/>
      <c r="O194" s="276"/>
    </row>
    <row r="195" spans="2:15">
      <c r="B195" s="276"/>
      <c r="C195" s="276"/>
      <c r="D195" s="276"/>
      <c r="E195" s="276"/>
      <c r="F195" s="276"/>
      <c r="G195" s="276"/>
      <c r="H195" s="276"/>
      <c r="I195" s="276"/>
      <c r="J195" s="276"/>
      <c r="K195" s="276"/>
      <c r="L195" s="276"/>
      <c r="M195" s="276"/>
      <c r="N195" s="276"/>
      <c r="O195" s="276"/>
    </row>
    <row r="196" spans="2:15">
      <c r="B196" s="276"/>
      <c r="C196" s="276"/>
      <c r="D196" s="276"/>
      <c r="E196" s="276"/>
      <c r="F196" s="276"/>
      <c r="G196" s="276"/>
      <c r="H196" s="276"/>
      <c r="I196" s="276"/>
      <c r="J196" s="276"/>
      <c r="K196" s="276"/>
      <c r="L196" s="276"/>
      <c r="M196" s="276"/>
      <c r="N196" s="276"/>
      <c r="O196" s="276"/>
    </row>
    <row r="197" spans="2:15">
      <c r="B197" s="276"/>
      <c r="C197" s="276"/>
      <c r="D197" s="276"/>
      <c r="E197" s="276"/>
      <c r="F197" s="276"/>
      <c r="G197" s="276"/>
      <c r="H197" s="276"/>
      <c r="I197" s="276"/>
      <c r="J197" s="276"/>
      <c r="K197" s="276"/>
      <c r="L197" s="276"/>
      <c r="M197" s="276"/>
      <c r="N197" s="276"/>
      <c r="O197" s="276"/>
    </row>
    <row r="198" spans="2:15">
      <c r="B198" s="276"/>
      <c r="C198" s="276"/>
      <c r="D198" s="276"/>
      <c r="E198" s="276"/>
      <c r="F198" s="276"/>
      <c r="G198" s="276"/>
      <c r="H198" s="276"/>
      <c r="I198" s="276"/>
      <c r="J198" s="276"/>
      <c r="K198" s="276"/>
      <c r="L198" s="276"/>
      <c r="M198" s="276"/>
      <c r="N198" s="276"/>
      <c r="O198" s="276"/>
    </row>
    <row r="199" spans="2:15">
      <c r="B199" s="276"/>
      <c r="C199" s="276"/>
      <c r="D199" s="276"/>
      <c r="E199" s="276"/>
      <c r="F199" s="276"/>
      <c r="G199" s="276"/>
      <c r="H199" s="276"/>
      <c r="I199" s="276"/>
      <c r="J199" s="276"/>
      <c r="K199" s="276"/>
      <c r="L199" s="276"/>
      <c r="M199" s="276"/>
      <c r="N199" s="276"/>
      <c r="O199" s="276"/>
    </row>
    <row r="200" spans="2:15">
      <c r="B200" s="276"/>
      <c r="C200" s="276"/>
      <c r="D200" s="276"/>
      <c r="E200" s="276"/>
      <c r="F200" s="276"/>
      <c r="G200" s="276"/>
      <c r="H200" s="276"/>
      <c r="I200" s="276"/>
      <c r="J200" s="276"/>
      <c r="K200" s="276"/>
      <c r="L200" s="276"/>
      <c r="M200" s="276"/>
      <c r="N200" s="276"/>
      <c r="O200" s="276"/>
    </row>
    <row r="201" spans="2:15">
      <c r="B201" s="276"/>
      <c r="C201" s="276"/>
      <c r="D201" s="276"/>
      <c r="E201" s="276"/>
      <c r="F201" s="276"/>
      <c r="G201" s="276"/>
      <c r="H201" s="276"/>
      <c r="I201" s="276"/>
      <c r="J201" s="276"/>
      <c r="K201" s="276"/>
      <c r="L201" s="276"/>
      <c r="M201" s="276"/>
      <c r="N201" s="276"/>
      <c r="O201" s="276"/>
    </row>
    <row r="202" spans="2:15">
      <c r="B202" s="276"/>
      <c r="C202" s="276"/>
      <c r="D202" s="276"/>
      <c r="E202" s="276"/>
      <c r="F202" s="276"/>
      <c r="G202" s="276"/>
      <c r="H202" s="276"/>
      <c r="I202" s="276"/>
      <c r="J202" s="276"/>
      <c r="K202" s="276"/>
      <c r="L202" s="276"/>
      <c r="M202" s="276"/>
      <c r="N202" s="276"/>
      <c r="O202" s="276"/>
    </row>
    <row r="203" spans="2:15">
      <c r="B203" s="276"/>
      <c r="C203" s="276"/>
      <c r="D203" s="276"/>
      <c r="E203" s="276"/>
      <c r="F203" s="276"/>
      <c r="G203" s="276"/>
      <c r="H203" s="276"/>
      <c r="I203" s="276"/>
      <c r="J203" s="276"/>
      <c r="K203" s="276"/>
      <c r="L203" s="276"/>
      <c r="M203" s="276"/>
      <c r="N203" s="276"/>
      <c r="O203" s="276"/>
    </row>
    <row r="204" spans="2:15">
      <c r="B204" s="276"/>
      <c r="C204" s="276"/>
      <c r="D204" s="276"/>
      <c r="E204" s="276"/>
      <c r="F204" s="276"/>
      <c r="G204" s="276"/>
      <c r="H204" s="276"/>
      <c r="I204" s="276"/>
      <c r="J204" s="276"/>
      <c r="K204" s="276"/>
      <c r="L204" s="276"/>
      <c r="M204" s="276"/>
      <c r="N204" s="276"/>
      <c r="O204" s="276"/>
    </row>
    <row r="205" spans="2:15">
      <c r="B205" s="276"/>
      <c r="C205" s="276"/>
      <c r="D205" s="276"/>
      <c r="E205" s="276"/>
      <c r="F205" s="276"/>
      <c r="G205" s="276"/>
      <c r="H205" s="276"/>
      <c r="I205" s="276"/>
      <c r="J205" s="276"/>
      <c r="K205" s="276"/>
      <c r="L205" s="276"/>
      <c r="M205" s="276"/>
      <c r="N205" s="276"/>
      <c r="O205" s="276"/>
    </row>
    <row r="206" spans="2:15">
      <c r="B206" s="276"/>
      <c r="C206" s="276"/>
      <c r="D206" s="276"/>
      <c r="E206" s="276"/>
      <c r="F206" s="276"/>
      <c r="G206" s="276"/>
      <c r="H206" s="276"/>
      <c r="I206" s="276"/>
      <c r="J206" s="276"/>
      <c r="K206" s="276"/>
      <c r="L206" s="276"/>
      <c r="M206" s="276"/>
      <c r="N206" s="276"/>
      <c r="O206" s="276"/>
    </row>
    <row r="207" spans="2:15">
      <c r="B207" s="276"/>
      <c r="C207" s="276"/>
      <c r="D207" s="276"/>
      <c r="E207" s="276"/>
      <c r="F207" s="276"/>
      <c r="G207" s="276"/>
      <c r="H207" s="276"/>
      <c r="I207" s="276"/>
      <c r="J207" s="276"/>
      <c r="K207" s="276"/>
      <c r="L207" s="276"/>
      <c r="M207" s="276"/>
      <c r="N207" s="276"/>
      <c r="O207" s="276"/>
    </row>
    <row r="208" spans="2:15">
      <c r="B208" s="276"/>
      <c r="C208" s="276"/>
      <c r="D208" s="276"/>
      <c r="E208" s="276"/>
      <c r="F208" s="276"/>
      <c r="G208" s="276"/>
      <c r="H208" s="276"/>
      <c r="I208" s="276"/>
      <c r="J208" s="276"/>
      <c r="K208" s="276"/>
      <c r="L208" s="276"/>
      <c r="M208" s="276"/>
      <c r="N208" s="276"/>
      <c r="O208" s="276"/>
    </row>
    <row r="209" spans="2:15">
      <c r="B209" s="276"/>
      <c r="C209" s="276"/>
      <c r="D209" s="276"/>
      <c r="E209" s="276"/>
      <c r="F209" s="276"/>
      <c r="G209" s="276"/>
      <c r="H209" s="276"/>
      <c r="I209" s="276"/>
      <c r="J209" s="276"/>
      <c r="K209" s="276"/>
      <c r="L209" s="276"/>
      <c r="M209" s="276"/>
      <c r="N209" s="276"/>
      <c r="O209" s="276"/>
    </row>
    <row r="210" spans="2:15">
      <c r="B210" s="276"/>
      <c r="C210" s="276"/>
      <c r="D210" s="276"/>
      <c r="E210" s="276"/>
      <c r="F210" s="276"/>
      <c r="G210" s="276"/>
      <c r="H210" s="276"/>
      <c r="I210" s="276"/>
      <c r="J210" s="276"/>
      <c r="K210" s="276"/>
      <c r="L210" s="276"/>
      <c r="M210" s="276"/>
      <c r="N210" s="276"/>
      <c r="O210" s="276"/>
    </row>
    <row r="211" spans="2:15">
      <c r="B211" s="276"/>
      <c r="C211" s="276"/>
      <c r="D211" s="276"/>
      <c r="E211" s="276"/>
      <c r="F211" s="276"/>
      <c r="G211" s="276"/>
      <c r="H211" s="276"/>
      <c r="I211" s="276"/>
      <c r="J211" s="276"/>
      <c r="K211" s="276"/>
      <c r="L211" s="276"/>
      <c r="M211" s="276"/>
      <c r="N211" s="276"/>
      <c r="O211" s="276"/>
    </row>
    <row r="212" spans="2:15">
      <c r="B212" s="276"/>
      <c r="C212" s="276"/>
      <c r="D212" s="276"/>
      <c r="E212" s="276"/>
      <c r="F212" s="276"/>
      <c r="G212" s="276"/>
      <c r="H212" s="276"/>
      <c r="I212" s="276"/>
      <c r="J212" s="276"/>
      <c r="K212" s="276"/>
      <c r="L212" s="276"/>
      <c r="M212" s="276"/>
      <c r="N212" s="276"/>
      <c r="O212" s="276"/>
    </row>
    <row r="213" spans="2:15">
      <c r="B213" s="276"/>
      <c r="C213" s="276"/>
      <c r="D213" s="276"/>
      <c r="E213" s="276"/>
      <c r="F213" s="276"/>
      <c r="G213" s="276"/>
      <c r="H213" s="276"/>
      <c r="I213" s="276"/>
      <c r="J213" s="276"/>
      <c r="K213" s="276"/>
      <c r="L213" s="276"/>
      <c r="M213" s="276"/>
      <c r="N213" s="276"/>
      <c r="O213" s="276"/>
    </row>
    <row r="214" spans="2:15">
      <c r="B214" s="276"/>
      <c r="C214" s="276"/>
      <c r="D214" s="276"/>
      <c r="E214" s="276"/>
      <c r="F214" s="276"/>
      <c r="G214" s="276"/>
      <c r="H214" s="276"/>
      <c r="I214" s="276"/>
      <c r="J214" s="276"/>
      <c r="K214" s="276"/>
      <c r="L214" s="276"/>
      <c r="M214" s="276"/>
      <c r="N214" s="276"/>
      <c r="O214" s="276"/>
    </row>
    <row r="215" spans="2:15">
      <c r="B215" s="276"/>
      <c r="C215" s="276"/>
      <c r="D215" s="276"/>
      <c r="E215" s="276"/>
      <c r="F215" s="276"/>
      <c r="G215" s="276"/>
      <c r="H215" s="276"/>
      <c r="I215" s="276"/>
      <c r="J215" s="276"/>
      <c r="K215" s="276"/>
      <c r="L215" s="276"/>
      <c r="M215" s="276"/>
      <c r="N215" s="276"/>
      <c r="O215" s="276"/>
    </row>
    <row r="216" spans="2:15">
      <c r="B216" s="276"/>
      <c r="C216" s="276"/>
      <c r="D216" s="276"/>
      <c r="E216" s="276"/>
      <c r="F216" s="276"/>
      <c r="G216" s="276"/>
      <c r="H216" s="276"/>
      <c r="I216" s="276"/>
      <c r="J216" s="276"/>
      <c r="K216" s="276"/>
      <c r="L216" s="276"/>
      <c r="M216" s="276"/>
      <c r="N216" s="276"/>
      <c r="O216" s="276"/>
    </row>
    <row r="217" spans="2:15">
      <c r="B217" s="276"/>
      <c r="C217" s="276"/>
      <c r="D217" s="276"/>
      <c r="E217" s="276"/>
      <c r="F217" s="276"/>
      <c r="G217" s="276"/>
      <c r="H217" s="276"/>
      <c r="I217" s="276"/>
      <c r="J217" s="276"/>
      <c r="K217" s="276"/>
      <c r="L217" s="276"/>
      <c r="M217" s="276"/>
      <c r="N217" s="276"/>
      <c r="O217" s="276"/>
    </row>
    <row r="218" spans="2:15">
      <c r="B218" s="276"/>
      <c r="C218" s="276"/>
      <c r="D218" s="276"/>
      <c r="E218" s="276"/>
      <c r="F218" s="276"/>
      <c r="G218" s="276"/>
      <c r="H218" s="276"/>
      <c r="I218" s="276"/>
      <c r="J218" s="276"/>
      <c r="K218" s="276"/>
      <c r="L218" s="276"/>
      <c r="M218" s="276"/>
      <c r="N218" s="276"/>
      <c r="O218" s="276"/>
    </row>
    <row r="219" spans="2:15">
      <c r="B219" s="276"/>
      <c r="C219" s="276"/>
      <c r="D219" s="276"/>
      <c r="E219" s="276"/>
      <c r="F219" s="276"/>
      <c r="G219" s="276"/>
      <c r="H219" s="276"/>
      <c r="I219" s="276"/>
      <c r="J219" s="276"/>
      <c r="K219" s="276"/>
      <c r="L219" s="276"/>
      <c r="M219" s="276"/>
      <c r="N219" s="276"/>
      <c r="O219" s="276"/>
    </row>
    <row r="220" spans="2:15">
      <c r="B220" s="276"/>
      <c r="C220" s="276"/>
      <c r="D220" s="276"/>
      <c r="E220" s="276"/>
      <c r="F220" s="276"/>
      <c r="G220" s="276"/>
      <c r="H220" s="276"/>
      <c r="I220" s="276"/>
      <c r="J220" s="276"/>
      <c r="K220" s="276"/>
      <c r="L220" s="276"/>
      <c r="M220" s="276"/>
      <c r="N220" s="276"/>
      <c r="O220" s="276"/>
    </row>
    <row r="221" spans="2:15">
      <c r="B221" s="276"/>
      <c r="C221" s="276"/>
      <c r="D221" s="276"/>
      <c r="E221" s="276"/>
      <c r="F221" s="276"/>
      <c r="G221" s="276"/>
      <c r="H221" s="276"/>
      <c r="I221" s="276"/>
      <c r="J221" s="276"/>
      <c r="K221" s="276"/>
      <c r="L221" s="276"/>
      <c r="M221" s="276"/>
      <c r="N221" s="276"/>
      <c r="O221" s="276"/>
    </row>
    <row r="222" spans="2:15">
      <c r="B222" s="276"/>
      <c r="C222" s="276"/>
      <c r="D222" s="276"/>
      <c r="E222" s="276"/>
      <c r="F222" s="276"/>
      <c r="G222" s="276"/>
      <c r="H222" s="276"/>
      <c r="I222" s="276"/>
      <c r="J222" s="276"/>
      <c r="K222" s="276"/>
      <c r="L222" s="276"/>
      <c r="M222" s="276"/>
      <c r="N222" s="276"/>
      <c r="O222" s="276"/>
    </row>
    <row r="223" spans="2:15">
      <c r="B223" s="276"/>
      <c r="C223" s="276"/>
      <c r="D223" s="276"/>
      <c r="E223" s="276"/>
      <c r="F223" s="276"/>
      <c r="G223" s="276"/>
      <c r="H223" s="276"/>
      <c r="I223" s="276"/>
      <c r="J223" s="276"/>
      <c r="K223" s="276"/>
      <c r="L223" s="276"/>
      <c r="M223" s="276"/>
      <c r="N223" s="276"/>
      <c r="O223" s="276"/>
    </row>
    <row r="224" spans="2:15">
      <c r="B224" s="276"/>
      <c r="C224" s="276"/>
      <c r="D224" s="276"/>
      <c r="E224" s="276"/>
      <c r="F224" s="276"/>
      <c r="G224" s="276"/>
      <c r="H224" s="276"/>
      <c r="I224" s="276"/>
      <c r="J224" s="276"/>
      <c r="K224" s="276"/>
      <c r="L224" s="276"/>
      <c r="M224" s="276"/>
      <c r="N224" s="276"/>
      <c r="O224" s="276"/>
    </row>
    <row r="225" spans="2:15">
      <c r="B225" s="276"/>
      <c r="C225" s="276"/>
      <c r="D225" s="276"/>
      <c r="E225" s="276"/>
      <c r="F225" s="276"/>
      <c r="G225" s="276"/>
      <c r="H225" s="276"/>
      <c r="I225" s="276"/>
      <c r="J225" s="276"/>
      <c r="K225" s="276"/>
      <c r="L225" s="276"/>
      <c r="M225" s="276"/>
      <c r="N225" s="276"/>
      <c r="O225" s="276"/>
    </row>
    <row r="226" spans="2:15">
      <c r="B226" s="276"/>
      <c r="C226" s="276"/>
      <c r="D226" s="276"/>
      <c r="E226" s="276"/>
      <c r="F226" s="276"/>
      <c r="G226" s="276"/>
      <c r="H226" s="276"/>
      <c r="I226" s="276"/>
      <c r="J226" s="276"/>
      <c r="K226" s="276"/>
      <c r="L226" s="276"/>
      <c r="M226" s="276"/>
      <c r="N226" s="276"/>
      <c r="O226" s="276"/>
    </row>
    <row r="227" spans="2:15">
      <c r="B227" s="276"/>
      <c r="C227" s="276"/>
      <c r="D227" s="276"/>
      <c r="E227" s="276"/>
      <c r="F227" s="276"/>
      <c r="G227" s="276"/>
      <c r="H227" s="276"/>
      <c r="I227" s="276"/>
      <c r="J227" s="276"/>
      <c r="K227" s="276"/>
      <c r="L227" s="276"/>
      <c r="M227" s="276"/>
      <c r="N227" s="276"/>
      <c r="O227" s="276"/>
    </row>
    <row r="228" spans="2:15">
      <c r="B228" s="276"/>
      <c r="C228" s="276"/>
      <c r="D228" s="276"/>
      <c r="E228" s="276"/>
      <c r="F228" s="276"/>
      <c r="G228" s="276"/>
      <c r="H228" s="276"/>
      <c r="I228" s="276"/>
      <c r="J228" s="276"/>
      <c r="K228" s="276"/>
      <c r="L228" s="276"/>
      <c r="M228" s="276"/>
      <c r="N228" s="276"/>
      <c r="O228" s="276"/>
    </row>
    <row r="229" spans="2:15">
      <c r="B229" s="276"/>
      <c r="C229" s="276"/>
      <c r="D229" s="276"/>
      <c r="E229" s="276"/>
      <c r="F229" s="276"/>
      <c r="G229" s="276"/>
      <c r="H229" s="276"/>
      <c r="I229" s="276"/>
      <c r="J229" s="276"/>
      <c r="K229" s="276"/>
      <c r="L229" s="276"/>
      <c r="M229" s="276"/>
      <c r="N229" s="276"/>
      <c r="O229" s="276"/>
    </row>
    <row r="230" spans="2:15">
      <c r="B230" s="276"/>
      <c r="C230" s="276"/>
      <c r="D230" s="276"/>
      <c r="E230" s="276"/>
      <c r="F230" s="276"/>
      <c r="G230" s="276"/>
      <c r="H230" s="276"/>
      <c r="I230" s="276"/>
      <c r="J230" s="276"/>
      <c r="K230" s="276"/>
      <c r="L230" s="276"/>
      <c r="M230" s="276"/>
      <c r="N230" s="276"/>
      <c r="O230" s="276"/>
    </row>
    <row r="231" spans="2:15">
      <c r="B231" s="276"/>
      <c r="C231" s="276"/>
      <c r="D231" s="276"/>
      <c r="E231" s="276"/>
      <c r="F231" s="276"/>
      <c r="G231" s="276"/>
      <c r="H231" s="276"/>
      <c r="I231" s="276"/>
      <c r="J231" s="276"/>
      <c r="K231" s="276"/>
      <c r="L231" s="276"/>
      <c r="M231" s="276"/>
      <c r="N231" s="276"/>
      <c r="O231" s="276"/>
    </row>
    <row r="232" spans="2:15">
      <c r="B232" s="276"/>
      <c r="C232" s="276"/>
      <c r="D232" s="276"/>
      <c r="E232" s="276"/>
      <c r="F232" s="276"/>
      <c r="G232" s="276"/>
      <c r="H232" s="276"/>
      <c r="I232" s="276"/>
      <c r="J232" s="276"/>
      <c r="K232" s="276"/>
      <c r="L232" s="276"/>
      <c r="M232" s="276"/>
      <c r="N232" s="276"/>
      <c r="O232" s="276"/>
    </row>
    <row r="233" spans="2:15">
      <c r="B233" s="276"/>
      <c r="C233" s="276"/>
      <c r="D233" s="276"/>
      <c r="E233" s="276"/>
      <c r="F233" s="276"/>
      <c r="G233" s="276"/>
      <c r="H233" s="276"/>
      <c r="I233" s="276"/>
      <c r="J233" s="276"/>
      <c r="K233" s="276"/>
      <c r="L233" s="276"/>
      <c r="M233" s="276"/>
      <c r="N233" s="276"/>
      <c r="O233" s="276"/>
    </row>
    <row r="234" spans="2:15">
      <c r="B234" s="276"/>
      <c r="C234" s="276"/>
      <c r="D234" s="276"/>
      <c r="E234" s="276"/>
      <c r="F234" s="276"/>
      <c r="G234" s="276"/>
      <c r="H234" s="276"/>
      <c r="I234" s="276"/>
      <c r="J234" s="276"/>
      <c r="K234" s="276"/>
      <c r="L234" s="276"/>
      <c r="M234" s="276"/>
      <c r="N234" s="276"/>
      <c r="O234" s="276"/>
    </row>
    <row r="235" spans="2:15">
      <c r="B235" s="276"/>
      <c r="C235" s="276"/>
      <c r="D235" s="276"/>
      <c r="E235" s="276"/>
      <c r="F235" s="276"/>
      <c r="G235" s="276"/>
      <c r="H235" s="276"/>
      <c r="I235" s="276"/>
      <c r="J235" s="276"/>
      <c r="K235" s="276"/>
      <c r="L235" s="276"/>
      <c r="M235" s="276"/>
      <c r="N235" s="276"/>
      <c r="O235" s="276"/>
    </row>
    <row r="236" spans="2:15">
      <c r="B236" s="276"/>
      <c r="C236" s="276"/>
      <c r="D236" s="276"/>
      <c r="E236" s="276"/>
      <c r="F236" s="276"/>
      <c r="G236" s="276"/>
      <c r="H236" s="276"/>
      <c r="I236" s="276"/>
      <c r="J236" s="276"/>
      <c r="K236" s="276"/>
      <c r="L236" s="276"/>
      <c r="M236" s="276"/>
      <c r="N236" s="276"/>
      <c r="O236" s="276"/>
    </row>
    <row r="237" spans="2:15">
      <c r="B237" s="276"/>
      <c r="C237" s="276"/>
      <c r="D237" s="276"/>
      <c r="E237" s="276"/>
      <c r="F237" s="276"/>
      <c r="G237" s="276"/>
      <c r="H237" s="276"/>
      <c r="I237" s="276"/>
      <c r="J237" s="276"/>
      <c r="K237" s="276"/>
      <c r="L237" s="276"/>
      <c r="M237" s="276"/>
      <c r="N237" s="276"/>
      <c r="O237" s="276"/>
    </row>
    <row r="238" spans="2:15">
      <c r="B238" s="276"/>
      <c r="C238" s="276"/>
      <c r="D238" s="276"/>
      <c r="E238" s="276"/>
      <c r="F238" s="276"/>
      <c r="G238" s="276"/>
      <c r="H238" s="276"/>
      <c r="I238" s="276"/>
      <c r="J238" s="276"/>
      <c r="K238" s="276"/>
      <c r="L238" s="276"/>
      <c r="M238" s="276"/>
      <c r="N238" s="276"/>
      <c r="O238" s="276"/>
    </row>
    <row r="239" spans="2:15">
      <c r="B239" s="276"/>
      <c r="C239" s="276"/>
      <c r="D239" s="276"/>
      <c r="E239" s="276"/>
      <c r="F239" s="276"/>
      <c r="G239" s="276"/>
      <c r="H239" s="276"/>
      <c r="I239" s="276"/>
      <c r="J239" s="276"/>
      <c r="K239" s="276"/>
      <c r="L239" s="276"/>
      <c r="M239" s="276"/>
      <c r="N239" s="276"/>
      <c r="O239" s="276"/>
    </row>
    <row r="240" spans="2:15">
      <c r="B240" s="276"/>
      <c r="C240" s="276"/>
      <c r="D240" s="276"/>
      <c r="E240" s="276"/>
      <c r="F240" s="276"/>
      <c r="G240" s="276"/>
      <c r="H240" s="276"/>
      <c r="I240" s="276"/>
      <c r="J240" s="276"/>
      <c r="K240" s="276"/>
      <c r="L240" s="276"/>
      <c r="M240" s="276"/>
      <c r="N240" s="276"/>
      <c r="O240" s="276"/>
    </row>
    <row r="241" spans="2:15">
      <c r="B241" s="276"/>
      <c r="C241" s="276"/>
      <c r="D241" s="276"/>
      <c r="E241" s="276"/>
      <c r="F241" s="276"/>
      <c r="G241" s="276"/>
      <c r="H241" s="276"/>
      <c r="I241" s="276"/>
      <c r="J241" s="276"/>
      <c r="K241" s="276"/>
      <c r="L241" s="276"/>
      <c r="M241" s="276"/>
      <c r="N241" s="276"/>
      <c r="O241" s="276"/>
    </row>
    <row r="242" spans="2:15">
      <c r="B242" s="276"/>
      <c r="C242" s="276"/>
      <c r="D242" s="276"/>
      <c r="E242" s="276"/>
      <c r="F242" s="276"/>
      <c r="G242" s="276"/>
      <c r="H242" s="276"/>
      <c r="I242" s="276"/>
      <c r="J242" s="276"/>
      <c r="K242" s="276"/>
      <c r="L242" s="276"/>
      <c r="M242" s="276"/>
      <c r="N242" s="276"/>
      <c r="O242" s="276"/>
    </row>
    <row r="243" spans="2:15">
      <c r="B243" s="276"/>
      <c r="C243" s="276"/>
      <c r="D243" s="276"/>
      <c r="E243" s="276"/>
      <c r="F243" s="276"/>
      <c r="G243" s="276"/>
      <c r="H243" s="276"/>
      <c r="I243" s="276"/>
      <c r="J243" s="276"/>
      <c r="K243" s="276"/>
      <c r="L243" s="276"/>
      <c r="M243" s="276"/>
      <c r="N243" s="276"/>
      <c r="O243" s="276"/>
    </row>
    <row r="244" spans="2:15">
      <c r="B244" s="276"/>
      <c r="C244" s="276"/>
      <c r="D244" s="276"/>
      <c r="E244" s="276"/>
      <c r="F244" s="276"/>
      <c r="G244" s="276"/>
      <c r="H244" s="276"/>
      <c r="I244" s="276"/>
      <c r="J244" s="276"/>
      <c r="K244" s="276"/>
      <c r="L244" s="276"/>
      <c r="M244" s="276"/>
      <c r="N244" s="276"/>
      <c r="O244" s="276"/>
    </row>
    <row r="245" spans="2:15">
      <c r="B245" s="276"/>
      <c r="C245" s="276"/>
      <c r="D245" s="276"/>
      <c r="E245" s="276"/>
      <c r="F245" s="276"/>
      <c r="G245" s="276"/>
      <c r="H245" s="276"/>
      <c r="I245" s="276"/>
      <c r="J245" s="276"/>
      <c r="K245" s="276"/>
      <c r="L245" s="276"/>
      <c r="M245" s="276"/>
      <c r="N245" s="276"/>
      <c r="O245" s="276"/>
    </row>
    <row r="333" spans="3:3">
      <c r="C333" s="247">
        <f>SUM(C331:C332)</f>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47">
    <mergeCell ref="B101:M101"/>
    <mergeCell ref="B95:M95"/>
    <mergeCell ref="B92:M92"/>
    <mergeCell ref="B81:M81"/>
    <mergeCell ref="B56:M56"/>
    <mergeCell ref="B84:M84"/>
    <mergeCell ref="B87:M87"/>
    <mergeCell ref="B88:M88"/>
    <mergeCell ref="B91:M91"/>
    <mergeCell ref="B96:M96"/>
    <mergeCell ref="B99:M99"/>
    <mergeCell ref="B66:K66"/>
    <mergeCell ref="B80:K80"/>
    <mergeCell ref="B77:K77"/>
    <mergeCell ref="B76:M76"/>
    <mergeCell ref="B78:M78"/>
    <mergeCell ref="B3:T3"/>
    <mergeCell ref="B27:K27"/>
    <mergeCell ref="B15:M15"/>
    <mergeCell ref="B16:M16"/>
    <mergeCell ref="B10:M10"/>
    <mergeCell ref="B11:M11"/>
    <mergeCell ref="B12:M12"/>
    <mergeCell ref="B22:M22"/>
    <mergeCell ref="B23:M23"/>
    <mergeCell ref="B38:M38"/>
    <mergeCell ref="B39:M39"/>
    <mergeCell ref="B32:M32"/>
    <mergeCell ref="B4:M4"/>
    <mergeCell ref="B5:M5"/>
    <mergeCell ref="B6:M6"/>
    <mergeCell ref="B105:M105"/>
    <mergeCell ref="B33:M33"/>
    <mergeCell ref="B59:M59"/>
    <mergeCell ref="B68:M68"/>
    <mergeCell ref="B70:M70"/>
    <mergeCell ref="B72:M72"/>
    <mergeCell ref="B75:M75"/>
    <mergeCell ref="B47:M47"/>
    <mergeCell ref="B48:M48"/>
    <mergeCell ref="B51:M51"/>
    <mergeCell ref="B52:M52"/>
    <mergeCell ref="B55:M55"/>
    <mergeCell ref="B40:D40"/>
    <mergeCell ref="B35:M35"/>
    <mergeCell ref="B41:D41"/>
    <mergeCell ref="B64:K64"/>
  </mergeCells>
  <hyperlinks>
    <hyperlink ref="M9" location="INDICE!A1" display="Índice" xr:uid="{0E052B38-A208-423D-B5A2-4FD9E04C18EA}"/>
  </hyperlinks>
  <pageMargins left="0.7" right="0.7" top="0.75" bottom="0.75" header="0.3" footer="0.3"/>
  <pageSetup scale="66"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Q445"/>
  <sheetViews>
    <sheetView showGridLines="0" topLeftCell="B1" zoomScale="90" zoomScaleNormal="90" workbookViewId="0">
      <pane ySplit="5" topLeftCell="A21" activePane="bottomLeft" state="frozen"/>
      <selection activeCell="D7" sqref="D7"/>
      <selection pane="bottomLeft" activeCell="D7" sqref="D7"/>
    </sheetView>
  </sheetViews>
  <sheetFormatPr baseColWidth="10" defaultColWidth="11.44140625" defaultRowHeight="15" customHeight="1"/>
  <cols>
    <col min="1" max="1" width="17.33203125" style="52" hidden="1" customWidth="1"/>
    <col min="2" max="2" width="15.6640625" style="799" bestFit="1" customWidth="1"/>
    <col min="3" max="3" width="67.33203125" style="67" customWidth="1"/>
    <col min="4" max="4" width="19" style="52" bestFit="1" customWidth="1"/>
    <col min="5" max="5" width="20.6640625" style="51" customWidth="1"/>
    <col min="6" max="6" width="18.6640625" style="52" customWidth="1"/>
    <col min="7" max="7" width="18.5546875" style="52" customWidth="1"/>
    <col min="8" max="8" width="8.88671875" style="52" customWidth="1"/>
    <col min="9" max="9" width="5.109375" style="52" customWidth="1"/>
    <col min="10" max="10" width="16.6640625" style="52" customWidth="1"/>
    <col min="11" max="11" width="14" style="52" customWidth="1"/>
    <col min="12" max="15" width="8.88671875" style="52" customWidth="1"/>
    <col min="16" max="16" width="14.6640625" style="52" bestFit="1" customWidth="1"/>
    <col min="17" max="17" width="16.6640625" style="52" customWidth="1"/>
    <col min="18" max="250" width="8.88671875" style="52" customWidth="1"/>
    <col min="251" max="251" width="1" style="52" customWidth="1"/>
    <col min="252" max="252" width="17.33203125" style="52" customWidth="1"/>
    <col min="253" max="253" width="67.33203125" style="52" customWidth="1"/>
    <col min="254" max="254" width="28.44140625" style="52" customWidth="1"/>
    <col min="255" max="506" width="8.88671875" style="52" customWidth="1"/>
    <col min="507" max="507" width="1" style="52" customWidth="1"/>
    <col min="508" max="508" width="17.33203125" style="52" customWidth="1"/>
    <col min="509" max="509" width="67.33203125" style="52" customWidth="1"/>
    <col min="510" max="510" width="28.44140625" style="52" customWidth="1"/>
    <col min="511" max="762" width="8.88671875" style="52" customWidth="1"/>
    <col min="763" max="763" width="1" style="52" customWidth="1"/>
    <col min="764" max="764" width="17.33203125" style="52" customWidth="1"/>
    <col min="765" max="765" width="67.33203125" style="52" customWidth="1"/>
    <col min="766" max="766" width="28.44140625" style="52" customWidth="1"/>
    <col min="767" max="1018" width="8.88671875" style="52" customWidth="1"/>
    <col min="1019" max="1019" width="1" style="52" customWidth="1"/>
    <col min="1020" max="1020" width="17.33203125" style="52" customWidth="1"/>
    <col min="1021" max="1021" width="67.33203125" style="52" customWidth="1"/>
    <col min="1022" max="1022" width="28.44140625" style="52" customWidth="1"/>
    <col min="1023" max="1274" width="8.88671875" style="52" customWidth="1"/>
    <col min="1275" max="1275" width="1" style="52" customWidth="1"/>
    <col min="1276" max="1276" width="17.33203125" style="52" customWidth="1"/>
    <col min="1277" max="1277" width="67.33203125" style="52" customWidth="1"/>
    <col min="1278" max="1278" width="28.44140625" style="52" customWidth="1"/>
    <col min="1279" max="1530" width="8.88671875" style="52" customWidth="1"/>
    <col min="1531" max="1531" width="1" style="52" customWidth="1"/>
    <col min="1532" max="1532" width="17.33203125" style="52" customWidth="1"/>
    <col min="1533" max="1533" width="67.33203125" style="52" customWidth="1"/>
    <col min="1534" max="1534" width="28.44140625" style="52" customWidth="1"/>
    <col min="1535" max="1786" width="8.88671875" style="52" customWidth="1"/>
    <col min="1787" max="1787" width="1" style="52" customWidth="1"/>
    <col min="1788" max="1788" width="17.33203125" style="52" customWidth="1"/>
    <col min="1789" max="1789" width="67.33203125" style="52" customWidth="1"/>
    <col min="1790" max="1790" width="28.44140625" style="52" customWidth="1"/>
    <col min="1791" max="2042" width="8.88671875" style="52" customWidth="1"/>
    <col min="2043" max="2043" width="1" style="52" customWidth="1"/>
    <col min="2044" max="2044" width="17.33203125" style="52" customWidth="1"/>
    <col min="2045" max="2045" width="67.33203125" style="52" customWidth="1"/>
    <col min="2046" max="2046" width="28.44140625" style="52" customWidth="1"/>
    <col min="2047" max="2298" width="8.88671875" style="52" customWidth="1"/>
    <col min="2299" max="2299" width="1" style="52" customWidth="1"/>
    <col min="2300" max="2300" width="17.33203125" style="52" customWidth="1"/>
    <col min="2301" max="2301" width="67.33203125" style="52" customWidth="1"/>
    <col min="2302" max="2302" width="28.44140625" style="52" customWidth="1"/>
    <col min="2303" max="2554" width="8.88671875" style="52" customWidth="1"/>
    <col min="2555" max="2555" width="1" style="52" customWidth="1"/>
    <col min="2556" max="2556" width="17.33203125" style="52" customWidth="1"/>
    <col min="2557" max="2557" width="67.33203125" style="52" customWidth="1"/>
    <col min="2558" max="2558" width="28.44140625" style="52" customWidth="1"/>
    <col min="2559" max="2810" width="8.88671875" style="52" customWidth="1"/>
    <col min="2811" max="2811" width="1" style="52" customWidth="1"/>
    <col min="2812" max="2812" width="17.33203125" style="52" customWidth="1"/>
    <col min="2813" max="2813" width="67.33203125" style="52" customWidth="1"/>
    <col min="2814" max="2814" width="28.44140625" style="52" customWidth="1"/>
    <col min="2815" max="3066" width="8.88671875" style="52" customWidth="1"/>
    <col min="3067" max="3067" width="1" style="52" customWidth="1"/>
    <col min="3068" max="3068" width="17.33203125" style="52" customWidth="1"/>
    <col min="3069" max="3069" width="67.33203125" style="52" customWidth="1"/>
    <col min="3070" max="3070" width="28.44140625" style="52" customWidth="1"/>
    <col min="3071" max="3322" width="8.88671875" style="52" customWidth="1"/>
    <col min="3323" max="3323" width="1" style="52" customWidth="1"/>
    <col min="3324" max="3324" width="17.33203125" style="52" customWidth="1"/>
    <col min="3325" max="3325" width="67.33203125" style="52" customWidth="1"/>
    <col min="3326" max="3326" width="28.44140625" style="52" customWidth="1"/>
    <col min="3327" max="3578" width="8.88671875" style="52" customWidth="1"/>
    <col min="3579" max="3579" width="1" style="52" customWidth="1"/>
    <col min="3580" max="3580" width="17.33203125" style="52" customWidth="1"/>
    <col min="3581" max="3581" width="67.33203125" style="52" customWidth="1"/>
    <col min="3582" max="3582" width="28.44140625" style="52" customWidth="1"/>
    <col min="3583" max="3834" width="8.88671875" style="52" customWidth="1"/>
    <col min="3835" max="3835" width="1" style="52" customWidth="1"/>
    <col min="3836" max="3836" width="17.33203125" style="52" customWidth="1"/>
    <col min="3837" max="3837" width="67.33203125" style="52" customWidth="1"/>
    <col min="3838" max="3838" width="28.44140625" style="52" customWidth="1"/>
    <col min="3839" max="4090" width="8.88671875" style="52" customWidth="1"/>
    <col min="4091" max="4091" width="1" style="52" customWidth="1"/>
    <col min="4092" max="4092" width="17.33203125" style="52" customWidth="1"/>
    <col min="4093" max="4093" width="67.33203125" style="52" customWidth="1"/>
    <col min="4094" max="4094" width="28.44140625" style="52" customWidth="1"/>
    <col min="4095" max="4346" width="8.88671875" style="52" customWidth="1"/>
    <col min="4347" max="4347" width="1" style="52" customWidth="1"/>
    <col min="4348" max="4348" width="17.33203125" style="52" customWidth="1"/>
    <col min="4349" max="4349" width="67.33203125" style="52" customWidth="1"/>
    <col min="4350" max="4350" width="28.44140625" style="52" customWidth="1"/>
    <col min="4351" max="4602" width="8.88671875" style="52" customWidth="1"/>
    <col min="4603" max="4603" width="1" style="52" customWidth="1"/>
    <col min="4604" max="4604" width="17.33203125" style="52" customWidth="1"/>
    <col min="4605" max="4605" width="67.33203125" style="52" customWidth="1"/>
    <col min="4606" max="4606" width="28.44140625" style="52" customWidth="1"/>
    <col min="4607" max="4858" width="8.88671875" style="52" customWidth="1"/>
    <col min="4859" max="4859" width="1" style="52" customWidth="1"/>
    <col min="4860" max="4860" width="17.33203125" style="52" customWidth="1"/>
    <col min="4861" max="4861" width="67.33203125" style="52" customWidth="1"/>
    <col min="4862" max="4862" width="28.44140625" style="52" customWidth="1"/>
    <col min="4863" max="5114" width="8.88671875" style="52" customWidth="1"/>
    <col min="5115" max="5115" width="1" style="52" customWidth="1"/>
    <col min="5116" max="5116" width="17.33203125" style="52" customWidth="1"/>
    <col min="5117" max="5117" width="67.33203125" style="52" customWidth="1"/>
    <col min="5118" max="5118" width="28.44140625" style="52" customWidth="1"/>
    <col min="5119" max="5370" width="8.88671875" style="52" customWidth="1"/>
    <col min="5371" max="5371" width="1" style="52" customWidth="1"/>
    <col min="5372" max="5372" width="17.33203125" style="52" customWidth="1"/>
    <col min="5373" max="5373" width="67.33203125" style="52" customWidth="1"/>
    <col min="5374" max="5374" width="28.44140625" style="52" customWidth="1"/>
    <col min="5375" max="5626" width="8.88671875" style="52" customWidth="1"/>
    <col min="5627" max="5627" width="1" style="52" customWidth="1"/>
    <col min="5628" max="5628" width="17.33203125" style="52" customWidth="1"/>
    <col min="5629" max="5629" width="67.33203125" style="52" customWidth="1"/>
    <col min="5630" max="5630" width="28.44140625" style="52" customWidth="1"/>
    <col min="5631" max="5882" width="8.88671875" style="52" customWidth="1"/>
    <col min="5883" max="5883" width="1" style="52" customWidth="1"/>
    <col min="5884" max="5884" width="17.33203125" style="52" customWidth="1"/>
    <col min="5885" max="5885" width="67.33203125" style="52" customWidth="1"/>
    <col min="5886" max="5886" width="28.44140625" style="52" customWidth="1"/>
    <col min="5887" max="6138" width="8.88671875" style="52" customWidth="1"/>
    <col min="6139" max="6139" width="1" style="52" customWidth="1"/>
    <col min="6140" max="6140" width="17.33203125" style="52" customWidth="1"/>
    <col min="6141" max="6141" width="67.33203125" style="52" customWidth="1"/>
    <col min="6142" max="6142" width="28.44140625" style="52" customWidth="1"/>
    <col min="6143" max="6394" width="8.88671875" style="52" customWidth="1"/>
    <col min="6395" max="6395" width="1" style="52" customWidth="1"/>
    <col min="6396" max="6396" width="17.33203125" style="52" customWidth="1"/>
    <col min="6397" max="6397" width="67.33203125" style="52" customWidth="1"/>
    <col min="6398" max="6398" width="28.44140625" style="52" customWidth="1"/>
    <col min="6399" max="6650" width="8.88671875" style="52" customWidth="1"/>
    <col min="6651" max="6651" width="1" style="52" customWidth="1"/>
    <col min="6652" max="6652" width="17.33203125" style="52" customWidth="1"/>
    <col min="6653" max="6653" width="67.33203125" style="52" customWidth="1"/>
    <col min="6654" max="6654" width="28.44140625" style="52" customWidth="1"/>
    <col min="6655" max="6906" width="8.88671875" style="52" customWidth="1"/>
    <col min="6907" max="6907" width="1" style="52" customWidth="1"/>
    <col min="6908" max="6908" width="17.33203125" style="52" customWidth="1"/>
    <col min="6909" max="6909" width="67.33203125" style="52" customWidth="1"/>
    <col min="6910" max="6910" width="28.44140625" style="52" customWidth="1"/>
    <col min="6911" max="7162" width="8.88671875" style="52" customWidth="1"/>
    <col min="7163" max="7163" width="1" style="52" customWidth="1"/>
    <col min="7164" max="7164" width="17.33203125" style="52" customWidth="1"/>
    <col min="7165" max="7165" width="67.33203125" style="52" customWidth="1"/>
    <col min="7166" max="7166" width="28.44140625" style="52" customWidth="1"/>
    <col min="7167" max="7418" width="8.88671875" style="52" customWidth="1"/>
    <col min="7419" max="7419" width="1" style="52" customWidth="1"/>
    <col min="7420" max="7420" width="17.33203125" style="52" customWidth="1"/>
    <col min="7421" max="7421" width="67.33203125" style="52" customWidth="1"/>
    <col min="7422" max="7422" width="28.44140625" style="52" customWidth="1"/>
    <col min="7423" max="7674" width="8.88671875" style="52" customWidth="1"/>
    <col min="7675" max="7675" width="1" style="52" customWidth="1"/>
    <col min="7676" max="7676" width="17.33203125" style="52" customWidth="1"/>
    <col min="7677" max="7677" width="67.33203125" style="52" customWidth="1"/>
    <col min="7678" max="7678" width="28.44140625" style="52" customWidth="1"/>
    <col min="7679" max="7930" width="8.88671875" style="52" customWidth="1"/>
    <col min="7931" max="7931" width="1" style="52" customWidth="1"/>
    <col min="7932" max="7932" width="17.33203125" style="52" customWidth="1"/>
    <col min="7933" max="7933" width="67.33203125" style="52" customWidth="1"/>
    <col min="7934" max="7934" width="28.44140625" style="52" customWidth="1"/>
    <col min="7935" max="8186" width="8.88671875" style="52" customWidth="1"/>
    <col min="8187" max="8187" width="1" style="52" customWidth="1"/>
    <col min="8188" max="8188" width="17.33203125" style="52" customWidth="1"/>
    <col min="8189" max="8189" width="67.33203125" style="52" customWidth="1"/>
    <col min="8190" max="8190" width="28.44140625" style="52" customWidth="1"/>
    <col min="8191" max="8442" width="8.88671875" style="52" customWidth="1"/>
    <col min="8443" max="8443" width="1" style="52" customWidth="1"/>
    <col min="8444" max="8444" width="17.33203125" style="52" customWidth="1"/>
    <col min="8445" max="8445" width="67.33203125" style="52" customWidth="1"/>
    <col min="8446" max="8446" width="28.44140625" style="52" customWidth="1"/>
    <col min="8447" max="8698" width="8.88671875" style="52" customWidth="1"/>
    <col min="8699" max="8699" width="1" style="52" customWidth="1"/>
    <col min="8700" max="8700" width="17.33203125" style="52" customWidth="1"/>
    <col min="8701" max="8701" width="67.33203125" style="52" customWidth="1"/>
    <col min="8702" max="8702" width="28.44140625" style="52" customWidth="1"/>
    <col min="8703" max="8954" width="8.88671875" style="52" customWidth="1"/>
    <col min="8955" max="8955" width="1" style="52" customWidth="1"/>
    <col min="8956" max="8956" width="17.33203125" style="52" customWidth="1"/>
    <col min="8957" max="8957" width="67.33203125" style="52" customWidth="1"/>
    <col min="8958" max="8958" width="28.44140625" style="52" customWidth="1"/>
    <col min="8959" max="9210" width="8.88671875" style="52" customWidth="1"/>
    <col min="9211" max="9211" width="1" style="52" customWidth="1"/>
    <col min="9212" max="9212" width="17.33203125" style="52" customWidth="1"/>
    <col min="9213" max="9213" width="67.33203125" style="52" customWidth="1"/>
    <col min="9214" max="9214" width="28.44140625" style="52" customWidth="1"/>
    <col min="9215" max="9466" width="8.88671875" style="52" customWidth="1"/>
    <col min="9467" max="9467" width="1" style="52" customWidth="1"/>
    <col min="9468" max="9468" width="17.33203125" style="52" customWidth="1"/>
    <col min="9469" max="9469" width="67.33203125" style="52" customWidth="1"/>
    <col min="9470" max="9470" width="28.44140625" style="52" customWidth="1"/>
    <col min="9471" max="9722" width="8.88671875" style="52" customWidth="1"/>
    <col min="9723" max="9723" width="1" style="52" customWidth="1"/>
    <col min="9724" max="9724" width="17.33203125" style="52" customWidth="1"/>
    <col min="9725" max="9725" width="67.33203125" style="52" customWidth="1"/>
    <col min="9726" max="9726" width="28.44140625" style="52" customWidth="1"/>
    <col min="9727" max="9978" width="8.88671875" style="52" customWidth="1"/>
    <col min="9979" max="9979" width="1" style="52" customWidth="1"/>
    <col min="9980" max="9980" width="17.33203125" style="52" customWidth="1"/>
    <col min="9981" max="9981" width="67.33203125" style="52" customWidth="1"/>
    <col min="9982" max="9982" width="28.44140625" style="52" customWidth="1"/>
    <col min="9983" max="10234" width="8.88671875" style="52" customWidth="1"/>
    <col min="10235" max="10235" width="1" style="52" customWidth="1"/>
    <col min="10236" max="10236" width="17.33203125" style="52" customWidth="1"/>
    <col min="10237" max="10237" width="67.33203125" style="52" customWidth="1"/>
    <col min="10238" max="10238" width="28.44140625" style="52" customWidth="1"/>
    <col min="10239" max="10490" width="8.88671875" style="52" customWidth="1"/>
    <col min="10491" max="10491" width="1" style="52" customWidth="1"/>
    <col min="10492" max="10492" width="17.33203125" style="52" customWidth="1"/>
    <col min="10493" max="10493" width="67.33203125" style="52" customWidth="1"/>
    <col min="10494" max="10494" width="28.44140625" style="52" customWidth="1"/>
    <col min="10495" max="10746" width="8.88671875" style="52" customWidth="1"/>
    <col min="10747" max="10747" width="1" style="52" customWidth="1"/>
    <col min="10748" max="10748" width="17.33203125" style="52" customWidth="1"/>
    <col min="10749" max="10749" width="67.33203125" style="52" customWidth="1"/>
    <col min="10750" max="10750" width="28.44140625" style="52" customWidth="1"/>
    <col min="10751" max="11002" width="8.88671875" style="52" customWidth="1"/>
    <col min="11003" max="11003" width="1" style="52" customWidth="1"/>
    <col min="11004" max="11004" width="17.33203125" style="52" customWidth="1"/>
    <col min="11005" max="11005" width="67.33203125" style="52" customWidth="1"/>
    <col min="11006" max="11006" width="28.44140625" style="52" customWidth="1"/>
    <col min="11007" max="11258" width="8.88671875" style="52" customWidth="1"/>
    <col min="11259" max="11259" width="1" style="52" customWidth="1"/>
    <col min="11260" max="11260" width="17.33203125" style="52" customWidth="1"/>
    <col min="11261" max="11261" width="67.33203125" style="52" customWidth="1"/>
    <col min="11262" max="11262" width="28.44140625" style="52" customWidth="1"/>
    <col min="11263" max="11514" width="8.88671875" style="52" customWidth="1"/>
    <col min="11515" max="11515" width="1" style="52" customWidth="1"/>
    <col min="11516" max="11516" width="17.33203125" style="52" customWidth="1"/>
    <col min="11517" max="11517" width="67.33203125" style="52" customWidth="1"/>
    <col min="11518" max="11518" width="28.44140625" style="52" customWidth="1"/>
    <col min="11519" max="11770" width="8.88671875" style="52" customWidth="1"/>
    <col min="11771" max="11771" width="1" style="52" customWidth="1"/>
    <col min="11772" max="11772" width="17.33203125" style="52" customWidth="1"/>
    <col min="11773" max="11773" width="67.33203125" style="52" customWidth="1"/>
    <col min="11774" max="11774" width="28.44140625" style="52" customWidth="1"/>
    <col min="11775" max="12026" width="8.88671875" style="52" customWidth="1"/>
    <col min="12027" max="12027" width="1" style="52" customWidth="1"/>
    <col min="12028" max="12028" width="17.33203125" style="52" customWidth="1"/>
    <col min="12029" max="12029" width="67.33203125" style="52" customWidth="1"/>
    <col min="12030" max="12030" width="28.44140625" style="52" customWidth="1"/>
    <col min="12031" max="12282" width="8.88671875" style="52" customWidth="1"/>
    <col min="12283" max="12283" width="1" style="52" customWidth="1"/>
    <col min="12284" max="12284" width="17.33203125" style="52" customWidth="1"/>
    <col min="12285" max="12285" width="67.33203125" style="52" customWidth="1"/>
    <col min="12286" max="12286" width="28.44140625" style="52" customWidth="1"/>
    <col min="12287" max="12538" width="8.88671875" style="52" customWidth="1"/>
    <col min="12539" max="12539" width="1" style="52" customWidth="1"/>
    <col min="12540" max="12540" width="17.33203125" style="52" customWidth="1"/>
    <col min="12541" max="12541" width="67.33203125" style="52" customWidth="1"/>
    <col min="12542" max="12542" width="28.44140625" style="52" customWidth="1"/>
    <col min="12543" max="12794" width="8.88671875" style="52" customWidth="1"/>
    <col min="12795" max="12795" width="1" style="52" customWidth="1"/>
    <col min="12796" max="12796" width="17.33203125" style="52" customWidth="1"/>
    <col min="12797" max="12797" width="67.33203125" style="52" customWidth="1"/>
    <col min="12798" max="12798" width="28.44140625" style="52" customWidth="1"/>
    <col min="12799" max="13050" width="8.88671875" style="52" customWidth="1"/>
    <col min="13051" max="13051" width="1" style="52" customWidth="1"/>
    <col min="13052" max="13052" width="17.33203125" style="52" customWidth="1"/>
    <col min="13053" max="13053" width="67.33203125" style="52" customWidth="1"/>
    <col min="13054" max="13054" width="28.44140625" style="52" customWidth="1"/>
    <col min="13055" max="13306" width="8.88671875" style="52" customWidth="1"/>
    <col min="13307" max="13307" width="1" style="52" customWidth="1"/>
    <col min="13308" max="13308" width="17.33203125" style="52" customWidth="1"/>
    <col min="13309" max="13309" width="67.33203125" style="52" customWidth="1"/>
    <col min="13310" max="13310" width="28.44140625" style="52" customWidth="1"/>
    <col min="13311" max="13562" width="8.88671875" style="52" customWidth="1"/>
    <col min="13563" max="13563" width="1" style="52" customWidth="1"/>
    <col min="13564" max="13564" width="17.33203125" style="52" customWidth="1"/>
    <col min="13565" max="13565" width="67.33203125" style="52" customWidth="1"/>
    <col min="13566" max="13566" width="28.44140625" style="52" customWidth="1"/>
    <col min="13567" max="13818" width="8.88671875" style="52" customWidth="1"/>
    <col min="13819" max="13819" width="1" style="52" customWidth="1"/>
    <col min="13820" max="13820" width="17.33203125" style="52" customWidth="1"/>
    <col min="13821" max="13821" width="67.33203125" style="52" customWidth="1"/>
    <col min="13822" max="13822" width="28.44140625" style="52" customWidth="1"/>
    <col min="13823" max="14074" width="8.88671875" style="52" customWidth="1"/>
    <col min="14075" max="14075" width="1" style="52" customWidth="1"/>
    <col min="14076" max="14076" width="17.33203125" style="52" customWidth="1"/>
    <col min="14077" max="14077" width="67.33203125" style="52" customWidth="1"/>
    <col min="14078" max="14078" width="28.44140625" style="52" customWidth="1"/>
    <col min="14079" max="14330" width="8.88671875" style="52" customWidth="1"/>
    <col min="14331" max="14331" width="1" style="52" customWidth="1"/>
    <col min="14332" max="14332" width="17.33203125" style="52" customWidth="1"/>
    <col min="14333" max="14333" width="67.33203125" style="52" customWidth="1"/>
    <col min="14334" max="14334" width="28.44140625" style="52" customWidth="1"/>
    <col min="14335" max="14586" width="8.88671875" style="52" customWidth="1"/>
    <col min="14587" max="14587" width="1" style="52" customWidth="1"/>
    <col min="14588" max="14588" width="17.33203125" style="52" customWidth="1"/>
    <col min="14589" max="14589" width="67.33203125" style="52" customWidth="1"/>
    <col min="14590" max="14590" width="28.44140625" style="52" customWidth="1"/>
    <col min="14591" max="14842" width="8.88671875" style="52" customWidth="1"/>
    <col min="14843" max="14843" width="1" style="52" customWidth="1"/>
    <col min="14844" max="14844" width="17.33203125" style="52" customWidth="1"/>
    <col min="14845" max="14845" width="67.33203125" style="52" customWidth="1"/>
    <col min="14846" max="14846" width="28.44140625" style="52" customWidth="1"/>
    <col min="14847" max="15098" width="8.88671875" style="52" customWidth="1"/>
    <col min="15099" max="15099" width="1" style="52" customWidth="1"/>
    <col min="15100" max="15100" width="17.33203125" style="52" customWidth="1"/>
    <col min="15101" max="15101" width="67.33203125" style="52" customWidth="1"/>
    <col min="15102" max="15102" width="28.44140625" style="52" customWidth="1"/>
    <col min="15103" max="15354" width="8.88671875" style="52" customWidth="1"/>
    <col min="15355" max="15355" width="1" style="52" customWidth="1"/>
    <col min="15356" max="15356" width="17.33203125" style="52" customWidth="1"/>
    <col min="15357" max="15357" width="67.33203125" style="52" customWidth="1"/>
    <col min="15358" max="15358" width="28.44140625" style="52" customWidth="1"/>
    <col min="15359" max="15610" width="8.88671875" style="52" customWidth="1"/>
    <col min="15611" max="15611" width="1" style="52" customWidth="1"/>
    <col min="15612" max="15612" width="17.33203125" style="52" customWidth="1"/>
    <col min="15613" max="15613" width="67.33203125" style="52" customWidth="1"/>
    <col min="15614" max="15614" width="28.44140625" style="52" customWidth="1"/>
    <col min="15615" max="15866" width="8.88671875" style="52" customWidth="1"/>
    <col min="15867" max="15867" width="1" style="52" customWidth="1"/>
    <col min="15868" max="15868" width="17.33203125" style="52" customWidth="1"/>
    <col min="15869" max="15869" width="67.33203125" style="52" customWidth="1"/>
    <col min="15870" max="15870" width="28.44140625" style="52" customWidth="1"/>
    <col min="15871" max="16122" width="8.88671875" style="52" customWidth="1"/>
    <col min="16123" max="16123" width="1" style="52" customWidth="1"/>
    <col min="16124" max="16124" width="17.33203125" style="52" customWidth="1"/>
    <col min="16125" max="16125" width="67.33203125" style="52" customWidth="1"/>
    <col min="16126" max="16126" width="28.44140625" style="52" customWidth="1"/>
    <col min="16127" max="16384" width="8.88671875" style="52" customWidth="1"/>
  </cols>
  <sheetData>
    <row r="1" spans="1:5" ht="15" customHeight="1">
      <c r="A1" s="50"/>
      <c r="C1" s="58" t="s">
        <v>187</v>
      </c>
      <c r="D1" s="66"/>
    </row>
    <row r="2" spans="1:5" ht="15" customHeight="1">
      <c r="A2" s="49"/>
      <c r="C2" s="49" t="s">
        <v>227</v>
      </c>
      <c r="D2" s="50"/>
    </row>
    <row r="3" spans="1:5" ht="15" customHeight="1">
      <c r="A3" s="49"/>
      <c r="C3" s="49"/>
      <c r="D3" s="50"/>
    </row>
    <row r="4" spans="1:5" ht="15" customHeight="1">
      <c r="A4" s="49"/>
      <c r="B4" s="800"/>
      <c r="C4" s="49" t="s">
        <v>1267</v>
      </c>
      <c r="D4" s="50"/>
    </row>
    <row r="5" spans="1:5" s="55" customFormat="1" ht="15" customHeight="1">
      <c r="A5" s="53" t="s">
        <v>1</v>
      </c>
      <c r="B5" s="53"/>
      <c r="C5" s="53" t="s">
        <v>74</v>
      </c>
      <c r="D5" s="54" t="s">
        <v>619</v>
      </c>
      <c r="E5" s="54" t="s">
        <v>620</v>
      </c>
    </row>
    <row r="6" spans="1:5" s="807" customFormat="1" ht="15" customHeight="1">
      <c r="A6" s="805">
        <v>1</v>
      </c>
      <c r="B6" s="801">
        <v>1</v>
      </c>
      <c r="C6" s="141" t="s">
        <v>3</v>
      </c>
      <c r="D6" s="141">
        <v>101792478199</v>
      </c>
      <c r="E6" s="806">
        <v>14867692.736999987</v>
      </c>
    </row>
    <row r="7" spans="1:5" s="807" customFormat="1" ht="15" customHeight="1">
      <c r="A7" s="805">
        <v>11</v>
      </c>
      <c r="B7" s="801">
        <v>11</v>
      </c>
      <c r="C7" s="141" t="s">
        <v>4</v>
      </c>
      <c r="D7" s="141">
        <v>91991760820</v>
      </c>
      <c r="E7" s="806">
        <v>13388779.366999984</v>
      </c>
    </row>
    <row r="8" spans="1:5" s="807" customFormat="1" ht="15" customHeight="1">
      <c r="A8" s="805">
        <v>111</v>
      </c>
      <c r="B8" s="801">
        <v>111</v>
      </c>
      <c r="C8" s="141" t="s">
        <v>5</v>
      </c>
      <c r="D8" s="141">
        <v>2889773997</v>
      </c>
      <c r="E8" s="806">
        <v>420587.10699999332</v>
      </c>
    </row>
    <row r="9" spans="1:5" s="808" customFormat="1" ht="15" customHeight="1">
      <c r="A9" s="805">
        <v>111105</v>
      </c>
      <c r="B9" s="801">
        <v>11103</v>
      </c>
      <c r="C9" s="141" t="s">
        <v>16</v>
      </c>
      <c r="D9" s="141">
        <v>2889773997</v>
      </c>
      <c r="E9" s="806">
        <v>420587.10699999332</v>
      </c>
    </row>
    <row r="10" spans="1:5" s="808" customFormat="1" ht="15" customHeight="1">
      <c r="A10" s="805"/>
      <c r="B10" s="801">
        <v>1110301</v>
      </c>
      <c r="C10" s="141" t="s">
        <v>621</v>
      </c>
      <c r="D10" s="141">
        <v>2568723880</v>
      </c>
      <c r="E10" s="806">
        <v>373860.43000000715</v>
      </c>
    </row>
    <row r="11" spans="1:5" s="808" customFormat="1" ht="15" customHeight="1">
      <c r="A11" s="805"/>
      <c r="B11" s="801">
        <v>111030101</v>
      </c>
      <c r="C11" s="141" t="s">
        <v>846</v>
      </c>
      <c r="D11" s="141">
        <v>1872447497</v>
      </c>
      <c r="E11" s="806">
        <v>272522.09000000358</v>
      </c>
    </row>
    <row r="12" spans="1:5" s="808" customFormat="1" ht="15" customHeight="1">
      <c r="A12" s="805"/>
      <c r="B12" s="801">
        <v>111030102</v>
      </c>
      <c r="C12" s="141" t="s">
        <v>622</v>
      </c>
      <c r="D12" s="141">
        <v>121221490</v>
      </c>
      <c r="E12" s="806">
        <v>17642.969999998808</v>
      </c>
    </row>
    <row r="13" spans="1:5" s="808" customFormat="1" ht="15" customHeight="1">
      <c r="A13" s="805"/>
      <c r="B13" s="801">
        <v>111030103</v>
      </c>
      <c r="C13" s="141" t="s">
        <v>623</v>
      </c>
      <c r="D13" s="141">
        <v>6027989</v>
      </c>
      <c r="E13" s="806">
        <v>877.32999999998719</v>
      </c>
    </row>
    <row r="14" spans="1:5" s="808" customFormat="1" ht="15" customHeight="1">
      <c r="A14" s="805"/>
      <c r="B14" s="801">
        <v>111030104</v>
      </c>
      <c r="C14" s="141" t="s">
        <v>624</v>
      </c>
      <c r="D14" s="141">
        <v>6000000</v>
      </c>
      <c r="E14" s="806">
        <v>873.26</v>
      </c>
    </row>
    <row r="15" spans="1:5" s="808" customFormat="1" ht="15" customHeight="1">
      <c r="A15" s="805"/>
      <c r="B15" s="801">
        <v>111030106</v>
      </c>
      <c r="C15" s="141" t="s">
        <v>625</v>
      </c>
      <c r="D15" s="141">
        <v>5560000</v>
      </c>
      <c r="E15" s="806">
        <v>809.21999999997206</v>
      </c>
    </row>
    <row r="16" spans="1:5" s="808" customFormat="1" ht="15.6" customHeight="1">
      <c r="A16" s="805"/>
      <c r="B16" s="801">
        <v>111030107</v>
      </c>
      <c r="C16" s="141" t="s">
        <v>626</v>
      </c>
      <c r="D16" s="141">
        <v>300374</v>
      </c>
      <c r="E16" s="806">
        <v>43.72</v>
      </c>
    </row>
    <row r="17" spans="1:7" s="808" customFormat="1" ht="15" customHeight="1">
      <c r="A17" s="805"/>
      <c r="B17" s="801">
        <v>111030108</v>
      </c>
      <c r="C17" s="141" t="s">
        <v>627</v>
      </c>
      <c r="D17" s="141">
        <v>3468465</v>
      </c>
      <c r="E17" s="806">
        <v>504.80999999999767</v>
      </c>
    </row>
    <row r="18" spans="1:7" s="808" customFormat="1" ht="15" customHeight="1">
      <c r="A18" s="805"/>
      <c r="B18" s="801">
        <v>111030109</v>
      </c>
      <c r="C18" s="141" t="s">
        <v>628</v>
      </c>
      <c r="D18" s="141">
        <v>3982</v>
      </c>
      <c r="E18" s="806">
        <v>0.58000000007450581</v>
      </c>
    </row>
    <row r="19" spans="1:7" s="808" customFormat="1" ht="15" customHeight="1">
      <c r="A19" s="805"/>
      <c r="B19" s="801">
        <v>111030111</v>
      </c>
      <c r="C19" s="141" t="s">
        <v>847</v>
      </c>
      <c r="D19" s="141">
        <v>36676</v>
      </c>
      <c r="E19" s="806">
        <v>5.340000000083819</v>
      </c>
    </row>
    <row r="20" spans="1:7" s="808" customFormat="1" ht="15" customHeight="1">
      <c r="A20" s="805"/>
      <c r="B20" s="801">
        <v>111030112</v>
      </c>
      <c r="C20" s="141" t="s">
        <v>629</v>
      </c>
      <c r="D20" s="141">
        <v>263032</v>
      </c>
      <c r="E20" s="806">
        <v>38.28</v>
      </c>
    </row>
    <row r="21" spans="1:7" s="808" customFormat="1" ht="15" customHeight="1">
      <c r="A21" s="805"/>
      <c r="B21" s="801">
        <v>111030113</v>
      </c>
      <c r="C21" s="141" t="s">
        <v>630</v>
      </c>
      <c r="D21" s="141">
        <v>18159282</v>
      </c>
      <c r="E21" s="806">
        <v>2642.9599999999919</v>
      </c>
    </row>
    <row r="22" spans="1:7" s="807" customFormat="1" ht="15" customHeight="1">
      <c r="A22" s="805">
        <v>111106</v>
      </c>
      <c r="B22" s="801">
        <v>111030114</v>
      </c>
      <c r="C22" s="141" t="s">
        <v>631</v>
      </c>
      <c r="D22" s="141">
        <v>6759960</v>
      </c>
      <c r="E22" s="806">
        <v>983.87000000011176</v>
      </c>
    </row>
    <row r="23" spans="1:7" s="807" customFormat="1" ht="15" customHeight="1">
      <c r="A23" s="805"/>
      <c r="B23" s="801">
        <v>111030116</v>
      </c>
      <c r="C23" s="141" t="s">
        <v>1181</v>
      </c>
      <c r="D23" s="141">
        <v>3800000</v>
      </c>
      <c r="E23" s="806">
        <v>553.05999999999995</v>
      </c>
      <c r="F23" s="808"/>
      <c r="G23" s="808"/>
    </row>
    <row r="24" spans="1:7" s="807" customFormat="1" ht="15" customHeight="1">
      <c r="A24" s="805"/>
      <c r="B24" s="801">
        <v>111030117</v>
      </c>
      <c r="C24" s="141" t="s">
        <v>863</v>
      </c>
      <c r="D24" s="141">
        <v>1000706</v>
      </c>
      <c r="E24" s="806">
        <v>145.64999999999998</v>
      </c>
      <c r="F24" s="808"/>
      <c r="G24" s="808"/>
    </row>
    <row r="25" spans="1:7" s="807" customFormat="1" ht="15" customHeight="1">
      <c r="A25" s="805"/>
      <c r="B25" s="801">
        <v>111030118</v>
      </c>
      <c r="C25" s="141" t="s">
        <v>1182</v>
      </c>
      <c r="D25" s="141">
        <v>468059075</v>
      </c>
      <c r="E25" s="806">
        <v>68122.84</v>
      </c>
      <c r="F25" s="808"/>
      <c r="G25" s="808"/>
    </row>
    <row r="26" spans="1:7" s="807" customFormat="1" ht="15" customHeight="1">
      <c r="A26" s="805"/>
      <c r="B26" s="801">
        <v>111030119</v>
      </c>
      <c r="C26" s="141" t="s">
        <v>641</v>
      </c>
      <c r="D26" s="141">
        <v>110</v>
      </c>
      <c r="E26" s="806">
        <v>2.0000000004074536E-2</v>
      </c>
      <c r="F26" s="808"/>
      <c r="G26" s="808"/>
    </row>
    <row r="27" spans="1:7" s="807" customFormat="1" ht="15" customHeight="1">
      <c r="A27" s="805"/>
      <c r="B27" s="801">
        <v>111030121</v>
      </c>
      <c r="C27" s="141" t="s">
        <v>865</v>
      </c>
      <c r="D27" s="141">
        <v>47834073</v>
      </c>
      <c r="E27" s="806">
        <v>6961.929999999702</v>
      </c>
      <c r="F27" s="808"/>
      <c r="G27" s="808"/>
    </row>
    <row r="28" spans="1:7" s="807" customFormat="1" ht="15" customHeight="1">
      <c r="A28" s="805"/>
      <c r="B28" s="801">
        <v>111030122</v>
      </c>
      <c r="C28" s="141" t="s">
        <v>1183</v>
      </c>
      <c r="D28" s="141">
        <v>7781169</v>
      </c>
      <c r="E28" s="806">
        <v>1132.5</v>
      </c>
      <c r="F28" s="808"/>
      <c r="G28" s="808"/>
    </row>
    <row r="29" spans="1:7" s="807" customFormat="1" ht="15" customHeight="1">
      <c r="A29" s="805"/>
      <c r="B29" s="801">
        <v>1110302</v>
      </c>
      <c r="C29" s="141" t="s">
        <v>632</v>
      </c>
      <c r="D29" s="141">
        <v>321050117</v>
      </c>
      <c r="E29" s="806">
        <v>46726.677000015974</v>
      </c>
      <c r="F29" s="808"/>
      <c r="G29" s="808"/>
    </row>
    <row r="30" spans="1:7" s="807" customFormat="1" ht="15" customHeight="1">
      <c r="A30" s="805"/>
      <c r="B30" s="801">
        <v>111030201</v>
      </c>
      <c r="C30" s="141" t="s">
        <v>866</v>
      </c>
      <c r="D30" s="141">
        <v>1</v>
      </c>
      <c r="E30" s="806">
        <v>0</v>
      </c>
      <c r="F30" s="808"/>
      <c r="G30" s="808"/>
    </row>
    <row r="31" spans="1:7" s="807" customFormat="1" ht="15" customHeight="1">
      <c r="A31" s="805">
        <v>112</v>
      </c>
      <c r="B31" s="801">
        <v>111030202</v>
      </c>
      <c r="C31" s="141" t="s">
        <v>633</v>
      </c>
      <c r="D31" s="141">
        <v>103749</v>
      </c>
      <c r="E31" s="806">
        <v>15.099999994039536</v>
      </c>
    </row>
    <row r="32" spans="1:7" s="807" customFormat="1" ht="15" customHeight="1">
      <c r="A32" s="805">
        <v>11201</v>
      </c>
      <c r="B32" s="801">
        <v>111030203</v>
      </c>
      <c r="C32" s="141" t="s">
        <v>634</v>
      </c>
      <c r="D32" s="141">
        <v>47566618</v>
      </c>
      <c r="E32" s="806">
        <v>6923</v>
      </c>
    </row>
    <row r="33" spans="1:5" s="809" customFormat="1" ht="15" customHeight="1">
      <c r="A33" s="805">
        <v>1120101</v>
      </c>
      <c r="B33" s="801">
        <v>111030204</v>
      </c>
      <c r="C33" s="141" t="s">
        <v>635</v>
      </c>
      <c r="D33" s="141">
        <v>51387132</v>
      </c>
      <c r="E33" s="806">
        <v>7479.0499999999984</v>
      </c>
    </row>
    <row r="34" spans="1:5" s="808" customFormat="1" ht="15" customHeight="1">
      <c r="A34" s="805">
        <v>112010101</v>
      </c>
      <c r="B34" s="801">
        <v>111030206</v>
      </c>
      <c r="C34" s="141" t="s">
        <v>636</v>
      </c>
      <c r="D34" s="141">
        <v>39661888</v>
      </c>
      <c r="E34" s="806">
        <v>5772.5199999999031</v>
      </c>
    </row>
    <row r="35" spans="1:5" s="808" customFormat="1" ht="15" customHeight="1">
      <c r="A35" s="805">
        <v>1120102</v>
      </c>
      <c r="B35" s="801">
        <v>111030207</v>
      </c>
      <c r="C35" s="141" t="s">
        <v>868</v>
      </c>
      <c r="D35" s="141">
        <v>12780</v>
      </c>
      <c r="E35" s="806">
        <v>1.86</v>
      </c>
    </row>
    <row r="36" spans="1:5" s="808" customFormat="1" ht="15" customHeight="1">
      <c r="A36" s="805">
        <v>112010208</v>
      </c>
      <c r="B36" s="801">
        <v>111030209</v>
      </c>
      <c r="C36" s="141" t="s">
        <v>637</v>
      </c>
      <c r="D36" s="141">
        <v>34835</v>
      </c>
      <c r="E36" s="806">
        <v>5.0699999998323619</v>
      </c>
    </row>
    <row r="37" spans="1:5" s="808" customFormat="1" ht="15" customHeight="1">
      <c r="A37" s="805">
        <v>112010209</v>
      </c>
      <c r="B37" s="801">
        <v>111030210</v>
      </c>
      <c r="C37" s="141" t="s">
        <v>638</v>
      </c>
      <c r="D37" s="141">
        <v>28300935</v>
      </c>
      <c r="E37" s="806">
        <v>4119.0100000000093</v>
      </c>
    </row>
    <row r="38" spans="1:5" s="808" customFormat="1" ht="15" customHeight="1">
      <c r="A38" s="805">
        <v>112010211</v>
      </c>
      <c r="B38" s="801">
        <v>111030211</v>
      </c>
      <c r="C38" s="141" t="s">
        <v>639</v>
      </c>
      <c r="D38" s="141">
        <v>16401929</v>
      </c>
      <c r="E38" s="806">
        <v>2387.1900000000023</v>
      </c>
    </row>
    <row r="39" spans="1:5" s="808" customFormat="1" ht="15" customHeight="1">
      <c r="A39" s="805">
        <v>112010211</v>
      </c>
      <c r="B39" s="801">
        <v>111030212</v>
      </c>
      <c r="C39" s="141" t="s">
        <v>640</v>
      </c>
      <c r="D39" s="141">
        <v>22914151</v>
      </c>
      <c r="E39" s="806">
        <v>3335</v>
      </c>
    </row>
    <row r="40" spans="1:5" s="808" customFormat="1" ht="15" customHeight="1">
      <c r="A40" s="805">
        <v>112010212</v>
      </c>
      <c r="B40" s="801">
        <v>111030214</v>
      </c>
      <c r="C40" s="141" t="s">
        <v>641</v>
      </c>
      <c r="D40" s="141">
        <v>10492</v>
      </c>
      <c r="E40" s="806">
        <v>1.5270000002346935</v>
      </c>
    </row>
    <row r="41" spans="1:5" s="808" customFormat="1" ht="15" customHeight="1">
      <c r="A41" s="805">
        <v>112010212</v>
      </c>
      <c r="B41" s="801">
        <v>111030216</v>
      </c>
      <c r="C41" s="141" t="s">
        <v>1223</v>
      </c>
      <c r="D41" s="141">
        <v>6871291</v>
      </c>
      <c r="E41" s="806">
        <v>1000.0700000000651</v>
      </c>
    </row>
    <row r="42" spans="1:5" s="808" customFormat="1" ht="15" customHeight="1">
      <c r="A42" s="805">
        <v>1120103</v>
      </c>
      <c r="B42" s="801">
        <v>111030217</v>
      </c>
      <c r="C42" s="141" t="s">
        <v>642</v>
      </c>
      <c r="D42" s="141">
        <v>61362792</v>
      </c>
      <c r="E42" s="806">
        <v>8930.9399999999441</v>
      </c>
    </row>
    <row r="43" spans="1:5" s="808" customFormat="1" ht="15" customHeight="1">
      <c r="A43" s="805">
        <v>112010304</v>
      </c>
      <c r="B43" s="801">
        <v>111030218</v>
      </c>
      <c r="C43" s="141" t="s">
        <v>643</v>
      </c>
      <c r="D43" s="141">
        <v>26311969</v>
      </c>
      <c r="E43" s="806">
        <v>3829.5299999999988</v>
      </c>
    </row>
    <row r="44" spans="1:5" s="808" customFormat="1" ht="15" customHeight="1">
      <c r="A44" s="805">
        <v>112010306</v>
      </c>
      <c r="B44" s="801">
        <v>111030219</v>
      </c>
      <c r="C44" s="141" t="s">
        <v>644</v>
      </c>
      <c r="D44" s="141">
        <v>20109555</v>
      </c>
      <c r="E44" s="806">
        <v>2926.8099999995902</v>
      </c>
    </row>
    <row r="45" spans="1:5" s="808" customFormat="1" ht="15" customHeight="1">
      <c r="A45" s="805">
        <v>11203</v>
      </c>
      <c r="B45" s="801">
        <v>112</v>
      </c>
      <c r="C45" s="141" t="s">
        <v>206</v>
      </c>
      <c r="D45" s="141">
        <v>87224765301</v>
      </c>
      <c r="E45" s="806">
        <v>12694975.610000014</v>
      </c>
    </row>
    <row r="46" spans="1:5" s="808" customFormat="1" ht="15" customHeight="1">
      <c r="A46" s="805">
        <v>1120302</v>
      </c>
      <c r="B46" s="801">
        <v>11201</v>
      </c>
      <c r="C46" s="141" t="s">
        <v>645</v>
      </c>
      <c r="D46" s="141">
        <v>15972022950</v>
      </c>
      <c r="E46" s="806">
        <v>2324620.099999994</v>
      </c>
    </row>
    <row r="47" spans="1:5" s="808" customFormat="1" ht="15" customHeight="1">
      <c r="A47" s="805">
        <v>112030201</v>
      </c>
      <c r="B47" s="801">
        <v>112011</v>
      </c>
      <c r="C47" s="141" t="s">
        <v>646</v>
      </c>
      <c r="D47" s="141">
        <v>15972022950</v>
      </c>
      <c r="E47" s="806">
        <v>2324620.099999994</v>
      </c>
    </row>
    <row r="48" spans="1:5" s="808" customFormat="1" ht="15" customHeight="1">
      <c r="A48" s="805">
        <v>112030202</v>
      </c>
      <c r="B48" s="801">
        <v>1120111</v>
      </c>
      <c r="C48" s="141" t="s">
        <v>647</v>
      </c>
      <c r="D48" s="141">
        <v>75000000</v>
      </c>
      <c r="E48" s="806">
        <v>10915.739999999991</v>
      </c>
    </row>
    <row r="49" spans="1:7" s="808" customFormat="1" ht="15" customHeight="1">
      <c r="A49" s="805">
        <v>112030203</v>
      </c>
      <c r="B49" s="801">
        <v>11201111</v>
      </c>
      <c r="C49" s="141" t="s">
        <v>648</v>
      </c>
      <c r="D49" s="141">
        <v>75000000</v>
      </c>
      <c r="E49" s="806">
        <v>10915.739999999991</v>
      </c>
    </row>
    <row r="50" spans="1:7" s="808" customFormat="1" ht="15" customHeight="1">
      <c r="A50" s="805">
        <v>11205</v>
      </c>
      <c r="B50" s="801">
        <v>1120111101</v>
      </c>
      <c r="C50" s="141" t="s">
        <v>649</v>
      </c>
      <c r="D50" s="141">
        <v>75000000</v>
      </c>
      <c r="E50" s="806">
        <v>10915.739999999991</v>
      </c>
    </row>
    <row r="51" spans="1:7" s="808" customFormat="1" ht="15" customHeight="1">
      <c r="A51" s="805">
        <v>11206</v>
      </c>
      <c r="B51" s="801">
        <v>1120112</v>
      </c>
      <c r="C51" s="141" t="s">
        <v>650</v>
      </c>
      <c r="D51" s="141">
        <v>2449329600</v>
      </c>
      <c r="E51" s="806">
        <v>356483.37999999517</v>
      </c>
    </row>
    <row r="52" spans="1:7" s="808" customFormat="1" ht="15" customHeight="1">
      <c r="A52" s="805"/>
      <c r="B52" s="801">
        <v>11201121</v>
      </c>
      <c r="C52" s="141" t="s">
        <v>470</v>
      </c>
      <c r="D52" s="141">
        <v>100000000</v>
      </c>
      <c r="E52" s="806">
        <v>14554.319999999367</v>
      </c>
    </row>
    <row r="53" spans="1:7" s="808" customFormat="1" ht="15" customHeight="1">
      <c r="A53" s="805"/>
      <c r="B53" s="801">
        <v>1120112101</v>
      </c>
      <c r="C53" s="141" t="s">
        <v>651</v>
      </c>
      <c r="D53" s="141">
        <v>100000000</v>
      </c>
      <c r="E53" s="806">
        <v>14554.319999999367</v>
      </c>
    </row>
    <row r="54" spans="1:7" s="808" customFormat="1" ht="15" customHeight="1">
      <c r="A54" s="805"/>
      <c r="B54" s="801">
        <v>11201122</v>
      </c>
      <c r="C54" s="141" t="s">
        <v>878</v>
      </c>
      <c r="D54" s="141">
        <v>68708100</v>
      </c>
      <c r="E54" s="806">
        <v>10000</v>
      </c>
    </row>
    <row r="55" spans="1:7" s="808" customFormat="1" ht="15" customHeight="1">
      <c r="A55" s="805"/>
      <c r="B55" s="801">
        <v>1120112202</v>
      </c>
      <c r="C55" s="141" t="s">
        <v>766</v>
      </c>
      <c r="D55" s="141">
        <v>68708100</v>
      </c>
      <c r="E55" s="806">
        <v>10000</v>
      </c>
    </row>
    <row r="56" spans="1:7" s="808" customFormat="1" ht="15" customHeight="1">
      <c r="A56" s="805"/>
      <c r="B56" s="801">
        <v>11201123</v>
      </c>
      <c r="C56" s="141" t="s">
        <v>72</v>
      </c>
      <c r="D56" s="141">
        <v>2280621500</v>
      </c>
      <c r="E56" s="806">
        <v>331929.06000000238</v>
      </c>
    </row>
    <row r="57" spans="1:7" s="808" customFormat="1" ht="15" customHeight="1">
      <c r="A57" s="805"/>
      <c r="B57" s="801">
        <v>1120112301</v>
      </c>
      <c r="C57" s="141" t="s">
        <v>652</v>
      </c>
      <c r="D57" s="141">
        <v>1250000000</v>
      </c>
      <c r="E57" s="806">
        <v>181929.05999999493</v>
      </c>
    </row>
    <row r="58" spans="1:7" s="808" customFormat="1" ht="15" customHeight="1">
      <c r="A58" s="805"/>
      <c r="B58" s="801">
        <v>1120112302</v>
      </c>
      <c r="C58" s="141" t="s">
        <v>653</v>
      </c>
      <c r="D58" s="141">
        <v>1030621500</v>
      </c>
      <c r="E58" s="806">
        <v>150000</v>
      </c>
    </row>
    <row r="59" spans="1:7" s="808" customFormat="1" ht="15" customHeight="1">
      <c r="A59" s="805"/>
      <c r="B59" s="801">
        <v>1120113</v>
      </c>
      <c r="C59" s="141" t="s">
        <v>654</v>
      </c>
      <c r="D59" s="141">
        <v>2623000000</v>
      </c>
      <c r="E59" s="806">
        <v>381759.93999999762</v>
      </c>
    </row>
    <row r="60" spans="1:7" s="808" customFormat="1" ht="15" customHeight="1">
      <c r="A60" s="805"/>
      <c r="B60" s="801">
        <v>11201131</v>
      </c>
      <c r="C60" s="141" t="s">
        <v>655</v>
      </c>
      <c r="D60" s="141">
        <v>2623000000</v>
      </c>
      <c r="E60" s="806">
        <v>381759.94000000134</v>
      </c>
    </row>
    <row r="61" spans="1:7" s="807" customFormat="1" ht="15" customHeight="1">
      <c r="A61" s="805">
        <v>11207</v>
      </c>
      <c r="B61" s="801">
        <v>1120113101</v>
      </c>
      <c r="C61" s="141" t="s">
        <v>656</v>
      </c>
      <c r="D61" s="141">
        <v>2623000000</v>
      </c>
      <c r="E61" s="806">
        <v>381759.94000000134</v>
      </c>
      <c r="F61" s="808"/>
      <c r="G61" s="808"/>
    </row>
    <row r="62" spans="1:7" s="808" customFormat="1" ht="15" customHeight="1">
      <c r="A62" s="805">
        <v>11208</v>
      </c>
      <c r="B62" s="801">
        <v>1120114</v>
      </c>
      <c r="C62" s="141" t="s">
        <v>659</v>
      </c>
      <c r="D62" s="141">
        <v>8007017205</v>
      </c>
      <c r="E62" s="806">
        <v>1165367.2899999991</v>
      </c>
    </row>
    <row r="63" spans="1:7" s="808" customFormat="1" ht="15" customHeight="1">
      <c r="A63" s="805">
        <v>11213</v>
      </c>
      <c r="B63" s="801">
        <v>11201143</v>
      </c>
      <c r="C63" s="141" t="s">
        <v>72</v>
      </c>
      <c r="D63" s="141">
        <v>8007017205</v>
      </c>
      <c r="E63" s="806">
        <v>1165367.2899999991</v>
      </c>
    </row>
    <row r="64" spans="1:7" s="808" customFormat="1" ht="15" customHeight="1">
      <c r="A64" s="805">
        <v>113</v>
      </c>
      <c r="B64" s="801">
        <v>1120114301</v>
      </c>
      <c r="C64" s="141" t="s">
        <v>660</v>
      </c>
      <c r="D64" s="141">
        <v>8007017205</v>
      </c>
      <c r="E64" s="806">
        <v>1165367.290000001</v>
      </c>
    </row>
    <row r="65" spans="1:7" s="808" customFormat="1" ht="15" customHeight="1">
      <c r="A65" s="805">
        <v>11301</v>
      </c>
      <c r="B65" s="801">
        <v>1120116</v>
      </c>
      <c r="C65" s="141" t="s">
        <v>661</v>
      </c>
      <c r="D65" s="141">
        <v>2817676145</v>
      </c>
      <c r="E65" s="806">
        <v>410093.75</v>
      </c>
    </row>
    <row r="66" spans="1:7" s="807" customFormat="1" ht="15" customHeight="1">
      <c r="A66" s="805">
        <v>11302</v>
      </c>
      <c r="B66" s="801">
        <v>11201161</v>
      </c>
      <c r="C66" s="141" t="s">
        <v>662</v>
      </c>
      <c r="D66" s="141">
        <v>24998629362</v>
      </c>
      <c r="E66" s="806">
        <v>3638381.7100000004</v>
      </c>
      <c r="F66" s="808"/>
      <c r="G66" s="808"/>
    </row>
    <row r="67" spans="1:7" s="808" customFormat="1" ht="15" customHeight="1">
      <c r="A67" s="805">
        <v>11306</v>
      </c>
      <c r="B67" s="801">
        <v>1120116101</v>
      </c>
      <c r="C67" s="141" t="s">
        <v>663</v>
      </c>
      <c r="D67" s="141">
        <v>3684400000</v>
      </c>
      <c r="E67" s="806">
        <v>536239.54</v>
      </c>
    </row>
    <row r="68" spans="1:7" s="808" customFormat="1" ht="15" customHeight="1">
      <c r="A68" s="805">
        <v>114</v>
      </c>
      <c r="B68" s="801">
        <v>1120116104</v>
      </c>
      <c r="C68" s="141" t="s">
        <v>848</v>
      </c>
      <c r="D68" s="141">
        <v>887918555</v>
      </c>
      <c r="E68" s="806">
        <v>129230.55000000005</v>
      </c>
    </row>
    <row r="69" spans="1:7" s="808" customFormat="1" ht="15" customHeight="1">
      <c r="A69" s="805">
        <v>114102</v>
      </c>
      <c r="B69" s="801">
        <v>1120116105</v>
      </c>
      <c r="C69" s="141" t="s">
        <v>664</v>
      </c>
      <c r="D69" s="141">
        <v>1462373699</v>
      </c>
      <c r="E69" s="806">
        <v>212838.62000000008</v>
      </c>
    </row>
    <row r="70" spans="1:7" s="808" customFormat="1" ht="15" customHeight="1">
      <c r="A70" s="805">
        <v>114103</v>
      </c>
      <c r="B70" s="801">
        <v>1120116106</v>
      </c>
      <c r="C70" s="141" t="s">
        <v>665</v>
      </c>
      <c r="D70" s="141">
        <v>412685515</v>
      </c>
      <c r="E70" s="806">
        <v>60063.589999999844</v>
      </c>
    </row>
    <row r="71" spans="1:7" s="808" customFormat="1" ht="15" customHeight="1">
      <c r="A71" s="805">
        <v>114105</v>
      </c>
      <c r="B71" s="801">
        <v>1120116107</v>
      </c>
      <c r="C71" s="141" t="s">
        <v>666</v>
      </c>
      <c r="D71" s="141">
        <v>13691268545</v>
      </c>
      <c r="E71" s="806">
        <v>1992671.6899999992</v>
      </c>
    </row>
    <row r="72" spans="1:7" s="808" customFormat="1" ht="15" customHeight="1">
      <c r="A72" s="805">
        <v>115</v>
      </c>
      <c r="B72" s="801">
        <v>1120116114</v>
      </c>
      <c r="C72" s="141" t="s">
        <v>893</v>
      </c>
      <c r="D72" s="141">
        <v>69</v>
      </c>
      <c r="E72" s="806">
        <v>9.9999999947613105E-3</v>
      </c>
    </row>
    <row r="73" spans="1:7" s="807" customFormat="1" ht="15" customHeight="1">
      <c r="A73" s="805">
        <v>115101</v>
      </c>
      <c r="B73" s="801">
        <v>1120116117</v>
      </c>
      <c r="C73" s="141" t="s">
        <v>668</v>
      </c>
      <c r="D73" s="141">
        <v>1679208575</v>
      </c>
      <c r="E73" s="806">
        <v>244397.46999999997</v>
      </c>
    </row>
    <row r="74" spans="1:7" s="808" customFormat="1" ht="15" customHeight="1">
      <c r="A74" s="805">
        <v>11510103</v>
      </c>
      <c r="B74" s="801">
        <v>1120116118</v>
      </c>
      <c r="C74" s="141" t="s">
        <v>669</v>
      </c>
      <c r="D74" s="141">
        <v>3139299404</v>
      </c>
      <c r="E74" s="806">
        <v>456903.82999999996</v>
      </c>
    </row>
    <row r="75" spans="1:7" s="808" customFormat="1" ht="15" customHeight="1">
      <c r="A75" s="805">
        <v>115108</v>
      </c>
      <c r="B75" s="801">
        <v>1120116129</v>
      </c>
      <c r="C75" s="141" t="s">
        <v>670</v>
      </c>
      <c r="D75" s="141">
        <v>41475000</v>
      </c>
      <c r="E75" s="806">
        <v>6036.4100000000317</v>
      </c>
    </row>
    <row r="76" spans="1:7" s="807" customFormat="1" ht="15" customHeight="1">
      <c r="A76" s="805">
        <v>12</v>
      </c>
      <c r="B76" s="801">
        <v>11201162</v>
      </c>
      <c r="C76" s="141" t="s">
        <v>671</v>
      </c>
      <c r="D76" s="141">
        <v>-22180953217</v>
      </c>
      <c r="E76" s="806">
        <v>-3228287.9600000004</v>
      </c>
    </row>
    <row r="77" spans="1:7" s="807" customFormat="1" ht="15" customHeight="1">
      <c r="A77" s="805">
        <v>130</v>
      </c>
      <c r="B77" s="801">
        <v>1120116201</v>
      </c>
      <c r="C77" s="141" t="s">
        <v>672</v>
      </c>
      <c r="D77" s="141">
        <v>-3649070137</v>
      </c>
      <c r="E77" s="806">
        <v>-531097.52</v>
      </c>
    </row>
    <row r="78" spans="1:7" s="807" customFormat="1" ht="15" customHeight="1">
      <c r="A78" s="805">
        <v>130102</v>
      </c>
      <c r="B78" s="801">
        <v>1120116204</v>
      </c>
      <c r="C78" s="141" t="s">
        <v>849</v>
      </c>
      <c r="D78" s="141">
        <v>-876158271</v>
      </c>
      <c r="E78" s="806">
        <v>-127518.92000000004</v>
      </c>
    </row>
    <row r="79" spans="1:7" s="807" customFormat="1" ht="15" customHeight="1">
      <c r="A79" s="805">
        <v>13010202</v>
      </c>
      <c r="B79" s="801">
        <v>1120116205</v>
      </c>
      <c r="C79" s="141" t="s">
        <v>673</v>
      </c>
      <c r="D79" s="141">
        <v>-1156671548</v>
      </c>
      <c r="E79" s="806">
        <v>-168345.73000000045</v>
      </c>
    </row>
    <row r="80" spans="1:7" s="808" customFormat="1" ht="15" customHeight="1">
      <c r="A80" s="805">
        <v>1301020202</v>
      </c>
      <c r="B80" s="801">
        <v>1120116206</v>
      </c>
      <c r="C80" s="141" t="s">
        <v>674</v>
      </c>
      <c r="D80" s="141">
        <v>-363487836</v>
      </c>
      <c r="E80" s="806">
        <v>-52903.200000000186</v>
      </c>
    </row>
    <row r="81" spans="1:5" s="808" customFormat="1" ht="15" customHeight="1">
      <c r="A81" s="805">
        <v>1301020203</v>
      </c>
      <c r="B81" s="801">
        <v>1120116207</v>
      </c>
      <c r="C81" s="141" t="s">
        <v>675</v>
      </c>
      <c r="D81" s="141">
        <v>-13256785621</v>
      </c>
      <c r="E81" s="806">
        <v>-1929435.629999999</v>
      </c>
    </row>
    <row r="82" spans="1:5" s="808" customFormat="1" ht="15" customHeight="1">
      <c r="A82" s="805">
        <v>13010204</v>
      </c>
      <c r="B82" s="801">
        <v>1120116208</v>
      </c>
      <c r="C82" s="141" t="s">
        <v>911</v>
      </c>
      <c r="D82" s="141">
        <v>69</v>
      </c>
      <c r="E82" s="806">
        <v>1.0000000009313226E-2</v>
      </c>
    </row>
    <row r="83" spans="1:5" s="808" customFormat="1" ht="15" customHeight="1">
      <c r="A83" s="805">
        <v>1301020402</v>
      </c>
      <c r="B83" s="801">
        <v>1120116217</v>
      </c>
      <c r="C83" s="141" t="s">
        <v>677</v>
      </c>
      <c r="D83" s="141">
        <v>-1495389292</v>
      </c>
      <c r="E83" s="806">
        <v>-217643.81000000006</v>
      </c>
    </row>
    <row r="84" spans="1:5" s="807" customFormat="1" ht="15" customHeight="1">
      <c r="A84" s="805">
        <v>132</v>
      </c>
      <c r="B84" s="801">
        <v>1120116218</v>
      </c>
      <c r="C84" s="141" t="s">
        <v>678</v>
      </c>
      <c r="D84" s="141">
        <v>-1343245691</v>
      </c>
      <c r="E84" s="806">
        <v>-195500.33999999997</v>
      </c>
    </row>
    <row r="85" spans="1:5" s="808" customFormat="1" ht="15" customHeight="1">
      <c r="A85" s="805">
        <v>132127</v>
      </c>
      <c r="B85" s="801">
        <v>1120116229</v>
      </c>
      <c r="C85" s="141" t="s">
        <v>679</v>
      </c>
      <c r="D85" s="141">
        <v>-40144890</v>
      </c>
      <c r="E85" s="806">
        <v>-5842.8199999999488</v>
      </c>
    </row>
    <row r="86" spans="1:5" s="808" customFormat="1" ht="15" customHeight="1">
      <c r="A86" s="805">
        <v>13212701</v>
      </c>
      <c r="B86" s="801">
        <v>11203</v>
      </c>
      <c r="C86" s="141" t="s">
        <v>150</v>
      </c>
      <c r="D86" s="141">
        <v>71252742351</v>
      </c>
      <c r="E86" s="806">
        <v>10370355.509999998</v>
      </c>
    </row>
    <row r="87" spans="1:5" s="808" customFormat="1" ht="15" customHeight="1">
      <c r="A87" s="805">
        <v>132128</v>
      </c>
      <c r="B87" s="801">
        <v>112031</v>
      </c>
      <c r="C87" s="141" t="s">
        <v>680</v>
      </c>
      <c r="D87" s="141">
        <v>71189321682</v>
      </c>
      <c r="E87" s="806">
        <v>10361125.060000002</v>
      </c>
    </row>
    <row r="88" spans="1:5" s="808" customFormat="1" ht="15" customHeight="1">
      <c r="A88" s="805">
        <v>13212801</v>
      </c>
      <c r="B88" s="801">
        <v>11203101</v>
      </c>
      <c r="C88" s="141" t="s">
        <v>681</v>
      </c>
      <c r="D88" s="141">
        <v>71189321682</v>
      </c>
      <c r="E88" s="806">
        <v>10361125.060000002</v>
      </c>
    </row>
    <row r="89" spans="1:5" s="808" customFormat="1" ht="15" customHeight="1">
      <c r="A89" s="805">
        <v>13212802</v>
      </c>
      <c r="B89" s="801">
        <v>1120310101</v>
      </c>
      <c r="C89" s="141" t="s">
        <v>682</v>
      </c>
      <c r="D89" s="141">
        <v>45276000000</v>
      </c>
      <c r="E89" s="806">
        <v>6589616.0700000003</v>
      </c>
    </row>
    <row r="90" spans="1:5" s="807" customFormat="1" ht="15" customHeight="1">
      <c r="A90" s="805">
        <v>133</v>
      </c>
      <c r="B90" s="801">
        <v>1120310102</v>
      </c>
      <c r="C90" s="141" t="s">
        <v>683</v>
      </c>
      <c r="D90" s="141">
        <v>5125624260</v>
      </c>
      <c r="E90" s="806">
        <v>746000</v>
      </c>
    </row>
    <row r="91" spans="1:5" s="808" customFormat="1" ht="15" customHeight="1">
      <c r="A91" s="805">
        <v>133101</v>
      </c>
      <c r="B91" s="801">
        <v>1120310103</v>
      </c>
      <c r="C91" s="141" t="s">
        <v>1184</v>
      </c>
      <c r="D91" s="141">
        <v>4000000000</v>
      </c>
      <c r="E91" s="806">
        <v>582172.99</v>
      </c>
    </row>
    <row r="92" spans="1:5" s="808" customFormat="1" ht="15" customHeight="1">
      <c r="A92" s="805">
        <v>13310102</v>
      </c>
      <c r="B92" s="801">
        <v>1120310104</v>
      </c>
      <c r="C92" s="141" t="s">
        <v>1248</v>
      </c>
      <c r="D92" s="141">
        <v>16787697422</v>
      </c>
      <c r="E92" s="806">
        <v>2443336</v>
      </c>
    </row>
    <row r="93" spans="1:5" s="808" customFormat="1" ht="15" customHeight="1">
      <c r="A93" s="805">
        <v>133102</v>
      </c>
      <c r="B93" s="801">
        <v>112032</v>
      </c>
      <c r="C93" s="141" t="s">
        <v>941</v>
      </c>
      <c r="D93" s="141">
        <v>63420669</v>
      </c>
      <c r="E93" s="806">
        <v>9230.4500000000007</v>
      </c>
    </row>
    <row r="94" spans="1:5" s="808" customFormat="1" ht="15" customHeight="1">
      <c r="A94" s="805">
        <v>133113</v>
      </c>
      <c r="B94" s="801">
        <v>11203201</v>
      </c>
      <c r="C94" s="141" t="s">
        <v>941</v>
      </c>
      <c r="D94" s="141">
        <v>63246150</v>
      </c>
      <c r="E94" s="806">
        <v>9205.0500000000029</v>
      </c>
    </row>
    <row r="95" spans="1:5" s="808" customFormat="1" ht="15" customHeight="1">
      <c r="A95" s="805">
        <v>133114</v>
      </c>
      <c r="B95" s="801">
        <v>1120320114</v>
      </c>
      <c r="C95" s="141" t="s">
        <v>779</v>
      </c>
      <c r="D95" s="141">
        <v>63246150</v>
      </c>
      <c r="E95" s="806">
        <v>9205.0500000000011</v>
      </c>
    </row>
    <row r="96" spans="1:5" s="808" customFormat="1" ht="15" customHeight="1">
      <c r="A96" s="805">
        <v>133116</v>
      </c>
      <c r="B96" s="801">
        <v>11203202</v>
      </c>
      <c r="C96" s="141" t="s">
        <v>1225</v>
      </c>
      <c r="D96" s="141">
        <v>713671</v>
      </c>
      <c r="E96" s="806">
        <v>103.87</v>
      </c>
    </row>
    <row r="97" spans="1:7" s="808" customFormat="1" ht="15" customHeight="1">
      <c r="A97" s="805">
        <v>133117</v>
      </c>
      <c r="B97" s="801">
        <v>1120320202</v>
      </c>
      <c r="C97" s="141" t="s">
        <v>1226</v>
      </c>
      <c r="D97" s="141">
        <v>713671</v>
      </c>
      <c r="E97" s="806">
        <v>103.87</v>
      </c>
    </row>
    <row r="98" spans="1:7" s="808" customFormat="1" ht="15" customHeight="1">
      <c r="A98" s="805"/>
      <c r="B98" s="801">
        <v>11203203</v>
      </c>
      <c r="C98" s="141" t="s">
        <v>1227</v>
      </c>
      <c r="D98" s="141">
        <v>-539152</v>
      </c>
      <c r="E98" s="806">
        <v>-78.47</v>
      </c>
    </row>
    <row r="99" spans="1:7" s="808" customFormat="1" ht="15" customHeight="1">
      <c r="A99" s="805"/>
      <c r="B99" s="801">
        <v>1120320302</v>
      </c>
      <c r="C99" s="141" t="s">
        <v>1228</v>
      </c>
      <c r="D99" s="141">
        <v>-539152</v>
      </c>
      <c r="E99" s="806">
        <v>-78.47</v>
      </c>
    </row>
    <row r="100" spans="1:7" s="808" customFormat="1" ht="15" customHeight="1">
      <c r="A100" s="805"/>
      <c r="B100" s="801">
        <v>113</v>
      </c>
      <c r="C100" s="141" t="s">
        <v>684</v>
      </c>
      <c r="D100" s="141">
        <v>1848463639</v>
      </c>
      <c r="E100" s="806">
        <v>269033.91000000015</v>
      </c>
    </row>
    <row r="101" spans="1:7" s="808" customFormat="1" ht="15" customHeight="1">
      <c r="A101" s="805"/>
      <c r="B101" s="801">
        <v>11301</v>
      </c>
      <c r="C101" s="141" t="s">
        <v>335</v>
      </c>
      <c r="D101" s="141">
        <v>79989783</v>
      </c>
      <c r="E101" s="806">
        <v>11641.020000000484</v>
      </c>
    </row>
    <row r="102" spans="1:7" s="807" customFormat="1" ht="15" customHeight="1">
      <c r="A102" s="805">
        <v>137</v>
      </c>
      <c r="B102" s="801">
        <v>1130101</v>
      </c>
      <c r="C102" s="141" t="s">
        <v>685</v>
      </c>
      <c r="D102" s="141">
        <v>73016363</v>
      </c>
      <c r="E102" s="806">
        <v>10626.090000000026</v>
      </c>
    </row>
    <row r="103" spans="1:7" s="808" customFormat="1" ht="15" customHeight="1">
      <c r="A103" s="805">
        <v>13701</v>
      </c>
      <c r="B103" s="801">
        <v>113010101</v>
      </c>
      <c r="C103" s="141" t="s">
        <v>686</v>
      </c>
      <c r="D103" s="141">
        <v>61105608</v>
      </c>
      <c r="E103" s="806">
        <v>8892.5599999999977</v>
      </c>
    </row>
    <row r="104" spans="1:7" s="808" customFormat="1" ht="15" customHeight="1">
      <c r="A104" s="805">
        <v>13702</v>
      </c>
      <c r="B104" s="801">
        <v>113010102</v>
      </c>
      <c r="C104" s="141" t="s">
        <v>687</v>
      </c>
      <c r="D104" s="141">
        <v>11910755</v>
      </c>
      <c r="E104" s="806">
        <v>1733.5299999999986</v>
      </c>
    </row>
    <row r="105" spans="1:7" s="808" customFormat="1" ht="15" customHeight="1">
      <c r="A105" s="805">
        <v>2</v>
      </c>
      <c r="B105" s="801">
        <v>1130102</v>
      </c>
      <c r="C105" s="141" t="s">
        <v>516</v>
      </c>
      <c r="D105" s="141">
        <v>6973420</v>
      </c>
      <c r="E105" s="806">
        <v>1014.9300000006333</v>
      </c>
    </row>
    <row r="106" spans="1:7" s="808" customFormat="1" ht="15" customHeight="1">
      <c r="A106" s="805">
        <v>21</v>
      </c>
      <c r="B106" s="801">
        <v>113010201</v>
      </c>
      <c r="C106" s="141" t="s">
        <v>1185</v>
      </c>
      <c r="D106" s="141">
        <v>3975686</v>
      </c>
      <c r="E106" s="806">
        <v>578.62999999988824</v>
      </c>
    </row>
    <row r="107" spans="1:7" s="808" customFormat="1" ht="15" customHeight="1">
      <c r="A107" s="805">
        <v>211</v>
      </c>
      <c r="B107" s="801">
        <v>113010202</v>
      </c>
      <c r="C107" s="141" t="s">
        <v>1186</v>
      </c>
      <c r="D107" s="141">
        <v>2997734</v>
      </c>
      <c r="E107" s="806">
        <v>436.29999999981374</v>
      </c>
    </row>
    <row r="108" spans="1:7" s="807" customFormat="1" ht="15" customHeight="1">
      <c r="A108" s="805">
        <v>21101</v>
      </c>
      <c r="B108" s="801">
        <v>11302</v>
      </c>
      <c r="C108" s="141" t="s">
        <v>688</v>
      </c>
      <c r="D108" s="141">
        <v>1502593731</v>
      </c>
      <c r="E108" s="806">
        <v>218692.36999999997</v>
      </c>
    </row>
    <row r="109" spans="1:7" s="807" customFormat="1" ht="15" customHeight="1">
      <c r="A109" s="805">
        <v>2110101</v>
      </c>
      <c r="B109" s="801">
        <v>1130202</v>
      </c>
      <c r="C109" s="141" t="s">
        <v>689</v>
      </c>
      <c r="D109" s="141">
        <v>3300000</v>
      </c>
      <c r="E109" s="806">
        <v>480.28999999999724</v>
      </c>
      <c r="G109" s="808"/>
    </row>
    <row r="110" spans="1:7" s="807" customFormat="1" ht="15" customHeight="1">
      <c r="A110" s="805">
        <v>21103</v>
      </c>
      <c r="B110" s="801">
        <v>113020201</v>
      </c>
      <c r="C110" s="141" t="s">
        <v>952</v>
      </c>
      <c r="D110" s="141">
        <v>3300000</v>
      </c>
      <c r="E110" s="806">
        <v>480.28999999999996</v>
      </c>
      <c r="G110" s="808"/>
    </row>
    <row r="111" spans="1:7" s="807" customFormat="1" ht="15" customHeight="1">
      <c r="A111" s="805">
        <v>21104</v>
      </c>
      <c r="B111" s="801">
        <v>1130203</v>
      </c>
      <c r="C111" s="141" t="s">
        <v>162</v>
      </c>
      <c r="D111" s="141">
        <v>1499293731</v>
      </c>
      <c r="E111" s="806">
        <v>218212.08000000005</v>
      </c>
      <c r="G111" s="808"/>
    </row>
    <row r="112" spans="1:7" s="808" customFormat="1" ht="15" customHeight="1">
      <c r="A112" s="805">
        <v>21106</v>
      </c>
      <c r="B112" s="801">
        <v>113020301</v>
      </c>
      <c r="C112" s="141" t="s">
        <v>691</v>
      </c>
      <c r="D112" s="141">
        <v>51047566</v>
      </c>
      <c r="E112" s="806">
        <v>7429.6299999999983</v>
      </c>
    </row>
    <row r="113" spans="1:7" s="808" customFormat="1" ht="15" customHeight="1">
      <c r="A113" s="805">
        <v>21107</v>
      </c>
      <c r="B113" s="801">
        <v>113020302</v>
      </c>
      <c r="C113" s="141" t="s">
        <v>692</v>
      </c>
      <c r="D113" s="141">
        <v>1448246165</v>
      </c>
      <c r="E113" s="806">
        <v>210782.44999999998</v>
      </c>
    </row>
    <row r="114" spans="1:7" s="807" customFormat="1" ht="15" customHeight="1">
      <c r="A114" s="805">
        <v>21109</v>
      </c>
      <c r="B114" s="801">
        <v>11303</v>
      </c>
      <c r="C114" s="141" t="s">
        <v>693</v>
      </c>
      <c r="D114" s="141">
        <v>2</v>
      </c>
      <c r="E114" s="806">
        <v>0</v>
      </c>
    </row>
    <row r="115" spans="1:7" s="807" customFormat="1" ht="15" customHeight="1">
      <c r="A115" s="805"/>
      <c r="B115" s="801">
        <v>1130301</v>
      </c>
      <c r="C115" s="141" t="s">
        <v>694</v>
      </c>
      <c r="D115" s="141">
        <v>2</v>
      </c>
      <c r="E115" s="806">
        <v>0</v>
      </c>
      <c r="F115" s="808"/>
      <c r="G115" s="808"/>
    </row>
    <row r="116" spans="1:7" s="807" customFormat="1" ht="15" customHeight="1">
      <c r="A116" s="805"/>
      <c r="B116" s="801">
        <v>113030102</v>
      </c>
      <c r="C116" s="141" t="s">
        <v>694</v>
      </c>
      <c r="D116" s="141">
        <v>2</v>
      </c>
      <c r="E116" s="806">
        <v>0</v>
      </c>
      <c r="F116" s="808"/>
      <c r="G116" s="808"/>
    </row>
    <row r="117" spans="1:7" s="807" customFormat="1" ht="15" customHeight="1">
      <c r="A117" s="805"/>
      <c r="B117" s="801">
        <v>11308</v>
      </c>
      <c r="C117" s="141" t="s">
        <v>1229</v>
      </c>
      <c r="D117" s="141">
        <v>263603385</v>
      </c>
      <c r="E117" s="806">
        <v>38365.69</v>
      </c>
      <c r="F117" s="808"/>
      <c r="G117" s="808"/>
    </row>
    <row r="118" spans="1:7" s="807" customFormat="1" ht="15" customHeight="1">
      <c r="A118" s="805"/>
      <c r="B118" s="801">
        <v>1130801</v>
      </c>
      <c r="C118" s="141" t="s">
        <v>697</v>
      </c>
      <c r="D118" s="141">
        <v>263473908</v>
      </c>
      <c r="E118" s="806">
        <v>38346.850000000006</v>
      </c>
      <c r="F118" s="808"/>
      <c r="G118" s="808"/>
    </row>
    <row r="119" spans="1:7" s="807" customFormat="1" ht="15" customHeight="1">
      <c r="A119" s="805"/>
      <c r="B119" s="801">
        <v>1130805</v>
      </c>
      <c r="C119" s="141" t="s">
        <v>698</v>
      </c>
      <c r="D119" s="141">
        <v>129477</v>
      </c>
      <c r="E119" s="806">
        <v>18.840000000000003</v>
      </c>
      <c r="F119" s="808"/>
      <c r="G119" s="808"/>
    </row>
    <row r="120" spans="1:7" s="807" customFormat="1" ht="15" customHeight="1">
      <c r="A120" s="805"/>
      <c r="B120" s="801">
        <v>11309</v>
      </c>
      <c r="C120" s="141" t="s">
        <v>699</v>
      </c>
      <c r="D120" s="141">
        <v>2276738</v>
      </c>
      <c r="E120" s="806">
        <v>334.83000000000175</v>
      </c>
      <c r="F120" s="808"/>
      <c r="G120" s="808"/>
    </row>
    <row r="121" spans="1:7" s="807" customFormat="1" ht="15" customHeight="1">
      <c r="A121" s="805"/>
      <c r="B121" s="801">
        <v>1130902</v>
      </c>
      <c r="C121" s="141" t="s">
        <v>700</v>
      </c>
      <c r="D121" s="141">
        <v>2276738</v>
      </c>
      <c r="E121" s="806">
        <v>334.83000000000004</v>
      </c>
      <c r="F121" s="808"/>
      <c r="G121" s="808"/>
    </row>
    <row r="122" spans="1:7" s="807" customFormat="1" ht="15" customHeight="1">
      <c r="A122" s="805"/>
      <c r="B122" s="801">
        <v>113090201</v>
      </c>
      <c r="C122" s="141" t="s">
        <v>701</v>
      </c>
      <c r="D122" s="141">
        <v>2276738</v>
      </c>
      <c r="E122" s="806">
        <v>334.83000000000004</v>
      </c>
      <c r="F122" s="808"/>
      <c r="G122" s="808"/>
    </row>
    <row r="123" spans="1:7" s="807" customFormat="1" ht="15" customHeight="1">
      <c r="A123" s="805"/>
      <c r="B123" s="801">
        <v>115</v>
      </c>
      <c r="C123" s="141" t="s">
        <v>292</v>
      </c>
      <c r="D123" s="141">
        <v>28757883</v>
      </c>
      <c r="E123" s="806">
        <v>4182.7400000000016</v>
      </c>
      <c r="F123" s="808"/>
      <c r="G123" s="808"/>
    </row>
    <row r="124" spans="1:7" s="808" customFormat="1" ht="15" customHeight="1">
      <c r="A124" s="805">
        <v>21110</v>
      </c>
      <c r="B124" s="801">
        <v>11501</v>
      </c>
      <c r="C124" s="141" t="s">
        <v>1230</v>
      </c>
      <c r="D124" s="141">
        <v>22312903</v>
      </c>
      <c r="E124" s="806">
        <v>3246.2200000000012</v>
      </c>
    </row>
    <row r="125" spans="1:7" s="808" customFormat="1" ht="15" customHeight="1">
      <c r="A125" s="805">
        <v>21111</v>
      </c>
      <c r="B125" s="801">
        <v>1150103</v>
      </c>
      <c r="C125" s="141" t="s">
        <v>971</v>
      </c>
      <c r="D125" s="141">
        <v>2472234</v>
      </c>
      <c r="E125" s="806">
        <v>363.64</v>
      </c>
    </row>
    <row r="126" spans="1:7" s="808" customFormat="1" ht="15" customHeight="1">
      <c r="A126" s="805">
        <v>21112</v>
      </c>
      <c r="B126" s="801">
        <v>1150105</v>
      </c>
      <c r="C126" s="141" t="s">
        <v>1231</v>
      </c>
      <c r="D126" s="141">
        <v>12613510</v>
      </c>
      <c r="E126" s="806">
        <v>1820</v>
      </c>
    </row>
    <row r="127" spans="1:7" s="808" customFormat="1" ht="15" customHeight="1">
      <c r="A127" s="805">
        <v>212</v>
      </c>
      <c r="B127" s="801">
        <v>1150106</v>
      </c>
      <c r="C127" s="141" t="s">
        <v>1232</v>
      </c>
      <c r="D127" s="141">
        <v>1360304</v>
      </c>
      <c r="E127" s="806">
        <v>200</v>
      </c>
    </row>
    <row r="128" spans="1:7" s="808" customFormat="1" ht="15" customHeight="1">
      <c r="A128" s="805">
        <v>212101</v>
      </c>
      <c r="B128" s="801">
        <v>1150107</v>
      </c>
      <c r="C128" s="141" t="s">
        <v>1249</v>
      </c>
      <c r="D128" s="141">
        <v>5866855</v>
      </c>
      <c r="E128" s="806">
        <v>862.58</v>
      </c>
    </row>
    <row r="129" spans="1:7" s="808" customFormat="1" ht="15" customHeight="1">
      <c r="A129" s="805">
        <v>212201</v>
      </c>
      <c r="B129" s="801">
        <v>11502</v>
      </c>
      <c r="C129" s="141" t="s">
        <v>704</v>
      </c>
      <c r="D129" s="141">
        <v>6444980</v>
      </c>
      <c r="E129" s="806">
        <v>936.52</v>
      </c>
    </row>
    <row r="130" spans="1:7" s="808" customFormat="1" ht="15" customHeight="1">
      <c r="A130" s="805">
        <v>213</v>
      </c>
      <c r="B130" s="801">
        <v>1150205</v>
      </c>
      <c r="C130" s="141" t="s">
        <v>517</v>
      </c>
      <c r="D130" s="141">
        <v>6444980</v>
      </c>
      <c r="E130" s="806">
        <v>936.52</v>
      </c>
    </row>
    <row r="131" spans="1:7" s="808" customFormat="1" ht="15" customHeight="1">
      <c r="A131" s="805">
        <v>21302</v>
      </c>
      <c r="B131" s="801">
        <v>12</v>
      </c>
      <c r="C131" s="141" t="s">
        <v>7</v>
      </c>
      <c r="D131" s="141">
        <v>9800717379</v>
      </c>
      <c r="E131" s="806">
        <v>1478913.37</v>
      </c>
    </row>
    <row r="132" spans="1:7" s="808" customFormat="1" ht="15" customHeight="1">
      <c r="A132" s="805">
        <v>214</v>
      </c>
      <c r="B132" s="801">
        <v>121</v>
      </c>
      <c r="C132" s="141" t="s">
        <v>152</v>
      </c>
      <c r="D132" s="141">
        <v>7946406868</v>
      </c>
      <c r="E132" s="806">
        <v>1199346.27</v>
      </c>
    </row>
    <row r="133" spans="1:7" s="808" customFormat="1" ht="15" customHeight="1">
      <c r="A133" s="805">
        <v>21401</v>
      </c>
      <c r="B133" s="801">
        <v>12101</v>
      </c>
      <c r="C133" s="141" t="s">
        <v>705</v>
      </c>
      <c r="D133" s="141">
        <v>7046406868</v>
      </c>
      <c r="E133" s="806">
        <v>1068357.3499999999</v>
      </c>
    </row>
    <row r="134" spans="1:7" s="808" customFormat="1" ht="15" customHeight="1">
      <c r="A134" s="805">
        <v>21403</v>
      </c>
      <c r="B134" s="801">
        <v>121011</v>
      </c>
      <c r="C134" s="141" t="s">
        <v>706</v>
      </c>
      <c r="D134" s="141">
        <v>7046406868</v>
      </c>
      <c r="E134" s="806">
        <v>1068357.3499999999</v>
      </c>
    </row>
    <row r="135" spans="1:7" s="808" customFormat="1" ht="15" customHeight="1">
      <c r="A135" s="805">
        <v>21403</v>
      </c>
      <c r="B135" s="801">
        <v>12101103</v>
      </c>
      <c r="C135" s="141" t="s">
        <v>1233</v>
      </c>
      <c r="D135" s="141">
        <v>4999000000</v>
      </c>
      <c r="E135" s="806">
        <v>763725.42</v>
      </c>
    </row>
    <row r="136" spans="1:7" s="808" customFormat="1" ht="15" customHeight="1">
      <c r="A136" s="805">
        <v>21407</v>
      </c>
      <c r="B136" s="801">
        <v>1210110301</v>
      </c>
      <c r="C136" s="141" t="s">
        <v>401</v>
      </c>
      <c r="D136" s="141">
        <v>4999000000</v>
      </c>
      <c r="E136" s="806">
        <v>763725.42</v>
      </c>
    </row>
    <row r="137" spans="1:7" s="807" customFormat="1" ht="15" customHeight="1">
      <c r="A137" s="805">
        <v>21410</v>
      </c>
      <c r="B137" s="801">
        <v>12101108</v>
      </c>
      <c r="C137" s="141" t="s">
        <v>505</v>
      </c>
      <c r="D137" s="141">
        <v>2047406868</v>
      </c>
      <c r="E137" s="806">
        <v>304631.93</v>
      </c>
      <c r="G137" s="808"/>
    </row>
    <row r="138" spans="1:7" s="808" customFormat="1" ht="15" customHeight="1">
      <c r="A138" s="805">
        <v>21411</v>
      </c>
      <c r="B138" s="801">
        <v>1210110801</v>
      </c>
      <c r="C138" s="141" t="s">
        <v>382</v>
      </c>
      <c r="D138" s="141">
        <v>2047406868</v>
      </c>
      <c r="E138" s="806">
        <v>304631.93</v>
      </c>
    </row>
    <row r="139" spans="1:7" s="808" customFormat="1" ht="15" customHeight="1">
      <c r="A139" s="805">
        <v>215</v>
      </c>
      <c r="B139" s="801">
        <v>12103</v>
      </c>
      <c r="C139" s="141" t="s">
        <v>707</v>
      </c>
      <c r="D139" s="141">
        <v>900000000</v>
      </c>
      <c r="E139" s="806">
        <v>130988.91999999998</v>
      </c>
    </row>
    <row r="140" spans="1:7" s="808" customFormat="1" ht="15" customHeight="1">
      <c r="A140" s="805">
        <v>21504</v>
      </c>
      <c r="B140" s="801">
        <v>1210301</v>
      </c>
      <c r="C140" s="141" t="s">
        <v>708</v>
      </c>
      <c r="D140" s="141">
        <v>900000000</v>
      </c>
      <c r="E140" s="806">
        <v>130988.91999999998</v>
      </c>
    </row>
    <row r="141" spans="1:7" s="808" customFormat="1" ht="15" customHeight="1">
      <c r="A141" s="805">
        <v>21512</v>
      </c>
      <c r="B141" s="801">
        <v>127</v>
      </c>
      <c r="C141" s="141" t="s">
        <v>709</v>
      </c>
      <c r="D141" s="141">
        <v>1035038400</v>
      </c>
      <c r="E141" s="806">
        <v>153119.34</v>
      </c>
    </row>
    <row r="142" spans="1:7" s="807" customFormat="1" ht="15" customHeight="1">
      <c r="A142" s="805">
        <v>21513</v>
      </c>
      <c r="B142" s="801">
        <v>12701</v>
      </c>
      <c r="C142" s="141" t="s">
        <v>710</v>
      </c>
      <c r="D142" s="141">
        <v>1035038400</v>
      </c>
      <c r="E142" s="806">
        <v>153119.34</v>
      </c>
      <c r="G142" s="808"/>
    </row>
    <row r="143" spans="1:7" s="808" customFormat="1" ht="15" customHeight="1">
      <c r="A143" s="805">
        <v>21514</v>
      </c>
      <c r="B143" s="801">
        <v>1270102</v>
      </c>
      <c r="C143" s="141" t="s">
        <v>153</v>
      </c>
      <c r="D143" s="141">
        <v>122540485</v>
      </c>
      <c r="E143" s="806">
        <v>18105.099999999999</v>
      </c>
    </row>
    <row r="144" spans="1:7" s="808" customFormat="1" ht="15" customHeight="1">
      <c r="A144" s="805">
        <v>6</v>
      </c>
      <c r="B144" s="801">
        <v>1270103</v>
      </c>
      <c r="C144" s="141" t="s">
        <v>1154</v>
      </c>
      <c r="D144" s="141">
        <v>249008778</v>
      </c>
      <c r="E144" s="806">
        <v>36822.800000000003</v>
      </c>
    </row>
    <row r="145" spans="1:7" s="807" customFormat="1" ht="15" customHeight="1">
      <c r="A145" s="805">
        <v>621</v>
      </c>
      <c r="B145" s="801">
        <v>1270104</v>
      </c>
      <c r="C145" s="141" t="s">
        <v>712</v>
      </c>
      <c r="D145" s="141">
        <v>357508232</v>
      </c>
      <c r="E145" s="806">
        <v>52550.51</v>
      </c>
      <c r="G145" s="808"/>
    </row>
    <row r="146" spans="1:7" s="808" customFormat="1" ht="15" customHeight="1">
      <c r="A146" s="805">
        <v>622</v>
      </c>
      <c r="B146" s="801">
        <v>1270107</v>
      </c>
      <c r="C146" s="141" t="s">
        <v>997</v>
      </c>
      <c r="D146" s="141">
        <v>316522493</v>
      </c>
      <c r="E146" s="806">
        <v>47288.01</v>
      </c>
    </row>
    <row r="147" spans="1:7" s="808" customFormat="1" ht="15" customHeight="1">
      <c r="A147" s="805">
        <v>651</v>
      </c>
      <c r="B147" s="801">
        <v>1270120</v>
      </c>
      <c r="C147" s="141" t="s">
        <v>713</v>
      </c>
      <c r="D147" s="141">
        <v>-10541588</v>
      </c>
      <c r="E147" s="806">
        <v>-1647.08</v>
      </c>
    </row>
    <row r="148" spans="1:7" s="808" customFormat="1" ht="15" customHeight="1">
      <c r="A148" s="805">
        <v>661</v>
      </c>
      <c r="B148" s="801">
        <v>127012003</v>
      </c>
      <c r="C148" s="141" t="s">
        <v>714</v>
      </c>
      <c r="D148" s="141">
        <v>-588477</v>
      </c>
      <c r="E148" s="806">
        <v>-88.1</v>
      </c>
    </row>
    <row r="149" spans="1:7" s="808" customFormat="1" ht="15" customHeight="1">
      <c r="A149" s="805">
        <v>7</v>
      </c>
      <c r="B149" s="801">
        <v>127012004</v>
      </c>
      <c r="C149" s="141" t="s">
        <v>715</v>
      </c>
      <c r="D149" s="141">
        <v>-9953111</v>
      </c>
      <c r="E149" s="806">
        <v>-1558.98</v>
      </c>
    </row>
    <row r="150" spans="1:7" s="808" customFormat="1" ht="15" customHeight="1">
      <c r="A150" s="805">
        <v>721</v>
      </c>
      <c r="B150" s="801">
        <v>128</v>
      </c>
      <c r="C150" s="141" t="s">
        <v>716</v>
      </c>
      <c r="D150" s="141">
        <v>806897193</v>
      </c>
      <c r="E150" s="806">
        <v>124527.76</v>
      </c>
    </row>
    <row r="151" spans="1:7" s="807" customFormat="1" ht="15" customHeight="1">
      <c r="A151" s="805">
        <v>722</v>
      </c>
      <c r="B151" s="801">
        <v>12801</v>
      </c>
      <c r="C151" s="141" t="s">
        <v>94</v>
      </c>
      <c r="D151" s="141">
        <v>345173952</v>
      </c>
      <c r="E151" s="806">
        <v>50632.63</v>
      </c>
      <c r="G151" s="808"/>
    </row>
    <row r="152" spans="1:7" s="808" customFormat="1" ht="15" customHeight="1">
      <c r="A152" s="805">
        <v>751</v>
      </c>
      <c r="B152" s="801">
        <v>1280102</v>
      </c>
      <c r="C152" s="141" t="s">
        <v>717</v>
      </c>
      <c r="D152" s="141">
        <v>345173952</v>
      </c>
      <c r="E152" s="806">
        <v>50632.63</v>
      </c>
    </row>
    <row r="153" spans="1:7" s="808" customFormat="1" ht="15" customHeight="1">
      <c r="A153" s="805">
        <v>761</v>
      </c>
      <c r="B153" s="801">
        <v>12802</v>
      </c>
      <c r="C153" s="141" t="s">
        <v>718</v>
      </c>
      <c r="D153" s="141">
        <v>690611542</v>
      </c>
      <c r="E153" s="806">
        <v>111079.05</v>
      </c>
      <c r="F153" s="808">
        <f>+D153+D162+D157</f>
        <v>481484500</v>
      </c>
    </row>
    <row r="154" spans="1:7" s="808" customFormat="1" ht="15" customHeight="1">
      <c r="A154" s="805">
        <v>3</v>
      </c>
      <c r="B154" s="801">
        <v>12803</v>
      </c>
      <c r="C154" s="141" t="s">
        <v>95</v>
      </c>
      <c r="D154" s="141">
        <v>8000000</v>
      </c>
      <c r="E154" s="806">
        <v>1288.27</v>
      </c>
    </row>
    <row r="155" spans="1:7" s="808" customFormat="1" ht="15" customHeight="1">
      <c r="A155" s="805">
        <v>310</v>
      </c>
      <c r="B155" s="801">
        <v>12804</v>
      </c>
      <c r="C155" s="141" t="s">
        <v>263</v>
      </c>
      <c r="D155" s="141">
        <v>57764419</v>
      </c>
      <c r="E155" s="806">
        <v>9621.58</v>
      </c>
    </row>
    <row r="156" spans="1:7" s="808" customFormat="1" ht="15" customHeight="1">
      <c r="A156" s="805">
        <v>310101</v>
      </c>
      <c r="B156" s="801">
        <v>1280401</v>
      </c>
      <c r="C156" s="141" t="s">
        <v>155</v>
      </c>
      <c r="D156" s="141">
        <v>57764419</v>
      </c>
      <c r="E156" s="806">
        <v>9621.58</v>
      </c>
    </row>
    <row r="157" spans="1:7" s="808" customFormat="1" ht="15" customHeight="1">
      <c r="A157" s="805">
        <v>31010101</v>
      </c>
      <c r="B157" s="801">
        <v>12808</v>
      </c>
      <c r="C157" s="141" t="s">
        <v>1250</v>
      </c>
      <c r="D157" s="141">
        <v>45425205</v>
      </c>
      <c r="E157" s="806">
        <v>6681.81</v>
      </c>
    </row>
    <row r="158" spans="1:7" s="808" customFormat="1" ht="15" customHeight="1">
      <c r="A158" s="805">
        <v>31010102</v>
      </c>
      <c r="B158" s="801">
        <v>12820</v>
      </c>
      <c r="C158" s="141" t="s">
        <v>720</v>
      </c>
      <c r="D158" s="141">
        <v>-340077925</v>
      </c>
      <c r="E158" s="806">
        <v>-54775.58</v>
      </c>
    </row>
    <row r="159" spans="1:7" s="808" customFormat="1" ht="15" customHeight="1">
      <c r="A159" s="805">
        <v>310102</v>
      </c>
      <c r="B159" s="801">
        <v>1282001</v>
      </c>
      <c r="C159" s="141" t="s">
        <v>94</v>
      </c>
      <c r="D159" s="141">
        <v>-39032934</v>
      </c>
      <c r="E159" s="806">
        <v>-5745.34</v>
      </c>
    </row>
    <row r="160" spans="1:7" s="808" customFormat="1" ht="15" customHeight="1">
      <c r="A160" s="805">
        <v>31010201</v>
      </c>
      <c r="B160" s="801">
        <v>1282002</v>
      </c>
      <c r="C160" s="141" t="s">
        <v>95</v>
      </c>
      <c r="D160" s="141">
        <v>-3200012</v>
      </c>
      <c r="E160" s="806">
        <v>-515.30999999999995</v>
      </c>
    </row>
    <row r="161" spans="1:17" s="807" customFormat="1" ht="15" customHeight="1">
      <c r="A161" s="805">
        <v>31010202</v>
      </c>
      <c r="B161" s="801">
        <v>1282003</v>
      </c>
      <c r="C161" s="141" t="s">
        <v>155</v>
      </c>
      <c r="D161" s="141">
        <v>-43292732</v>
      </c>
      <c r="E161" s="806">
        <v>-7233.58</v>
      </c>
      <c r="G161" s="808"/>
      <c r="N161" s="808"/>
      <c r="Q161" s="808"/>
    </row>
    <row r="162" spans="1:17" s="807" customFormat="1" ht="15" customHeight="1">
      <c r="A162" s="805">
        <v>315</v>
      </c>
      <c r="B162" s="801">
        <v>1282004</v>
      </c>
      <c r="C162" s="141" t="s">
        <v>721</v>
      </c>
      <c r="D162" s="141">
        <v>-254552247</v>
      </c>
      <c r="E162" s="806">
        <v>-41281.35</v>
      </c>
      <c r="N162" s="808"/>
      <c r="Q162" s="808"/>
    </row>
    <row r="163" spans="1:17" s="807" customFormat="1" ht="15" customHeight="1">
      <c r="A163" s="805">
        <v>31501</v>
      </c>
      <c r="B163" s="801">
        <v>129</v>
      </c>
      <c r="C163" s="141" t="s">
        <v>1187</v>
      </c>
      <c r="D163" s="141">
        <v>12374918</v>
      </c>
      <c r="E163" s="806">
        <v>1920</v>
      </c>
      <c r="G163" s="808"/>
      <c r="N163" s="808"/>
      <c r="Q163" s="808"/>
    </row>
    <row r="164" spans="1:17" s="808" customFormat="1" ht="15" customHeight="1">
      <c r="A164" s="805">
        <v>31503</v>
      </c>
      <c r="B164" s="801">
        <v>12901</v>
      </c>
      <c r="C164" s="141" t="s">
        <v>1188</v>
      </c>
      <c r="D164" s="141">
        <v>12374918</v>
      </c>
      <c r="E164" s="806">
        <v>1920</v>
      </c>
      <c r="J164" s="807"/>
    </row>
    <row r="165" spans="1:17" s="808" customFormat="1" ht="15" customHeight="1">
      <c r="A165" s="805">
        <v>315102</v>
      </c>
      <c r="B165" s="801">
        <v>2</v>
      </c>
      <c r="C165" s="141" t="s">
        <v>8</v>
      </c>
      <c r="D165" s="141">
        <v>71449093175</v>
      </c>
      <c r="E165" s="806">
        <v>10373888.083499998</v>
      </c>
    </row>
    <row r="166" spans="1:17" s="808" customFormat="1" ht="15" customHeight="1">
      <c r="A166" s="805">
        <v>316</v>
      </c>
      <c r="B166" s="801">
        <v>21</v>
      </c>
      <c r="C166" s="141" t="s">
        <v>9</v>
      </c>
      <c r="D166" s="141">
        <v>71449093175</v>
      </c>
      <c r="E166" s="806">
        <v>10373888.083499998</v>
      </c>
    </row>
    <row r="167" spans="1:17" s="808" customFormat="1" ht="15" customHeight="1">
      <c r="A167" s="805">
        <v>31601</v>
      </c>
      <c r="B167" s="801">
        <v>211</v>
      </c>
      <c r="C167" s="141" t="s">
        <v>722</v>
      </c>
      <c r="D167" s="141">
        <v>400495800</v>
      </c>
      <c r="E167" s="806">
        <v>58152.479999989271</v>
      </c>
    </row>
    <row r="168" spans="1:17" s="808" customFormat="1" ht="15" customHeight="1">
      <c r="A168" s="805">
        <v>31602</v>
      </c>
      <c r="B168" s="801">
        <v>21101</v>
      </c>
      <c r="C168" s="141" t="s">
        <v>723</v>
      </c>
      <c r="D168" s="141">
        <v>147957960</v>
      </c>
      <c r="E168" s="806">
        <v>21485.840000003576</v>
      </c>
    </row>
    <row r="169" spans="1:17" s="807" customFormat="1" ht="15" customHeight="1">
      <c r="A169" s="805">
        <v>4</v>
      </c>
      <c r="B169" s="801">
        <v>2110101</v>
      </c>
      <c r="C169" s="141" t="s">
        <v>516</v>
      </c>
      <c r="D169" s="141">
        <v>145062785</v>
      </c>
      <c r="E169" s="806">
        <v>21062.049999982119</v>
      </c>
    </row>
    <row r="170" spans="1:17" s="808" customFormat="1" ht="15" customHeight="1">
      <c r="A170" s="805">
        <v>41</v>
      </c>
      <c r="B170" s="801">
        <v>211010101</v>
      </c>
      <c r="C170" s="141" t="s">
        <v>402</v>
      </c>
      <c r="D170" s="141">
        <v>121171240</v>
      </c>
      <c r="E170" s="806">
        <v>17593.170000001788</v>
      </c>
    </row>
    <row r="171" spans="1:17" s="808" customFormat="1" ht="15" customHeight="1">
      <c r="A171" s="805">
        <v>410101</v>
      </c>
      <c r="B171" s="801">
        <v>211010102</v>
      </c>
      <c r="C171" s="141" t="s">
        <v>724</v>
      </c>
      <c r="D171" s="141">
        <v>1073195</v>
      </c>
      <c r="E171" s="806">
        <v>155.82000000029802</v>
      </c>
    </row>
    <row r="172" spans="1:17" s="808" customFormat="1" ht="15" customHeight="1">
      <c r="A172" s="805">
        <v>410102</v>
      </c>
      <c r="B172" s="801">
        <v>211010103</v>
      </c>
      <c r="C172" s="141" t="s">
        <v>1189</v>
      </c>
      <c r="D172" s="141">
        <v>18310822</v>
      </c>
      <c r="E172" s="806">
        <v>2658.5999999999767</v>
      </c>
      <c r="I172" s="810"/>
    </row>
    <row r="173" spans="1:17" s="807" customFormat="1" ht="15" customHeight="1">
      <c r="A173" s="805">
        <v>410103</v>
      </c>
      <c r="B173" s="801">
        <v>211010104</v>
      </c>
      <c r="C173" s="141" t="s">
        <v>1190</v>
      </c>
      <c r="D173" s="141">
        <v>4507528</v>
      </c>
      <c r="E173" s="806">
        <v>654.46000000007905</v>
      </c>
      <c r="J173" s="808"/>
      <c r="K173" s="808"/>
    </row>
    <row r="174" spans="1:17" s="808" customFormat="1" ht="15" customHeight="1">
      <c r="A174" s="805">
        <v>410104</v>
      </c>
      <c r="B174" s="801">
        <v>2110103</v>
      </c>
      <c r="C174" s="141" t="s">
        <v>725</v>
      </c>
      <c r="D174" s="141">
        <v>2895175</v>
      </c>
      <c r="E174" s="806">
        <v>423.79000000000087</v>
      </c>
    </row>
    <row r="175" spans="1:17" s="808" customFormat="1" ht="15" customHeight="1">
      <c r="A175" s="805">
        <v>410105</v>
      </c>
      <c r="B175" s="801">
        <v>211010301</v>
      </c>
      <c r="C175" s="141" t="s">
        <v>726</v>
      </c>
      <c r="D175" s="141">
        <v>2895175</v>
      </c>
      <c r="E175" s="806">
        <v>423.78999999999724</v>
      </c>
    </row>
    <row r="176" spans="1:17" s="808" customFormat="1" ht="15" customHeight="1">
      <c r="A176" s="805">
        <v>410106</v>
      </c>
      <c r="B176" s="801">
        <v>21103</v>
      </c>
      <c r="C176" s="141" t="s">
        <v>1003</v>
      </c>
      <c r="D176" s="141">
        <v>4059103</v>
      </c>
      <c r="E176" s="806">
        <v>589.35000000000036</v>
      </c>
    </row>
    <row r="177" spans="1:5" s="808" customFormat="1" ht="15" customHeight="1">
      <c r="A177" s="805">
        <v>410107</v>
      </c>
      <c r="B177" s="801">
        <v>211030103</v>
      </c>
      <c r="C177" s="141" t="s">
        <v>1234</v>
      </c>
      <c r="D177" s="141">
        <v>4059103</v>
      </c>
      <c r="E177" s="806">
        <v>589.35000000000036</v>
      </c>
    </row>
    <row r="178" spans="1:5" s="808" customFormat="1" ht="15" customHeight="1">
      <c r="A178" s="805">
        <v>410108</v>
      </c>
      <c r="B178" s="801">
        <v>21107</v>
      </c>
      <c r="C178" s="141" t="s">
        <v>727</v>
      </c>
      <c r="D178" s="141">
        <v>248478737</v>
      </c>
      <c r="E178" s="806">
        <v>36077.289999999106</v>
      </c>
    </row>
    <row r="179" spans="1:5" s="808" customFormat="1" ht="15" customHeight="1">
      <c r="A179" s="805">
        <v>410109</v>
      </c>
      <c r="B179" s="801">
        <v>2110701</v>
      </c>
      <c r="C179" s="141" t="s">
        <v>728</v>
      </c>
      <c r="D179" s="141">
        <v>136664966</v>
      </c>
      <c r="E179" s="806">
        <v>19842.75</v>
      </c>
    </row>
    <row r="180" spans="1:5" s="808" customFormat="1" ht="15" customHeight="1">
      <c r="A180" s="805">
        <v>410110</v>
      </c>
      <c r="B180" s="801">
        <v>2110702</v>
      </c>
      <c r="C180" s="141" t="s">
        <v>729</v>
      </c>
      <c r="D180" s="141">
        <v>18833871</v>
      </c>
      <c r="E180" s="806">
        <v>2734.5400000000373</v>
      </c>
    </row>
    <row r="181" spans="1:5" s="808" customFormat="1" ht="15" customHeight="1">
      <c r="A181" s="805">
        <v>410111</v>
      </c>
      <c r="B181" s="801">
        <v>2110703</v>
      </c>
      <c r="C181" s="141" t="s">
        <v>1007</v>
      </c>
      <c r="D181" s="141">
        <v>92979900</v>
      </c>
      <c r="E181" s="806">
        <v>13500</v>
      </c>
    </row>
    <row r="182" spans="1:5" s="808" customFormat="1" ht="15" customHeight="1">
      <c r="A182" s="805">
        <v>410112</v>
      </c>
      <c r="B182" s="801">
        <v>213</v>
      </c>
      <c r="C182" s="141" t="s">
        <v>730</v>
      </c>
      <c r="D182" s="141">
        <v>69952486087</v>
      </c>
      <c r="E182" s="806">
        <v>10156588.283500001</v>
      </c>
    </row>
    <row r="183" spans="1:5" s="808" customFormat="1" ht="15" customHeight="1">
      <c r="A183" s="805">
        <v>410115</v>
      </c>
      <c r="B183" s="801">
        <v>21301</v>
      </c>
      <c r="C183" s="141" t="s">
        <v>607</v>
      </c>
      <c r="D183" s="141">
        <v>1848050034</v>
      </c>
      <c r="E183" s="806">
        <v>268323.3200000003</v>
      </c>
    </row>
    <row r="184" spans="1:5" s="808" customFormat="1" ht="15" customHeight="1">
      <c r="A184" s="805">
        <v>410116</v>
      </c>
      <c r="B184" s="801">
        <v>2130102</v>
      </c>
      <c r="C184" s="141" t="s">
        <v>733</v>
      </c>
      <c r="D184" s="141">
        <v>1848050034</v>
      </c>
      <c r="E184" s="806">
        <v>268323.31999999983</v>
      </c>
    </row>
    <row r="185" spans="1:5" s="808" customFormat="1" ht="15" customHeight="1">
      <c r="A185" s="805">
        <v>410118</v>
      </c>
      <c r="B185" s="801">
        <v>213010201</v>
      </c>
      <c r="C185" s="141" t="s">
        <v>734</v>
      </c>
      <c r="D185" s="141">
        <v>1848050034</v>
      </c>
      <c r="E185" s="806">
        <v>268323.31999999983</v>
      </c>
    </row>
    <row r="186" spans="1:5" s="808" customFormat="1" ht="15" customHeight="1">
      <c r="A186" s="805">
        <v>410119</v>
      </c>
      <c r="B186" s="801">
        <v>21303</v>
      </c>
      <c r="C186" s="141" t="s">
        <v>735</v>
      </c>
      <c r="D186" s="141">
        <v>68104436053</v>
      </c>
      <c r="E186" s="806">
        <v>9888264.9635000005</v>
      </c>
    </row>
    <row r="187" spans="1:5" s="808" customFormat="1" ht="15" customHeight="1">
      <c r="A187" s="805">
        <v>410121</v>
      </c>
      <c r="B187" s="801">
        <v>2130301</v>
      </c>
      <c r="C187" s="141" t="s">
        <v>736</v>
      </c>
      <c r="D187" s="141">
        <v>1184925957</v>
      </c>
      <c r="E187" s="806">
        <v>172042.57</v>
      </c>
    </row>
    <row r="188" spans="1:5" s="808" customFormat="1" ht="15" customHeight="1">
      <c r="A188" s="805">
        <v>42</v>
      </c>
      <c r="B188" s="801">
        <v>213030101</v>
      </c>
      <c r="C188" s="141" t="s">
        <v>737</v>
      </c>
      <c r="D188" s="141">
        <v>648860354</v>
      </c>
      <c r="E188" s="806">
        <v>94209.76999999999</v>
      </c>
    </row>
    <row r="189" spans="1:5" s="808" customFormat="1" ht="15" customHeight="1">
      <c r="A189" s="805">
        <v>42103</v>
      </c>
      <c r="B189" s="801">
        <v>213030102</v>
      </c>
      <c r="C189" s="141" t="s">
        <v>1017</v>
      </c>
      <c r="D189" s="141">
        <v>313652678</v>
      </c>
      <c r="E189" s="806">
        <v>45540.07</v>
      </c>
    </row>
    <row r="190" spans="1:5" s="808" customFormat="1" ht="15" customHeight="1">
      <c r="A190" s="805">
        <v>42205</v>
      </c>
      <c r="B190" s="801">
        <v>213030103</v>
      </c>
      <c r="C190" s="141" t="s">
        <v>1191</v>
      </c>
      <c r="D190" s="141">
        <v>222412925</v>
      </c>
      <c r="E190" s="806">
        <v>32292.730000000007</v>
      </c>
    </row>
    <row r="191" spans="1:5" s="808" customFormat="1" ht="15" customHeight="1">
      <c r="A191" s="805">
        <v>43</v>
      </c>
      <c r="B191" s="801">
        <v>2130302</v>
      </c>
      <c r="C191" s="141" t="s">
        <v>1018</v>
      </c>
      <c r="D191" s="141">
        <v>-912974960</v>
      </c>
      <c r="E191" s="806">
        <v>-132557.27000000002</v>
      </c>
    </row>
    <row r="192" spans="1:5" s="808" customFormat="1" ht="15" customHeight="1">
      <c r="A192" s="805">
        <v>4304</v>
      </c>
      <c r="B192" s="801">
        <v>213030201</v>
      </c>
      <c r="C192" s="141" t="s">
        <v>1019</v>
      </c>
      <c r="D192" s="141">
        <v>-526765661</v>
      </c>
      <c r="E192" s="806">
        <v>-76482.509999999995</v>
      </c>
    </row>
    <row r="193" spans="1:5" s="808" customFormat="1" ht="15" customHeight="1">
      <c r="A193" s="805">
        <v>4305</v>
      </c>
      <c r="B193" s="801">
        <v>213030202</v>
      </c>
      <c r="C193" s="141" t="s">
        <v>1192</v>
      </c>
      <c r="D193" s="141">
        <v>-253980245</v>
      </c>
      <c r="E193" s="806">
        <v>-36876.07</v>
      </c>
    </row>
    <row r="194" spans="1:5" s="808" customFormat="1" ht="15" customHeight="1">
      <c r="A194" s="805">
        <v>5</v>
      </c>
      <c r="B194" s="801">
        <v>213030203</v>
      </c>
      <c r="C194" s="141" t="s">
        <v>1193</v>
      </c>
      <c r="D194" s="141">
        <v>-132229054</v>
      </c>
      <c r="E194" s="806">
        <v>-19198.690000000002</v>
      </c>
    </row>
    <row r="195" spans="1:5" s="808" customFormat="1" ht="15" customHeight="1">
      <c r="A195" s="805">
        <v>51</v>
      </c>
      <c r="B195" s="801">
        <v>2130303</v>
      </c>
      <c r="C195" s="141" t="s">
        <v>738</v>
      </c>
      <c r="D195" s="141">
        <v>67832485056</v>
      </c>
      <c r="E195" s="806">
        <v>9848779.6635000035</v>
      </c>
    </row>
    <row r="196" spans="1:5" s="808" customFormat="1" ht="15" customHeight="1">
      <c r="A196" s="805">
        <v>5101</v>
      </c>
      <c r="B196" s="801">
        <v>213030301</v>
      </c>
      <c r="C196" s="141" t="s">
        <v>739</v>
      </c>
      <c r="D196" s="141">
        <v>41634795848</v>
      </c>
      <c r="E196" s="806">
        <v>6045067.200000003</v>
      </c>
    </row>
    <row r="197" spans="1:5" s="808" customFormat="1" ht="15" customHeight="1">
      <c r="A197" s="805">
        <v>510101</v>
      </c>
      <c r="B197" s="801">
        <v>213030302</v>
      </c>
      <c r="C197" s="141" t="s">
        <v>740</v>
      </c>
      <c r="D197" s="141">
        <v>22910175411</v>
      </c>
      <c r="E197" s="806">
        <v>3326389.5534999985</v>
      </c>
    </row>
    <row r="198" spans="1:5" s="808" customFormat="1" ht="15" customHeight="1">
      <c r="A198" s="805">
        <v>510102</v>
      </c>
      <c r="B198" s="801">
        <v>213030303</v>
      </c>
      <c r="C198" s="141" t="s">
        <v>1194</v>
      </c>
      <c r="D198" s="141">
        <v>3287513797</v>
      </c>
      <c r="E198" s="806">
        <v>477322.91000000009</v>
      </c>
    </row>
    <row r="199" spans="1:5" s="808" customFormat="1" ht="15" customHeight="1">
      <c r="A199" s="805">
        <v>510103</v>
      </c>
      <c r="B199" s="801">
        <v>214</v>
      </c>
      <c r="C199" s="141" t="s">
        <v>10</v>
      </c>
      <c r="D199" s="141">
        <v>1096111288</v>
      </c>
      <c r="E199" s="806">
        <v>159147.32000000007</v>
      </c>
    </row>
    <row r="200" spans="1:5" s="808" customFormat="1" ht="15" customHeight="1">
      <c r="A200" s="805">
        <v>510104</v>
      </c>
      <c r="B200" s="801">
        <v>21401</v>
      </c>
      <c r="C200" s="141" t="s">
        <v>741</v>
      </c>
      <c r="D200" s="141">
        <v>702878244</v>
      </c>
      <c r="E200" s="806">
        <v>102052.7699999999</v>
      </c>
    </row>
    <row r="201" spans="1:5" s="808" customFormat="1" ht="15" customHeight="1">
      <c r="A201" s="805">
        <v>510105</v>
      </c>
      <c r="B201" s="801">
        <v>2140104</v>
      </c>
      <c r="C201" s="141" t="s">
        <v>520</v>
      </c>
      <c r="D201" s="141">
        <v>526231282</v>
      </c>
      <c r="E201" s="806">
        <v>76404.930000000008</v>
      </c>
    </row>
    <row r="202" spans="1:5" s="808" customFormat="1" ht="15" customHeight="1">
      <c r="A202" s="805">
        <v>510106</v>
      </c>
      <c r="B202" s="801">
        <v>2140107</v>
      </c>
      <c r="C202" s="141" t="s">
        <v>156</v>
      </c>
      <c r="D202" s="141">
        <v>63856962</v>
      </c>
      <c r="E202" s="806">
        <v>9271.5599999999977</v>
      </c>
    </row>
    <row r="203" spans="1:5" s="808" customFormat="1" ht="15" customHeight="1">
      <c r="A203" s="805">
        <v>510110</v>
      </c>
      <c r="B203" s="801">
        <v>2140108</v>
      </c>
      <c r="C203" s="141" t="s">
        <v>1251</v>
      </c>
      <c r="D203" s="141">
        <v>112790000</v>
      </c>
      <c r="E203" s="806">
        <v>16376.28</v>
      </c>
    </row>
    <row r="204" spans="1:5" s="808" customFormat="1" ht="15" customHeight="1">
      <c r="A204" s="805">
        <v>510111</v>
      </c>
      <c r="B204" s="801">
        <v>21402</v>
      </c>
      <c r="C204" s="141" t="s">
        <v>743</v>
      </c>
      <c r="D204" s="141">
        <v>177656751</v>
      </c>
      <c r="E204" s="806">
        <v>25794.450000000012</v>
      </c>
    </row>
    <row r="205" spans="1:5" s="808" customFormat="1" ht="15" customHeight="1">
      <c r="A205" s="805">
        <v>5102</v>
      </c>
      <c r="B205" s="801">
        <v>2140201</v>
      </c>
      <c r="C205" s="141" t="s">
        <v>84</v>
      </c>
      <c r="D205" s="141">
        <v>152286289</v>
      </c>
      <c r="E205" s="806">
        <v>22110.849999999991</v>
      </c>
    </row>
    <row r="206" spans="1:5" s="808" customFormat="1" ht="15" customHeight="1">
      <c r="A206" s="805">
        <v>510201</v>
      </c>
      <c r="B206" s="801">
        <v>2140202</v>
      </c>
      <c r="C206" s="141" t="s">
        <v>744</v>
      </c>
      <c r="D206" s="141">
        <v>9036062</v>
      </c>
      <c r="E206" s="806">
        <v>1311.9600000000064</v>
      </c>
    </row>
    <row r="207" spans="1:5" s="808" customFormat="1" ht="15" customHeight="1">
      <c r="A207" s="805">
        <v>510203</v>
      </c>
      <c r="B207" s="801">
        <v>214020203</v>
      </c>
      <c r="C207" s="141" t="s">
        <v>745</v>
      </c>
      <c r="D207" s="141">
        <v>9036062</v>
      </c>
      <c r="E207" s="806">
        <v>1311.9599999999991</v>
      </c>
    </row>
    <row r="208" spans="1:5" s="808" customFormat="1" ht="15" customHeight="1">
      <c r="A208" s="805">
        <v>510204</v>
      </c>
      <c r="B208" s="801">
        <v>2140203</v>
      </c>
      <c r="C208" s="141" t="s">
        <v>746</v>
      </c>
      <c r="D208" s="141">
        <v>16334400</v>
      </c>
      <c r="E208" s="806">
        <v>2371.6399999999994</v>
      </c>
    </row>
    <row r="209" spans="1:5" s="808" customFormat="1" ht="15" customHeight="1">
      <c r="A209" s="805">
        <v>510206</v>
      </c>
      <c r="B209" s="801">
        <v>21404</v>
      </c>
      <c r="C209" s="141" t="s">
        <v>748</v>
      </c>
      <c r="D209" s="141">
        <v>215576293</v>
      </c>
      <c r="E209" s="806">
        <v>31300.099999999973</v>
      </c>
    </row>
    <row r="210" spans="1:5" s="808" customFormat="1" ht="15" customHeight="1">
      <c r="A210" s="805">
        <v>5103</v>
      </c>
      <c r="B210" s="801">
        <v>2140404</v>
      </c>
      <c r="C210" s="141" t="s">
        <v>160</v>
      </c>
      <c r="D210" s="141">
        <v>70938000</v>
      </c>
      <c r="E210" s="806">
        <v>10299.679999999993</v>
      </c>
    </row>
    <row r="211" spans="1:5" s="808" customFormat="1" ht="15" customHeight="1">
      <c r="A211" s="805">
        <v>510301</v>
      </c>
      <c r="B211" s="801">
        <v>2140413</v>
      </c>
      <c r="C211" s="141" t="s">
        <v>474</v>
      </c>
      <c r="D211" s="141">
        <v>6780241</v>
      </c>
      <c r="E211" s="806">
        <v>984.4399999999996</v>
      </c>
    </row>
    <row r="212" spans="1:5" s="808" customFormat="1" ht="15" customHeight="1">
      <c r="A212" s="805">
        <v>51030101</v>
      </c>
      <c r="B212" s="801">
        <v>2140414</v>
      </c>
      <c r="C212" s="141" t="s">
        <v>519</v>
      </c>
      <c r="D212" s="141">
        <v>686536</v>
      </c>
      <c r="E212" s="806">
        <v>99.680000000000064</v>
      </c>
    </row>
    <row r="213" spans="1:5" s="808" customFormat="1" ht="15" customHeight="1">
      <c r="A213" s="805">
        <v>51030103</v>
      </c>
      <c r="B213" s="801">
        <v>2140415</v>
      </c>
      <c r="C213" s="141" t="s">
        <v>1235</v>
      </c>
      <c r="D213" s="141">
        <v>50000000</v>
      </c>
      <c r="E213" s="806">
        <v>7259.64</v>
      </c>
    </row>
    <row r="214" spans="1:5" s="808" customFormat="1" ht="15" customHeight="1">
      <c r="A214" s="805">
        <v>51030104</v>
      </c>
      <c r="B214" s="801">
        <v>2140417</v>
      </c>
      <c r="C214" s="141" t="s">
        <v>1252</v>
      </c>
      <c r="D214" s="141">
        <v>2899473</v>
      </c>
      <c r="E214" s="806">
        <v>420.98</v>
      </c>
    </row>
    <row r="215" spans="1:5" s="808" customFormat="1" ht="15" customHeight="1">
      <c r="A215" s="805">
        <v>51030105</v>
      </c>
      <c r="B215" s="801">
        <v>2140418</v>
      </c>
      <c r="C215" s="141" t="s">
        <v>1253</v>
      </c>
      <c r="D215" s="141">
        <v>1599181</v>
      </c>
      <c r="E215" s="806">
        <v>232.19</v>
      </c>
    </row>
    <row r="216" spans="1:5" s="808" customFormat="1" ht="15" customHeight="1">
      <c r="A216" s="805">
        <v>51030107</v>
      </c>
      <c r="B216" s="801">
        <v>2140419</v>
      </c>
      <c r="C216" s="141" t="s">
        <v>1254</v>
      </c>
      <c r="D216" s="141">
        <v>80000000</v>
      </c>
      <c r="E216" s="806">
        <v>11615.41</v>
      </c>
    </row>
    <row r="217" spans="1:5" s="808" customFormat="1" ht="15" customHeight="1">
      <c r="A217" s="805">
        <v>510302</v>
      </c>
      <c r="B217" s="801">
        <v>2140420</v>
      </c>
      <c r="C217" s="141" t="s">
        <v>1255</v>
      </c>
      <c r="D217" s="141">
        <v>2672862</v>
      </c>
      <c r="E217" s="811">
        <v>388.08</v>
      </c>
    </row>
    <row r="218" spans="1:5" s="808" customFormat="1" ht="15" customHeight="1">
      <c r="A218" s="805">
        <v>510303</v>
      </c>
      <c r="B218" s="801">
        <v>6</v>
      </c>
      <c r="C218" s="141" t="s">
        <v>244</v>
      </c>
      <c r="D218" s="141">
        <v>203997974082</v>
      </c>
      <c r="E218" s="806">
        <v>29607643.579999998</v>
      </c>
    </row>
    <row r="219" spans="1:5" s="808" customFormat="1" ht="15" customHeight="1">
      <c r="A219" s="805">
        <v>510304</v>
      </c>
      <c r="B219" s="801">
        <v>651</v>
      </c>
      <c r="C219" s="141" t="s">
        <v>182</v>
      </c>
      <c r="D219" s="141">
        <v>203997974082</v>
      </c>
      <c r="E219" s="806">
        <v>29607643.579999998</v>
      </c>
    </row>
    <row r="220" spans="1:5" s="808" customFormat="1" ht="15" customHeight="1">
      <c r="A220" s="805">
        <v>510305</v>
      </c>
      <c r="B220" s="801">
        <v>7</v>
      </c>
      <c r="C220" s="141" t="s">
        <v>245</v>
      </c>
      <c r="D220" s="141">
        <v>203997974082</v>
      </c>
      <c r="E220" s="811">
        <v>29607643.579999998</v>
      </c>
    </row>
    <row r="221" spans="1:5" s="808" customFormat="1" ht="15" customHeight="1">
      <c r="A221" s="805">
        <v>510306</v>
      </c>
      <c r="B221" s="801">
        <v>751</v>
      </c>
      <c r="C221" s="141" t="s">
        <v>184</v>
      </c>
      <c r="D221" s="141">
        <v>203997974082</v>
      </c>
      <c r="E221" s="806">
        <v>29607643.579999998</v>
      </c>
    </row>
    <row r="222" spans="1:5" ht="15" customHeight="1">
      <c r="A222" s="56">
        <v>510307</v>
      </c>
      <c r="B222" s="801"/>
      <c r="C222" s="60"/>
      <c r="D222" s="60"/>
      <c r="E222" s="131"/>
    </row>
    <row r="223" spans="1:5" ht="15" customHeight="1">
      <c r="A223" s="56">
        <v>510308</v>
      </c>
      <c r="B223" s="801"/>
      <c r="C223" s="60"/>
      <c r="D223" s="141"/>
      <c r="E223" s="131"/>
    </row>
    <row r="224" spans="1:5" ht="15" customHeight="1">
      <c r="A224" s="56">
        <v>510309</v>
      </c>
      <c r="B224" s="801">
        <v>3</v>
      </c>
      <c r="C224" s="60" t="s">
        <v>22</v>
      </c>
      <c r="D224" s="141">
        <v>30343385024</v>
      </c>
      <c r="E224" s="131">
        <v>4493804.6808000002</v>
      </c>
    </row>
    <row r="225" spans="1:5" ht="15" customHeight="1">
      <c r="A225" s="56">
        <v>510310</v>
      </c>
      <c r="B225" s="801">
        <v>310</v>
      </c>
      <c r="C225" s="60" t="s">
        <v>163</v>
      </c>
      <c r="D225" s="60">
        <v>27710000000</v>
      </c>
      <c r="E225" s="131">
        <v>4144475.0799999991</v>
      </c>
    </row>
    <row r="226" spans="1:5" ht="15" customHeight="1">
      <c r="A226" s="56">
        <v>510311</v>
      </c>
      <c r="B226" s="801">
        <v>310101</v>
      </c>
      <c r="C226" s="60" t="s">
        <v>453</v>
      </c>
      <c r="D226" s="60">
        <v>25000000000</v>
      </c>
      <c r="E226" s="131">
        <v>3821155.3299999991</v>
      </c>
    </row>
    <row r="227" spans="1:5" ht="15" customHeight="1">
      <c r="A227" s="56">
        <v>510312</v>
      </c>
      <c r="B227" s="801">
        <v>31010101</v>
      </c>
      <c r="C227" s="60" t="s">
        <v>475</v>
      </c>
      <c r="D227" s="60">
        <v>30000000000</v>
      </c>
      <c r="E227" s="131">
        <v>4694965.97</v>
      </c>
    </row>
    <row r="228" spans="1:5" ht="15" customHeight="1">
      <c r="A228" s="56">
        <v>510313</v>
      </c>
      <c r="B228" s="801">
        <v>31010102</v>
      </c>
      <c r="C228" s="60" t="s">
        <v>478</v>
      </c>
      <c r="D228" s="60">
        <v>-5000000000</v>
      </c>
      <c r="E228" s="131">
        <v>-873810.64000000013</v>
      </c>
    </row>
    <row r="229" spans="1:5" ht="15" customHeight="1">
      <c r="A229" s="56">
        <v>510315</v>
      </c>
      <c r="B229" s="801">
        <v>310102</v>
      </c>
      <c r="C229" s="60" t="s">
        <v>243</v>
      </c>
      <c r="D229" s="60">
        <v>2710000000</v>
      </c>
      <c r="E229" s="131">
        <v>323319.75</v>
      </c>
    </row>
    <row r="230" spans="1:5" ht="15" customHeight="1">
      <c r="A230" s="56">
        <v>510316</v>
      </c>
      <c r="B230" s="801">
        <v>31010201</v>
      </c>
      <c r="C230" s="60" t="s">
        <v>404</v>
      </c>
      <c r="D230" s="60">
        <v>2560000000</v>
      </c>
      <c r="E230" s="131">
        <v>301673.93</v>
      </c>
    </row>
    <row r="231" spans="1:5" ht="15" customHeight="1">
      <c r="A231" s="56">
        <v>510318</v>
      </c>
      <c r="B231" s="801">
        <v>31010202</v>
      </c>
      <c r="C231" s="60" t="s">
        <v>479</v>
      </c>
      <c r="D231" s="60">
        <v>150000000</v>
      </c>
      <c r="E231" s="131">
        <v>21645.82</v>
      </c>
    </row>
    <row r="232" spans="1:5" ht="15" customHeight="1">
      <c r="A232" s="56">
        <v>510319</v>
      </c>
      <c r="B232" s="801">
        <v>315</v>
      </c>
      <c r="C232" s="60" t="s">
        <v>12</v>
      </c>
      <c r="D232" s="60">
        <v>135909126</v>
      </c>
      <c r="E232" s="131">
        <v>15861.38</v>
      </c>
    </row>
    <row r="233" spans="1:5" ht="15" customHeight="1">
      <c r="A233" s="56">
        <v>510320</v>
      </c>
      <c r="B233" s="801">
        <v>31501</v>
      </c>
      <c r="C233" s="60" t="s">
        <v>165</v>
      </c>
      <c r="D233" s="60">
        <v>135603954</v>
      </c>
      <c r="E233" s="131">
        <v>15821.6</v>
      </c>
    </row>
    <row r="234" spans="1:5" ht="15" customHeight="1">
      <c r="A234" s="56">
        <v>510321</v>
      </c>
      <c r="B234" s="801">
        <v>31503</v>
      </c>
      <c r="C234" s="60" t="s">
        <v>405</v>
      </c>
      <c r="D234" s="60">
        <v>305172</v>
      </c>
      <c r="E234" s="131">
        <v>39.78</v>
      </c>
    </row>
    <row r="235" spans="1:5" ht="15" customHeight="1">
      <c r="A235" s="56">
        <v>510322</v>
      </c>
      <c r="B235" s="801">
        <v>316</v>
      </c>
      <c r="C235" s="60" t="s">
        <v>129</v>
      </c>
      <c r="D235" s="60">
        <v>2497475898</v>
      </c>
      <c r="E235" s="131">
        <v>333468.22080000001</v>
      </c>
    </row>
    <row r="236" spans="1:5" ht="15" customHeight="1">
      <c r="A236" s="56">
        <v>510323</v>
      </c>
      <c r="B236" s="801">
        <v>31602</v>
      </c>
      <c r="C236" s="60" t="s">
        <v>168</v>
      </c>
      <c r="D236" s="60">
        <v>2497475898</v>
      </c>
      <c r="E236" s="131">
        <v>333468.22080000001</v>
      </c>
    </row>
    <row r="237" spans="1:5" ht="15" customHeight="1">
      <c r="A237" s="56">
        <v>510324</v>
      </c>
      <c r="B237" s="801">
        <v>4</v>
      </c>
      <c r="C237" s="60" t="s">
        <v>169</v>
      </c>
      <c r="D237" s="60">
        <v>26102949746</v>
      </c>
      <c r="E237" s="131">
        <v>5718699.4305999875</v>
      </c>
    </row>
    <row r="238" spans="1:5" ht="15" customHeight="1">
      <c r="A238" s="56">
        <v>510325</v>
      </c>
      <c r="B238" s="801">
        <v>401</v>
      </c>
      <c r="C238" s="60" t="s">
        <v>750</v>
      </c>
      <c r="D238" s="60">
        <v>1851219338</v>
      </c>
      <c r="E238" s="131">
        <v>276327.81000000238</v>
      </c>
    </row>
    <row r="239" spans="1:5" ht="15" customHeight="1">
      <c r="A239" s="56">
        <v>510327</v>
      </c>
      <c r="B239" s="801">
        <v>40101</v>
      </c>
      <c r="C239" s="60" t="s">
        <v>108</v>
      </c>
      <c r="D239" s="60">
        <v>653471613</v>
      </c>
      <c r="E239" s="131">
        <v>98027.519999995828</v>
      </c>
    </row>
    <row r="240" spans="1:5" ht="15" customHeight="1">
      <c r="A240" s="56">
        <v>510328</v>
      </c>
      <c r="B240" s="801">
        <v>4010101</v>
      </c>
      <c r="C240" s="60" t="s">
        <v>751</v>
      </c>
      <c r="D240" s="60">
        <v>47672139</v>
      </c>
      <c r="E240" s="131">
        <v>7075.28</v>
      </c>
    </row>
    <row r="241" spans="1:5" ht="15" customHeight="1">
      <c r="A241" s="56">
        <v>510330</v>
      </c>
      <c r="B241" s="801">
        <v>401010101</v>
      </c>
      <c r="C241" s="60" t="s">
        <v>752</v>
      </c>
      <c r="D241" s="60">
        <v>47672139</v>
      </c>
      <c r="E241" s="131">
        <v>7075.28</v>
      </c>
    </row>
    <row r="242" spans="1:5" ht="15" customHeight="1">
      <c r="A242" s="56">
        <v>510331</v>
      </c>
      <c r="B242" s="801">
        <v>4010102</v>
      </c>
      <c r="C242" s="60" t="s">
        <v>753</v>
      </c>
      <c r="D242" s="60">
        <v>605799474</v>
      </c>
      <c r="E242" s="131">
        <v>90952.239999999991</v>
      </c>
    </row>
    <row r="243" spans="1:5" ht="15" customHeight="1">
      <c r="A243" s="56">
        <v>510335</v>
      </c>
      <c r="B243" s="801">
        <v>401010201</v>
      </c>
      <c r="C243" s="60" t="s">
        <v>754</v>
      </c>
      <c r="D243" s="60">
        <v>448405560</v>
      </c>
      <c r="E243" s="131">
        <v>67395.41</v>
      </c>
    </row>
    <row r="244" spans="1:5" ht="15" customHeight="1">
      <c r="A244" s="56">
        <v>510337</v>
      </c>
      <c r="B244" s="801">
        <v>401010202</v>
      </c>
      <c r="C244" s="60" t="s">
        <v>755</v>
      </c>
      <c r="D244" s="60">
        <v>157393914</v>
      </c>
      <c r="E244" s="131">
        <v>23556.83</v>
      </c>
    </row>
    <row r="245" spans="1:5" ht="15" customHeight="1">
      <c r="A245" s="56">
        <v>510338</v>
      </c>
      <c r="B245" s="801">
        <v>40103</v>
      </c>
      <c r="C245" s="60" t="s">
        <v>757</v>
      </c>
      <c r="D245" s="60">
        <v>1197747725</v>
      </c>
      <c r="E245" s="131">
        <v>178300.29</v>
      </c>
    </row>
    <row r="246" spans="1:5" ht="15" customHeight="1">
      <c r="A246" s="56">
        <v>510339</v>
      </c>
      <c r="B246" s="801">
        <v>4010301</v>
      </c>
      <c r="C246" s="60" t="s">
        <v>1256</v>
      </c>
      <c r="D246" s="60">
        <v>500000000</v>
      </c>
      <c r="E246" s="131">
        <v>76535.320000000007</v>
      </c>
    </row>
    <row r="247" spans="1:5" ht="15" customHeight="1">
      <c r="A247" s="56">
        <v>510341</v>
      </c>
      <c r="B247" s="801">
        <v>4010302</v>
      </c>
      <c r="C247" s="60" t="s">
        <v>1257</v>
      </c>
      <c r="D247" s="60">
        <v>660247725</v>
      </c>
      <c r="E247" s="131">
        <v>96250</v>
      </c>
    </row>
    <row r="248" spans="1:5" ht="15" customHeight="1">
      <c r="A248" s="56">
        <v>510342</v>
      </c>
      <c r="B248" s="801">
        <v>4010303</v>
      </c>
      <c r="C248" s="60" t="s">
        <v>1258</v>
      </c>
      <c r="D248" s="60">
        <v>37500000</v>
      </c>
      <c r="E248" s="131">
        <v>5514.97</v>
      </c>
    </row>
    <row r="249" spans="1:5" ht="15" customHeight="1">
      <c r="A249" s="56">
        <v>510343</v>
      </c>
      <c r="B249" s="801">
        <v>402</v>
      </c>
      <c r="C249" s="60" t="s">
        <v>759</v>
      </c>
      <c r="D249" s="60">
        <v>407255494</v>
      </c>
      <c r="E249" s="131">
        <v>60094.19</v>
      </c>
    </row>
    <row r="250" spans="1:5" ht="15" customHeight="1">
      <c r="A250" s="56">
        <v>5104</v>
      </c>
      <c r="B250" s="801">
        <v>40202</v>
      </c>
      <c r="C250" s="60" t="s">
        <v>1048</v>
      </c>
      <c r="D250" s="60">
        <v>636364</v>
      </c>
      <c r="E250" s="131">
        <v>94.19</v>
      </c>
    </row>
    <row r="251" spans="1:5" ht="15" customHeight="1">
      <c r="A251" s="56">
        <v>510402</v>
      </c>
      <c r="B251" s="801">
        <v>40203</v>
      </c>
      <c r="C251" s="60" t="s">
        <v>760</v>
      </c>
      <c r="D251" s="60">
        <v>406619130</v>
      </c>
      <c r="E251" s="131">
        <v>60000</v>
      </c>
    </row>
    <row r="252" spans="1:5" ht="15" customHeight="1">
      <c r="A252" s="56">
        <v>510403</v>
      </c>
      <c r="B252" s="801">
        <v>4020302</v>
      </c>
      <c r="C252" s="60" t="s">
        <v>761</v>
      </c>
      <c r="D252" s="60">
        <v>406619130</v>
      </c>
      <c r="E252" s="131">
        <v>60000</v>
      </c>
    </row>
    <row r="253" spans="1:5" ht="15" customHeight="1">
      <c r="A253" s="56">
        <v>510405</v>
      </c>
      <c r="B253" s="801">
        <v>403</v>
      </c>
      <c r="C253" s="60" t="s">
        <v>762</v>
      </c>
      <c r="D253" s="60">
        <v>17892254487</v>
      </c>
      <c r="E253" s="131">
        <v>2644031.9900000002</v>
      </c>
    </row>
    <row r="254" spans="1:5" ht="15" customHeight="1">
      <c r="A254" s="56">
        <v>52</v>
      </c>
      <c r="B254" s="801">
        <v>40301</v>
      </c>
      <c r="C254" s="60" t="s">
        <v>763</v>
      </c>
      <c r="D254" s="60">
        <v>2776519532</v>
      </c>
      <c r="E254" s="131">
        <v>407548.49</v>
      </c>
    </row>
    <row r="255" spans="1:5" ht="15" customHeight="1">
      <c r="A255" s="56">
        <v>5201</v>
      </c>
      <c r="B255" s="801">
        <v>4030101</v>
      </c>
      <c r="C255" s="60" t="s">
        <v>763</v>
      </c>
      <c r="D255" s="60">
        <v>2776323916</v>
      </c>
      <c r="E255" s="131">
        <v>407520.26</v>
      </c>
    </row>
    <row r="256" spans="1:5" ht="15" customHeight="1">
      <c r="A256" s="56">
        <v>520101</v>
      </c>
      <c r="B256" s="801">
        <v>403010101</v>
      </c>
      <c r="C256" s="60" t="s">
        <v>764</v>
      </c>
      <c r="D256" s="60">
        <v>527403157</v>
      </c>
      <c r="E256" s="131">
        <v>76813.100000000006</v>
      </c>
    </row>
    <row r="257" spans="1:5" ht="15" customHeight="1">
      <c r="A257" s="56">
        <v>520102</v>
      </c>
      <c r="B257" s="801">
        <v>403010103</v>
      </c>
      <c r="C257" s="60" t="s">
        <v>765</v>
      </c>
      <c r="D257" s="60">
        <v>31332712</v>
      </c>
      <c r="E257" s="131">
        <v>4611</v>
      </c>
    </row>
    <row r="258" spans="1:5" ht="15" customHeight="1">
      <c r="A258" s="56">
        <v>520103</v>
      </c>
      <c r="B258" s="801">
        <v>403010104</v>
      </c>
      <c r="C258" s="60" t="s">
        <v>766</v>
      </c>
      <c r="D258" s="60">
        <v>27130882</v>
      </c>
      <c r="E258" s="131">
        <v>3993.04</v>
      </c>
    </row>
    <row r="259" spans="1:5" ht="15" customHeight="1">
      <c r="A259" s="56">
        <v>520136</v>
      </c>
      <c r="B259" s="801">
        <v>403010105</v>
      </c>
      <c r="C259" s="60" t="s">
        <v>767</v>
      </c>
      <c r="D259" s="60">
        <v>627968163</v>
      </c>
      <c r="E259" s="131">
        <v>91996.47</v>
      </c>
    </row>
    <row r="260" spans="1:5" ht="15" customHeight="1">
      <c r="A260" s="56"/>
      <c r="B260" s="801">
        <v>403010106</v>
      </c>
      <c r="C260" s="60" t="s">
        <v>653</v>
      </c>
      <c r="D260" s="60">
        <v>192561482</v>
      </c>
      <c r="E260" s="131">
        <v>29045.93</v>
      </c>
    </row>
    <row r="261" spans="1:5" ht="15" customHeight="1">
      <c r="B261" s="801">
        <v>403010107</v>
      </c>
      <c r="C261" s="60" t="s">
        <v>768</v>
      </c>
      <c r="D261" s="60">
        <v>923827093</v>
      </c>
      <c r="E261" s="131">
        <v>135701.78999999998</v>
      </c>
    </row>
    <row r="262" spans="1:5" ht="15" customHeight="1">
      <c r="B262" s="801">
        <v>403010108</v>
      </c>
      <c r="C262" s="60" t="s">
        <v>769</v>
      </c>
      <c r="D262" s="60">
        <v>2986304</v>
      </c>
      <c r="E262" s="131">
        <v>434.12</v>
      </c>
    </row>
    <row r="263" spans="1:5" ht="15" customHeight="1">
      <c r="B263" s="801">
        <v>403010109</v>
      </c>
      <c r="C263" s="60" t="s">
        <v>770</v>
      </c>
      <c r="D263" s="60">
        <v>848877</v>
      </c>
      <c r="E263" s="131">
        <v>131.29</v>
      </c>
    </row>
    <row r="264" spans="1:5" ht="15" customHeight="1">
      <c r="B264" s="801">
        <v>403010114</v>
      </c>
      <c r="C264" s="60" t="s">
        <v>771</v>
      </c>
      <c r="D264" s="60">
        <v>866853</v>
      </c>
      <c r="E264" s="131">
        <v>129.96</v>
      </c>
    </row>
    <row r="265" spans="1:5" ht="15" customHeight="1">
      <c r="B265" s="801">
        <v>403010116</v>
      </c>
      <c r="C265" s="60" t="s">
        <v>772</v>
      </c>
      <c r="D265" s="60">
        <v>22733755</v>
      </c>
      <c r="E265" s="131">
        <v>3360.02</v>
      </c>
    </row>
    <row r="266" spans="1:5" ht="15" customHeight="1">
      <c r="B266" s="801">
        <v>403010117</v>
      </c>
      <c r="C266" s="60" t="s">
        <v>773</v>
      </c>
      <c r="D266" s="60">
        <v>297165671</v>
      </c>
      <c r="E266" s="131">
        <v>43412.79</v>
      </c>
    </row>
    <row r="267" spans="1:5" ht="15" customHeight="1">
      <c r="B267" s="801">
        <v>403010118</v>
      </c>
      <c r="C267" s="60" t="s">
        <v>774</v>
      </c>
      <c r="D267" s="60">
        <v>115351496</v>
      </c>
      <c r="E267" s="131">
        <v>16979.25</v>
      </c>
    </row>
    <row r="268" spans="1:5" ht="15" customHeight="1">
      <c r="B268" s="801">
        <v>403010129</v>
      </c>
      <c r="C268" s="60" t="s">
        <v>775</v>
      </c>
      <c r="D268" s="60">
        <v>6147471</v>
      </c>
      <c r="E268" s="131">
        <v>911.5</v>
      </c>
    </row>
    <row r="269" spans="1:5" ht="15" customHeight="1">
      <c r="B269" s="801">
        <v>4030102</v>
      </c>
      <c r="C269" s="60" t="s">
        <v>776</v>
      </c>
      <c r="D269" s="60">
        <v>195616</v>
      </c>
      <c r="E269" s="131">
        <v>28.23</v>
      </c>
    </row>
    <row r="270" spans="1:5" ht="15" customHeight="1">
      <c r="B270" s="801">
        <v>403010201</v>
      </c>
      <c r="C270" s="60" t="s">
        <v>776</v>
      </c>
      <c r="D270" s="60">
        <v>195616</v>
      </c>
      <c r="E270" s="131">
        <v>28.23</v>
      </c>
    </row>
    <row r="271" spans="1:5" ht="15" customHeight="1">
      <c r="B271" s="801">
        <v>40302</v>
      </c>
      <c r="C271" s="60" t="s">
        <v>777</v>
      </c>
      <c r="D271" s="60">
        <v>15115734955</v>
      </c>
      <c r="E271" s="131">
        <v>2236483.5</v>
      </c>
    </row>
    <row r="272" spans="1:5" ht="15" customHeight="1">
      <c r="B272" s="801">
        <v>4030201</v>
      </c>
      <c r="C272" s="60" t="s">
        <v>778</v>
      </c>
      <c r="D272" s="60">
        <v>15115469650</v>
      </c>
      <c r="E272" s="131">
        <v>2236444.7800000003</v>
      </c>
    </row>
    <row r="273" spans="2:5" ht="15" customHeight="1">
      <c r="B273" s="801">
        <v>403020101</v>
      </c>
      <c r="C273" s="60" t="s">
        <v>764</v>
      </c>
      <c r="D273" s="60">
        <v>287339506</v>
      </c>
      <c r="E273" s="131">
        <v>42626.12</v>
      </c>
    </row>
    <row r="274" spans="2:5" ht="15" customHeight="1">
      <c r="B274" s="801">
        <v>403020102</v>
      </c>
      <c r="C274" s="60" t="s">
        <v>779</v>
      </c>
      <c r="D274" s="60">
        <v>50810352</v>
      </c>
      <c r="E274" s="131">
        <v>7549.27</v>
      </c>
    </row>
    <row r="275" spans="2:5" ht="15" customHeight="1">
      <c r="B275" s="801">
        <v>403020103</v>
      </c>
      <c r="C275" s="60" t="s">
        <v>765</v>
      </c>
      <c r="D275" s="60">
        <v>26698767</v>
      </c>
      <c r="E275" s="131">
        <v>3839.49</v>
      </c>
    </row>
    <row r="276" spans="2:5" ht="15" customHeight="1">
      <c r="B276" s="801">
        <v>403020104</v>
      </c>
      <c r="C276" s="60" t="s">
        <v>780</v>
      </c>
      <c r="D276" s="60">
        <v>1045538193</v>
      </c>
      <c r="E276" s="131">
        <v>154679.19</v>
      </c>
    </row>
    <row r="277" spans="2:5" ht="15" customHeight="1">
      <c r="B277" s="801">
        <v>403020105</v>
      </c>
      <c r="C277" s="60" t="s">
        <v>767</v>
      </c>
      <c r="D277" s="60">
        <v>2031005218</v>
      </c>
      <c r="E277" s="131">
        <v>297604.07</v>
      </c>
    </row>
    <row r="278" spans="2:5" ht="15" customHeight="1">
      <c r="B278" s="801">
        <v>403020106</v>
      </c>
      <c r="C278" s="60" t="s">
        <v>653</v>
      </c>
      <c r="D278" s="60">
        <v>2040036768</v>
      </c>
      <c r="E278" s="131">
        <v>301940.08</v>
      </c>
    </row>
    <row r="279" spans="2:5" ht="15" customHeight="1">
      <c r="B279" s="801">
        <v>403020107</v>
      </c>
      <c r="C279" s="60" t="s">
        <v>768</v>
      </c>
      <c r="D279" s="60">
        <v>1631143199</v>
      </c>
      <c r="E279" s="131">
        <v>241578.48</v>
      </c>
    </row>
    <row r="280" spans="2:5" ht="15" customHeight="1">
      <c r="B280" s="801">
        <v>403020108</v>
      </c>
      <c r="C280" s="60" t="s">
        <v>769</v>
      </c>
      <c r="D280" s="60">
        <v>148298340</v>
      </c>
      <c r="E280" s="131">
        <v>21466.48</v>
      </c>
    </row>
    <row r="281" spans="2:5" ht="15" customHeight="1">
      <c r="B281" s="801">
        <v>403020109</v>
      </c>
      <c r="C281" s="60" t="s">
        <v>770</v>
      </c>
      <c r="D281" s="60">
        <v>4845379</v>
      </c>
      <c r="E281" s="131">
        <v>743.64</v>
      </c>
    </row>
    <row r="282" spans="2:5" ht="15" customHeight="1">
      <c r="B282" s="801">
        <v>403020113</v>
      </c>
      <c r="C282" s="60" t="s">
        <v>781</v>
      </c>
      <c r="D282" s="60">
        <v>1138</v>
      </c>
      <c r="E282" s="131">
        <v>0.16</v>
      </c>
    </row>
    <row r="283" spans="2:5" ht="15" customHeight="1">
      <c r="B283" s="801">
        <v>403020117</v>
      </c>
      <c r="C283" s="60" t="s">
        <v>773</v>
      </c>
      <c r="D283" s="60">
        <v>5033923127</v>
      </c>
      <c r="E283" s="131">
        <v>746108.57</v>
      </c>
    </row>
    <row r="284" spans="2:5" ht="15" customHeight="1">
      <c r="B284" s="801">
        <v>403020118</v>
      </c>
      <c r="C284" s="60" t="s">
        <v>774</v>
      </c>
      <c r="D284" s="60">
        <v>326940640</v>
      </c>
      <c r="E284" s="131">
        <v>50346.49</v>
      </c>
    </row>
    <row r="285" spans="2:5" ht="15" customHeight="1">
      <c r="B285" s="801">
        <v>403020119</v>
      </c>
      <c r="C285" s="60" t="s">
        <v>1051</v>
      </c>
      <c r="D285" s="60">
        <v>1253618015</v>
      </c>
      <c r="E285" s="131">
        <v>189291.86</v>
      </c>
    </row>
    <row r="286" spans="2:5" ht="15" customHeight="1">
      <c r="B286" s="801">
        <v>403020121</v>
      </c>
      <c r="C286" s="60" t="s">
        <v>782</v>
      </c>
      <c r="D286" s="60">
        <v>226700074</v>
      </c>
      <c r="E286" s="131">
        <v>32436.77</v>
      </c>
    </row>
    <row r="287" spans="2:5" ht="15" customHeight="1">
      <c r="B287" s="801">
        <v>403020129</v>
      </c>
      <c r="C287" s="60" t="s">
        <v>775</v>
      </c>
      <c r="D287" s="60">
        <v>347379263</v>
      </c>
      <c r="E287" s="131">
        <v>50485.440000000002</v>
      </c>
    </row>
    <row r="288" spans="2:5" ht="15" customHeight="1">
      <c r="B288" s="801">
        <v>403020131</v>
      </c>
      <c r="C288" s="60" t="s">
        <v>783</v>
      </c>
      <c r="D288" s="60">
        <v>51189968</v>
      </c>
      <c r="E288" s="131">
        <v>7631.38</v>
      </c>
    </row>
    <row r="289" spans="2:5" ht="15" customHeight="1">
      <c r="B289" s="801">
        <v>403020133</v>
      </c>
      <c r="C289" s="60" t="s">
        <v>784</v>
      </c>
      <c r="D289" s="60">
        <v>610001703</v>
      </c>
      <c r="E289" s="131">
        <v>88117.29</v>
      </c>
    </row>
    <row r="290" spans="2:5" ht="15" customHeight="1">
      <c r="B290" s="801">
        <v>4030202</v>
      </c>
      <c r="C290" s="60" t="s">
        <v>1063</v>
      </c>
      <c r="D290" s="60">
        <v>265305</v>
      </c>
      <c r="E290" s="131">
        <v>38.72</v>
      </c>
    </row>
    <row r="291" spans="2:5" ht="15" customHeight="1">
      <c r="B291" s="801">
        <v>403020202</v>
      </c>
      <c r="C291" s="60" t="s">
        <v>779</v>
      </c>
      <c r="D291" s="60">
        <v>265305</v>
      </c>
      <c r="E291" s="131">
        <v>38.72</v>
      </c>
    </row>
    <row r="292" spans="2:5" ht="15" customHeight="1">
      <c r="B292" s="801">
        <v>404</v>
      </c>
      <c r="C292" s="60" t="s">
        <v>1064</v>
      </c>
      <c r="D292" s="60">
        <v>82584075</v>
      </c>
      <c r="E292" s="131">
        <v>12000</v>
      </c>
    </row>
    <row r="293" spans="2:5" ht="15" customHeight="1">
      <c r="B293" s="801">
        <v>40401</v>
      </c>
      <c r="C293" s="60" t="s">
        <v>1065</v>
      </c>
      <c r="D293" s="60">
        <v>82584075</v>
      </c>
      <c r="E293" s="131">
        <v>12000</v>
      </c>
    </row>
    <row r="294" spans="2:5" ht="15" customHeight="1">
      <c r="B294" s="801">
        <v>4040101</v>
      </c>
      <c r="C294" s="60" t="s">
        <v>1259</v>
      </c>
      <c r="D294" s="60">
        <v>11011210</v>
      </c>
      <c r="E294" s="131">
        <v>1600</v>
      </c>
    </row>
    <row r="295" spans="2:5" ht="15" customHeight="1">
      <c r="B295" s="801">
        <v>4040102</v>
      </c>
      <c r="C295" s="60" t="s">
        <v>1260</v>
      </c>
      <c r="D295" s="60">
        <v>16516815</v>
      </c>
      <c r="E295" s="131">
        <v>2400</v>
      </c>
    </row>
    <row r="296" spans="2:5" ht="15" customHeight="1">
      <c r="B296" s="801">
        <v>4040103</v>
      </c>
      <c r="C296" s="60" t="s">
        <v>1261</v>
      </c>
      <c r="D296" s="60">
        <v>55056050</v>
      </c>
      <c r="E296" s="131">
        <v>8000</v>
      </c>
    </row>
    <row r="297" spans="2:5" ht="15" customHeight="1">
      <c r="B297" s="801">
        <v>406</v>
      </c>
      <c r="C297" s="60" t="s">
        <v>785</v>
      </c>
      <c r="D297" s="60">
        <v>120379525</v>
      </c>
      <c r="E297" s="131">
        <v>17857.189999999999</v>
      </c>
    </row>
    <row r="298" spans="2:5" ht="15" customHeight="1">
      <c r="B298" s="801">
        <v>40601</v>
      </c>
      <c r="C298" s="60" t="s">
        <v>1066</v>
      </c>
      <c r="D298" s="60">
        <v>11000000</v>
      </c>
      <c r="E298" s="131">
        <v>1607.73</v>
      </c>
    </row>
    <row r="299" spans="2:5" ht="15" customHeight="1">
      <c r="B299" s="801">
        <v>4060101</v>
      </c>
      <c r="C299" s="60" t="s">
        <v>1067</v>
      </c>
      <c r="D299" s="60">
        <v>11000000</v>
      </c>
      <c r="E299" s="131">
        <v>1607.73</v>
      </c>
    </row>
    <row r="300" spans="2:5" ht="15" customHeight="1">
      <c r="B300" s="801">
        <v>40604</v>
      </c>
      <c r="C300" s="60" t="s">
        <v>786</v>
      </c>
      <c r="D300" s="60">
        <v>85876334</v>
      </c>
      <c r="E300" s="131">
        <v>12762.279999999999</v>
      </c>
    </row>
    <row r="301" spans="2:5" ht="15" customHeight="1">
      <c r="B301" s="801">
        <v>4060401</v>
      </c>
      <c r="C301" s="60" t="s">
        <v>787</v>
      </c>
      <c r="D301" s="60">
        <v>77220978</v>
      </c>
      <c r="E301" s="131">
        <v>11473.050000000001</v>
      </c>
    </row>
    <row r="302" spans="2:5" ht="15" customHeight="1">
      <c r="B302" s="801">
        <v>4060402</v>
      </c>
      <c r="C302" s="60" t="s">
        <v>788</v>
      </c>
      <c r="D302" s="60">
        <v>8655356</v>
      </c>
      <c r="E302" s="131">
        <v>1289.23</v>
      </c>
    </row>
    <row r="303" spans="2:5" ht="15" customHeight="1">
      <c r="B303" s="801">
        <v>40605</v>
      </c>
      <c r="C303" s="60" t="s">
        <v>229</v>
      </c>
      <c r="D303" s="60">
        <v>21218666</v>
      </c>
      <c r="E303" s="131">
        <v>3153.09</v>
      </c>
    </row>
    <row r="304" spans="2:5" ht="15" customHeight="1">
      <c r="B304" s="801">
        <v>4060501</v>
      </c>
      <c r="C304" s="60" t="s">
        <v>789</v>
      </c>
      <c r="D304" s="60">
        <v>19128253</v>
      </c>
      <c r="E304" s="131">
        <v>2841.54</v>
      </c>
    </row>
    <row r="305" spans="2:5" ht="15" customHeight="1">
      <c r="B305" s="801">
        <v>4060502</v>
      </c>
      <c r="C305" s="60" t="s">
        <v>790</v>
      </c>
      <c r="D305" s="60">
        <v>2090413</v>
      </c>
      <c r="E305" s="131">
        <v>311.55</v>
      </c>
    </row>
    <row r="306" spans="2:5" ht="15" customHeight="1">
      <c r="B306" s="801">
        <v>40606</v>
      </c>
      <c r="C306" s="60" t="s">
        <v>190</v>
      </c>
      <c r="D306" s="60">
        <v>2284525</v>
      </c>
      <c r="E306" s="131">
        <v>334.09</v>
      </c>
    </row>
    <row r="307" spans="2:5" ht="15" customHeight="1">
      <c r="B307" s="801">
        <v>4060601</v>
      </c>
      <c r="C307" s="60" t="s">
        <v>791</v>
      </c>
      <c r="D307" s="60">
        <v>235150</v>
      </c>
      <c r="E307" s="131">
        <v>34.090000000000003</v>
      </c>
    </row>
    <row r="308" spans="2:5" ht="15" customHeight="1">
      <c r="B308" s="801">
        <v>4060602</v>
      </c>
      <c r="C308" s="60" t="s">
        <v>1074</v>
      </c>
      <c r="D308" s="60">
        <v>2049375</v>
      </c>
      <c r="E308" s="131">
        <v>300</v>
      </c>
    </row>
    <row r="309" spans="2:5" ht="15" customHeight="1">
      <c r="B309" s="801">
        <v>407</v>
      </c>
      <c r="C309" s="60" t="s">
        <v>230</v>
      </c>
      <c r="D309" s="60">
        <v>3553938678</v>
      </c>
      <c r="E309" s="131">
        <v>2384285.0815999997</v>
      </c>
    </row>
    <row r="310" spans="2:5" ht="15" customHeight="1">
      <c r="B310" s="801">
        <v>40701</v>
      </c>
      <c r="C310" s="60" t="s">
        <v>1262</v>
      </c>
      <c r="D310" s="60">
        <v>3714440</v>
      </c>
      <c r="E310" s="131">
        <v>556.67999999999995</v>
      </c>
    </row>
    <row r="311" spans="2:5" ht="15" customHeight="1">
      <c r="B311" s="801">
        <v>40702</v>
      </c>
      <c r="C311" s="60" t="s">
        <v>792</v>
      </c>
      <c r="D311" s="60">
        <v>3550224238</v>
      </c>
      <c r="E311" s="131">
        <v>2383728.4016</v>
      </c>
    </row>
    <row r="312" spans="2:5" ht="15" customHeight="1">
      <c r="B312" s="801">
        <v>4070201</v>
      </c>
      <c r="C312" s="60" t="s">
        <v>793</v>
      </c>
      <c r="D312" s="60">
        <v>2354409344</v>
      </c>
      <c r="E312" s="131">
        <v>958555.49</v>
      </c>
    </row>
    <row r="313" spans="2:5" ht="15" customHeight="1">
      <c r="B313" s="801">
        <v>4070202</v>
      </c>
      <c r="C313" s="60" t="s">
        <v>794</v>
      </c>
      <c r="D313" s="60">
        <v>1195814894</v>
      </c>
      <c r="E313" s="131">
        <v>1425172.9116</v>
      </c>
    </row>
    <row r="314" spans="2:5" ht="15" customHeight="1">
      <c r="B314" s="801">
        <v>408</v>
      </c>
      <c r="C314" s="60" t="s">
        <v>795</v>
      </c>
      <c r="D314" s="60">
        <v>2195318149</v>
      </c>
      <c r="E314" s="131">
        <v>324103.16899999999</v>
      </c>
    </row>
    <row r="315" spans="2:5" ht="15" customHeight="1">
      <c r="B315" s="801">
        <v>40802</v>
      </c>
      <c r="C315" s="60" t="s">
        <v>796</v>
      </c>
      <c r="D315" s="60">
        <v>8177</v>
      </c>
      <c r="E315" s="131">
        <v>4.2489999999999997</v>
      </c>
    </row>
    <row r="316" spans="2:5" ht="15" customHeight="1">
      <c r="B316" s="801">
        <v>40803</v>
      </c>
      <c r="C316" s="60" t="s">
        <v>1263</v>
      </c>
      <c r="D316" s="60">
        <v>49787771</v>
      </c>
      <c r="E316" s="131">
        <v>5091.71</v>
      </c>
    </row>
    <row r="317" spans="2:5" ht="15" customHeight="1">
      <c r="B317" s="801">
        <v>40808</v>
      </c>
      <c r="C317" s="60" t="s">
        <v>506</v>
      </c>
      <c r="D317" s="60">
        <v>1943416237</v>
      </c>
      <c r="E317" s="131">
        <v>289543.25</v>
      </c>
    </row>
    <row r="318" spans="2:5" ht="15" customHeight="1">
      <c r="B318" s="801">
        <v>40809</v>
      </c>
      <c r="C318" s="60" t="s">
        <v>1236</v>
      </c>
      <c r="D318" s="60">
        <v>12670644</v>
      </c>
      <c r="E318" s="131">
        <v>1881.01</v>
      </c>
    </row>
    <row r="319" spans="2:5" ht="15" customHeight="1">
      <c r="B319" s="801">
        <v>40811</v>
      </c>
      <c r="C319" s="60" t="s">
        <v>1197</v>
      </c>
      <c r="D319" s="60">
        <v>168921218</v>
      </c>
      <c r="E319" s="131">
        <v>24604.75</v>
      </c>
    </row>
    <row r="320" spans="2:5" ht="15" customHeight="1">
      <c r="B320" s="801">
        <v>40812</v>
      </c>
      <c r="C320" s="60" t="s">
        <v>1237</v>
      </c>
      <c r="D320" s="60">
        <v>20514102</v>
      </c>
      <c r="E320" s="131">
        <v>2978.19</v>
      </c>
    </row>
    <row r="321" spans="2:5" ht="15" customHeight="1">
      <c r="B321" s="801">
        <v>5</v>
      </c>
      <c r="C321" s="60" t="s">
        <v>189</v>
      </c>
      <c r="D321" s="60">
        <v>23605473848</v>
      </c>
      <c r="E321" s="131">
        <v>5385231.2097999994</v>
      </c>
    </row>
    <row r="322" spans="2:5" ht="15" customHeight="1">
      <c r="B322" s="801">
        <v>51</v>
      </c>
      <c r="C322" s="60" t="s">
        <v>797</v>
      </c>
      <c r="D322" s="60">
        <v>23605461741</v>
      </c>
      <c r="E322" s="131">
        <v>5385228.8498</v>
      </c>
    </row>
    <row r="323" spans="2:5" ht="15" customHeight="1">
      <c r="B323" s="801">
        <v>511</v>
      </c>
      <c r="C323" s="60" t="s">
        <v>798</v>
      </c>
      <c r="D323" s="60">
        <v>11891110474</v>
      </c>
      <c r="E323" s="131">
        <v>1754842.44</v>
      </c>
    </row>
    <row r="324" spans="2:5" ht="15" customHeight="1">
      <c r="B324" s="801">
        <v>51101</v>
      </c>
      <c r="C324" s="60" t="s">
        <v>39</v>
      </c>
      <c r="D324" s="60">
        <v>160953638</v>
      </c>
      <c r="E324" s="131">
        <v>24315.660000000149</v>
      </c>
    </row>
    <row r="325" spans="2:5" ht="15" customHeight="1">
      <c r="B325" s="801">
        <v>5110102</v>
      </c>
      <c r="C325" s="60" t="s">
        <v>799</v>
      </c>
      <c r="D325" s="60">
        <v>160953638</v>
      </c>
      <c r="E325" s="131">
        <v>24315.660000000149</v>
      </c>
    </row>
    <row r="326" spans="2:5" ht="15" customHeight="1">
      <c r="B326" s="801">
        <v>511010201</v>
      </c>
      <c r="C326" s="60" t="s">
        <v>800</v>
      </c>
      <c r="D326" s="60">
        <v>160953638</v>
      </c>
      <c r="E326" s="131">
        <v>24315.660000000149</v>
      </c>
    </row>
    <row r="327" spans="2:5" ht="15" customHeight="1">
      <c r="B327" s="801">
        <v>51102</v>
      </c>
      <c r="C327" s="60" t="s">
        <v>801</v>
      </c>
      <c r="D327" s="60">
        <v>347586961</v>
      </c>
      <c r="E327" s="131">
        <v>50979.670000000006</v>
      </c>
    </row>
    <row r="328" spans="2:5" ht="15" customHeight="1">
      <c r="B328" s="801">
        <v>5110201</v>
      </c>
      <c r="C328" s="60" t="s">
        <v>802</v>
      </c>
      <c r="D328" s="60">
        <v>283836794</v>
      </c>
      <c r="E328" s="131">
        <v>41543.879999999997</v>
      </c>
    </row>
    <row r="329" spans="2:5" ht="15" customHeight="1">
      <c r="B329" s="801">
        <v>511020101</v>
      </c>
      <c r="C329" s="60" t="s">
        <v>856</v>
      </c>
      <c r="D329" s="60">
        <v>165047513</v>
      </c>
      <c r="E329" s="131">
        <v>24090.53</v>
      </c>
    </row>
    <row r="330" spans="2:5" ht="15" customHeight="1">
      <c r="B330" s="801">
        <v>511020102</v>
      </c>
      <c r="C330" s="60" t="s">
        <v>803</v>
      </c>
      <c r="D330" s="60">
        <v>118789281</v>
      </c>
      <c r="E330" s="131">
        <v>17453.349999999999</v>
      </c>
    </row>
    <row r="331" spans="2:5" ht="15" customHeight="1">
      <c r="B331" s="801">
        <v>5110202</v>
      </c>
      <c r="C331" s="60" t="s">
        <v>229</v>
      </c>
      <c r="D331" s="60">
        <v>61219967</v>
      </c>
      <c r="E331" s="131">
        <v>9071.39</v>
      </c>
    </row>
    <row r="332" spans="2:5" ht="15" customHeight="1">
      <c r="B332" s="801">
        <v>511020201</v>
      </c>
      <c r="C332" s="60" t="s">
        <v>789</v>
      </c>
      <c r="D332" s="60">
        <v>56121803</v>
      </c>
      <c r="E332" s="131">
        <v>8318.68</v>
      </c>
    </row>
    <row r="333" spans="2:5" ht="15" customHeight="1">
      <c r="B333" s="801">
        <v>511020202</v>
      </c>
      <c r="C333" s="60" t="s">
        <v>790</v>
      </c>
      <c r="D333" s="60">
        <v>5098164</v>
      </c>
      <c r="E333" s="131">
        <v>752.71</v>
      </c>
    </row>
    <row r="334" spans="2:5" ht="15" customHeight="1">
      <c r="B334" s="801">
        <v>5110203</v>
      </c>
      <c r="C334" s="60" t="s">
        <v>702</v>
      </c>
      <c r="D334" s="60">
        <v>2530200</v>
      </c>
      <c r="E334" s="131">
        <v>364.4</v>
      </c>
    </row>
    <row r="335" spans="2:5" ht="15" customHeight="1">
      <c r="B335" s="801">
        <v>51103</v>
      </c>
      <c r="C335" s="60" t="s">
        <v>217</v>
      </c>
      <c r="D335" s="60">
        <v>11379160034</v>
      </c>
      <c r="E335" s="131">
        <v>1679030.65</v>
      </c>
    </row>
    <row r="336" spans="2:5" ht="15" customHeight="1">
      <c r="B336" s="801">
        <v>5110301</v>
      </c>
      <c r="C336" s="60" t="s">
        <v>777</v>
      </c>
      <c r="D336" s="60">
        <v>11379160034</v>
      </c>
      <c r="E336" s="131">
        <v>1679030.65</v>
      </c>
    </row>
    <row r="337" spans="2:5" ht="15" customHeight="1">
      <c r="B337" s="801">
        <v>511030101</v>
      </c>
      <c r="C337" s="60" t="s">
        <v>1063</v>
      </c>
      <c r="D337" s="60">
        <v>893719815</v>
      </c>
      <c r="E337" s="131">
        <v>130394.6399999999</v>
      </c>
    </row>
    <row r="338" spans="2:5" ht="15" customHeight="1">
      <c r="B338" s="801">
        <v>51103010101</v>
      </c>
      <c r="C338" s="60" t="s">
        <v>767</v>
      </c>
      <c r="D338" s="60">
        <v>178819883</v>
      </c>
      <c r="E338" s="131">
        <v>26191.899999999907</v>
      </c>
    </row>
    <row r="339" spans="2:5" ht="15" customHeight="1">
      <c r="B339" s="801">
        <v>51103010102</v>
      </c>
      <c r="C339" s="60" t="s">
        <v>653</v>
      </c>
      <c r="D339" s="60">
        <v>128059774</v>
      </c>
      <c r="E339" s="131">
        <v>18696.72</v>
      </c>
    </row>
    <row r="340" spans="2:5" ht="15" customHeight="1">
      <c r="B340" s="801">
        <v>51103010103</v>
      </c>
      <c r="C340" s="60" t="s">
        <v>660</v>
      </c>
      <c r="D340" s="60">
        <v>125180710</v>
      </c>
      <c r="E340" s="131">
        <v>18206.77</v>
      </c>
    </row>
    <row r="341" spans="2:5" ht="15" customHeight="1">
      <c r="B341" s="801">
        <v>51103010104</v>
      </c>
      <c r="C341" s="60" t="s">
        <v>764</v>
      </c>
      <c r="D341" s="60">
        <v>169749924</v>
      </c>
      <c r="E341" s="131">
        <v>24692.720000000001</v>
      </c>
    </row>
    <row r="342" spans="2:5" ht="15" customHeight="1">
      <c r="B342" s="801">
        <v>51103010105</v>
      </c>
      <c r="C342" s="60" t="s">
        <v>1238</v>
      </c>
      <c r="D342" s="60">
        <v>272230702</v>
      </c>
      <c r="E342" s="131">
        <v>39725.42</v>
      </c>
    </row>
    <row r="343" spans="2:5" ht="15" customHeight="1">
      <c r="B343" s="801">
        <v>51103010106</v>
      </c>
      <c r="C343" s="60" t="s">
        <v>1264</v>
      </c>
      <c r="D343" s="60">
        <v>19678822</v>
      </c>
      <c r="E343" s="131">
        <v>2881.11</v>
      </c>
    </row>
    <row r="344" spans="2:5" ht="15" customHeight="1">
      <c r="B344" s="801">
        <v>511030120</v>
      </c>
      <c r="C344" s="60" t="s">
        <v>804</v>
      </c>
      <c r="D344" s="60">
        <v>10485440219</v>
      </c>
      <c r="E344" s="131">
        <v>1548636.01</v>
      </c>
    </row>
    <row r="345" spans="2:5" ht="15" customHeight="1">
      <c r="B345" s="801">
        <v>51103012001</v>
      </c>
      <c r="C345" s="60" t="s">
        <v>764</v>
      </c>
      <c r="D345" s="60">
        <v>1824993</v>
      </c>
      <c r="E345" s="131">
        <v>268.39</v>
      </c>
    </row>
    <row r="346" spans="2:5" ht="15" customHeight="1">
      <c r="B346" s="801">
        <v>51103012002</v>
      </c>
      <c r="C346" s="60" t="s">
        <v>779</v>
      </c>
      <c r="D346" s="60">
        <v>5516245</v>
      </c>
      <c r="E346" s="131">
        <v>812.75</v>
      </c>
    </row>
    <row r="347" spans="2:5" ht="15" customHeight="1">
      <c r="B347" s="801">
        <v>51103012004</v>
      </c>
      <c r="C347" s="60" t="s">
        <v>766</v>
      </c>
      <c r="D347" s="60">
        <v>83121122</v>
      </c>
      <c r="E347" s="131">
        <v>12220.57</v>
      </c>
    </row>
    <row r="348" spans="2:5" ht="15" customHeight="1">
      <c r="B348" s="801">
        <v>51103012005</v>
      </c>
      <c r="C348" s="60" t="s">
        <v>767</v>
      </c>
      <c r="D348" s="60">
        <v>1429841268</v>
      </c>
      <c r="E348" s="131">
        <v>209977</v>
      </c>
    </row>
    <row r="349" spans="2:5" ht="15" customHeight="1">
      <c r="B349" s="801">
        <v>51103012006</v>
      </c>
      <c r="C349" s="60" t="s">
        <v>653</v>
      </c>
      <c r="D349" s="60">
        <v>792603478</v>
      </c>
      <c r="E349" s="131">
        <v>116002.12</v>
      </c>
    </row>
    <row r="350" spans="2:5" ht="15" customHeight="1">
      <c r="B350" s="801">
        <v>51103012007</v>
      </c>
      <c r="C350" s="60" t="s">
        <v>768</v>
      </c>
      <c r="D350" s="60">
        <v>1298993482</v>
      </c>
      <c r="E350" s="131">
        <v>193942.19999999998</v>
      </c>
    </row>
    <row r="351" spans="2:5" ht="15" customHeight="1">
      <c r="B351" s="801">
        <v>51103012008</v>
      </c>
      <c r="C351" s="60" t="s">
        <v>769</v>
      </c>
      <c r="D351" s="60">
        <v>112716866</v>
      </c>
      <c r="E351" s="131">
        <v>16350.09</v>
      </c>
    </row>
    <row r="352" spans="2:5" ht="15" customHeight="1">
      <c r="B352" s="801">
        <v>51103012009</v>
      </c>
      <c r="C352" s="60" t="s">
        <v>770</v>
      </c>
      <c r="D352" s="60">
        <v>212441006</v>
      </c>
      <c r="E352" s="131">
        <v>31900.2</v>
      </c>
    </row>
    <row r="353" spans="2:5" ht="15" customHeight="1">
      <c r="B353" s="801">
        <v>51103012013</v>
      </c>
      <c r="C353" s="60" t="s">
        <v>781</v>
      </c>
      <c r="D353" s="60">
        <v>68</v>
      </c>
      <c r="E353" s="131">
        <v>0.01</v>
      </c>
    </row>
    <row r="354" spans="2:5" ht="15" customHeight="1">
      <c r="B354" s="801">
        <v>51103012017</v>
      </c>
      <c r="C354" s="60" t="s">
        <v>773</v>
      </c>
      <c r="D354" s="60">
        <v>4482435203</v>
      </c>
      <c r="E354" s="131">
        <v>665540.79</v>
      </c>
    </row>
    <row r="355" spans="2:5" ht="15" customHeight="1">
      <c r="B355" s="801">
        <v>51103012018</v>
      </c>
      <c r="C355" s="60" t="s">
        <v>774</v>
      </c>
      <c r="D355" s="60">
        <v>345573068</v>
      </c>
      <c r="E355" s="131">
        <v>52385.99</v>
      </c>
    </row>
    <row r="356" spans="2:5" ht="15" customHeight="1">
      <c r="B356" s="801">
        <v>51103012019</v>
      </c>
      <c r="C356" s="60" t="s">
        <v>1051</v>
      </c>
      <c r="D356" s="60">
        <v>887392189</v>
      </c>
      <c r="E356" s="131">
        <v>128649.97</v>
      </c>
    </row>
    <row r="357" spans="2:5" ht="15" customHeight="1">
      <c r="B357" s="801">
        <v>51103012029</v>
      </c>
      <c r="C357" s="60" t="s">
        <v>648</v>
      </c>
      <c r="D357" s="60">
        <v>664723895</v>
      </c>
      <c r="E357" s="131">
        <v>96067.6</v>
      </c>
    </row>
    <row r="358" spans="2:5" ht="15" customHeight="1">
      <c r="B358" s="801">
        <v>51103012032</v>
      </c>
      <c r="C358" s="60" t="s">
        <v>784</v>
      </c>
      <c r="D358" s="60">
        <v>168257336</v>
      </c>
      <c r="E358" s="131">
        <v>24518.33</v>
      </c>
    </row>
    <row r="359" spans="2:5" ht="15" customHeight="1">
      <c r="B359" s="801">
        <v>51104</v>
      </c>
      <c r="C359" s="60" t="s">
        <v>805</v>
      </c>
      <c r="D359" s="60">
        <v>3409841</v>
      </c>
      <c r="E359" s="131">
        <v>516.46</v>
      </c>
    </row>
    <row r="360" spans="2:5" ht="15" customHeight="1">
      <c r="B360" s="801">
        <v>5110401</v>
      </c>
      <c r="C360" s="60" t="s">
        <v>805</v>
      </c>
      <c r="D360" s="60">
        <v>3409841</v>
      </c>
      <c r="E360" s="131">
        <v>516.46</v>
      </c>
    </row>
    <row r="361" spans="2:5" ht="15" customHeight="1">
      <c r="B361" s="801">
        <v>512</v>
      </c>
      <c r="C361" s="60" t="s">
        <v>233</v>
      </c>
      <c r="D361" s="60">
        <v>203131748</v>
      </c>
      <c r="E361" s="131">
        <v>30402.97</v>
      </c>
    </row>
    <row r="362" spans="2:5" ht="15" customHeight="1">
      <c r="B362" s="801">
        <v>51201</v>
      </c>
      <c r="C362" s="60" t="s">
        <v>1265</v>
      </c>
      <c r="D362" s="60">
        <v>159343543</v>
      </c>
      <c r="E362" s="131">
        <v>23850.829999999998</v>
      </c>
    </row>
    <row r="363" spans="2:5" ht="15" customHeight="1">
      <c r="B363" s="801">
        <v>51203</v>
      </c>
      <c r="C363" s="60" t="s">
        <v>177</v>
      </c>
      <c r="D363" s="60">
        <v>14367957</v>
      </c>
      <c r="E363" s="131">
        <v>2097.36</v>
      </c>
    </row>
    <row r="364" spans="2:5" ht="15" customHeight="1">
      <c r="B364" s="801">
        <v>51204</v>
      </c>
      <c r="C364" s="60" t="s">
        <v>807</v>
      </c>
      <c r="D364" s="60">
        <v>9420248</v>
      </c>
      <c r="E364" s="131">
        <v>1568.2700000000002</v>
      </c>
    </row>
    <row r="365" spans="2:5" ht="15" customHeight="1">
      <c r="B365" s="801">
        <v>51206</v>
      </c>
      <c r="C365" s="60" t="s">
        <v>1200</v>
      </c>
      <c r="D365" s="60">
        <v>20000000</v>
      </c>
      <c r="E365" s="131">
        <v>2886.51</v>
      </c>
    </row>
    <row r="366" spans="2:5" ht="15" customHeight="1">
      <c r="B366" s="801">
        <v>513</v>
      </c>
      <c r="C366" s="60" t="s">
        <v>14</v>
      </c>
      <c r="D366" s="60">
        <v>6964857546</v>
      </c>
      <c r="E366" s="131">
        <v>1029331.77</v>
      </c>
    </row>
    <row r="367" spans="2:5" ht="15" customHeight="1">
      <c r="B367" s="801">
        <v>51301</v>
      </c>
      <c r="C367" s="60" t="s">
        <v>235</v>
      </c>
      <c r="D367" s="60">
        <v>2767482437</v>
      </c>
      <c r="E367" s="131">
        <v>408596.23</v>
      </c>
    </row>
    <row r="368" spans="2:5" ht="15" customHeight="1">
      <c r="B368" s="801">
        <v>5130101</v>
      </c>
      <c r="C368" s="60" t="s">
        <v>172</v>
      </c>
      <c r="D368" s="60">
        <v>2385209049</v>
      </c>
      <c r="E368" s="131">
        <v>352346.98</v>
      </c>
    </row>
    <row r="369" spans="2:5" ht="15" customHeight="1">
      <c r="B369" s="801">
        <v>5130104</v>
      </c>
      <c r="C369" s="60" t="s">
        <v>174</v>
      </c>
      <c r="D369" s="60">
        <v>219330055</v>
      </c>
      <c r="E369" s="131">
        <v>32369.58</v>
      </c>
    </row>
    <row r="370" spans="2:5" ht="15" customHeight="1">
      <c r="B370" s="801">
        <v>5130105</v>
      </c>
      <c r="C370" s="60" t="s">
        <v>175</v>
      </c>
      <c r="D370" s="60">
        <v>162943333</v>
      </c>
      <c r="E370" s="131">
        <v>23879.67</v>
      </c>
    </row>
    <row r="371" spans="2:5" ht="15" customHeight="1">
      <c r="B371" s="801">
        <v>51302</v>
      </c>
      <c r="C371" s="60" t="s">
        <v>808</v>
      </c>
      <c r="D371" s="60">
        <v>1722603734</v>
      </c>
      <c r="E371" s="131">
        <v>253601.22</v>
      </c>
    </row>
    <row r="372" spans="2:5" ht="15" customHeight="1">
      <c r="B372" s="801">
        <v>5130201</v>
      </c>
      <c r="C372" s="60" t="s">
        <v>809</v>
      </c>
      <c r="D372" s="60">
        <v>439114057</v>
      </c>
      <c r="E372" s="131">
        <v>64868.56</v>
      </c>
    </row>
    <row r="373" spans="2:5" ht="15" customHeight="1">
      <c r="B373" s="801">
        <v>5130202</v>
      </c>
      <c r="C373" s="60" t="s">
        <v>1087</v>
      </c>
      <c r="D373" s="60">
        <v>7500000</v>
      </c>
      <c r="E373" s="131">
        <v>1085.21</v>
      </c>
    </row>
    <row r="374" spans="2:5" ht="15" customHeight="1">
      <c r="B374" s="801">
        <v>5130203</v>
      </c>
      <c r="C374" s="60" t="s">
        <v>810</v>
      </c>
      <c r="D374" s="60">
        <v>919996500</v>
      </c>
      <c r="E374" s="131">
        <v>135164.42000000001</v>
      </c>
    </row>
    <row r="375" spans="2:5" ht="15" customHeight="1">
      <c r="B375" s="802">
        <v>5130204</v>
      </c>
      <c r="C375" s="132" t="s">
        <v>176</v>
      </c>
      <c r="D375" s="52">
        <v>45357573</v>
      </c>
      <c r="E375" s="131">
        <v>6685.89</v>
      </c>
    </row>
    <row r="376" spans="2:5" ht="15" customHeight="1">
      <c r="B376" s="802">
        <v>5130205</v>
      </c>
      <c r="C376" s="132" t="s">
        <v>1088</v>
      </c>
      <c r="D376" s="52">
        <v>19675318</v>
      </c>
      <c r="E376" s="131">
        <v>2858.19</v>
      </c>
    </row>
    <row r="377" spans="2:5" ht="15" customHeight="1">
      <c r="B377" s="802">
        <v>5130206</v>
      </c>
      <c r="C377" s="132" t="s">
        <v>811</v>
      </c>
      <c r="D377" s="52">
        <v>128652468</v>
      </c>
      <c r="E377" s="131">
        <v>18934.87</v>
      </c>
    </row>
    <row r="378" spans="2:5" ht="15" customHeight="1">
      <c r="B378" s="801">
        <v>5130207</v>
      </c>
      <c r="C378" s="60" t="s">
        <v>407</v>
      </c>
      <c r="D378" s="60">
        <v>162307818</v>
      </c>
      <c r="E378" s="131">
        <v>24004.080000000002</v>
      </c>
    </row>
    <row r="379" spans="2:5" ht="15" customHeight="1">
      <c r="B379" s="801">
        <v>51303</v>
      </c>
      <c r="C379" s="60" t="s">
        <v>173</v>
      </c>
      <c r="D379" s="60">
        <v>895031691</v>
      </c>
      <c r="E379" s="131">
        <v>131746.6</v>
      </c>
    </row>
    <row r="380" spans="2:5" ht="15" customHeight="1">
      <c r="B380" s="801">
        <v>5130301</v>
      </c>
      <c r="C380" s="60" t="s">
        <v>269</v>
      </c>
      <c r="D380" s="60">
        <v>635926380</v>
      </c>
      <c r="E380" s="131">
        <v>93500</v>
      </c>
    </row>
    <row r="381" spans="2:5" ht="15" customHeight="1">
      <c r="B381" s="801">
        <v>5130303</v>
      </c>
      <c r="C381" s="60" t="s">
        <v>812</v>
      </c>
      <c r="D381" s="60">
        <v>40670370</v>
      </c>
      <c r="E381" s="131">
        <v>6000</v>
      </c>
    </row>
    <row r="382" spans="2:5" ht="15" customHeight="1">
      <c r="B382" s="801">
        <v>5130304</v>
      </c>
      <c r="C382" s="60" t="s">
        <v>173</v>
      </c>
      <c r="D382" s="60">
        <v>218434941</v>
      </c>
      <c r="E382" s="131">
        <v>32246.6</v>
      </c>
    </row>
    <row r="383" spans="2:5" ht="15" customHeight="1">
      <c r="B383" s="801">
        <v>51304</v>
      </c>
      <c r="C383" s="60" t="s">
        <v>191</v>
      </c>
      <c r="D383" s="60">
        <v>829524986</v>
      </c>
      <c r="E383" s="131">
        <v>122995.95000000001</v>
      </c>
    </row>
    <row r="384" spans="2:5" ht="15" customHeight="1">
      <c r="B384" s="801">
        <v>5130401</v>
      </c>
      <c r="C384" s="60" t="s">
        <v>1032</v>
      </c>
      <c r="D384" s="60">
        <v>44703500</v>
      </c>
      <c r="E384" s="131">
        <v>6578.0299999999988</v>
      </c>
    </row>
    <row r="385" spans="2:5" ht="15" customHeight="1">
      <c r="B385" s="801">
        <v>5130402</v>
      </c>
      <c r="C385" s="60" t="s">
        <v>180</v>
      </c>
      <c r="D385" s="60">
        <v>327379495</v>
      </c>
      <c r="E385" s="131">
        <v>48985.71</v>
      </c>
    </row>
    <row r="386" spans="2:5" ht="15" customHeight="1">
      <c r="B386" s="801">
        <v>5130403</v>
      </c>
      <c r="C386" s="60" t="s">
        <v>1239</v>
      </c>
      <c r="D386" s="60">
        <v>10272727</v>
      </c>
      <c r="E386" s="131">
        <v>1502.89</v>
      </c>
    </row>
    <row r="387" spans="2:5" ht="15" customHeight="1">
      <c r="B387" s="801">
        <v>5130404</v>
      </c>
      <c r="C387" s="60" t="s">
        <v>813</v>
      </c>
      <c r="D387" s="60">
        <v>38216035</v>
      </c>
      <c r="E387" s="131">
        <v>5547.72</v>
      </c>
    </row>
    <row r="388" spans="2:5" ht="15" customHeight="1">
      <c r="B388" s="801">
        <v>5130405</v>
      </c>
      <c r="C388" s="60" t="s">
        <v>814</v>
      </c>
      <c r="D388" s="60">
        <v>388197452</v>
      </c>
      <c r="E388" s="131">
        <v>57365.36</v>
      </c>
    </row>
    <row r="389" spans="2:5" ht="15" customHeight="1">
      <c r="B389" s="801">
        <v>5130407</v>
      </c>
      <c r="C389" s="60" t="s">
        <v>1240</v>
      </c>
      <c r="D389" s="60">
        <v>20755777</v>
      </c>
      <c r="E389" s="131">
        <v>3016.24</v>
      </c>
    </row>
    <row r="390" spans="2:5" ht="15" customHeight="1">
      <c r="B390" s="802">
        <v>51305</v>
      </c>
      <c r="C390" s="132" t="s">
        <v>816</v>
      </c>
      <c r="D390" s="52">
        <v>183086842</v>
      </c>
      <c r="E390" s="131">
        <v>29048.14</v>
      </c>
    </row>
    <row r="391" spans="2:5" ht="15" customHeight="1">
      <c r="B391" s="802">
        <v>5130501</v>
      </c>
      <c r="C391" s="132" t="s">
        <v>817</v>
      </c>
      <c r="D391" s="52">
        <v>6067564</v>
      </c>
      <c r="E391" s="131">
        <v>950.57</v>
      </c>
    </row>
    <row r="392" spans="2:5" ht="15" customHeight="1">
      <c r="B392" s="802">
        <v>513050101</v>
      </c>
      <c r="C392" s="132" t="s">
        <v>818</v>
      </c>
      <c r="D392" s="52">
        <v>588477</v>
      </c>
      <c r="E392" s="131">
        <v>88.1</v>
      </c>
    </row>
    <row r="393" spans="2:5" ht="15" customHeight="1">
      <c r="B393" s="802">
        <v>513050103</v>
      </c>
      <c r="C393" s="132" t="s">
        <v>819</v>
      </c>
      <c r="D393" s="52">
        <v>5479087</v>
      </c>
      <c r="E393" s="131">
        <v>862.47</v>
      </c>
    </row>
    <row r="394" spans="2:5" ht="15" customHeight="1">
      <c r="B394" s="802">
        <v>5130502</v>
      </c>
      <c r="C394" s="132" t="s">
        <v>820</v>
      </c>
      <c r="D394" s="52">
        <v>177019278</v>
      </c>
      <c r="E394" s="131">
        <v>28097.57</v>
      </c>
    </row>
    <row r="395" spans="2:5" ht="15" customHeight="1">
      <c r="B395" s="802">
        <v>513050201</v>
      </c>
      <c r="C395" s="132" t="s">
        <v>821</v>
      </c>
      <c r="D395" s="52">
        <v>7235861</v>
      </c>
      <c r="E395" s="131">
        <v>1200</v>
      </c>
    </row>
    <row r="396" spans="2:5" ht="15" customHeight="1">
      <c r="B396" s="802">
        <v>513050202</v>
      </c>
      <c r="C396" s="132" t="s">
        <v>822</v>
      </c>
      <c r="D396" s="52">
        <v>130145465</v>
      </c>
      <c r="E396" s="131">
        <v>21056.34</v>
      </c>
    </row>
    <row r="397" spans="2:5" ht="15" customHeight="1">
      <c r="B397" s="802">
        <v>513050203</v>
      </c>
      <c r="C397" s="132" t="s">
        <v>823</v>
      </c>
      <c r="D397" s="52">
        <v>38037943</v>
      </c>
      <c r="E397" s="131">
        <v>5583.57</v>
      </c>
    </row>
    <row r="398" spans="2:5" ht="15" customHeight="1">
      <c r="B398" s="802">
        <v>513050204</v>
      </c>
      <c r="C398" s="132" t="s">
        <v>824</v>
      </c>
      <c r="D398" s="52">
        <v>1600009</v>
      </c>
      <c r="E398" s="131">
        <v>257.66000000000003</v>
      </c>
    </row>
    <row r="399" spans="2:5" ht="15" customHeight="1">
      <c r="B399" s="802">
        <v>51306</v>
      </c>
      <c r="C399" s="132" t="s">
        <v>178</v>
      </c>
      <c r="D399" s="52">
        <v>130833289</v>
      </c>
      <c r="E399" s="131">
        <v>19297.88</v>
      </c>
    </row>
    <row r="400" spans="2:5" ht="15" customHeight="1">
      <c r="B400" s="802">
        <v>5130601</v>
      </c>
      <c r="C400" s="132" t="s">
        <v>1096</v>
      </c>
      <c r="D400" s="52">
        <v>322727</v>
      </c>
      <c r="E400" s="131">
        <v>47.8</v>
      </c>
    </row>
    <row r="401" spans="2:5" ht="15" customHeight="1">
      <c r="B401" s="802">
        <v>5130603</v>
      </c>
      <c r="C401" s="132" t="s">
        <v>825</v>
      </c>
      <c r="D401" s="52">
        <v>129910562</v>
      </c>
      <c r="E401" s="131">
        <v>19161.02</v>
      </c>
    </row>
    <row r="402" spans="2:5" ht="15" customHeight="1">
      <c r="B402" s="802">
        <v>5130605</v>
      </c>
      <c r="C402" s="132" t="s">
        <v>237</v>
      </c>
      <c r="D402" s="52">
        <v>600000</v>
      </c>
      <c r="E402" s="131">
        <v>89.06</v>
      </c>
    </row>
    <row r="403" spans="2:5" ht="15" customHeight="1">
      <c r="B403" s="802">
        <v>51307</v>
      </c>
      <c r="C403" s="132" t="s">
        <v>1098</v>
      </c>
      <c r="D403" s="52">
        <v>140696507</v>
      </c>
      <c r="E403" s="131">
        <v>20857.230000000003</v>
      </c>
    </row>
    <row r="404" spans="2:5" ht="15" customHeight="1">
      <c r="B404" s="802">
        <v>5130701</v>
      </c>
      <c r="C404" s="132" t="s">
        <v>815</v>
      </c>
      <c r="D404" s="52">
        <v>128559149</v>
      </c>
      <c r="E404" s="131">
        <v>19093.439999999999</v>
      </c>
    </row>
    <row r="405" spans="2:5" ht="15" customHeight="1">
      <c r="B405" s="802">
        <v>5130702</v>
      </c>
      <c r="C405" s="132" t="s">
        <v>1091</v>
      </c>
      <c r="D405" s="52">
        <v>974548</v>
      </c>
      <c r="E405" s="131">
        <v>141.32999999999998</v>
      </c>
    </row>
    <row r="406" spans="2:5" ht="15" customHeight="1">
      <c r="B406" s="802">
        <v>5130703</v>
      </c>
      <c r="C406" s="132" t="s">
        <v>1241</v>
      </c>
      <c r="D406" s="52">
        <v>11162810</v>
      </c>
      <c r="E406" s="131">
        <v>1622.4599999999996</v>
      </c>
    </row>
    <row r="407" spans="2:5" ht="15" customHeight="1">
      <c r="B407" s="802">
        <v>51308</v>
      </c>
      <c r="C407" s="132" t="s">
        <v>48</v>
      </c>
      <c r="D407" s="52">
        <v>7421455</v>
      </c>
      <c r="E407" s="131">
        <v>1076.7</v>
      </c>
    </row>
    <row r="408" spans="2:5" ht="15" customHeight="1">
      <c r="B408" s="802">
        <v>5130801</v>
      </c>
      <c r="C408" s="132" t="s">
        <v>826</v>
      </c>
      <c r="D408" s="52">
        <v>7421455</v>
      </c>
      <c r="E408" s="131">
        <v>1076.7</v>
      </c>
    </row>
    <row r="409" spans="2:5" ht="15" customHeight="1">
      <c r="B409" s="802">
        <v>51309</v>
      </c>
      <c r="C409" s="132" t="s">
        <v>51</v>
      </c>
      <c r="D409" s="52">
        <v>12137203</v>
      </c>
      <c r="E409" s="131">
        <v>1773.42</v>
      </c>
    </row>
    <row r="410" spans="2:5" ht="15" customHeight="1">
      <c r="B410" s="802">
        <v>5130902</v>
      </c>
      <c r="C410" s="132" t="s">
        <v>827</v>
      </c>
      <c r="D410" s="52">
        <v>10308500</v>
      </c>
      <c r="E410" s="131">
        <v>1502.15</v>
      </c>
    </row>
    <row r="411" spans="2:5" ht="15" customHeight="1">
      <c r="B411" s="802">
        <v>5130904</v>
      </c>
      <c r="C411" s="132" t="s">
        <v>828</v>
      </c>
      <c r="D411" s="52">
        <v>1828703</v>
      </c>
      <c r="E411" s="131">
        <v>271.27</v>
      </c>
    </row>
    <row r="412" spans="2:5" ht="15" customHeight="1">
      <c r="B412" s="802">
        <v>51310</v>
      </c>
      <c r="C412" s="132" t="s">
        <v>247</v>
      </c>
      <c r="D412" s="52">
        <v>276039402</v>
      </c>
      <c r="E412" s="131">
        <v>40338.399999999994</v>
      </c>
    </row>
    <row r="413" spans="2:5" ht="15" customHeight="1">
      <c r="B413" s="802">
        <v>5131001</v>
      </c>
      <c r="C413" s="132" t="s">
        <v>1101</v>
      </c>
      <c r="D413" s="52">
        <v>3734386</v>
      </c>
      <c r="E413" s="131">
        <v>542.71</v>
      </c>
    </row>
    <row r="414" spans="2:5" ht="15" customHeight="1">
      <c r="B414" s="802">
        <v>5131002</v>
      </c>
      <c r="C414" s="132" t="s">
        <v>829</v>
      </c>
      <c r="D414" s="52">
        <v>18402316</v>
      </c>
      <c r="E414" s="131">
        <v>2729.75</v>
      </c>
    </row>
    <row r="415" spans="2:5" ht="15" customHeight="1">
      <c r="B415" s="802">
        <v>5131006</v>
      </c>
      <c r="C415" s="132" t="s">
        <v>830</v>
      </c>
      <c r="D415" s="52">
        <v>18371206</v>
      </c>
      <c r="E415" s="131">
        <v>2703.4700000000003</v>
      </c>
    </row>
    <row r="416" spans="2:5" ht="15" customHeight="1">
      <c r="B416" s="802">
        <v>5131007</v>
      </c>
      <c r="C416" s="132" t="s">
        <v>971</v>
      </c>
      <c r="D416" s="52">
        <v>2126191</v>
      </c>
      <c r="E416" s="131">
        <v>312.72000000000003</v>
      </c>
    </row>
    <row r="417" spans="2:5" ht="15" customHeight="1">
      <c r="B417" s="802">
        <v>5131008</v>
      </c>
      <c r="C417" s="132" t="s">
        <v>1105</v>
      </c>
      <c r="D417" s="52">
        <v>3474050</v>
      </c>
      <c r="E417" s="131">
        <v>505.17</v>
      </c>
    </row>
    <row r="418" spans="2:5" ht="15" customHeight="1">
      <c r="B418" s="802">
        <v>5131010</v>
      </c>
      <c r="C418" s="132" t="s">
        <v>179</v>
      </c>
      <c r="D418" s="52">
        <v>11468800</v>
      </c>
      <c r="E418" s="131">
        <v>1663.49</v>
      </c>
    </row>
    <row r="419" spans="2:5" ht="15" customHeight="1">
      <c r="B419" s="802">
        <v>5131012</v>
      </c>
      <c r="C419" s="132" t="s">
        <v>831</v>
      </c>
      <c r="D419" s="52">
        <v>24551374</v>
      </c>
      <c r="E419" s="131">
        <v>3667.59</v>
      </c>
    </row>
    <row r="420" spans="2:5" ht="15" customHeight="1">
      <c r="B420" s="802">
        <v>5131014</v>
      </c>
      <c r="C420" s="132" t="s">
        <v>832</v>
      </c>
      <c r="D420" s="52">
        <v>19788235</v>
      </c>
      <c r="E420" s="131">
        <v>2889.52</v>
      </c>
    </row>
    <row r="421" spans="2:5" ht="15" customHeight="1">
      <c r="B421" s="802">
        <v>5131015</v>
      </c>
      <c r="C421" s="132" t="s">
        <v>236</v>
      </c>
      <c r="D421" s="52">
        <v>30091636</v>
      </c>
      <c r="E421" s="131">
        <v>4397.47</v>
      </c>
    </row>
    <row r="422" spans="2:5" ht="15" customHeight="1">
      <c r="B422" s="802">
        <v>5131016</v>
      </c>
      <c r="C422" s="132" t="s">
        <v>238</v>
      </c>
      <c r="D422" s="52">
        <v>872727</v>
      </c>
      <c r="E422" s="131">
        <v>135.59</v>
      </c>
    </row>
    <row r="423" spans="2:5" ht="15" customHeight="1">
      <c r="B423" s="802">
        <v>5131019</v>
      </c>
      <c r="C423" s="132" t="s">
        <v>398</v>
      </c>
      <c r="D423" s="52">
        <v>5172724</v>
      </c>
      <c r="E423" s="131">
        <v>765.72</v>
      </c>
    </row>
    <row r="424" spans="2:5" ht="15" customHeight="1">
      <c r="B424" s="802">
        <v>5131020</v>
      </c>
      <c r="C424" s="132" t="s">
        <v>1242</v>
      </c>
      <c r="D424" s="52">
        <v>50000000</v>
      </c>
      <c r="E424" s="131">
        <v>7246.28</v>
      </c>
    </row>
    <row r="425" spans="2:5" ht="15" customHeight="1">
      <c r="B425" s="802">
        <v>5131021</v>
      </c>
      <c r="C425" s="132" t="s">
        <v>1266</v>
      </c>
      <c r="D425" s="52">
        <v>80000000</v>
      </c>
      <c r="E425" s="131">
        <v>11615.41</v>
      </c>
    </row>
    <row r="426" spans="2:5" ht="15" customHeight="1">
      <c r="B426" s="802">
        <v>5131099</v>
      </c>
      <c r="C426" s="132" t="s">
        <v>1109</v>
      </c>
      <c r="D426" s="52">
        <v>7985757</v>
      </c>
      <c r="E426" s="131">
        <v>1163.51</v>
      </c>
    </row>
    <row r="427" spans="2:5" ht="15" customHeight="1">
      <c r="B427" s="802">
        <v>514</v>
      </c>
      <c r="C427" s="132" t="s">
        <v>834</v>
      </c>
      <c r="D427" s="52">
        <v>3880354222</v>
      </c>
      <c r="E427" s="131">
        <v>2471279.6798</v>
      </c>
    </row>
    <row r="428" spans="2:5" ht="15" customHeight="1">
      <c r="B428" s="802">
        <v>51403</v>
      </c>
      <c r="C428" s="132" t="s">
        <v>181</v>
      </c>
      <c r="D428" s="52">
        <v>2449436</v>
      </c>
      <c r="E428" s="131">
        <v>357.92</v>
      </c>
    </row>
    <row r="429" spans="2:5" ht="15" customHeight="1">
      <c r="B429" s="802">
        <v>51404</v>
      </c>
      <c r="C429" s="132" t="s">
        <v>835</v>
      </c>
      <c r="D429" s="52">
        <v>275148568</v>
      </c>
      <c r="E429" s="131">
        <v>40899.279999999999</v>
      </c>
    </row>
    <row r="430" spans="2:5" ht="15" customHeight="1">
      <c r="B430" s="802">
        <v>51405</v>
      </c>
      <c r="C430" s="132" t="s">
        <v>78</v>
      </c>
      <c r="D430" s="52">
        <v>10219309</v>
      </c>
      <c r="E430" s="131">
        <v>1545.16</v>
      </c>
    </row>
    <row r="431" spans="2:5" ht="15" customHeight="1">
      <c r="B431" s="802">
        <v>51406</v>
      </c>
      <c r="C431" s="132" t="s">
        <v>836</v>
      </c>
      <c r="D431" s="52">
        <v>11569681</v>
      </c>
      <c r="E431" s="131">
        <v>1679.27</v>
      </c>
    </row>
    <row r="432" spans="2:5" ht="15" customHeight="1">
      <c r="B432" s="802">
        <v>51407</v>
      </c>
      <c r="C432" s="132" t="s">
        <v>837</v>
      </c>
      <c r="D432" s="52">
        <v>3580967228</v>
      </c>
      <c r="E432" s="131">
        <v>2426798.0498000002</v>
      </c>
    </row>
    <row r="433" spans="2:5" ht="15" customHeight="1">
      <c r="B433" s="802">
        <v>5140701</v>
      </c>
      <c r="C433" s="132" t="s">
        <v>793</v>
      </c>
      <c r="D433" s="52">
        <v>2396651034</v>
      </c>
      <c r="E433" s="131">
        <v>1790554.08</v>
      </c>
    </row>
    <row r="434" spans="2:5" ht="15" customHeight="1">
      <c r="B434" s="802">
        <v>5140702</v>
      </c>
      <c r="C434" s="132" t="s">
        <v>794</v>
      </c>
      <c r="D434" s="52">
        <v>1184316194</v>
      </c>
      <c r="E434" s="131">
        <v>636243.96980000008</v>
      </c>
    </row>
    <row r="435" spans="2:5" ht="15" customHeight="1">
      <c r="B435" s="802">
        <v>515</v>
      </c>
      <c r="C435" s="132" t="s">
        <v>240</v>
      </c>
      <c r="D435" s="52">
        <v>666007751</v>
      </c>
      <c r="E435" s="131">
        <v>99371.99</v>
      </c>
    </row>
    <row r="436" spans="2:5" ht="15" customHeight="1">
      <c r="B436" s="802">
        <v>51501</v>
      </c>
      <c r="C436" s="132" t="s">
        <v>77</v>
      </c>
      <c r="D436" s="52">
        <v>152286289</v>
      </c>
      <c r="E436" s="131">
        <v>23078.959999999999</v>
      </c>
    </row>
    <row r="437" spans="2:5" ht="15" customHeight="1">
      <c r="B437" s="802">
        <v>51502</v>
      </c>
      <c r="C437" s="132" t="s">
        <v>838</v>
      </c>
      <c r="D437" s="52">
        <v>49783131</v>
      </c>
      <c r="E437" s="131">
        <v>7521.13</v>
      </c>
    </row>
    <row r="438" spans="2:5" ht="15" customHeight="1">
      <c r="B438" s="802">
        <v>51503</v>
      </c>
      <c r="C438" s="132" t="s">
        <v>839</v>
      </c>
      <c r="D438" s="52">
        <v>64351492</v>
      </c>
      <c r="E438" s="131">
        <v>9550.5499999999993</v>
      </c>
    </row>
    <row r="439" spans="2:5" ht="15" customHeight="1">
      <c r="B439" s="802">
        <v>5150301</v>
      </c>
      <c r="C439" s="132" t="s">
        <v>840</v>
      </c>
      <c r="D439" s="52">
        <v>62352222</v>
      </c>
      <c r="E439" s="131">
        <v>9261.6999999999989</v>
      </c>
    </row>
    <row r="440" spans="2:5" ht="15" customHeight="1">
      <c r="B440" s="802">
        <v>5150302</v>
      </c>
      <c r="C440" s="132" t="s">
        <v>1112</v>
      </c>
      <c r="D440" s="52">
        <v>1999270</v>
      </c>
      <c r="E440" s="131">
        <v>288.85000000000002</v>
      </c>
    </row>
    <row r="441" spans="2:5" ht="15" customHeight="1">
      <c r="B441" s="802">
        <v>51504</v>
      </c>
      <c r="C441" s="132" t="s">
        <v>841</v>
      </c>
      <c r="D441" s="52">
        <v>394303928</v>
      </c>
      <c r="E441" s="131">
        <v>58441.31</v>
      </c>
    </row>
    <row r="442" spans="2:5" ht="15" customHeight="1">
      <c r="B442" s="802">
        <v>51505</v>
      </c>
      <c r="C442" s="132" t="s">
        <v>1113</v>
      </c>
      <c r="D442" s="52">
        <v>5282911</v>
      </c>
      <c r="E442" s="131">
        <v>780.04</v>
      </c>
    </row>
    <row r="443" spans="2:5" ht="15" customHeight="1">
      <c r="B443" s="802">
        <v>52</v>
      </c>
      <c r="C443" s="132" t="s">
        <v>239</v>
      </c>
      <c r="D443" s="52">
        <v>12107</v>
      </c>
      <c r="E443" s="131">
        <v>2.3600000000000003</v>
      </c>
    </row>
    <row r="444" spans="2:5" ht="15" customHeight="1">
      <c r="B444" s="803">
        <v>5204</v>
      </c>
      <c r="C444" s="769" t="s">
        <v>842</v>
      </c>
      <c r="D444" s="769">
        <v>12107</v>
      </c>
      <c r="E444" s="769">
        <v>2.3600000000000003</v>
      </c>
    </row>
    <row r="445" spans="2:5" ht="15" customHeight="1">
      <c r="B445" s="804"/>
      <c r="C445" s="145" t="s">
        <v>1473</v>
      </c>
      <c r="D445" s="771">
        <v>2497475898</v>
      </c>
      <c r="E445" s="772">
        <v>333468.21999999997</v>
      </c>
    </row>
  </sheetData>
  <printOptions gridLinesSet="0"/>
  <pageMargins left="0.75" right="0.75" top="1" bottom="0.75" header="0.5" footer="0.5"/>
  <pageSetup paperSize="9"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P1312"/>
  <sheetViews>
    <sheetView showGridLines="0" zoomScale="70" zoomScaleNormal="70" zoomScaleSheetLayoutView="100" workbookViewId="0">
      <pane ySplit="7" topLeftCell="A1295" activePane="bottomLeft" state="frozen"/>
      <selection activeCell="D714" sqref="D714"/>
      <selection pane="bottomLeft" activeCell="A1305" sqref="A1305"/>
    </sheetView>
  </sheetViews>
  <sheetFormatPr baseColWidth="10" defaultColWidth="9.33203125" defaultRowHeight="16.8"/>
  <cols>
    <col min="1" max="1" width="3.109375" style="337" customWidth="1"/>
    <col min="2" max="2" width="52.109375" style="338" customWidth="1"/>
    <col min="3" max="3" width="20.33203125" style="338" customWidth="1"/>
    <col min="4" max="4" width="19.33203125" style="338" customWidth="1"/>
    <col min="5" max="5" width="16.6640625" style="338" customWidth="1"/>
    <col min="6" max="6" width="17.33203125" style="338" customWidth="1"/>
    <col min="7" max="7" width="17.88671875" style="338" customWidth="1"/>
    <col min="8" max="8" width="19.6640625" style="338" customWidth="1"/>
    <col min="9" max="9" width="19.6640625" style="340" bestFit="1" customWidth="1"/>
    <col min="10" max="10" width="20.5546875" style="338" bestFit="1" customWidth="1"/>
    <col min="11" max="11" width="12.6640625" style="338" customWidth="1"/>
    <col min="12" max="12" width="17.6640625" style="353" bestFit="1" customWidth="1"/>
    <col min="13" max="13" width="15.6640625" style="353" customWidth="1"/>
    <col min="14" max="14" width="14.88671875" style="353" bestFit="1" customWidth="1"/>
    <col min="15" max="16384" width="9.33203125" style="338"/>
  </cols>
  <sheetData>
    <row r="1" spans="1:16" s="218" customFormat="1" ht="10.199999999999999" customHeight="1">
      <c r="B1" s="246"/>
      <c r="C1" s="246"/>
      <c r="D1" s="246"/>
      <c r="E1" s="246"/>
      <c r="F1" s="246"/>
      <c r="G1" s="246"/>
      <c r="H1" s="246"/>
      <c r="I1" s="246"/>
      <c r="J1" s="246"/>
      <c r="K1" s="246"/>
      <c r="L1" s="246"/>
    </row>
    <row r="2" spans="1:16" s="218" customFormat="1" ht="18">
      <c r="B2" s="721"/>
      <c r="C2" s="721"/>
      <c r="D2" s="721"/>
      <c r="E2" s="721"/>
      <c r="F2" s="721"/>
      <c r="G2" s="721"/>
      <c r="H2" s="721"/>
      <c r="I2" s="721"/>
      <c r="J2" s="721"/>
      <c r="K2" s="721"/>
      <c r="L2" s="721"/>
      <c r="M2" s="721"/>
      <c r="N2" s="721"/>
      <c r="O2" s="721"/>
      <c r="P2" s="721"/>
    </row>
    <row r="3" spans="1:16" s="218" customFormat="1" ht="18">
      <c r="B3" s="1037"/>
      <c r="C3" s="1037"/>
      <c r="D3" s="1037"/>
      <c r="E3" s="1037"/>
      <c r="F3" s="1037"/>
      <c r="G3" s="1037"/>
      <c r="H3" s="1037"/>
      <c r="I3" s="1037"/>
      <c r="J3" s="1037"/>
      <c r="K3" s="1037"/>
      <c r="L3" s="1037"/>
      <c r="M3" s="1037"/>
    </row>
    <row r="4" spans="1:16" s="218" customFormat="1" ht="18">
      <c r="B4" s="1037"/>
      <c r="C4" s="1037"/>
      <c r="D4" s="1037"/>
      <c r="E4" s="1037"/>
      <c r="F4" s="1037"/>
      <c r="G4" s="1037"/>
      <c r="H4" s="1037"/>
      <c r="I4" s="1037"/>
      <c r="J4" s="1037"/>
      <c r="K4" s="1037"/>
      <c r="L4" s="1037"/>
      <c r="M4" s="1037"/>
    </row>
    <row r="5" spans="1:16" s="218" customFormat="1" ht="18">
      <c r="B5" s="1037"/>
      <c r="C5" s="1037"/>
      <c r="D5" s="1037"/>
      <c r="E5" s="1037"/>
      <c r="F5" s="1037"/>
      <c r="G5" s="1037"/>
      <c r="H5" s="1037"/>
      <c r="I5" s="1037"/>
      <c r="J5" s="1037"/>
      <c r="K5" s="1037"/>
      <c r="L5" s="1037"/>
      <c r="M5" s="1037"/>
    </row>
    <row r="6" spans="1:16" s="218" customFormat="1" ht="18">
      <c r="B6" s="1037"/>
      <c r="C6" s="1037"/>
      <c r="D6" s="1037"/>
      <c r="E6" s="1037"/>
      <c r="F6" s="1037"/>
      <c r="G6" s="1037"/>
      <c r="H6" s="1037"/>
      <c r="I6" s="1037"/>
      <c r="J6" s="1037"/>
      <c r="K6" s="1037"/>
      <c r="L6" s="1037"/>
      <c r="M6" s="1037"/>
    </row>
    <row r="7" spans="1:16" s="218" customFormat="1" ht="20.399999999999999" customHeight="1">
      <c r="B7" s="158"/>
      <c r="C7" s="158"/>
      <c r="D7" s="158"/>
      <c r="E7" s="158"/>
      <c r="F7" s="158"/>
      <c r="G7" s="158"/>
      <c r="H7" s="158"/>
      <c r="I7" s="158"/>
      <c r="J7" s="158"/>
      <c r="K7" s="158"/>
      <c r="L7" s="158"/>
      <c r="M7" s="158"/>
      <c r="N7" s="158"/>
      <c r="O7" s="158"/>
      <c r="P7" s="158"/>
    </row>
    <row r="8" spans="1:16">
      <c r="K8" s="258" t="s">
        <v>1170</v>
      </c>
    </row>
    <row r="9" spans="1:16" s="606" customFormat="1" ht="18">
      <c r="A9" s="604"/>
      <c r="B9" s="605" t="s">
        <v>503</v>
      </c>
      <c r="I9" s="607"/>
      <c r="L9" s="608"/>
      <c r="M9" s="608"/>
      <c r="N9" s="608"/>
    </row>
    <row r="11" spans="1:16">
      <c r="B11" s="339" t="s">
        <v>329</v>
      </c>
    </row>
    <row r="12" spans="1:16" ht="39.6" customHeight="1">
      <c r="B12" s="1032" t="s">
        <v>1547</v>
      </c>
      <c r="C12" s="1032"/>
      <c r="D12" s="1032"/>
      <c r="E12" s="1032"/>
      <c r="F12" s="1032"/>
      <c r="G12" s="1032"/>
      <c r="H12" s="1032"/>
      <c r="I12" s="1032"/>
      <c r="J12" s="1032"/>
      <c r="K12" s="1032"/>
    </row>
    <row r="13" spans="1:16">
      <c r="B13" s="339"/>
    </row>
    <row r="14" spans="1:16" s="344" customFormat="1" ht="28.2" customHeight="1">
      <c r="A14" s="341"/>
      <c r="B14" s="342"/>
      <c r="C14" s="343">
        <v>44742</v>
      </c>
      <c r="D14" s="343">
        <v>44561</v>
      </c>
      <c r="E14" s="338"/>
      <c r="F14" s="338"/>
      <c r="G14" s="338"/>
      <c r="I14" s="345"/>
      <c r="L14" s="609"/>
      <c r="M14" s="609"/>
      <c r="N14" s="609"/>
    </row>
    <row r="15" spans="1:16" ht="26.4" customHeight="1">
      <c r="B15" s="617" t="s">
        <v>1285</v>
      </c>
      <c r="C15" s="615">
        <v>6837.9</v>
      </c>
      <c r="D15" s="615">
        <v>6870.81</v>
      </c>
    </row>
    <row r="16" spans="1:16" ht="26.4" customHeight="1">
      <c r="B16" s="617" t="s">
        <v>1286</v>
      </c>
      <c r="C16" s="615">
        <v>6850.05</v>
      </c>
      <c r="D16" s="615">
        <v>6887.4</v>
      </c>
    </row>
    <row r="17" spans="1:14">
      <c r="D17" s="346"/>
    </row>
    <row r="18" spans="1:14">
      <c r="D18" s="346"/>
      <c r="E18" s="346"/>
    </row>
    <row r="19" spans="1:14">
      <c r="B19" s="339" t="s">
        <v>330</v>
      </c>
      <c r="C19" s="347"/>
    </row>
    <row r="20" spans="1:14" ht="16.2" customHeight="1">
      <c r="B20" s="1051" t="s">
        <v>557</v>
      </c>
      <c r="C20" s="1051"/>
      <c r="D20" s="1051"/>
      <c r="E20" s="1051"/>
      <c r="F20" s="1051"/>
      <c r="G20" s="1051"/>
      <c r="H20" s="1051"/>
    </row>
    <row r="21" spans="1:14" ht="16.2" customHeight="1">
      <c r="B21" s="616"/>
      <c r="C21" s="616"/>
      <c r="D21" s="616"/>
      <c r="E21" s="616"/>
      <c r="F21" s="616"/>
      <c r="G21" s="616"/>
      <c r="H21" s="616"/>
    </row>
    <row r="22" spans="1:14" ht="17.399999999999999" customHeight="1">
      <c r="B22" s="336"/>
      <c r="C22" s="336"/>
      <c r="I22" s="338"/>
    </row>
    <row r="23" spans="1:14" s="350" customFormat="1" ht="36" customHeight="1">
      <c r="A23" s="348"/>
      <c r="B23" s="1034" t="s">
        <v>331</v>
      </c>
      <c r="C23" s="1034" t="s">
        <v>1283</v>
      </c>
      <c r="D23" s="1034" t="s">
        <v>1284</v>
      </c>
      <c r="E23" s="1034" t="s">
        <v>1548</v>
      </c>
      <c r="F23" s="1034" t="s">
        <v>1549</v>
      </c>
      <c r="G23" s="1034" t="s">
        <v>1287</v>
      </c>
      <c r="H23" s="1034" t="s">
        <v>1288</v>
      </c>
      <c r="J23" s="349"/>
      <c r="L23" s="610"/>
      <c r="M23" s="610"/>
      <c r="N23" s="610"/>
    </row>
    <row r="24" spans="1:14" ht="15.6" customHeight="1">
      <c r="B24" s="1034"/>
      <c r="C24" s="1034"/>
      <c r="D24" s="1034"/>
      <c r="E24" s="1034"/>
      <c r="F24" s="1034"/>
      <c r="G24" s="1034"/>
      <c r="H24" s="1034"/>
      <c r="I24" s="338"/>
      <c r="J24" s="340"/>
    </row>
    <row r="25" spans="1:14" s="353" customFormat="1" ht="18.600000000000001" customHeight="1">
      <c r="A25" s="352"/>
      <c r="B25" s="383" t="s">
        <v>3</v>
      </c>
      <c r="C25" s="383"/>
      <c r="D25" s="383"/>
      <c r="E25" s="383"/>
      <c r="F25" s="383"/>
      <c r="G25" s="383"/>
      <c r="H25" s="618"/>
    </row>
    <row r="26" spans="1:14" s="353" customFormat="1" ht="18.600000000000001" customHeight="1">
      <c r="A26" s="352"/>
      <c r="B26" s="383" t="s">
        <v>4</v>
      </c>
      <c r="C26" s="383"/>
      <c r="D26" s="383"/>
      <c r="E26" s="383"/>
      <c r="F26" s="383"/>
      <c r="G26" s="383"/>
      <c r="H26" s="618"/>
    </row>
    <row r="27" spans="1:14" s="353" customFormat="1">
      <c r="A27" s="352"/>
      <c r="B27" s="354" t="s">
        <v>259</v>
      </c>
      <c r="C27" s="354"/>
      <c r="D27" s="354"/>
      <c r="E27" s="354"/>
      <c r="F27" s="354"/>
      <c r="G27" s="354"/>
      <c r="H27" s="355"/>
    </row>
    <row r="28" spans="1:14" s="353" customFormat="1">
      <c r="A28" s="352"/>
      <c r="B28" s="356" t="s">
        <v>16</v>
      </c>
      <c r="C28" s="357" t="s">
        <v>0</v>
      </c>
      <c r="D28" s="358">
        <f>+SUM(Clasificaciones!I40:I61)</f>
        <v>159221.75</v>
      </c>
      <c r="E28" s="359">
        <f>+$C$15</f>
        <v>6837.9</v>
      </c>
      <c r="F28" s="360">
        <f>++D28*E28</f>
        <v>1088742404.325</v>
      </c>
      <c r="G28" s="359">
        <f>+$D$15</f>
        <v>6870.81</v>
      </c>
      <c r="H28" s="360">
        <v>321050119.59847975</v>
      </c>
      <c r="J28" s="361"/>
      <c r="K28" s="361"/>
      <c r="L28" s="361"/>
    </row>
    <row r="29" spans="1:14" s="353" customFormat="1">
      <c r="A29" s="352"/>
      <c r="B29" s="354" t="s">
        <v>140</v>
      </c>
      <c r="C29" s="354"/>
      <c r="D29" s="362"/>
      <c r="E29" s="363"/>
      <c r="F29" s="354"/>
      <c r="G29" s="363"/>
      <c r="H29" s="355"/>
    </row>
    <row r="30" spans="1:14" s="353" customFormat="1">
      <c r="A30" s="352"/>
      <c r="B30" s="356" t="s">
        <v>1569</v>
      </c>
      <c r="C30" s="357" t="s">
        <v>0</v>
      </c>
      <c r="D30" s="358">
        <f>+Clasificaciones!I79+Clasificaciones!I96+Clasificaciones!I99</f>
        <v>48000</v>
      </c>
      <c r="E30" s="359">
        <f t="shared" ref="E30:E35" si="0">+$C$15</f>
        <v>6837.9</v>
      </c>
      <c r="F30" s="360">
        <f>++D30*E30</f>
        <v>328219200</v>
      </c>
      <c r="G30" s="359">
        <f>+$D$15</f>
        <v>6870.81</v>
      </c>
      <c r="H30" s="360">
        <v>68708100</v>
      </c>
      <c r="J30" s="361"/>
      <c r="K30" s="361"/>
    </row>
    <row r="31" spans="1:14" s="353" customFormat="1">
      <c r="A31" s="352"/>
      <c r="B31" s="356" t="s">
        <v>334</v>
      </c>
      <c r="C31" s="357" t="s">
        <v>0</v>
      </c>
      <c r="D31" s="358">
        <f>+Clasificaciones!I82+Clasificaciones!I102</f>
        <v>125000</v>
      </c>
      <c r="E31" s="359">
        <f t="shared" si="0"/>
        <v>6837.9</v>
      </c>
      <c r="F31" s="360">
        <f>++D31*E31</f>
        <v>854737500</v>
      </c>
      <c r="G31" s="359">
        <f t="shared" ref="G31:G35" si="1">+$D$15</f>
        <v>6870.81</v>
      </c>
      <c r="H31" s="360">
        <v>1030621500.0000001</v>
      </c>
      <c r="J31" s="361"/>
      <c r="K31" s="361"/>
    </row>
    <row r="32" spans="1:14" s="353" customFormat="1">
      <c r="A32" s="352"/>
      <c r="B32" s="356" t="s">
        <v>1137</v>
      </c>
      <c r="C32" s="357" t="s">
        <v>0</v>
      </c>
      <c r="D32" s="358">
        <f>+Clasificaciones!I126+Clasificaciones!I128+Clasificaciones!I130+Clasificaciones!I136+Clasificaciones!I140+Clasificaciones!I154</f>
        <v>2555407.0100000002</v>
      </c>
      <c r="E32" s="359">
        <f t="shared" si="0"/>
        <v>6837.9</v>
      </c>
      <c r="F32" s="360">
        <f>++D32*E32</f>
        <v>17473617593.679001</v>
      </c>
      <c r="G32" s="359">
        <f t="shared" si="1"/>
        <v>6870.81</v>
      </c>
      <c r="H32" s="360">
        <v>4439903542.9637995</v>
      </c>
      <c r="J32" s="361"/>
      <c r="K32" s="361"/>
    </row>
    <row r="33" spans="1:11" s="353" customFormat="1">
      <c r="A33" s="352"/>
      <c r="B33" s="356" t="s">
        <v>276</v>
      </c>
      <c r="C33" s="357" t="s">
        <v>0</v>
      </c>
      <c r="D33" s="358">
        <f>+Clasificaciones!I159+Clasificaciones!I161+Clasificaciones!I163+Clasificaciones!I169+Clasificaciones!I173+Clasificaciones!I187</f>
        <v>-2125642.5300000003</v>
      </c>
      <c r="E33" s="359">
        <f t="shared" si="0"/>
        <v>6837.9</v>
      </c>
      <c r="F33" s="360">
        <f>++D33*E33</f>
        <v>-14534931055.887001</v>
      </c>
      <c r="G33" s="359">
        <f t="shared" si="1"/>
        <v>6870.81</v>
      </c>
      <c r="H33" s="360">
        <v>-2582891728.6845016</v>
      </c>
      <c r="J33" s="361"/>
      <c r="K33" s="361"/>
    </row>
    <row r="34" spans="1:11" s="353" customFormat="1">
      <c r="A34" s="352"/>
      <c r="B34" s="356" t="s">
        <v>1291</v>
      </c>
      <c r="C34" s="357" t="s">
        <v>0</v>
      </c>
      <c r="D34" s="358">
        <f>+Clasificaciones!I218</f>
        <v>15363136</v>
      </c>
      <c r="E34" s="359">
        <f t="shared" si="0"/>
        <v>6837.9</v>
      </c>
      <c r="F34" s="360">
        <f t="shared" ref="F34:F35" si="2">++D34*E34</f>
        <v>105051587654.39999</v>
      </c>
      <c r="G34" s="359">
        <f t="shared" si="1"/>
        <v>6870.81</v>
      </c>
      <c r="H34" s="360">
        <v>21913321682.16</v>
      </c>
      <c r="J34" s="361"/>
      <c r="K34" s="361"/>
    </row>
    <row r="35" spans="1:11" s="353" customFormat="1">
      <c r="A35" s="352"/>
      <c r="B35" s="356" t="s">
        <v>1290</v>
      </c>
      <c r="C35" s="357" t="s">
        <v>0</v>
      </c>
      <c r="D35" s="358">
        <f>+Clasificaciones!I226+Clasificaciones!I230+Clasificaciones!I249+Clasificaciones!I252</f>
        <v>139739.78999999998</v>
      </c>
      <c r="E35" s="359">
        <f t="shared" si="0"/>
        <v>6837.9</v>
      </c>
      <c r="F35" s="360">
        <f t="shared" si="2"/>
        <v>955526710.04099977</v>
      </c>
      <c r="G35" s="359">
        <f t="shared" si="1"/>
        <v>6870.81</v>
      </c>
      <c r="H35" s="360">
        <v>63420668.16450002</v>
      </c>
      <c r="J35" s="361"/>
      <c r="K35" s="361"/>
    </row>
    <row r="36" spans="1:11" s="353" customFormat="1">
      <c r="A36" s="352"/>
      <c r="B36" s="354" t="s">
        <v>277</v>
      </c>
      <c r="C36" s="354"/>
      <c r="D36" s="362"/>
      <c r="E36" s="363"/>
      <c r="F36" s="354"/>
      <c r="G36" s="363"/>
      <c r="H36" s="355"/>
    </row>
    <row r="37" spans="1:11" s="353" customFormat="1">
      <c r="A37" s="352"/>
      <c r="B37" s="356" t="s">
        <v>335</v>
      </c>
      <c r="C37" s="357" t="s">
        <v>0</v>
      </c>
      <c r="D37" s="358">
        <f>+Clasificaciones!I257</f>
        <v>597.48</v>
      </c>
      <c r="E37" s="359">
        <f>+$C$15</f>
        <v>6837.9</v>
      </c>
      <c r="F37" s="360">
        <f>++D37*E37</f>
        <v>4085508.4920000001</v>
      </c>
      <c r="G37" s="359">
        <f t="shared" ref="G37:G39" si="3">+$D$15</f>
        <v>6870.81</v>
      </c>
      <c r="H37" s="360">
        <v>11910755.259299992</v>
      </c>
      <c r="J37" s="361"/>
      <c r="K37" s="361"/>
    </row>
    <row r="38" spans="1:11" s="353" customFormat="1">
      <c r="A38" s="352"/>
      <c r="B38" s="356" t="s">
        <v>1292</v>
      </c>
      <c r="C38" s="357" t="s">
        <v>0</v>
      </c>
      <c r="D38" s="358">
        <f>+Clasificaciones!I260</f>
        <v>331.53</v>
      </c>
      <c r="E38" s="359">
        <f>+$C$15</f>
        <v>6837.9</v>
      </c>
      <c r="F38" s="360">
        <f>++D38*E38</f>
        <v>2266968.9869999997</v>
      </c>
      <c r="G38" s="359">
        <f t="shared" si="3"/>
        <v>6870.81</v>
      </c>
      <c r="H38" s="360">
        <v>2997734.4029987203</v>
      </c>
      <c r="J38" s="361"/>
      <c r="K38" s="361"/>
    </row>
    <row r="39" spans="1:11" s="353" customFormat="1">
      <c r="A39" s="352"/>
      <c r="B39" s="356" t="s">
        <v>87</v>
      </c>
      <c r="C39" s="357" t="s">
        <v>0</v>
      </c>
      <c r="D39" s="358">
        <f>+Clasificaciones!I279</f>
        <v>1650</v>
      </c>
      <c r="E39" s="359">
        <f>+$C$15</f>
        <v>6837.9</v>
      </c>
      <c r="F39" s="360">
        <f>++D39*E39</f>
        <v>11282535</v>
      </c>
      <c r="G39" s="359">
        <f t="shared" si="3"/>
        <v>6870.81</v>
      </c>
      <c r="H39" s="360">
        <v>1448246165.2844999</v>
      </c>
      <c r="J39" s="361"/>
      <c r="K39" s="361"/>
    </row>
    <row r="40" spans="1:11">
      <c r="B40" s="621" t="s">
        <v>24</v>
      </c>
      <c r="C40" s="357"/>
      <c r="D40" s="622">
        <f>SUM(D28:D39)</f>
        <v>16267441.029999999</v>
      </c>
      <c r="E40" s="623"/>
      <c r="F40" s="624">
        <f>SUM(F28:F39)</f>
        <v>111235135019.037</v>
      </c>
      <c r="G40" s="625"/>
      <c r="H40" s="624">
        <f>SUM(H28:H39)</f>
        <v>26717288539.149078</v>
      </c>
      <c r="I40" s="338"/>
      <c r="J40" s="340"/>
    </row>
    <row r="41" spans="1:11" s="353" customFormat="1">
      <c r="A41" s="352"/>
      <c r="B41" s="383" t="s">
        <v>8</v>
      </c>
      <c r="C41" s="365"/>
      <c r="D41" s="619"/>
      <c r="E41" s="365"/>
      <c r="F41" s="365"/>
      <c r="G41" s="365"/>
      <c r="H41" s="618"/>
    </row>
    <row r="42" spans="1:11" s="353" customFormat="1">
      <c r="A42" s="352"/>
      <c r="B42" s="383" t="s">
        <v>9</v>
      </c>
      <c r="C42" s="365"/>
      <c r="D42" s="619"/>
      <c r="E42" s="365"/>
      <c r="F42" s="365"/>
      <c r="G42" s="365"/>
      <c r="H42" s="618"/>
    </row>
    <row r="43" spans="1:11" s="353" customFormat="1">
      <c r="A43" s="352"/>
      <c r="B43" s="354" t="s">
        <v>1293</v>
      </c>
      <c r="C43" s="367"/>
      <c r="D43" s="362"/>
      <c r="E43" s="354"/>
      <c r="F43" s="354"/>
      <c r="G43" s="354"/>
      <c r="H43" s="355"/>
    </row>
    <row r="44" spans="1:11" s="353" customFormat="1">
      <c r="A44" s="352"/>
      <c r="B44" s="368" t="s">
        <v>606</v>
      </c>
      <c r="C44" s="357" t="s">
        <v>0</v>
      </c>
      <c r="D44" s="358">
        <f>+Clasificaciones!I419+Clasificaciones!I424</f>
        <v>-85315.73</v>
      </c>
      <c r="E44" s="359">
        <f>+$C$16</f>
        <v>6850.05</v>
      </c>
      <c r="F44" s="360">
        <f>+D44*E44</f>
        <v>-584417016.28649998</v>
      </c>
      <c r="G44" s="359">
        <f t="shared" ref="G44:G48" si="4">+$D$16</f>
        <v>6887.4</v>
      </c>
      <c r="H44" s="360">
        <v>-1073194.6680020525</v>
      </c>
      <c r="J44" s="361"/>
      <c r="K44" s="361"/>
    </row>
    <row r="45" spans="1:11" s="353" customFormat="1">
      <c r="A45" s="352"/>
      <c r="B45" s="368" t="s">
        <v>1217</v>
      </c>
      <c r="C45" s="357" t="s">
        <v>0</v>
      </c>
      <c r="D45" s="358">
        <f>+Clasificaciones!I421</f>
        <v>-654.46</v>
      </c>
      <c r="E45" s="359">
        <f t="shared" ref="E45:E51" si="5">+$C$16</f>
        <v>6850.05</v>
      </c>
      <c r="F45" s="360">
        <f>+D45*E45</f>
        <v>-4483083.7230000002</v>
      </c>
      <c r="G45" s="359">
        <f t="shared" si="4"/>
        <v>6887.4</v>
      </c>
      <c r="H45" s="360">
        <v>-4507527.8040005444</v>
      </c>
      <c r="J45" s="361"/>
      <c r="K45" s="361"/>
    </row>
    <row r="46" spans="1:11" s="353" customFormat="1">
      <c r="A46" s="352"/>
      <c r="B46" s="368" t="s">
        <v>1295</v>
      </c>
      <c r="C46" s="357" t="s">
        <v>0</v>
      </c>
      <c r="D46" s="358">
        <f>+Clasificaciones!I440+Clasificaciones!I439</f>
        <v>-21304.79</v>
      </c>
      <c r="E46" s="359">
        <f t="shared" si="5"/>
        <v>6850.05</v>
      </c>
      <c r="F46" s="360">
        <f>+D46*E46</f>
        <v>-145938876.73950002</v>
      </c>
      <c r="G46" s="359">
        <f t="shared" si="4"/>
        <v>6887.4</v>
      </c>
      <c r="H46" s="360">
        <v>-111813770.79600026</v>
      </c>
      <c r="J46" s="361"/>
      <c r="K46" s="361"/>
    </row>
    <row r="47" spans="1:11" s="353" customFormat="1">
      <c r="A47" s="352"/>
      <c r="B47" s="354" t="s">
        <v>336</v>
      </c>
      <c r="C47" s="367"/>
      <c r="D47" s="362"/>
      <c r="E47" s="362"/>
      <c r="F47" s="369"/>
      <c r="G47" s="370"/>
      <c r="H47" s="355"/>
      <c r="J47" s="361"/>
      <c r="K47" s="361"/>
    </row>
    <row r="48" spans="1:11" s="353" customFormat="1">
      <c r="A48" s="352"/>
      <c r="B48" s="356" t="s">
        <v>337</v>
      </c>
      <c r="C48" s="357" t="s">
        <v>0</v>
      </c>
      <c r="D48" s="358">
        <f>+Clasificaciones!I456</f>
        <v>-228466.01</v>
      </c>
      <c r="E48" s="359">
        <f t="shared" si="5"/>
        <v>6850.05</v>
      </c>
      <c r="F48" s="360">
        <f>+D48*E48</f>
        <v>-1565003591.8005002</v>
      </c>
      <c r="G48" s="359">
        <f t="shared" si="4"/>
        <v>6887.4</v>
      </c>
      <c r="H48" s="360">
        <v>-1848050034.1679988</v>
      </c>
      <c r="J48" s="361"/>
      <c r="K48" s="361"/>
    </row>
    <row r="49" spans="1:14" s="353" customFormat="1">
      <c r="A49" s="352"/>
      <c r="B49" s="354" t="s">
        <v>338</v>
      </c>
      <c r="C49" s="367"/>
      <c r="D49" s="362"/>
      <c r="E49" s="362"/>
      <c r="F49" s="369"/>
      <c r="G49" s="370"/>
      <c r="H49" s="355"/>
      <c r="J49" s="361"/>
      <c r="K49" s="361"/>
    </row>
    <row r="50" spans="1:14" s="353" customFormat="1">
      <c r="A50" s="352"/>
      <c r="B50" s="368" t="s">
        <v>339</v>
      </c>
      <c r="C50" s="357" t="s">
        <v>0</v>
      </c>
      <c r="D50" s="358">
        <f>+Clasificaciones!I527</f>
        <v>-24.91</v>
      </c>
      <c r="E50" s="359">
        <f t="shared" si="5"/>
        <v>6850.05</v>
      </c>
      <c r="F50" s="360">
        <f>+D50*E50</f>
        <v>-170634.74550000002</v>
      </c>
      <c r="G50" s="359">
        <f>+$D$16</f>
        <v>6887.4</v>
      </c>
      <c r="H50" s="360">
        <v>-3359398.2239999999</v>
      </c>
      <c r="J50" s="361"/>
      <c r="K50" s="361"/>
    </row>
    <row r="51" spans="1:14" s="353" customFormat="1">
      <c r="A51" s="352"/>
      <c r="B51" s="368" t="s">
        <v>522</v>
      </c>
      <c r="C51" s="357" t="s">
        <v>0</v>
      </c>
      <c r="D51" s="358">
        <f>+Clasificaciones!I476+Clasificaciones!I472+Clasificaciones!I468</f>
        <v>-15458238.58</v>
      </c>
      <c r="E51" s="359">
        <f t="shared" si="5"/>
        <v>6850.05</v>
      </c>
      <c r="F51" s="360">
        <f>+D51*E51</f>
        <v>-105889707184.929</v>
      </c>
      <c r="G51" s="359">
        <f>+$D$16</f>
        <v>6887.4</v>
      </c>
      <c r="H51" s="360">
        <v>-22969847844.375889</v>
      </c>
      <c r="J51" s="361"/>
      <c r="K51" s="361"/>
    </row>
    <row r="52" spans="1:14" s="353" customFormat="1">
      <c r="A52" s="352"/>
      <c r="B52" s="621" t="s">
        <v>27</v>
      </c>
      <c r="C52" s="357"/>
      <c r="D52" s="890">
        <f>SUM(D44:D51)</f>
        <v>-15794004.48</v>
      </c>
      <c r="E52" s="358"/>
      <c r="F52" s="369">
        <f>SUM(F44:F51)</f>
        <v>-108189720388.224</v>
      </c>
      <c r="G52" s="360"/>
      <c r="H52" s="369">
        <f>SUM(H44:H51)</f>
        <v>-24938651770.035889</v>
      </c>
    </row>
    <row r="53" spans="1:14">
      <c r="D53" s="783"/>
    </row>
    <row r="55" spans="1:14">
      <c r="B55" s="339" t="s">
        <v>340</v>
      </c>
      <c r="H55" s="340"/>
    </row>
    <row r="56" spans="1:14">
      <c r="H56" s="340"/>
    </row>
    <row r="57" spans="1:14" s="373" customFormat="1" ht="20.399999999999999" customHeight="1">
      <c r="A57" s="372"/>
      <c r="B57" s="1042" t="s">
        <v>70</v>
      </c>
      <c r="C57" s="1042" t="s">
        <v>1550</v>
      </c>
      <c r="D57" s="1042" t="s">
        <v>1551</v>
      </c>
      <c r="E57" s="1042" t="s">
        <v>1296</v>
      </c>
      <c r="F57" s="1042" t="s">
        <v>1297</v>
      </c>
      <c r="H57" s="340"/>
      <c r="I57" s="340"/>
      <c r="L57" s="611"/>
      <c r="M57" s="611"/>
      <c r="N57" s="611"/>
    </row>
    <row r="58" spans="1:14" ht="36.6" customHeight="1">
      <c r="B58" s="1043"/>
      <c r="C58" s="1043"/>
      <c r="D58" s="1043"/>
      <c r="E58" s="1043"/>
      <c r="F58" s="1043"/>
      <c r="G58" s="374"/>
      <c r="H58" s="340"/>
      <c r="J58" s="374"/>
      <c r="K58" s="374"/>
    </row>
    <row r="59" spans="1:14" ht="34.950000000000003" customHeight="1">
      <c r="B59" s="375" t="s">
        <v>341</v>
      </c>
      <c r="C59" s="625">
        <f>+$C$15</f>
        <v>6837.9</v>
      </c>
      <c r="D59" s="376">
        <f>-Clasificaciones!G689</f>
        <v>5940872797</v>
      </c>
      <c r="E59" s="625">
        <f>+$D$15</f>
        <v>6870.81</v>
      </c>
      <c r="F59" s="377">
        <v>2354409344</v>
      </c>
      <c r="H59" s="340"/>
      <c r="J59" s="374"/>
    </row>
    <row r="60" spans="1:14" ht="34.950000000000003" customHeight="1">
      <c r="B60" s="375" t="s">
        <v>342</v>
      </c>
      <c r="C60" s="625">
        <f>+$C$16</f>
        <v>6850.05</v>
      </c>
      <c r="D60" s="376">
        <f>-Clasificaciones!G690</f>
        <v>2884466004</v>
      </c>
      <c r="E60" s="625">
        <f>+$D$16</f>
        <v>6887.4</v>
      </c>
      <c r="F60" s="377">
        <v>1195814894</v>
      </c>
      <c r="H60" s="340"/>
      <c r="J60" s="374"/>
    </row>
    <row r="61" spans="1:14" s="627" customFormat="1" ht="20.399999999999999" customHeight="1">
      <c r="A61" s="626"/>
      <c r="B61" s="378" t="s">
        <v>343</v>
      </c>
      <c r="C61" s="379"/>
      <c r="D61" s="379">
        <f>SUM(D59:D60)</f>
        <v>8825338801</v>
      </c>
      <c r="E61" s="379"/>
      <c r="F61" s="379">
        <f>SUM(F59:F60)</f>
        <v>3550224238</v>
      </c>
      <c r="H61" s="628"/>
      <c r="I61" s="629"/>
      <c r="J61" s="630"/>
      <c r="L61" s="631"/>
      <c r="M61" s="631"/>
      <c r="N61" s="631"/>
    </row>
    <row r="62" spans="1:14" ht="34.950000000000003" customHeight="1">
      <c r="B62" s="375" t="s">
        <v>344</v>
      </c>
      <c r="C62" s="625">
        <f>+$C$15</f>
        <v>6837.9</v>
      </c>
      <c r="D62" s="381">
        <f>-Clasificaciones!G871</f>
        <v>-8101263559</v>
      </c>
      <c r="E62" s="625">
        <f>+$D$15</f>
        <v>6870.81</v>
      </c>
      <c r="F62" s="381">
        <v>-2396651034</v>
      </c>
      <c r="H62" s="340"/>
      <c r="J62" s="374"/>
    </row>
    <row r="63" spans="1:14" ht="34.950000000000003" customHeight="1">
      <c r="B63" s="375" t="s">
        <v>345</v>
      </c>
      <c r="C63" s="625">
        <f>+$C$16</f>
        <v>6850.05</v>
      </c>
      <c r="D63" s="381">
        <f>-Clasificaciones!G872</f>
        <v>-892847407</v>
      </c>
      <c r="E63" s="625">
        <f>+$D$16</f>
        <v>6887.4</v>
      </c>
      <c r="F63" s="381">
        <v>-1184316194</v>
      </c>
      <c r="H63" s="340"/>
      <c r="J63" s="374"/>
    </row>
    <row r="64" spans="1:14" s="627" customFormat="1" ht="20.399999999999999" customHeight="1">
      <c r="A64" s="626"/>
      <c r="B64" s="378" t="s">
        <v>346</v>
      </c>
      <c r="C64" s="379"/>
      <c r="D64" s="371">
        <f>SUM(D62:D63)</f>
        <v>-8994110966</v>
      </c>
      <c r="E64" s="379"/>
      <c r="F64" s="371">
        <f>SUM(F62:F63)</f>
        <v>-3580967228</v>
      </c>
      <c r="H64" s="628"/>
      <c r="I64" s="629"/>
      <c r="J64" s="630"/>
      <c r="L64" s="631"/>
      <c r="M64" s="631"/>
      <c r="N64" s="631"/>
    </row>
    <row r="65" spans="1:14" s="627" customFormat="1" ht="20.399999999999999" customHeight="1">
      <c r="A65" s="626"/>
      <c r="B65" s="378" t="s">
        <v>1213</v>
      </c>
      <c r="C65" s="379"/>
      <c r="D65" s="371">
        <f>+D61+D64</f>
        <v>-168772165</v>
      </c>
      <c r="E65" s="379"/>
      <c r="F65" s="371">
        <f>+F61+F64</f>
        <v>-30742990</v>
      </c>
      <c r="H65" s="628"/>
      <c r="I65" s="629"/>
      <c r="J65" s="630"/>
      <c r="L65" s="631"/>
      <c r="M65" s="631"/>
      <c r="N65" s="631"/>
    </row>
    <row r="66" spans="1:14">
      <c r="D66" s="384"/>
    </row>
    <row r="67" spans="1:14">
      <c r="D67" s="384"/>
    </row>
    <row r="68" spans="1:14">
      <c r="B68" s="339" t="s">
        <v>347</v>
      </c>
      <c r="C68" s="385"/>
      <c r="H68" s="386"/>
      <c r="I68" s="386"/>
    </row>
    <row r="69" spans="1:14">
      <c r="B69" s="338" t="s">
        <v>203</v>
      </c>
      <c r="I69" s="386"/>
    </row>
    <row r="70" spans="1:14" s="353" customFormat="1">
      <c r="A70" s="352"/>
      <c r="B70" s="387"/>
      <c r="C70" s="388"/>
      <c r="D70" s="388"/>
      <c r="I70" s="364"/>
    </row>
    <row r="71" spans="1:14" ht="28.95" customHeight="1">
      <c r="B71" s="389" t="s">
        <v>1</v>
      </c>
      <c r="C71" s="389" t="s">
        <v>1294</v>
      </c>
      <c r="D71" s="343">
        <v>44742</v>
      </c>
      <c r="E71" s="343">
        <v>44561</v>
      </c>
    </row>
    <row r="72" spans="1:14">
      <c r="A72" s="390"/>
      <c r="B72" s="559" t="s">
        <v>291</v>
      </c>
      <c r="C72" s="636" t="s">
        <v>279</v>
      </c>
      <c r="D72" s="392"/>
      <c r="E72" s="392"/>
    </row>
    <row r="73" spans="1:14">
      <c r="A73" s="390"/>
      <c r="B73" s="632" t="s">
        <v>1298</v>
      </c>
      <c r="C73" s="636" t="s">
        <v>1303</v>
      </c>
      <c r="D73" s="392">
        <f>+Clasificaciones!G16</f>
        <v>0</v>
      </c>
      <c r="E73" s="392">
        <v>1872447497</v>
      </c>
    </row>
    <row r="74" spans="1:14">
      <c r="A74" s="390"/>
      <c r="B74" s="632" t="s">
        <v>1299</v>
      </c>
      <c r="C74" s="636" t="s">
        <v>1302</v>
      </c>
      <c r="D74" s="392">
        <f>+Clasificaciones!G17</f>
        <v>28344</v>
      </c>
      <c r="E74" s="392">
        <v>121221490</v>
      </c>
    </row>
    <row r="75" spans="1:14">
      <c r="A75" s="390"/>
      <c r="B75" s="632" t="s">
        <v>1300</v>
      </c>
      <c r="C75" s="636" t="s">
        <v>1303</v>
      </c>
      <c r="D75" s="392">
        <f>+Clasificaciones!G40</f>
        <v>1</v>
      </c>
      <c r="E75" s="392">
        <v>0</v>
      </c>
    </row>
    <row r="76" spans="1:14">
      <c r="A76" s="390"/>
      <c r="B76" s="632" t="s">
        <v>1301</v>
      </c>
      <c r="C76" s="636" t="s">
        <v>1302</v>
      </c>
      <c r="D76" s="392">
        <f>+Clasificaciones!G41</f>
        <v>581286244</v>
      </c>
      <c r="E76" s="392">
        <v>103750</v>
      </c>
    </row>
    <row r="77" spans="1:14" s="339" customFormat="1">
      <c r="A77" s="633"/>
      <c r="B77" s="559" t="s">
        <v>348</v>
      </c>
      <c r="C77" s="637"/>
      <c r="D77" s="634"/>
      <c r="E77" s="634"/>
      <c r="I77" s="635"/>
      <c r="L77" s="498"/>
      <c r="M77" s="498"/>
      <c r="N77" s="498"/>
    </row>
    <row r="78" spans="1:14" s="339" customFormat="1">
      <c r="A78" s="633"/>
      <c r="B78" s="632" t="s">
        <v>1304</v>
      </c>
      <c r="C78" s="636" t="s">
        <v>1303</v>
      </c>
      <c r="D78" s="392">
        <f>+Clasificaciones!G18</f>
        <v>7027989</v>
      </c>
      <c r="E78" s="392">
        <v>6027989</v>
      </c>
      <c r="I78" s="635"/>
      <c r="L78" s="498"/>
      <c r="M78" s="498"/>
      <c r="N78" s="498"/>
    </row>
    <row r="79" spans="1:14" s="339" customFormat="1">
      <c r="A79" s="633"/>
      <c r="B79" s="632" t="s">
        <v>1305</v>
      </c>
      <c r="C79" s="636" t="s">
        <v>1303</v>
      </c>
      <c r="D79" s="392">
        <f>+Clasificaciones!G19</f>
        <v>7000000</v>
      </c>
      <c r="E79" s="392">
        <v>6000000</v>
      </c>
      <c r="I79" s="635"/>
      <c r="L79" s="498"/>
      <c r="M79" s="498"/>
      <c r="N79" s="498"/>
    </row>
    <row r="80" spans="1:14" s="339" customFormat="1">
      <c r="A80" s="633"/>
      <c r="B80" s="632" t="s">
        <v>1306</v>
      </c>
      <c r="C80" s="636" t="s">
        <v>1303</v>
      </c>
      <c r="D80" s="392">
        <f>+Clasificaciones!G42</f>
        <v>47338782</v>
      </c>
      <c r="E80" s="392">
        <v>47566618</v>
      </c>
      <c r="I80" s="635"/>
      <c r="L80" s="498"/>
      <c r="M80" s="498"/>
      <c r="N80" s="498"/>
    </row>
    <row r="81" spans="1:14" s="339" customFormat="1">
      <c r="A81" s="633"/>
      <c r="B81" s="632" t="s">
        <v>1307</v>
      </c>
      <c r="C81" s="636" t="s">
        <v>1303</v>
      </c>
      <c r="D81" s="392">
        <f>+Clasificaciones!G43</f>
        <v>52166681</v>
      </c>
      <c r="E81" s="392">
        <v>51387132</v>
      </c>
      <c r="I81" s="635"/>
      <c r="L81" s="498"/>
      <c r="M81" s="498"/>
      <c r="N81" s="498"/>
    </row>
    <row r="82" spans="1:14">
      <c r="A82" s="390"/>
      <c r="B82" s="559" t="s">
        <v>399</v>
      </c>
      <c r="C82" s="636"/>
      <c r="D82" s="392"/>
      <c r="E82" s="392"/>
    </row>
    <row r="83" spans="1:14">
      <c r="A83" s="390"/>
      <c r="B83" s="632" t="s">
        <v>1308</v>
      </c>
      <c r="C83" s="636" t="s">
        <v>1303</v>
      </c>
      <c r="D83" s="392">
        <f>+Clasificaciones!G21</f>
        <v>7428913</v>
      </c>
      <c r="E83" s="392">
        <v>5560000</v>
      </c>
    </row>
    <row r="84" spans="1:14">
      <c r="A84" s="390"/>
      <c r="B84" s="632" t="s">
        <v>1309</v>
      </c>
      <c r="C84" s="636" t="s">
        <v>1303</v>
      </c>
      <c r="D84" s="392">
        <f>+Clasificaciones!G22</f>
        <v>300662</v>
      </c>
      <c r="E84" s="392">
        <v>300374</v>
      </c>
    </row>
    <row r="85" spans="1:14">
      <c r="A85" s="390"/>
      <c r="B85" s="632" t="s">
        <v>1310</v>
      </c>
      <c r="C85" s="636" t="s">
        <v>1303</v>
      </c>
      <c r="D85" s="392">
        <f>+Clasificaciones!G51</f>
        <v>45566603</v>
      </c>
      <c r="E85" s="392">
        <v>22914151</v>
      </c>
    </row>
    <row r="86" spans="1:14">
      <c r="A86" s="390"/>
      <c r="B86" s="559" t="s">
        <v>1311</v>
      </c>
      <c r="C86" s="636"/>
      <c r="D86" s="392"/>
      <c r="E86" s="392"/>
    </row>
    <row r="87" spans="1:14">
      <c r="A87" s="390"/>
      <c r="B87" s="632" t="s">
        <v>1312</v>
      </c>
      <c r="C87" s="636" t="s">
        <v>1303</v>
      </c>
      <c r="D87" s="392">
        <f>+Clasificaciones!G23</f>
        <v>7944691</v>
      </c>
      <c r="E87" s="392">
        <v>3468465</v>
      </c>
    </row>
    <row r="88" spans="1:14">
      <c r="A88" s="390"/>
      <c r="B88" s="632" t="s">
        <v>1510</v>
      </c>
      <c r="C88" s="636" t="s">
        <v>1303</v>
      </c>
      <c r="D88" s="392">
        <f>+Clasificaciones!G38</f>
        <v>2000000</v>
      </c>
      <c r="E88" s="392">
        <v>0</v>
      </c>
    </row>
    <row r="89" spans="1:14">
      <c r="A89" s="390"/>
      <c r="B89" s="632" t="s">
        <v>1313</v>
      </c>
      <c r="C89" s="636" t="s">
        <v>1303</v>
      </c>
      <c r="D89" s="392">
        <f>+Clasificaciones!G50</f>
        <v>22860878</v>
      </c>
      <c r="E89" s="392">
        <v>16401929</v>
      </c>
    </row>
    <row r="90" spans="1:14">
      <c r="A90" s="390"/>
      <c r="B90" s="632" t="s">
        <v>1509</v>
      </c>
      <c r="C90" s="636" t="s">
        <v>1303</v>
      </c>
      <c r="D90" s="392">
        <f>+Clasificaciones!G61</f>
        <v>6708322</v>
      </c>
      <c r="E90" s="392">
        <v>0</v>
      </c>
    </row>
    <row r="91" spans="1:14">
      <c r="A91" s="390"/>
      <c r="B91" s="559" t="s">
        <v>1314</v>
      </c>
      <c r="C91" s="636"/>
      <c r="D91" s="392"/>
      <c r="E91" s="392"/>
    </row>
    <row r="92" spans="1:14">
      <c r="A92" s="390"/>
      <c r="B92" s="632" t="s">
        <v>1315</v>
      </c>
      <c r="C92" s="636" t="s">
        <v>1303</v>
      </c>
      <c r="D92" s="392">
        <f>+Clasificaciones!G26</f>
        <v>36702</v>
      </c>
      <c r="E92" s="392">
        <v>36676</v>
      </c>
    </row>
    <row r="93" spans="1:14">
      <c r="A93" s="390"/>
      <c r="B93" s="632" t="s">
        <v>1316</v>
      </c>
      <c r="C93" s="636" t="s">
        <v>1303</v>
      </c>
      <c r="D93" s="392">
        <f>+Clasificaciones!G48</f>
        <v>34668</v>
      </c>
      <c r="E93" s="392">
        <v>34835</v>
      </c>
    </row>
    <row r="94" spans="1:14">
      <c r="A94" s="390"/>
      <c r="B94" s="559" t="s">
        <v>1138</v>
      </c>
      <c r="C94" s="636"/>
      <c r="D94" s="392"/>
      <c r="E94" s="392"/>
    </row>
    <row r="95" spans="1:14">
      <c r="A95" s="390"/>
      <c r="B95" s="632" t="s">
        <v>1317</v>
      </c>
      <c r="C95" s="636" t="s">
        <v>1303</v>
      </c>
      <c r="D95" s="392">
        <f>+Clasificaciones!G33</f>
        <v>3293281</v>
      </c>
      <c r="E95" s="392">
        <v>110</v>
      </c>
    </row>
    <row r="96" spans="1:14">
      <c r="A96" s="390"/>
      <c r="B96" s="632" t="s">
        <v>1318</v>
      </c>
      <c r="C96" s="636" t="s">
        <v>1303</v>
      </c>
      <c r="D96" s="392">
        <f>+Clasificaciones!G53</f>
        <v>42633192</v>
      </c>
      <c r="E96" s="392">
        <v>10492</v>
      </c>
    </row>
    <row r="97" spans="1:5">
      <c r="A97" s="390"/>
      <c r="B97" s="559" t="s">
        <v>349</v>
      </c>
      <c r="C97" s="636"/>
      <c r="D97" s="392"/>
      <c r="E97" s="392"/>
    </row>
    <row r="98" spans="1:5">
      <c r="A98" s="390"/>
      <c r="B98" s="632" t="s">
        <v>1319</v>
      </c>
      <c r="C98" s="636" t="s">
        <v>1303</v>
      </c>
      <c r="D98" s="392">
        <f>+Clasificaciones!G28</f>
        <v>10047228</v>
      </c>
      <c r="E98" s="392">
        <v>18159282</v>
      </c>
    </row>
    <row r="99" spans="1:5">
      <c r="A99" s="390"/>
      <c r="B99" s="559" t="s">
        <v>350</v>
      </c>
      <c r="C99" s="636"/>
      <c r="D99" s="392"/>
      <c r="E99" s="392"/>
    </row>
    <row r="100" spans="1:5">
      <c r="A100" s="390"/>
      <c r="B100" s="632" t="s">
        <v>1320</v>
      </c>
      <c r="C100" s="636" t="s">
        <v>1324</v>
      </c>
      <c r="D100" s="392">
        <f>+Clasificaciones!G32</f>
        <v>98487176</v>
      </c>
      <c r="E100" s="392">
        <v>468059075</v>
      </c>
    </row>
    <row r="101" spans="1:5">
      <c r="A101" s="390"/>
      <c r="B101" s="632" t="s">
        <v>1321</v>
      </c>
      <c r="C101" s="636" t="s">
        <v>1303</v>
      </c>
      <c r="D101" s="392">
        <f>+Clasificaciones!G27</f>
        <v>263042</v>
      </c>
      <c r="E101" s="392">
        <v>263032</v>
      </c>
    </row>
    <row r="102" spans="1:5">
      <c r="A102" s="390"/>
      <c r="B102" s="632" t="s">
        <v>1322</v>
      </c>
      <c r="C102" s="636" t="s">
        <v>1324</v>
      </c>
      <c r="D102" s="392">
        <f>+Clasificaciones!G57</f>
        <v>28237311</v>
      </c>
      <c r="E102" s="392">
        <v>26311969</v>
      </c>
    </row>
    <row r="103" spans="1:5">
      <c r="A103" s="390"/>
      <c r="B103" s="632" t="s">
        <v>1323</v>
      </c>
      <c r="C103" s="636" t="s">
        <v>1303</v>
      </c>
      <c r="D103" s="392">
        <f>+Clasificaciones!G49</f>
        <v>52164636</v>
      </c>
      <c r="E103" s="392">
        <v>28300935</v>
      </c>
    </row>
    <row r="104" spans="1:5">
      <c r="A104" s="390"/>
      <c r="B104" s="559" t="s">
        <v>397</v>
      </c>
      <c r="C104" s="636"/>
      <c r="D104" s="392"/>
      <c r="E104" s="392"/>
    </row>
    <row r="105" spans="1:5">
      <c r="A105" s="390"/>
      <c r="B105" s="632" t="s">
        <v>1325</v>
      </c>
      <c r="C105" s="636" t="s">
        <v>1303</v>
      </c>
      <c r="D105" s="392">
        <f>+Clasificaciones!G24</f>
        <v>3982</v>
      </c>
      <c r="E105" s="392">
        <v>3982</v>
      </c>
    </row>
    <row r="106" spans="1:5">
      <c r="A106" s="390"/>
      <c r="B106" s="632" t="s">
        <v>1326</v>
      </c>
      <c r="C106" s="636" t="s">
        <v>1303</v>
      </c>
      <c r="D106" s="392">
        <f>+Clasificaciones!G45</f>
        <v>43415878</v>
      </c>
      <c r="E106" s="392">
        <v>39661888</v>
      </c>
    </row>
    <row r="107" spans="1:5">
      <c r="A107" s="390"/>
      <c r="B107" s="559" t="s">
        <v>471</v>
      </c>
      <c r="C107" s="636"/>
      <c r="D107" s="392"/>
      <c r="E107" s="392"/>
    </row>
    <row r="108" spans="1:5">
      <c r="A108" s="390"/>
      <c r="B108" s="632" t="s">
        <v>1327</v>
      </c>
      <c r="C108" s="636" t="s">
        <v>1303</v>
      </c>
      <c r="D108" s="392">
        <f>+Clasificaciones!G29</f>
        <v>6693960</v>
      </c>
      <c r="E108" s="392">
        <v>6759960</v>
      </c>
    </row>
    <row r="109" spans="1:5">
      <c r="A109" s="390"/>
      <c r="B109" s="632" t="s">
        <v>1328</v>
      </c>
      <c r="C109" s="636" t="s">
        <v>1303</v>
      </c>
      <c r="D109" s="392">
        <f>+Clasificaciones!G58</f>
        <v>19565557</v>
      </c>
      <c r="E109" s="392">
        <v>20109555</v>
      </c>
    </row>
    <row r="110" spans="1:5">
      <c r="A110" s="390"/>
      <c r="B110" s="559" t="s">
        <v>1329</v>
      </c>
      <c r="C110" s="636"/>
      <c r="D110" s="392"/>
      <c r="E110" s="392"/>
    </row>
    <row r="111" spans="1:5">
      <c r="A111" s="390"/>
      <c r="B111" s="632" t="s">
        <v>1330</v>
      </c>
      <c r="C111" s="636" t="s">
        <v>1303</v>
      </c>
      <c r="D111" s="392">
        <f>+Clasificaciones!G35</f>
        <v>75842113</v>
      </c>
      <c r="E111" s="392">
        <v>47834073</v>
      </c>
    </row>
    <row r="112" spans="1:5">
      <c r="A112" s="390"/>
      <c r="B112" s="632" t="s">
        <v>1331</v>
      </c>
      <c r="C112" s="636" t="s">
        <v>1303</v>
      </c>
      <c r="D112" s="392">
        <f>+Clasificaciones!G56</f>
        <v>93216304</v>
      </c>
      <c r="E112" s="392">
        <v>61362792</v>
      </c>
    </row>
    <row r="113" spans="1:5">
      <c r="A113" s="390"/>
      <c r="B113" s="559" t="s">
        <v>1214</v>
      </c>
      <c r="C113" s="636"/>
      <c r="D113" s="392"/>
      <c r="E113" s="392"/>
    </row>
    <row r="114" spans="1:5">
      <c r="A114" s="390"/>
      <c r="B114" s="632" t="s">
        <v>1332</v>
      </c>
      <c r="C114" s="636" t="s">
        <v>1303</v>
      </c>
      <c r="D114" s="392">
        <f>+Clasificaciones!G30</f>
        <v>3800000</v>
      </c>
      <c r="E114" s="392">
        <v>3800000</v>
      </c>
    </row>
    <row r="115" spans="1:5">
      <c r="A115" s="390"/>
      <c r="B115" s="559" t="s">
        <v>1243</v>
      </c>
      <c r="C115" s="636"/>
      <c r="D115" s="392"/>
      <c r="E115" s="392"/>
    </row>
    <row r="116" spans="1:5">
      <c r="A116" s="390"/>
      <c r="B116" s="632" t="s">
        <v>1333</v>
      </c>
      <c r="C116" s="636" t="s">
        <v>1303</v>
      </c>
      <c r="D116" s="392">
        <f>+Clasificaciones!G31</f>
        <v>1001731</v>
      </c>
      <c r="E116" s="392">
        <v>1000706</v>
      </c>
    </row>
    <row r="117" spans="1:5">
      <c r="A117" s="390"/>
      <c r="B117" s="632" t="s">
        <v>1511</v>
      </c>
      <c r="C117" s="636" t="s">
        <v>1303</v>
      </c>
      <c r="D117" s="392">
        <f>+Clasificaciones!G55</f>
        <v>6841251</v>
      </c>
      <c r="E117" s="392">
        <v>6871291</v>
      </c>
    </row>
    <row r="118" spans="1:5">
      <c r="A118" s="390"/>
      <c r="B118" s="559" t="s">
        <v>1215</v>
      </c>
      <c r="C118" s="636"/>
      <c r="D118" s="392"/>
      <c r="E118" s="392"/>
    </row>
    <row r="119" spans="1:5">
      <c r="A119" s="390"/>
      <c r="B119" s="632" t="s">
        <v>1570</v>
      </c>
      <c r="C119" s="636" t="s">
        <v>1303</v>
      </c>
      <c r="D119" s="392">
        <f>+Clasificaciones!G25</f>
        <v>182450</v>
      </c>
      <c r="E119" s="392">
        <v>0</v>
      </c>
    </row>
    <row r="120" spans="1:5">
      <c r="A120" s="390"/>
      <c r="B120" s="632" t="s">
        <v>1334</v>
      </c>
      <c r="C120" s="636" t="s">
        <v>1303</v>
      </c>
      <c r="D120" s="392">
        <f>+Clasificaciones!G46</f>
        <v>626352</v>
      </c>
      <c r="E120" s="392">
        <v>12780</v>
      </c>
    </row>
    <row r="121" spans="1:5">
      <c r="A121" s="390"/>
      <c r="B121" s="559" t="s">
        <v>1335</v>
      </c>
      <c r="C121" s="636"/>
      <c r="D121" s="392"/>
      <c r="E121" s="392"/>
    </row>
    <row r="122" spans="1:5">
      <c r="A122" s="390"/>
      <c r="B122" s="632" t="s">
        <v>1336</v>
      </c>
      <c r="C122" s="636" t="s">
        <v>1303</v>
      </c>
      <c r="D122" s="392">
        <f>+Clasificaciones!G36</f>
        <v>23344122</v>
      </c>
      <c r="E122" s="392">
        <v>7781169</v>
      </c>
    </row>
    <row r="123" spans="1:5">
      <c r="A123" s="390"/>
      <c r="B123" s="632" t="s">
        <v>1516</v>
      </c>
      <c r="C123" s="636" t="s">
        <v>1303</v>
      </c>
      <c r="D123" s="392">
        <f>+Clasificaciones!G59</f>
        <v>25334761</v>
      </c>
      <c r="E123" s="392">
        <v>0</v>
      </c>
    </row>
    <row r="124" spans="1:5">
      <c r="A124" s="390"/>
      <c r="B124" s="559" t="s">
        <v>1512</v>
      </c>
      <c r="C124" s="636"/>
      <c r="D124" s="392"/>
      <c r="E124" s="392"/>
    </row>
    <row r="125" spans="1:5">
      <c r="A125" s="390"/>
      <c r="B125" s="632" t="s">
        <v>1513</v>
      </c>
      <c r="C125" s="636" t="s">
        <v>1303</v>
      </c>
      <c r="D125" s="392">
        <f>+Clasificaciones!G34</f>
        <v>1787672</v>
      </c>
      <c r="E125" s="392">
        <v>0</v>
      </c>
    </row>
    <row r="126" spans="1:5">
      <c r="A126" s="390"/>
      <c r="B126" s="559" t="s">
        <v>1514</v>
      </c>
      <c r="C126" s="636"/>
      <c r="D126" s="392"/>
      <c r="E126" s="392"/>
    </row>
    <row r="127" spans="1:5">
      <c r="A127" s="390"/>
      <c r="B127" s="632" t="s">
        <v>1515</v>
      </c>
      <c r="C127" s="636" t="s">
        <v>1303</v>
      </c>
      <c r="D127" s="392">
        <f>+Clasificaciones!G37</f>
        <v>5463533</v>
      </c>
      <c r="E127" s="392">
        <v>0</v>
      </c>
    </row>
    <row r="128" spans="1:5">
      <c r="A128" s="390"/>
      <c r="B128" s="632" t="s">
        <v>1515</v>
      </c>
      <c r="C128" s="636" t="s">
        <v>1303</v>
      </c>
      <c r="D128" s="392">
        <f>+Clasificaciones!G60</f>
        <v>20744958</v>
      </c>
      <c r="E128" s="392">
        <v>0</v>
      </c>
    </row>
    <row r="129" spans="1:14">
      <c r="B129" s="393" t="s">
        <v>71</v>
      </c>
      <c r="C129" s="638" t="s">
        <v>71</v>
      </c>
      <c r="D129" s="394">
        <f>SUM(D72:D128)</f>
        <v>1350719970</v>
      </c>
      <c r="E129" s="394">
        <f>SUM(E72:E128)</f>
        <v>2889773997</v>
      </c>
      <c r="F129" s="395">
        <f>+D129-BG!D18</f>
        <v>0</v>
      </c>
      <c r="G129" s="395">
        <f>+E129-BG!F18</f>
        <v>0</v>
      </c>
    </row>
    <row r="130" spans="1:14">
      <c r="C130" s="396"/>
      <c r="D130" s="396"/>
    </row>
    <row r="131" spans="1:14">
      <c r="D131" s="382"/>
    </row>
    <row r="132" spans="1:14" s="399" customFormat="1">
      <c r="A132" s="397"/>
      <c r="B132" s="339" t="s">
        <v>204</v>
      </c>
      <c r="C132" s="398"/>
      <c r="I132" s="400"/>
      <c r="L132" s="415"/>
      <c r="M132" s="415"/>
      <c r="N132" s="415"/>
    </row>
    <row r="133" spans="1:14" s="399" customFormat="1">
      <c r="A133" s="397"/>
      <c r="B133" s="339"/>
      <c r="I133" s="400"/>
      <c r="L133" s="415"/>
      <c r="M133" s="415"/>
      <c r="N133" s="415"/>
    </row>
    <row r="134" spans="1:14" s="399" customFormat="1">
      <c r="A134" s="397"/>
      <c r="B134" s="339" t="s">
        <v>351</v>
      </c>
      <c r="I134" s="400"/>
      <c r="L134" s="415"/>
      <c r="M134" s="415"/>
      <c r="N134" s="415"/>
    </row>
    <row r="135" spans="1:14" s="399" customFormat="1">
      <c r="A135" s="397"/>
      <c r="B135" s="338" t="s">
        <v>1552</v>
      </c>
      <c r="I135" s="400"/>
      <c r="L135" s="415"/>
      <c r="M135" s="415"/>
      <c r="N135" s="415"/>
    </row>
    <row r="136" spans="1:14" s="399" customFormat="1">
      <c r="A136" s="397"/>
      <c r="B136" s="339"/>
      <c r="I136" s="400"/>
      <c r="L136" s="415"/>
      <c r="M136" s="415"/>
      <c r="N136" s="415"/>
    </row>
    <row r="137" spans="1:14" s="399" customFormat="1" ht="18" customHeight="1">
      <c r="A137" s="397"/>
      <c r="B137" s="1052" t="s">
        <v>205</v>
      </c>
      <c r="C137" s="1052"/>
      <c r="D137" s="1052"/>
      <c r="E137" s="1052"/>
      <c r="F137" s="1052"/>
      <c r="G137" s="1052"/>
      <c r="H137" s="1052" t="s">
        <v>1571</v>
      </c>
      <c r="I137" s="1052"/>
      <c r="J137" s="1052"/>
      <c r="L137" s="415"/>
      <c r="M137" s="415"/>
      <c r="N137" s="415"/>
    </row>
    <row r="138" spans="1:14" s="399" customFormat="1" ht="15" customHeight="1">
      <c r="A138" s="397"/>
      <c r="B138" s="1052" t="s">
        <v>1139</v>
      </c>
      <c r="C138" s="1052" t="s">
        <v>565</v>
      </c>
      <c r="D138" s="1034" t="s">
        <v>566</v>
      </c>
      <c r="E138" s="1052" t="s">
        <v>567</v>
      </c>
      <c r="F138" s="1052"/>
      <c r="G138" s="1034" t="s">
        <v>1337</v>
      </c>
      <c r="H138" s="1052" t="s">
        <v>568</v>
      </c>
      <c r="I138" s="1052" t="s">
        <v>569</v>
      </c>
      <c r="J138" s="1034" t="s">
        <v>1338</v>
      </c>
      <c r="L138" s="415"/>
      <c r="M138" s="415"/>
      <c r="N138" s="415"/>
    </row>
    <row r="139" spans="1:14" s="399" customFormat="1" ht="20.399999999999999" customHeight="1">
      <c r="A139" s="397"/>
      <c r="B139" s="1052"/>
      <c r="C139" s="1052"/>
      <c r="D139" s="1034"/>
      <c r="E139" s="389" t="s">
        <v>1340</v>
      </c>
      <c r="F139" s="389" t="s">
        <v>1341</v>
      </c>
      <c r="G139" s="1052"/>
      <c r="H139" s="1052"/>
      <c r="I139" s="1052"/>
      <c r="J139" s="1034"/>
      <c r="L139" s="415"/>
      <c r="M139" s="415"/>
      <c r="N139" s="415"/>
    </row>
    <row r="140" spans="1:14" s="399" customFormat="1" ht="15" customHeight="1">
      <c r="A140" s="397"/>
      <c r="B140" s="401" t="s">
        <v>206</v>
      </c>
      <c r="C140" s="402"/>
      <c r="D140" s="403"/>
      <c r="E140" s="403"/>
      <c r="F140" s="403"/>
      <c r="G140" s="403"/>
      <c r="H140" s="403"/>
      <c r="I140" s="403"/>
      <c r="J140" s="404"/>
      <c r="L140" s="415"/>
      <c r="M140" s="415"/>
      <c r="N140" s="415"/>
    </row>
    <row r="141" spans="1:14" s="397" customFormat="1" ht="15" customHeight="1">
      <c r="B141" s="405" t="s">
        <v>504</v>
      </c>
      <c r="C141" s="406"/>
      <c r="D141" s="407"/>
      <c r="E141" s="407"/>
      <c r="F141" s="407"/>
      <c r="G141" s="407"/>
      <c r="H141" s="407"/>
      <c r="I141" s="407"/>
      <c r="J141" s="408"/>
      <c r="L141" s="409"/>
      <c r="M141" s="409"/>
      <c r="N141" s="409"/>
    </row>
    <row r="142" spans="1:14" s="415" customFormat="1">
      <c r="A142" s="409"/>
      <c r="B142" s="410" t="s">
        <v>1339</v>
      </c>
      <c r="C142" s="411" t="s">
        <v>72</v>
      </c>
      <c r="D142" s="412">
        <v>1</v>
      </c>
      <c r="E142" s="412">
        <f>+'Cartera Propia'!G60</f>
        <v>100000000</v>
      </c>
      <c r="F142" s="413">
        <v>0</v>
      </c>
      <c r="G142" s="412">
        <f>+'Cartera Propia'!J60</f>
        <v>100499315.6438356</v>
      </c>
      <c r="H142" s="970">
        <v>50000000000</v>
      </c>
      <c r="I142" s="414">
        <v>8410681395</v>
      </c>
      <c r="J142" s="974">
        <v>128964105055</v>
      </c>
      <c r="M142" s="416"/>
    </row>
    <row r="143" spans="1:14" s="415" customFormat="1">
      <c r="A143" s="409"/>
      <c r="B143" s="410" t="s">
        <v>1339</v>
      </c>
      <c r="C143" s="411" t="s">
        <v>72</v>
      </c>
      <c r="D143" s="412">
        <v>1</v>
      </c>
      <c r="E143" s="412">
        <f>+'Cartera Propia'!G61</f>
        <v>100000000</v>
      </c>
      <c r="F143" s="413">
        <v>0</v>
      </c>
      <c r="G143" s="412">
        <f>+'Cartera Propia'!J61</f>
        <v>100499315.6438356</v>
      </c>
      <c r="H143" s="970">
        <v>50000000000</v>
      </c>
      <c r="I143" s="414">
        <v>8410681395</v>
      </c>
      <c r="J143" s="974">
        <v>128964105055</v>
      </c>
      <c r="M143" s="416"/>
    </row>
    <row r="144" spans="1:14" s="415" customFormat="1">
      <c r="A144" s="409"/>
      <c r="B144" s="410" t="s">
        <v>1339</v>
      </c>
      <c r="C144" s="411" t="s">
        <v>72</v>
      </c>
      <c r="D144" s="412">
        <v>1</v>
      </c>
      <c r="E144" s="412">
        <f>+'Cartera Propia'!G62</f>
        <v>100000000</v>
      </c>
      <c r="F144" s="413">
        <v>0</v>
      </c>
      <c r="G144" s="412">
        <f>+'Cartera Propia'!J62</f>
        <v>102241837.71232878</v>
      </c>
      <c r="H144" s="970">
        <v>50000000000</v>
      </c>
      <c r="I144" s="414">
        <v>8410681395</v>
      </c>
      <c r="J144" s="974">
        <v>128964105055</v>
      </c>
      <c r="M144" s="416"/>
    </row>
    <row r="145" spans="1:13" s="415" customFormat="1">
      <c r="A145" s="409"/>
      <c r="B145" s="410" t="s">
        <v>1339</v>
      </c>
      <c r="C145" s="411" t="s">
        <v>72</v>
      </c>
      <c r="D145" s="412">
        <v>1</v>
      </c>
      <c r="E145" s="412">
        <f>+'Cartera Propia'!G63</f>
        <v>100000000</v>
      </c>
      <c r="F145" s="413">
        <v>0</v>
      </c>
      <c r="G145" s="412">
        <f>+'Cartera Propia'!J63</f>
        <v>102241837.71232878</v>
      </c>
      <c r="H145" s="970">
        <v>50000000000</v>
      </c>
      <c r="I145" s="414">
        <v>8410681395</v>
      </c>
      <c r="J145" s="974">
        <v>128964105055</v>
      </c>
      <c r="M145" s="416"/>
    </row>
    <row r="146" spans="1:13" s="415" customFormat="1">
      <c r="A146" s="409"/>
      <c r="B146" s="410" t="s">
        <v>1339</v>
      </c>
      <c r="C146" s="411" t="s">
        <v>72</v>
      </c>
      <c r="D146" s="412">
        <v>1</v>
      </c>
      <c r="E146" s="412">
        <f>+'Cartera Propia'!G64</f>
        <v>100000000</v>
      </c>
      <c r="F146" s="413">
        <v>0</v>
      </c>
      <c r="G146" s="412">
        <f>+'Cartera Propia'!J64</f>
        <v>102241837.71232878</v>
      </c>
      <c r="H146" s="970">
        <v>50000000000</v>
      </c>
      <c r="I146" s="414">
        <v>8410681395</v>
      </c>
      <c r="J146" s="974">
        <v>128964105055</v>
      </c>
      <c r="M146" s="416"/>
    </row>
    <row r="147" spans="1:13" s="415" customFormat="1">
      <c r="A147" s="409"/>
      <c r="B147" s="410" t="s">
        <v>1339</v>
      </c>
      <c r="C147" s="411" t="s">
        <v>72</v>
      </c>
      <c r="D147" s="412">
        <v>1</v>
      </c>
      <c r="E147" s="412">
        <f>+'Cartera Propia'!G65</f>
        <v>100000000</v>
      </c>
      <c r="F147" s="413">
        <v>0</v>
      </c>
      <c r="G147" s="412">
        <f>+'Cartera Propia'!J65</f>
        <v>102241837.71232878</v>
      </c>
      <c r="H147" s="970">
        <v>50000000000</v>
      </c>
      <c r="I147" s="414">
        <v>8410681395</v>
      </c>
      <c r="J147" s="974">
        <v>128964105055</v>
      </c>
      <c r="M147" s="416"/>
    </row>
    <row r="148" spans="1:13" s="415" customFormat="1">
      <c r="A148" s="409"/>
      <c r="B148" s="410" t="s">
        <v>1339</v>
      </c>
      <c r="C148" s="411" t="s">
        <v>72</v>
      </c>
      <c r="D148" s="412">
        <v>1</v>
      </c>
      <c r="E148" s="412">
        <f>+'Cartera Propia'!G66</f>
        <v>100000000</v>
      </c>
      <c r="F148" s="413">
        <v>0</v>
      </c>
      <c r="G148" s="412">
        <f>+'Cartera Propia'!J66</f>
        <v>102241837.71232878</v>
      </c>
      <c r="H148" s="970">
        <v>50000000000</v>
      </c>
      <c r="I148" s="414">
        <v>8410681395</v>
      </c>
      <c r="J148" s="974">
        <v>128964105055</v>
      </c>
      <c r="M148" s="416"/>
    </row>
    <row r="149" spans="1:13" s="415" customFormat="1">
      <c r="A149" s="409"/>
      <c r="B149" s="410" t="s">
        <v>1339</v>
      </c>
      <c r="C149" s="411" t="s">
        <v>72</v>
      </c>
      <c r="D149" s="412">
        <v>1</v>
      </c>
      <c r="E149" s="412">
        <f>+'Cartera Propia'!G67</f>
        <v>150000000</v>
      </c>
      <c r="F149" s="413">
        <v>0</v>
      </c>
      <c r="G149" s="412">
        <f>+'Cartera Propia'!J67</f>
        <v>153139596.54794523</v>
      </c>
      <c r="H149" s="970">
        <v>50000000000</v>
      </c>
      <c r="I149" s="414">
        <v>8410681395</v>
      </c>
      <c r="J149" s="974">
        <v>128964105055</v>
      </c>
      <c r="M149" s="416"/>
    </row>
    <row r="150" spans="1:13" s="415" customFormat="1">
      <c r="A150" s="409"/>
      <c r="B150" s="417" t="s">
        <v>1339</v>
      </c>
      <c r="C150" s="411" t="s">
        <v>72</v>
      </c>
      <c r="D150" s="412">
        <v>1</v>
      </c>
      <c r="E150" s="412">
        <f>+'Cartera Propia'!G68</f>
        <v>250000000</v>
      </c>
      <c r="F150" s="413">
        <v>0</v>
      </c>
      <c r="G150" s="412">
        <f>+'Cartera Propia'!J68</f>
        <v>253444991.01369864</v>
      </c>
      <c r="H150" s="970">
        <v>50000000000</v>
      </c>
      <c r="I150" s="414">
        <v>8410681395</v>
      </c>
      <c r="J150" s="974">
        <v>128964105055</v>
      </c>
      <c r="M150" s="416"/>
    </row>
    <row r="151" spans="1:13" s="415" customFormat="1">
      <c r="A151" s="409"/>
      <c r="B151" s="417" t="s">
        <v>1339</v>
      </c>
      <c r="C151" s="411" t="s">
        <v>72</v>
      </c>
      <c r="D151" s="412">
        <v>1</v>
      </c>
      <c r="E151" s="412">
        <f>+'Cartera Propia'!G69</f>
        <v>250000000</v>
      </c>
      <c r="F151" s="413">
        <v>0</v>
      </c>
      <c r="G151" s="412">
        <f>+'Cartera Propia'!J69</f>
        <v>253444991.01369864</v>
      </c>
      <c r="H151" s="970">
        <v>50000000000</v>
      </c>
      <c r="I151" s="414">
        <v>8410681395</v>
      </c>
      <c r="J151" s="974">
        <v>128964105055</v>
      </c>
      <c r="M151" s="416"/>
    </row>
    <row r="152" spans="1:13" s="415" customFormat="1">
      <c r="A152" s="409"/>
      <c r="B152" s="417" t="s">
        <v>1339</v>
      </c>
      <c r="C152" s="411" t="s">
        <v>72</v>
      </c>
      <c r="D152" s="412">
        <v>1</v>
      </c>
      <c r="E152" s="412">
        <f>+'Cartera Propia'!G70</f>
        <v>250000000</v>
      </c>
      <c r="F152" s="413">
        <v>0</v>
      </c>
      <c r="G152" s="412">
        <f>+'Cartera Propia'!J70</f>
        <v>253444991.01369864</v>
      </c>
      <c r="H152" s="970">
        <v>50000000000</v>
      </c>
      <c r="I152" s="414">
        <v>8410681395</v>
      </c>
      <c r="J152" s="974">
        <v>128964105055</v>
      </c>
      <c r="M152" s="416"/>
    </row>
    <row r="153" spans="1:13" s="415" customFormat="1">
      <c r="A153" s="409"/>
      <c r="B153" s="417" t="s">
        <v>1339</v>
      </c>
      <c r="C153" s="411" t="s">
        <v>72</v>
      </c>
      <c r="D153" s="412">
        <v>1</v>
      </c>
      <c r="E153" s="412">
        <f>+'Cartera Propia'!G71</f>
        <v>250000000</v>
      </c>
      <c r="F153" s="413">
        <v>0</v>
      </c>
      <c r="G153" s="412">
        <f>+'Cartera Propia'!J71</f>
        <v>253444991.01369864</v>
      </c>
      <c r="H153" s="970">
        <v>50000000000</v>
      </c>
      <c r="I153" s="414">
        <v>8410681395</v>
      </c>
      <c r="J153" s="974">
        <v>128964105055</v>
      </c>
      <c r="M153" s="416"/>
    </row>
    <row r="154" spans="1:13" s="415" customFormat="1">
      <c r="A154" s="409"/>
      <c r="B154" s="417" t="s">
        <v>1339</v>
      </c>
      <c r="C154" s="411" t="s">
        <v>72</v>
      </c>
      <c r="D154" s="412">
        <v>1</v>
      </c>
      <c r="E154" s="412">
        <f>+'Cartera Propia'!G72</f>
        <v>200000000</v>
      </c>
      <c r="F154" s="413">
        <v>0</v>
      </c>
      <c r="G154" s="412">
        <f>+'Cartera Propia'!J72</f>
        <v>204186130.39726028</v>
      </c>
      <c r="H154" s="970">
        <v>50000000000</v>
      </c>
      <c r="I154" s="414">
        <v>8410681395</v>
      </c>
      <c r="J154" s="974">
        <v>128964105055</v>
      </c>
      <c r="L154" s="419"/>
      <c r="M154" s="416"/>
    </row>
    <row r="155" spans="1:13" s="415" customFormat="1">
      <c r="A155" s="409"/>
      <c r="B155" s="417" t="s">
        <v>1339</v>
      </c>
      <c r="C155" s="411" t="s">
        <v>72</v>
      </c>
      <c r="D155" s="412">
        <v>1</v>
      </c>
      <c r="E155" s="412">
        <f>+'Cartera Propia'!G73</f>
        <v>100000000</v>
      </c>
      <c r="F155" s="413">
        <v>0</v>
      </c>
      <c r="G155" s="412">
        <f>+'Cartera Propia'!J73</f>
        <v>102241837.71232878</v>
      </c>
      <c r="H155" s="970">
        <v>50000000000</v>
      </c>
      <c r="I155" s="414">
        <v>8410681395</v>
      </c>
      <c r="J155" s="974">
        <v>128964105055</v>
      </c>
      <c r="L155" s="419"/>
      <c r="M155" s="416"/>
    </row>
    <row r="156" spans="1:13" s="415" customFormat="1">
      <c r="A156" s="409"/>
      <c r="B156" s="410" t="s">
        <v>1339</v>
      </c>
      <c r="C156" s="411" t="s">
        <v>72</v>
      </c>
      <c r="D156" s="412">
        <v>1</v>
      </c>
      <c r="E156" s="412">
        <f>+'Cartera Propia'!G74</f>
        <v>250000000</v>
      </c>
      <c r="F156" s="413">
        <v>0</v>
      </c>
      <c r="G156" s="412">
        <f>+'Cartera Propia'!J74</f>
        <v>253444991.01369864</v>
      </c>
      <c r="H156" s="970">
        <v>50000000000</v>
      </c>
      <c r="I156" s="414">
        <v>8410681395</v>
      </c>
      <c r="J156" s="974">
        <v>128964105055</v>
      </c>
      <c r="M156" s="416"/>
    </row>
    <row r="157" spans="1:13" s="415" customFormat="1">
      <c r="A157" s="409"/>
      <c r="B157" s="410" t="s">
        <v>1339</v>
      </c>
      <c r="C157" s="411" t="s">
        <v>72</v>
      </c>
      <c r="D157" s="412">
        <v>1</v>
      </c>
      <c r="E157" s="412">
        <f>+'Cartera Propia'!G75</f>
        <v>250000000</v>
      </c>
      <c r="F157" s="413">
        <v>0</v>
      </c>
      <c r="G157" s="412">
        <f>+'Cartera Propia'!J75</f>
        <v>253444991.01369864</v>
      </c>
      <c r="H157" s="970">
        <v>50000000000</v>
      </c>
      <c r="I157" s="414">
        <v>8410681395</v>
      </c>
      <c r="J157" s="974">
        <v>128964105055</v>
      </c>
      <c r="M157" s="416"/>
    </row>
    <row r="158" spans="1:13" s="415" customFormat="1">
      <c r="A158" s="409"/>
      <c r="B158" s="410" t="s">
        <v>1339</v>
      </c>
      <c r="C158" s="411" t="s">
        <v>72</v>
      </c>
      <c r="D158" s="412">
        <v>1</v>
      </c>
      <c r="E158" s="412">
        <f>+'Cartera Propia'!G76</f>
        <v>200000000</v>
      </c>
      <c r="F158" s="413">
        <v>0</v>
      </c>
      <c r="G158" s="412">
        <f>+'Cartera Propia'!J76</f>
        <v>204186130.39726028</v>
      </c>
      <c r="H158" s="970">
        <v>50000000000</v>
      </c>
      <c r="I158" s="414">
        <v>8410681395</v>
      </c>
      <c r="J158" s="974">
        <v>128964105055</v>
      </c>
      <c r="M158" s="416"/>
    </row>
    <row r="159" spans="1:13" s="415" customFormat="1">
      <c r="A159" s="409"/>
      <c r="B159" s="410" t="s">
        <v>1339</v>
      </c>
      <c r="C159" s="411" t="s">
        <v>72</v>
      </c>
      <c r="D159" s="412">
        <v>1</v>
      </c>
      <c r="E159" s="412">
        <f>+'Cartera Propia'!G77</f>
        <v>200000000</v>
      </c>
      <c r="F159" s="413">
        <v>0</v>
      </c>
      <c r="G159" s="412">
        <f>+'Cartera Propia'!J77</f>
        <v>204186130.39726028</v>
      </c>
      <c r="H159" s="970">
        <v>50000000000</v>
      </c>
      <c r="I159" s="414">
        <v>8410681395</v>
      </c>
      <c r="J159" s="974">
        <v>128964105055</v>
      </c>
      <c r="M159" s="416"/>
    </row>
    <row r="160" spans="1:13" s="415" customFormat="1">
      <c r="A160" s="409"/>
      <c r="B160" s="410" t="s">
        <v>1517</v>
      </c>
      <c r="C160" s="411" t="s">
        <v>72</v>
      </c>
      <c r="D160" s="412">
        <v>1</v>
      </c>
      <c r="E160" s="412">
        <f>+'Cartera Propia'!G78</f>
        <v>250000000</v>
      </c>
      <c r="F160" s="413">
        <v>0</v>
      </c>
      <c r="G160" s="412">
        <f>+'Cartera Propia'!J78</f>
        <v>252219178.23287672</v>
      </c>
      <c r="H160" s="970">
        <v>163488517429</v>
      </c>
      <c r="I160" s="414">
        <v>8110728569</v>
      </c>
      <c r="J160" s="974">
        <v>212346287805</v>
      </c>
      <c r="M160" s="416"/>
    </row>
    <row r="161" spans="1:13" s="415" customFormat="1">
      <c r="A161" s="409"/>
      <c r="B161" s="417" t="s">
        <v>1517</v>
      </c>
      <c r="C161" s="411" t="s">
        <v>72</v>
      </c>
      <c r="D161" s="412">
        <v>1</v>
      </c>
      <c r="E161" s="412">
        <f>+'Cartera Propia'!G79</f>
        <v>250000000</v>
      </c>
      <c r="F161" s="413">
        <v>0</v>
      </c>
      <c r="G161" s="412">
        <f>+'Cartera Propia'!J79</f>
        <v>252219178.23287672</v>
      </c>
      <c r="H161" s="970">
        <v>163488517429</v>
      </c>
      <c r="I161" s="414">
        <v>8110728569</v>
      </c>
      <c r="J161" s="974">
        <v>212346287805</v>
      </c>
      <c r="M161" s="416"/>
    </row>
    <row r="162" spans="1:13" s="415" customFormat="1">
      <c r="A162" s="409"/>
      <c r="B162" s="417" t="s">
        <v>1517</v>
      </c>
      <c r="C162" s="411" t="s">
        <v>72</v>
      </c>
      <c r="D162" s="412">
        <v>1</v>
      </c>
      <c r="E162" s="412">
        <f>+'Cartera Propia'!G80</f>
        <v>250000000</v>
      </c>
      <c r="F162" s="413">
        <v>0</v>
      </c>
      <c r="G162" s="412">
        <f>+'Cartera Propia'!J80</f>
        <v>252219178.23287672</v>
      </c>
      <c r="H162" s="970">
        <v>163488517429</v>
      </c>
      <c r="I162" s="414">
        <v>8110728569</v>
      </c>
      <c r="J162" s="974">
        <v>212346287805</v>
      </c>
      <c r="M162" s="416"/>
    </row>
    <row r="163" spans="1:13" s="415" customFormat="1">
      <c r="A163" s="409"/>
      <c r="B163" s="417" t="s">
        <v>1517</v>
      </c>
      <c r="C163" s="411" t="s">
        <v>72</v>
      </c>
      <c r="D163" s="412">
        <v>1</v>
      </c>
      <c r="E163" s="412">
        <f>+'Cartera Propia'!G81</f>
        <v>250000000</v>
      </c>
      <c r="F163" s="413">
        <v>0</v>
      </c>
      <c r="G163" s="412">
        <f>+'Cartera Propia'!J81</f>
        <v>252219178.23287672</v>
      </c>
      <c r="H163" s="970">
        <v>163488517429</v>
      </c>
      <c r="I163" s="414">
        <v>8110728569</v>
      </c>
      <c r="J163" s="974">
        <v>212346287805</v>
      </c>
      <c r="M163" s="416"/>
    </row>
    <row r="164" spans="1:13" s="415" customFormat="1">
      <c r="A164" s="409"/>
      <c r="B164" s="417" t="s">
        <v>1517</v>
      </c>
      <c r="C164" s="411" t="s">
        <v>72</v>
      </c>
      <c r="D164" s="412">
        <v>1</v>
      </c>
      <c r="E164" s="412">
        <f>+'Cartera Propia'!G82</f>
        <v>250000000</v>
      </c>
      <c r="F164" s="413">
        <v>0</v>
      </c>
      <c r="G164" s="412">
        <f>+'Cartera Propia'!J82</f>
        <v>252219178.23287672</v>
      </c>
      <c r="H164" s="970">
        <v>163488517429</v>
      </c>
      <c r="I164" s="414">
        <v>8110728569</v>
      </c>
      <c r="J164" s="974">
        <v>212346287805</v>
      </c>
      <c r="M164" s="416"/>
    </row>
    <row r="165" spans="1:13" s="415" customFormat="1">
      <c r="A165" s="409"/>
      <c r="B165" s="417" t="s">
        <v>1517</v>
      </c>
      <c r="C165" s="411" t="s">
        <v>72</v>
      </c>
      <c r="D165" s="412">
        <v>1</v>
      </c>
      <c r="E165" s="412">
        <f>+'Cartera Propia'!G83</f>
        <v>500000000</v>
      </c>
      <c r="F165" s="413">
        <v>0</v>
      </c>
      <c r="G165" s="412">
        <f>+'Cartera Propia'!J83</f>
        <v>504849315.12328768</v>
      </c>
      <c r="H165" s="970">
        <v>163488517429</v>
      </c>
      <c r="I165" s="414">
        <v>8110728569</v>
      </c>
      <c r="J165" s="974">
        <v>212346287805</v>
      </c>
      <c r="L165" s="419"/>
      <c r="M165" s="416"/>
    </row>
    <row r="166" spans="1:13" s="415" customFormat="1">
      <c r="A166" s="409"/>
      <c r="B166" s="417" t="s">
        <v>1517</v>
      </c>
      <c r="C166" s="411" t="s">
        <v>72</v>
      </c>
      <c r="D166" s="412">
        <v>1</v>
      </c>
      <c r="E166" s="412">
        <f>+'Cartera Propia'!G84</f>
        <v>500000000</v>
      </c>
      <c r="F166" s="413">
        <v>0</v>
      </c>
      <c r="G166" s="412">
        <f>+'Cartera Propia'!J84</f>
        <v>504849315.12328768</v>
      </c>
      <c r="H166" s="970">
        <v>163488517429</v>
      </c>
      <c r="I166" s="414">
        <v>8110728569</v>
      </c>
      <c r="J166" s="974">
        <v>212346287805</v>
      </c>
      <c r="L166" s="419"/>
      <c r="M166" s="416"/>
    </row>
    <row r="167" spans="1:13" s="415" customFormat="1">
      <c r="A167" s="409"/>
      <c r="B167" s="417" t="s">
        <v>1517</v>
      </c>
      <c r="C167" s="411" t="s">
        <v>72</v>
      </c>
      <c r="D167" s="412">
        <v>1</v>
      </c>
      <c r="E167" s="412">
        <f>+'Cartera Propia'!G85</f>
        <v>200000000</v>
      </c>
      <c r="F167" s="413">
        <v>0</v>
      </c>
      <c r="G167" s="412">
        <f>+'Cartera Propia'!J85</f>
        <v>201939725.84931508</v>
      </c>
      <c r="H167" s="970">
        <v>163488517429</v>
      </c>
      <c r="I167" s="414">
        <v>8110728569</v>
      </c>
      <c r="J167" s="974">
        <v>212346287805</v>
      </c>
      <c r="L167" s="419"/>
      <c r="M167" s="416"/>
    </row>
    <row r="168" spans="1:13" s="415" customFormat="1">
      <c r="A168" s="409"/>
      <c r="B168" s="417" t="s">
        <v>1517</v>
      </c>
      <c r="C168" s="411" t="s">
        <v>72</v>
      </c>
      <c r="D168" s="412">
        <v>1</v>
      </c>
      <c r="E168" s="412">
        <f>+'Cartera Propia'!G86</f>
        <v>150000000</v>
      </c>
      <c r="F168" s="413">
        <v>0</v>
      </c>
      <c r="G168" s="412">
        <f>+'Cartera Propia'!J86</f>
        <v>151331506.73972604</v>
      </c>
      <c r="H168" s="970">
        <v>163488517429</v>
      </c>
      <c r="I168" s="414">
        <v>8110728569</v>
      </c>
      <c r="J168" s="974">
        <v>212346287805</v>
      </c>
      <c r="L168" s="419"/>
      <c r="M168" s="416"/>
    </row>
    <row r="169" spans="1:13" s="415" customFormat="1">
      <c r="A169" s="409"/>
      <c r="B169" s="417" t="s">
        <v>1597</v>
      </c>
      <c r="C169" s="411" t="s">
        <v>72</v>
      </c>
      <c r="D169" s="412">
        <v>1</v>
      </c>
      <c r="E169" s="412">
        <f>+'Cartera Propia'!G87</f>
        <v>500000000</v>
      </c>
      <c r="F169" s="413">
        <v>0</v>
      </c>
      <c r="G169" s="412">
        <f>+'Cartera Propia'!J87</f>
        <v>505876712.47945207</v>
      </c>
      <c r="H169" s="970">
        <v>115000000000</v>
      </c>
      <c r="I169" s="414">
        <v>9501328665</v>
      </c>
      <c r="J169" s="974">
        <v>177412642042</v>
      </c>
      <c r="L169" s="419"/>
      <c r="M169" s="416"/>
    </row>
    <row r="170" spans="1:13" s="415" customFormat="1">
      <c r="A170" s="409"/>
      <c r="B170" s="417" t="s">
        <v>1597</v>
      </c>
      <c r="C170" s="411" t="s">
        <v>72</v>
      </c>
      <c r="D170" s="412">
        <v>1</v>
      </c>
      <c r="E170" s="412">
        <f>+'Cartera Propia'!G88</f>
        <v>100000000</v>
      </c>
      <c r="F170" s="413">
        <v>0</v>
      </c>
      <c r="G170" s="412">
        <f>+'Cartera Propia'!J88</f>
        <v>101175342.09589042</v>
      </c>
      <c r="H170" s="970">
        <v>115000000000</v>
      </c>
      <c r="I170" s="414">
        <v>9501328665</v>
      </c>
      <c r="J170" s="974">
        <v>177412642042</v>
      </c>
      <c r="L170" s="419"/>
      <c r="M170" s="416"/>
    </row>
    <row r="171" spans="1:13" s="415" customFormat="1">
      <c r="A171" s="409"/>
      <c r="B171" s="417" t="s">
        <v>1597</v>
      </c>
      <c r="C171" s="411" t="s">
        <v>72</v>
      </c>
      <c r="D171" s="412">
        <v>1</v>
      </c>
      <c r="E171" s="412">
        <f>+'Cartera Propia'!G89</f>
        <v>100000000</v>
      </c>
      <c r="F171" s="413">
        <v>0</v>
      </c>
      <c r="G171" s="412">
        <f>+'Cartera Propia'!J89</f>
        <v>101175342.09589042</v>
      </c>
      <c r="H171" s="970">
        <v>115000000000</v>
      </c>
      <c r="I171" s="414">
        <v>9501328665</v>
      </c>
      <c r="J171" s="974">
        <v>177412642042</v>
      </c>
      <c r="L171" s="419"/>
      <c r="M171" s="416"/>
    </row>
    <row r="172" spans="1:13" s="415" customFormat="1">
      <c r="A172" s="409"/>
      <c r="B172" s="417" t="s">
        <v>1597</v>
      </c>
      <c r="C172" s="411" t="s">
        <v>72</v>
      </c>
      <c r="D172" s="412">
        <v>1</v>
      </c>
      <c r="E172" s="412">
        <f>+'Cartera Propia'!G90</f>
        <v>250000000</v>
      </c>
      <c r="F172" s="413">
        <v>0</v>
      </c>
      <c r="G172" s="412">
        <f>+'Cartera Propia'!J90</f>
        <v>252938355.73972604</v>
      </c>
      <c r="H172" s="970">
        <v>115000000000</v>
      </c>
      <c r="I172" s="414">
        <v>9501328665</v>
      </c>
      <c r="J172" s="974">
        <v>177412642042</v>
      </c>
      <c r="L172" s="419"/>
      <c r="M172" s="416"/>
    </row>
    <row r="173" spans="1:13" s="415" customFormat="1">
      <c r="A173" s="409"/>
      <c r="B173" s="417" t="s">
        <v>1602</v>
      </c>
      <c r="C173" s="411" t="s">
        <v>72</v>
      </c>
      <c r="D173" s="412">
        <v>1</v>
      </c>
      <c r="E173" s="412">
        <f>+'Cartera Propia'!G91</f>
        <v>100000000</v>
      </c>
      <c r="F173" s="413">
        <v>0</v>
      </c>
      <c r="G173" s="412">
        <f>+'Cartera Propia'!J91</f>
        <v>100397260.90410958</v>
      </c>
      <c r="H173" s="970">
        <v>811171970711</v>
      </c>
      <c r="I173" s="414">
        <v>129637010728</v>
      </c>
      <c r="J173" s="974">
        <v>1246146894183</v>
      </c>
      <c r="L173" s="419"/>
      <c r="M173" s="416"/>
    </row>
    <row r="174" spans="1:13" s="415" customFormat="1">
      <c r="A174" s="409"/>
      <c r="B174" s="417" t="s">
        <v>1604</v>
      </c>
      <c r="C174" s="411" t="s">
        <v>72</v>
      </c>
      <c r="D174" s="412">
        <v>1</v>
      </c>
      <c r="E174" s="412">
        <f>+'Cartera Propia'!G92</f>
        <v>100000000</v>
      </c>
      <c r="F174" s="413">
        <v>0</v>
      </c>
      <c r="G174" s="412">
        <f>+'Cartera Propia'!J92</f>
        <v>101093150.67123288</v>
      </c>
      <c r="H174" s="970">
        <v>68952116438</v>
      </c>
      <c r="I174" s="414">
        <v>6741200561</v>
      </c>
      <c r="J174" s="974">
        <v>102106454315</v>
      </c>
      <c r="L174" s="419"/>
      <c r="M174" s="416"/>
    </row>
    <row r="175" spans="1:13" s="415" customFormat="1">
      <c r="A175" s="409"/>
      <c r="B175" s="417" t="s">
        <v>472</v>
      </c>
      <c r="C175" s="411" t="s">
        <v>72</v>
      </c>
      <c r="D175" s="412">
        <v>1</v>
      </c>
      <c r="E175" s="418">
        <f>+'Cartera Propia'!G97</f>
        <v>103017205</v>
      </c>
      <c r="F175" s="413">
        <v>0</v>
      </c>
      <c r="G175" s="418">
        <f>+'Cartera Propia'!J97</f>
        <v>110445451.07779451</v>
      </c>
      <c r="H175" s="970">
        <v>1084664860000</v>
      </c>
      <c r="I175" s="414">
        <v>44141644708</v>
      </c>
      <c r="J175" s="974">
        <v>1607682435889</v>
      </c>
      <c r="L175" s="419"/>
      <c r="M175" s="416"/>
    </row>
    <row r="176" spans="1:13" s="415" customFormat="1">
      <c r="A176" s="409"/>
      <c r="B176" s="417" t="s">
        <v>472</v>
      </c>
      <c r="C176" s="411" t="s">
        <v>72</v>
      </c>
      <c r="D176" s="412">
        <v>1</v>
      </c>
      <c r="E176" s="418">
        <f>+'Cartera Propia'!G98</f>
        <v>200000000</v>
      </c>
      <c r="F176" s="413">
        <v>0</v>
      </c>
      <c r="G176" s="418">
        <f>+'Cartera Propia'!J98</f>
        <v>205996712.32876712</v>
      </c>
      <c r="H176" s="970">
        <v>1084664860000</v>
      </c>
      <c r="I176" s="414">
        <v>44141644708</v>
      </c>
      <c r="J176" s="974">
        <v>1607682435889</v>
      </c>
      <c r="L176" s="419"/>
      <c r="M176" s="416"/>
    </row>
    <row r="177" spans="1:13" s="415" customFormat="1">
      <c r="A177" s="409"/>
      <c r="B177" s="417" t="s">
        <v>472</v>
      </c>
      <c r="C177" s="411" t="s">
        <v>72</v>
      </c>
      <c r="D177" s="412">
        <v>1</v>
      </c>
      <c r="E177" s="418">
        <f>+'Cartera Propia'!G99</f>
        <v>96585384</v>
      </c>
      <c r="F177" s="413">
        <v>0</v>
      </c>
      <c r="G177" s="418">
        <f>+'Cartera Propia'!J99</f>
        <v>97441156.963989034</v>
      </c>
      <c r="H177" s="970">
        <v>1084664860000</v>
      </c>
      <c r="I177" s="414">
        <v>44141644708</v>
      </c>
      <c r="J177" s="974">
        <v>1607682435889</v>
      </c>
      <c r="L177" s="419"/>
      <c r="M177" s="416"/>
    </row>
    <row r="178" spans="1:13" s="415" customFormat="1">
      <c r="A178" s="409"/>
      <c r="B178" s="417" t="s">
        <v>472</v>
      </c>
      <c r="C178" s="411" t="s">
        <v>72</v>
      </c>
      <c r="D178" s="412">
        <v>1</v>
      </c>
      <c r="E178" s="418">
        <f>+'Cartera Propia'!G100</f>
        <v>70000000</v>
      </c>
      <c r="F178" s="413">
        <v>0</v>
      </c>
      <c r="G178" s="418">
        <f>+'Cartera Propia'!J100</f>
        <v>70620219.178082198</v>
      </c>
      <c r="H178" s="970">
        <v>1084664860000</v>
      </c>
      <c r="I178" s="414">
        <v>44141644708</v>
      </c>
      <c r="J178" s="974">
        <v>1607682435889</v>
      </c>
      <c r="L178" s="419"/>
      <c r="M178" s="416"/>
    </row>
    <row r="179" spans="1:13" s="415" customFormat="1">
      <c r="A179" s="409"/>
      <c r="B179" s="417" t="s">
        <v>472</v>
      </c>
      <c r="C179" s="411" t="s">
        <v>72</v>
      </c>
      <c r="D179" s="412">
        <v>1</v>
      </c>
      <c r="E179" s="418">
        <f>+'Cartera Propia'!G101</f>
        <v>20000000</v>
      </c>
      <c r="F179" s="413">
        <v>0</v>
      </c>
      <c r="G179" s="418">
        <f>+'Cartera Propia'!J101</f>
        <v>20092054.794520549</v>
      </c>
      <c r="H179" s="970">
        <v>1084664860000</v>
      </c>
      <c r="I179" s="414">
        <v>44141644708</v>
      </c>
      <c r="J179" s="974">
        <v>1607682435889</v>
      </c>
      <c r="L179" s="419"/>
      <c r="M179" s="416"/>
    </row>
    <row r="180" spans="1:13" s="415" customFormat="1">
      <c r="A180" s="409"/>
      <c r="B180" s="417" t="s">
        <v>472</v>
      </c>
      <c r="C180" s="411" t="s">
        <v>72</v>
      </c>
      <c r="D180" s="412">
        <v>1</v>
      </c>
      <c r="E180" s="418">
        <f>+'Cartera Propia'!G102</f>
        <v>15000000</v>
      </c>
      <c r="F180" s="413">
        <v>0</v>
      </c>
      <c r="G180" s="418">
        <f>+'Cartera Propia'!J102</f>
        <v>15049315.06849315</v>
      </c>
      <c r="H180" s="970">
        <v>1084664860000</v>
      </c>
      <c r="I180" s="414">
        <v>44141644708</v>
      </c>
      <c r="J180" s="974">
        <v>1607682435889</v>
      </c>
      <c r="L180" s="419"/>
      <c r="M180" s="416"/>
    </row>
    <row r="181" spans="1:13" s="415" customFormat="1">
      <c r="A181" s="409"/>
      <c r="B181" s="417" t="s">
        <v>472</v>
      </c>
      <c r="C181" s="411" t="s">
        <v>72</v>
      </c>
      <c r="D181" s="412">
        <v>1</v>
      </c>
      <c r="E181" s="418">
        <v>0</v>
      </c>
      <c r="F181" s="413">
        <f>+'Cartera Propia'!G112</f>
        <v>15000</v>
      </c>
      <c r="G181" s="418">
        <f>+'Cartera Propia'!J112*$C$15</f>
        <v>108922145.54219179</v>
      </c>
      <c r="H181" s="970">
        <v>1084664860000</v>
      </c>
      <c r="I181" s="414">
        <v>44141644708</v>
      </c>
      <c r="J181" s="974">
        <v>1607682435889</v>
      </c>
      <c r="M181" s="416"/>
    </row>
    <row r="182" spans="1:13" s="415" customFormat="1">
      <c r="A182" s="409"/>
      <c r="B182" s="410" t="s">
        <v>472</v>
      </c>
      <c r="C182" s="411" t="s">
        <v>72</v>
      </c>
      <c r="D182" s="412">
        <v>1</v>
      </c>
      <c r="E182" s="418">
        <v>0</v>
      </c>
      <c r="F182" s="413">
        <f>+'Cartera Propia'!G113</f>
        <v>80000</v>
      </c>
      <c r="G182" s="418">
        <f>+'Cartera Propia'!J113*$C$15</f>
        <v>548035391.57260263</v>
      </c>
      <c r="H182" s="970">
        <v>1084664860000</v>
      </c>
      <c r="I182" s="414">
        <v>44141644708</v>
      </c>
      <c r="J182" s="974">
        <v>1607682435889</v>
      </c>
      <c r="M182" s="416"/>
    </row>
    <row r="183" spans="1:13" s="415" customFormat="1">
      <c r="A183" s="409"/>
      <c r="B183" s="410" t="s">
        <v>1610</v>
      </c>
      <c r="C183" s="411" t="s">
        <v>72</v>
      </c>
      <c r="D183" s="412">
        <v>1</v>
      </c>
      <c r="E183" s="418">
        <v>0</v>
      </c>
      <c r="F183" s="413">
        <f>+'Cartera Propia'!G108</f>
        <v>30000</v>
      </c>
      <c r="G183" s="418">
        <f>+'Cartera Propia'!J108*$C$15</f>
        <v>206794956.57534245</v>
      </c>
      <c r="H183" s="970">
        <v>395294800000</v>
      </c>
      <c r="I183" s="414">
        <v>11148767398</v>
      </c>
      <c r="J183" s="974">
        <v>455722422477</v>
      </c>
      <c r="M183" s="416"/>
    </row>
    <row r="184" spans="1:13" s="415" customFormat="1">
      <c r="A184" s="409"/>
      <c r="B184" s="417" t="s">
        <v>1343</v>
      </c>
      <c r="C184" s="411" t="s">
        <v>655</v>
      </c>
      <c r="D184" s="412">
        <f>+'Cartera Propia'!G9/'Nota 5'!E184</f>
        <v>196</v>
      </c>
      <c r="E184" s="418">
        <v>1000000</v>
      </c>
      <c r="F184" s="413">
        <v>0</v>
      </c>
      <c r="G184" s="418">
        <f>+'Cartera Propia'!J9</f>
        <v>200384493.15068492</v>
      </c>
      <c r="H184" s="970">
        <v>146400000000</v>
      </c>
      <c r="I184" s="414">
        <v>38213000000</v>
      </c>
      <c r="J184" s="974">
        <v>880090000000</v>
      </c>
      <c r="L184" s="419"/>
      <c r="M184" s="416"/>
    </row>
    <row r="185" spans="1:13" s="415" customFormat="1">
      <c r="A185" s="409"/>
      <c r="B185" s="417" t="s">
        <v>1343</v>
      </c>
      <c r="C185" s="411" t="s">
        <v>655</v>
      </c>
      <c r="D185" s="412">
        <f>+'Cartera Propia'!G10/'Nota 5'!E185</f>
        <v>650</v>
      </c>
      <c r="E185" s="418">
        <v>1000000</v>
      </c>
      <c r="F185" s="413">
        <v>0</v>
      </c>
      <c r="G185" s="418">
        <f>+'Cartera Propia'!J10</f>
        <v>664540410.95890415</v>
      </c>
      <c r="H185" s="970">
        <v>146400000000</v>
      </c>
      <c r="I185" s="414">
        <v>38213000000</v>
      </c>
      <c r="J185" s="974">
        <v>880090000000</v>
      </c>
      <c r="L185" s="419"/>
      <c r="M185" s="416"/>
    </row>
    <row r="186" spans="1:13" s="415" customFormat="1">
      <c r="A186" s="409"/>
      <c r="B186" s="417" t="s">
        <v>1343</v>
      </c>
      <c r="C186" s="411" t="s">
        <v>655</v>
      </c>
      <c r="D186" s="412">
        <f>+'Cartera Propia'!G11/'Nota 5'!E186</f>
        <v>66</v>
      </c>
      <c r="E186" s="418">
        <v>1000000</v>
      </c>
      <c r="F186" s="413">
        <v>0</v>
      </c>
      <c r="G186" s="418">
        <f>+'Cartera Propia'!J11</f>
        <v>67663561.643835619</v>
      </c>
      <c r="H186" s="970">
        <v>146400000000</v>
      </c>
      <c r="I186" s="414">
        <v>38213000000</v>
      </c>
      <c r="J186" s="974">
        <v>880090000000</v>
      </c>
      <c r="L186" s="419"/>
      <c r="M186" s="416"/>
    </row>
    <row r="187" spans="1:13" s="415" customFormat="1">
      <c r="A187" s="409"/>
      <c r="B187" s="417" t="s">
        <v>1343</v>
      </c>
      <c r="C187" s="411" t="s">
        <v>655</v>
      </c>
      <c r="D187" s="412">
        <f>+'Cartera Propia'!G12/'Nota 5'!E187</f>
        <v>10</v>
      </c>
      <c r="E187" s="418">
        <v>1000000</v>
      </c>
      <c r="F187" s="413">
        <v>0</v>
      </c>
      <c r="G187" s="418">
        <f>+'Cartera Propia'!J12</f>
        <v>10252054.794520546</v>
      </c>
      <c r="H187" s="970">
        <v>146400000000</v>
      </c>
      <c r="I187" s="414">
        <v>38213000000</v>
      </c>
      <c r="J187" s="974">
        <v>880090000000</v>
      </c>
      <c r="L187" s="419"/>
      <c r="M187" s="416"/>
    </row>
    <row r="188" spans="1:13" s="415" customFormat="1">
      <c r="A188" s="409"/>
      <c r="B188" s="417" t="s">
        <v>1343</v>
      </c>
      <c r="C188" s="411" t="s">
        <v>655</v>
      </c>
      <c r="D188" s="412">
        <f>+'Cartera Propia'!G13/'Nota 5'!E188</f>
        <v>400</v>
      </c>
      <c r="E188" s="418">
        <v>1000000</v>
      </c>
      <c r="F188" s="413">
        <v>0</v>
      </c>
      <c r="G188" s="418">
        <f>+'Cartera Propia'!J13</f>
        <v>410082191.78082198</v>
      </c>
      <c r="H188" s="970">
        <v>146400000000</v>
      </c>
      <c r="I188" s="414">
        <v>38213000000</v>
      </c>
      <c r="J188" s="974">
        <v>880090000000</v>
      </c>
      <c r="L188" s="419"/>
      <c r="M188" s="416"/>
    </row>
    <row r="189" spans="1:13" s="415" customFormat="1">
      <c r="A189" s="409"/>
      <c r="B189" s="417" t="s">
        <v>1343</v>
      </c>
      <c r="C189" s="411" t="s">
        <v>655</v>
      </c>
      <c r="D189" s="412">
        <f>+'Cartera Propia'!G14/'Nota 5'!E189</f>
        <v>5</v>
      </c>
      <c r="E189" s="418">
        <v>1000000</v>
      </c>
      <c r="F189" s="413">
        <v>0</v>
      </c>
      <c r="G189" s="418">
        <f>+'Cartera Propia'!J14</f>
        <v>5126027.3972602729</v>
      </c>
      <c r="H189" s="970">
        <v>146400000000</v>
      </c>
      <c r="I189" s="414">
        <v>38213000000</v>
      </c>
      <c r="J189" s="974">
        <v>880090000000</v>
      </c>
      <c r="L189" s="419"/>
      <c r="M189" s="416"/>
    </row>
    <row r="190" spans="1:13" s="415" customFormat="1">
      <c r="A190" s="409"/>
      <c r="B190" s="417" t="s">
        <v>1344</v>
      </c>
      <c r="C190" s="411" t="s">
        <v>655</v>
      </c>
      <c r="D190" s="412">
        <f>+'Cartera Propia'!G15/'Nota 5'!E190</f>
        <v>5</v>
      </c>
      <c r="E190" s="418">
        <v>1000000</v>
      </c>
      <c r="F190" s="413">
        <v>0</v>
      </c>
      <c r="G190" s="418">
        <f>+'Cartera Propia'!J15</f>
        <v>5007397.2602739725</v>
      </c>
      <c r="H190" s="970">
        <v>40000000000</v>
      </c>
      <c r="I190" s="414">
        <v>697811704</v>
      </c>
      <c r="J190" s="974">
        <v>48989660333</v>
      </c>
      <c r="L190" s="419"/>
      <c r="M190" s="416"/>
    </row>
    <row r="191" spans="1:13" s="415" customFormat="1">
      <c r="A191" s="409"/>
      <c r="B191" s="417" t="s">
        <v>1344</v>
      </c>
      <c r="C191" s="411" t="s">
        <v>655</v>
      </c>
      <c r="D191" s="412">
        <f>+'Cartera Propia'!G16/'Nota 5'!E191</f>
        <v>673</v>
      </c>
      <c r="E191" s="418">
        <v>1000000</v>
      </c>
      <c r="F191" s="413">
        <v>0</v>
      </c>
      <c r="G191" s="418">
        <f>+'Cartera Propia'!J16</f>
        <v>673995671.23287666</v>
      </c>
      <c r="H191" s="970">
        <v>40000000000</v>
      </c>
      <c r="I191" s="414">
        <v>697811704</v>
      </c>
      <c r="J191" s="974">
        <v>48989660333</v>
      </c>
      <c r="L191" s="419"/>
      <c r="M191" s="416"/>
    </row>
    <row r="192" spans="1:13" s="415" customFormat="1">
      <c r="A192" s="409"/>
      <c r="B192" s="417" t="s">
        <v>1345</v>
      </c>
      <c r="C192" s="411" t="s">
        <v>655</v>
      </c>
      <c r="D192" s="412">
        <f>+'Cartera Propia'!G17/'Nota 5'!E192</f>
        <v>200</v>
      </c>
      <c r="E192" s="418">
        <v>1000000</v>
      </c>
      <c r="F192" s="413">
        <v>0</v>
      </c>
      <c r="G192" s="418">
        <f>+'Cartera Propia'!J17</f>
        <v>200000000.00016984</v>
      </c>
      <c r="H192" s="970">
        <v>327245000000</v>
      </c>
      <c r="I192" s="414">
        <v>7391000000</v>
      </c>
      <c r="J192" s="974">
        <v>715971000000</v>
      </c>
      <c r="L192" s="419"/>
      <c r="M192" s="416"/>
    </row>
    <row r="193" spans="1:13" s="415" customFormat="1">
      <c r="A193" s="409"/>
      <c r="B193" s="417" t="s">
        <v>1345</v>
      </c>
      <c r="C193" s="411" t="s">
        <v>655</v>
      </c>
      <c r="D193" s="412">
        <f>+'Cartera Propia'!G18/'Nota 5'!E193</f>
        <v>5</v>
      </c>
      <c r="E193" s="418">
        <v>1000000</v>
      </c>
      <c r="F193" s="413">
        <v>0</v>
      </c>
      <c r="G193" s="418">
        <f>+'Cartera Propia'!J18</f>
        <v>5000000.000001302</v>
      </c>
      <c r="H193" s="970">
        <v>327245000000</v>
      </c>
      <c r="I193" s="414">
        <v>7391000000</v>
      </c>
      <c r="J193" s="974">
        <v>715971000000</v>
      </c>
      <c r="L193" s="419"/>
      <c r="M193" s="416"/>
    </row>
    <row r="194" spans="1:13" s="415" customFormat="1">
      <c r="A194" s="409"/>
      <c r="B194" s="417" t="s">
        <v>1345</v>
      </c>
      <c r="C194" s="411" t="s">
        <v>655</v>
      </c>
      <c r="D194" s="412">
        <f>+'Cartera Propia'!G19/'Nota 5'!E194</f>
        <v>625</v>
      </c>
      <c r="E194" s="418">
        <v>1000000</v>
      </c>
      <c r="F194" s="413">
        <v>0</v>
      </c>
      <c r="G194" s="418">
        <f>+'Cartera Propia'!J19</f>
        <v>625000000</v>
      </c>
      <c r="H194" s="970">
        <v>327245000000</v>
      </c>
      <c r="I194" s="414">
        <v>7391000000</v>
      </c>
      <c r="J194" s="974">
        <v>715971000000</v>
      </c>
      <c r="L194" s="419"/>
      <c r="M194" s="416"/>
    </row>
    <row r="195" spans="1:13" s="415" customFormat="1">
      <c r="A195" s="409"/>
      <c r="B195" s="417" t="s">
        <v>1616</v>
      </c>
      <c r="C195" s="411" t="s">
        <v>655</v>
      </c>
      <c r="D195" s="412">
        <f>+'Cartera Propia'!G20/'Nota 5'!E195</f>
        <v>36</v>
      </c>
      <c r="E195" s="418">
        <v>1000000</v>
      </c>
      <c r="F195" s="413">
        <v>0</v>
      </c>
      <c r="G195" s="418">
        <f>+'Cartera Propia'!J20</f>
        <v>36285041.095890403</v>
      </c>
      <c r="H195" s="970">
        <v>330135829875</v>
      </c>
      <c r="I195" s="414">
        <v>-12692550914</v>
      </c>
      <c r="J195" s="974">
        <v>318939564215</v>
      </c>
      <c r="L195" s="419"/>
      <c r="M195" s="416"/>
    </row>
    <row r="196" spans="1:13" s="415" customFormat="1">
      <c r="A196" s="409"/>
      <c r="B196" s="417" t="s">
        <v>1344</v>
      </c>
      <c r="C196" s="411" t="s">
        <v>655</v>
      </c>
      <c r="D196" s="412">
        <f>+'Cartera Propia'!G21/'Nota 5'!E196</f>
        <v>684</v>
      </c>
      <c r="E196" s="418">
        <v>1000000</v>
      </c>
      <c r="F196" s="413">
        <v>0</v>
      </c>
      <c r="G196" s="418">
        <f>+'Cartera Propia'!J21</f>
        <v>684342936.98630142</v>
      </c>
      <c r="H196" s="970">
        <v>40000000000</v>
      </c>
      <c r="I196" s="414">
        <v>697811704</v>
      </c>
      <c r="J196" s="974">
        <v>48989660333</v>
      </c>
      <c r="L196" s="419"/>
      <c r="M196" s="416"/>
    </row>
    <row r="197" spans="1:13" s="415" customFormat="1">
      <c r="A197" s="409"/>
      <c r="B197" s="417" t="s">
        <v>1344</v>
      </c>
      <c r="C197" s="411" t="s">
        <v>655</v>
      </c>
      <c r="D197" s="412">
        <f>+'Cartera Propia'!G22/'Nota 5'!E197</f>
        <v>1090</v>
      </c>
      <c r="E197" s="418">
        <v>1000000</v>
      </c>
      <c r="F197" s="413">
        <v>0</v>
      </c>
      <c r="G197" s="418">
        <f>+'Cartera Propia'!J22</f>
        <v>1090546493.1506848</v>
      </c>
      <c r="H197" s="970">
        <v>40000000000</v>
      </c>
      <c r="I197" s="414">
        <v>697811704</v>
      </c>
      <c r="J197" s="974">
        <v>48989660333</v>
      </c>
      <c r="L197" s="419"/>
      <c r="M197" s="416"/>
    </row>
    <row r="198" spans="1:13" s="415" customFormat="1">
      <c r="A198" s="409"/>
      <c r="B198" s="417" t="s">
        <v>1344</v>
      </c>
      <c r="C198" s="411" t="s">
        <v>655</v>
      </c>
      <c r="D198" s="412">
        <f>+'Cartera Propia'!G23/'Nota 5'!E198</f>
        <v>2050</v>
      </c>
      <c r="E198" s="418">
        <v>1000000</v>
      </c>
      <c r="F198" s="413">
        <v>0</v>
      </c>
      <c r="G198" s="418">
        <f>+'Cartera Propia'!J23</f>
        <v>2051027808.219178</v>
      </c>
      <c r="H198" s="970">
        <v>40000000000</v>
      </c>
      <c r="I198" s="414">
        <v>697811704</v>
      </c>
      <c r="J198" s="974">
        <v>48989660333</v>
      </c>
      <c r="L198" s="419"/>
      <c r="M198" s="416"/>
    </row>
    <row r="199" spans="1:13" s="415" customFormat="1">
      <c r="A199" s="409"/>
      <c r="B199" s="417" t="s">
        <v>1344</v>
      </c>
      <c r="C199" s="411" t="s">
        <v>655</v>
      </c>
      <c r="D199" s="412">
        <f>+'Cartera Propia'!G24/'Nota 5'!E199</f>
        <v>33</v>
      </c>
      <c r="E199" s="418">
        <v>1000000</v>
      </c>
      <c r="F199" s="413">
        <v>0</v>
      </c>
      <c r="G199" s="418">
        <f>+'Cartera Propia'!J24</f>
        <v>33016545.205479454</v>
      </c>
      <c r="H199" s="970">
        <v>40000000000</v>
      </c>
      <c r="I199" s="414">
        <v>697811704</v>
      </c>
      <c r="J199" s="974">
        <v>48989660333</v>
      </c>
      <c r="L199" s="419"/>
      <c r="M199" s="416"/>
    </row>
    <row r="200" spans="1:13" s="415" customFormat="1">
      <c r="A200" s="409"/>
      <c r="B200" s="417" t="s">
        <v>1344</v>
      </c>
      <c r="C200" s="411" t="s">
        <v>655</v>
      </c>
      <c r="D200" s="412">
        <f>+'Cartera Propia'!G25/'Nota 5'!E200</f>
        <v>1100</v>
      </c>
      <c r="E200" s="418">
        <v>1000000</v>
      </c>
      <c r="F200" s="413">
        <v>0</v>
      </c>
      <c r="G200" s="418">
        <f>+'Cartera Propia'!J25</f>
        <v>1100551506.8493152</v>
      </c>
      <c r="H200" s="970">
        <v>40000000000</v>
      </c>
      <c r="I200" s="414">
        <v>697811704</v>
      </c>
      <c r="J200" s="974">
        <v>48989660333</v>
      </c>
      <c r="L200" s="419"/>
      <c r="M200" s="416"/>
    </row>
    <row r="201" spans="1:13" s="415" customFormat="1">
      <c r="A201" s="409"/>
      <c r="B201" s="417" t="s">
        <v>1616</v>
      </c>
      <c r="C201" s="411" t="s">
        <v>655</v>
      </c>
      <c r="D201" s="412">
        <f>+'Cartera Propia'!G26/'Nota 5'!E201</f>
        <v>1651</v>
      </c>
      <c r="E201" s="418">
        <v>1000000</v>
      </c>
      <c r="F201" s="413">
        <v>0</v>
      </c>
      <c r="G201" s="418">
        <f>+'Cartera Propia'!J26</f>
        <v>1677359458.9041095</v>
      </c>
      <c r="H201" s="970">
        <v>330135829875</v>
      </c>
      <c r="I201" s="414">
        <v>-12692550914</v>
      </c>
      <c r="J201" s="974">
        <v>318939564215</v>
      </c>
      <c r="L201" s="419"/>
      <c r="M201" s="416"/>
    </row>
    <row r="202" spans="1:13" s="415" customFormat="1">
      <c r="A202" s="409"/>
      <c r="B202" s="417" t="s">
        <v>1616</v>
      </c>
      <c r="C202" s="411" t="s">
        <v>655</v>
      </c>
      <c r="D202" s="412">
        <f>+'Cartera Propia'!G27/'Nota 5'!E202</f>
        <v>1100</v>
      </c>
      <c r="E202" s="418">
        <v>1000000</v>
      </c>
      <c r="F202" s="413">
        <v>0</v>
      </c>
      <c r="G202" s="418">
        <f>+'Cartera Propia'!J27</f>
        <v>1117562328.7671232</v>
      </c>
      <c r="H202" s="970">
        <v>330135829875</v>
      </c>
      <c r="I202" s="414">
        <v>-12692550914</v>
      </c>
      <c r="J202" s="974">
        <v>318939564215</v>
      </c>
      <c r="L202" s="419"/>
      <c r="M202" s="416"/>
    </row>
    <row r="203" spans="1:13" s="415" customFormat="1">
      <c r="A203" s="409"/>
      <c r="B203" s="417" t="s">
        <v>1345</v>
      </c>
      <c r="C203" s="411" t="s">
        <v>655</v>
      </c>
      <c r="D203" s="412">
        <f>+'Cartera Propia'!G28/'Nota 5'!E203</f>
        <v>435</v>
      </c>
      <c r="E203" s="418">
        <v>1000000</v>
      </c>
      <c r="F203" s="413">
        <v>0</v>
      </c>
      <c r="G203" s="418">
        <f>+'Cartera Propia'!J28</f>
        <v>435000000</v>
      </c>
      <c r="H203" s="970">
        <v>327245000000</v>
      </c>
      <c r="I203" s="414">
        <v>7391000000</v>
      </c>
      <c r="J203" s="974">
        <v>715971000000</v>
      </c>
      <c r="L203" s="419"/>
      <c r="M203" s="416"/>
    </row>
    <row r="204" spans="1:13" s="415" customFormat="1">
      <c r="A204" s="409"/>
      <c r="B204" s="417" t="s">
        <v>1345</v>
      </c>
      <c r="C204" s="411" t="s">
        <v>655</v>
      </c>
      <c r="D204" s="412">
        <f>+'Cartera Propia'!G29/'Nota 5'!E204</f>
        <v>100</v>
      </c>
      <c r="E204" s="418">
        <v>1000000</v>
      </c>
      <c r="F204" s="413">
        <v>0</v>
      </c>
      <c r="G204" s="418">
        <f>+'Cartera Propia'!J29</f>
        <v>100000000</v>
      </c>
      <c r="H204" s="970">
        <v>327245000000</v>
      </c>
      <c r="I204" s="414">
        <v>7391000000</v>
      </c>
      <c r="J204" s="974">
        <v>715971000000</v>
      </c>
      <c r="L204" s="419"/>
      <c r="M204" s="416"/>
    </row>
    <row r="205" spans="1:13" s="415" customFormat="1">
      <c r="A205" s="409"/>
      <c r="B205" s="417" t="s">
        <v>1345</v>
      </c>
      <c r="C205" s="411" t="s">
        <v>655</v>
      </c>
      <c r="D205" s="412">
        <f>+'Cartera Propia'!G30/'Nota 5'!E205</f>
        <v>304</v>
      </c>
      <c r="E205" s="418">
        <v>1000000</v>
      </c>
      <c r="F205" s="413">
        <v>0</v>
      </c>
      <c r="G205" s="418">
        <f>+'Cartera Propia'!J30</f>
        <v>304000000</v>
      </c>
      <c r="H205" s="970">
        <v>327245000000</v>
      </c>
      <c r="I205" s="414">
        <v>7391000000</v>
      </c>
      <c r="J205" s="974">
        <v>715971000000</v>
      </c>
      <c r="L205" s="419"/>
      <c r="M205" s="416"/>
    </row>
    <row r="206" spans="1:13" s="415" customFormat="1">
      <c r="A206" s="409"/>
      <c r="B206" s="417" t="s">
        <v>1345</v>
      </c>
      <c r="C206" s="411" t="s">
        <v>655</v>
      </c>
      <c r="D206" s="412">
        <f>+'Cartera Propia'!G31/'Nota 5'!E206</f>
        <v>2300</v>
      </c>
      <c r="E206" s="418">
        <v>1000000</v>
      </c>
      <c r="F206" s="413">
        <v>0</v>
      </c>
      <c r="G206" s="418">
        <f>+'Cartera Propia'!J31</f>
        <v>2300000000</v>
      </c>
      <c r="H206" s="970">
        <v>327245000000</v>
      </c>
      <c r="I206" s="414">
        <v>7391000000</v>
      </c>
      <c r="J206" s="974">
        <v>715971000000</v>
      </c>
      <c r="L206" s="419"/>
      <c r="M206" s="416"/>
    </row>
    <row r="207" spans="1:13" s="415" customFormat="1">
      <c r="A207" s="409"/>
      <c r="B207" s="417" t="s">
        <v>523</v>
      </c>
      <c r="C207" s="411" t="s">
        <v>470</v>
      </c>
      <c r="D207" s="412">
        <f>+'Cartera Propia'!G35/'Nota 5'!E207</f>
        <v>700</v>
      </c>
      <c r="E207" s="418">
        <v>1000000</v>
      </c>
      <c r="F207" s="413">
        <v>0</v>
      </c>
      <c r="G207" s="418">
        <f>+'Cartera Propia'!J35</f>
        <v>701520822</v>
      </c>
      <c r="H207" s="970">
        <v>1133000000000</v>
      </c>
      <c r="I207" s="414">
        <v>422837396274</v>
      </c>
      <c r="J207" s="974">
        <v>4074694762572</v>
      </c>
      <c r="L207" s="419"/>
      <c r="M207" s="416"/>
    </row>
    <row r="208" spans="1:13" s="415" customFormat="1">
      <c r="A208" s="409"/>
      <c r="B208" s="417" t="s">
        <v>1522</v>
      </c>
      <c r="C208" s="411" t="s">
        <v>470</v>
      </c>
      <c r="D208" s="412">
        <f>+'Cartera Propia'!G39/'Nota 5'!F208</f>
        <v>1</v>
      </c>
      <c r="E208" s="418">
        <v>0</v>
      </c>
      <c r="F208" s="413">
        <v>1000</v>
      </c>
      <c r="G208" s="418">
        <f>+'Cartera Propia'!J39*'Nota 5'!$C$15</f>
        <v>6837900</v>
      </c>
      <c r="H208" s="970">
        <v>1084664860000</v>
      </c>
      <c r="I208" s="414">
        <v>44141644708</v>
      </c>
      <c r="J208" s="974">
        <v>1607682435889</v>
      </c>
      <c r="L208" s="419"/>
      <c r="M208" s="416"/>
    </row>
    <row r="209" spans="1:13" s="415" customFormat="1">
      <c r="A209" s="409"/>
      <c r="B209" s="417" t="s">
        <v>1346</v>
      </c>
      <c r="C209" s="411" t="s">
        <v>878</v>
      </c>
      <c r="D209" s="412">
        <f>+'Cartera Propia'!G49/'Nota 5'!F209</f>
        <v>5</v>
      </c>
      <c r="E209" s="418">
        <v>0</v>
      </c>
      <c r="F209" s="413">
        <v>1000</v>
      </c>
      <c r="G209" s="418">
        <f>+'Cartera Propia'!J49*'Nota 5'!$C$15</f>
        <v>34749645.780821912</v>
      </c>
      <c r="H209" s="970">
        <v>163488517429</v>
      </c>
      <c r="I209" s="414">
        <v>8110728569</v>
      </c>
      <c r="J209" s="974">
        <v>212346287805</v>
      </c>
      <c r="L209" s="419"/>
      <c r="M209" s="416"/>
    </row>
    <row r="210" spans="1:13" s="415" customFormat="1">
      <c r="A210" s="409"/>
      <c r="B210" s="417" t="s">
        <v>1346</v>
      </c>
      <c r="C210" s="411" t="s">
        <v>878</v>
      </c>
      <c r="D210" s="412">
        <f>+'Cartera Propia'!G50/'Nota 5'!F210</f>
        <v>29</v>
      </c>
      <c r="E210" s="418">
        <v>0</v>
      </c>
      <c r="F210" s="413">
        <v>1000</v>
      </c>
      <c r="G210" s="418">
        <f>+'Cartera Propia'!J50*'Nota 5'!$C$15</f>
        <v>200741166.99863014</v>
      </c>
      <c r="H210" s="970">
        <v>163488517429</v>
      </c>
      <c r="I210" s="414">
        <v>8110728569</v>
      </c>
      <c r="J210" s="974">
        <v>212346287805</v>
      </c>
      <c r="L210" s="419"/>
      <c r="M210" s="416"/>
    </row>
    <row r="211" spans="1:13" s="415" customFormat="1">
      <c r="A211" s="409"/>
      <c r="B211" s="417" t="s">
        <v>1522</v>
      </c>
      <c r="C211" s="411" t="s">
        <v>878</v>
      </c>
      <c r="D211" s="412">
        <f>+'Cartera Propia'!G54/'Nota 5'!F211</f>
        <v>5</v>
      </c>
      <c r="E211" s="418">
        <v>0</v>
      </c>
      <c r="F211" s="413">
        <v>1000</v>
      </c>
      <c r="G211" s="418">
        <f>+'Cartera Propia'!J54*'Nota 5'!$C$15</f>
        <v>34275910.448630132</v>
      </c>
      <c r="H211" s="970">
        <v>1084664860000</v>
      </c>
      <c r="I211" s="414">
        <v>44141644708</v>
      </c>
      <c r="J211" s="974">
        <v>1607682435889</v>
      </c>
      <c r="L211" s="419"/>
      <c r="M211" s="416"/>
    </row>
    <row r="212" spans="1:13" s="415" customFormat="1">
      <c r="A212" s="409"/>
      <c r="B212" s="417" t="s">
        <v>1522</v>
      </c>
      <c r="C212" s="411" t="s">
        <v>878</v>
      </c>
      <c r="D212" s="412">
        <f>+'Cartera Propia'!G55/'Nota 5'!F212</f>
        <v>1</v>
      </c>
      <c r="E212" s="418">
        <v>0</v>
      </c>
      <c r="F212" s="413">
        <v>1000</v>
      </c>
      <c r="G212" s="418">
        <f>+'Cartera Propia'!J55*'Nota 5'!$C$15</f>
        <v>6845964.9752054783</v>
      </c>
      <c r="H212" s="970">
        <v>1084664860000</v>
      </c>
      <c r="I212" s="414">
        <v>44141644708</v>
      </c>
      <c r="J212" s="974">
        <v>1607682435889</v>
      </c>
      <c r="L212" s="419"/>
      <c r="M212" s="416"/>
    </row>
    <row r="213" spans="1:13" s="415" customFormat="1">
      <c r="A213" s="409"/>
      <c r="B213" s="417" t="s">
        <v>1522</v>
      </c>
      <c r="C213" s="411" t="s">
        <v>878</v>
      </c>
      <c r="D213" s="412">
        <f>+'Cartera Propia'!G56/'Nota 5'!F213</f>
        <v>7</v>
      </c>
      <c r="E213" s="418">
        <v>0</v>
      </c>
      <c r="F213" s="413">
        <v>1000</v>
      </c>
      <c r="G213" s="418">
        <f>+'Cartera Propia'!J56*'Nota 5'!$C$15</f>
        <v>48129214.839041099</v>
      </c>
      <c r="H213" s="970">
        <v>1084664860000</v>
      </c>
      <c r="I213" s="414">
        <v>44141644708</v>
      </c>
      <c r="J213" s="974">
        <v>1607682435889</v>
      </c>
      <c r="L213" s="419"/>
      <c r="M213" s="416"/>
    </row>
    <row r="214" spans="1:13" s="415" customFormat="1">
      <c r="A214" s="409"/>
      <c r="B214" s="417" t="s">
        <v>1147</v>
      </c>
      <c r="C214" s="411" t="s">
        <v>648</v>
      </c>
      <c r="D214" s="412">
        <f>+'Cartera Propia'!G43/'Nota 5'!E214</f>
        <v>75</v>
      </c>
      <c r="E214" s="418">
        <v>1000000</v>
      </c>
      <c r="F214" s="413">
        <v>0</v>
      </c>
      <c r="G214" s="418">
        <f>+'Cartera Propia'!J43</f>
        <v>76303458.733168229</v>
      </c>
      <c r="H214" s="967" t="s">
        <v>281</v>
      </c>
      <c r="I214" s="965" t="s">
        <v>281</v>
      </c>
      <c r="J214" s="971" t="s">
        <v>281</v>
      </c>
      <c r="L214" s="419"/>
      <c r="M214" s="416"/>
    </row>
    <row r="215" spans="1:13" s="415" customFormat="1">
      <c r="A215" s="409"/>
      <c r="B215" s="417" t="s">
        <v>1147</v>
      </c>
      <c r="C215" s="411" t="s">
        <v>648</v>
      </c>
      <c r="D215" s="412">
        <f>+'Cartera Propia'!G44/'Nota 5'!E215</f>
        <v>300</v>
      </c>
      <c r="E215" s="418">
        <v>1000000</v>
      </c>
      <c r="F215" s="413">
        <v>0</v>
      </c>
      <c r="G215" s="418">
        <f>+'Cartera Propia'!J44</f>
        <v>300604683.92341894</v>
      </c>
      <c r="H215" s="967" t="s">
        <v>281</v>
      </c>
      <c r="I215" s="965" t="s">
        <v>281</v>
      </c>
      <c r="J215" s="971" t="s">
        <v>281</v>
      </c>
      <c r="L215" s="419"/>
      <c r="M215" s="416"/>
    </row>
    <row r="216" spans="1:13" s="415" customFormat="1">
      <c r="A216" s="409"/>
      <c r="B216" s="417" t="s">
        <v>472</v>
      </c>
      <c r="C216" s="411" t="s">
        <v>1556</v>
      </c>
      <c r="D216" s="412">
        <v>1</v>
      </c>
      <c r="E216" s="418">
        <v>0</v>
      </c>
      <c r="F216" s="413">
        <v>0</v>
      </c>
      <c r="G216" s="418">
        <f>+'Cartera Propia'!J277</f>
        <v>1277933080</v>
      </c>
      <c r="H216" s="970">
        <v>1084664860000</v>
      </c>
      <c r="I216" s="414">
        <v>44141644708</v>
      </c>
      <c r="J216" s="974">
        <v>1607682435889</v>
      </c>
      <c r="L216" s="419"/>
      <c r="M216" s="416"/>
    </row>
    <row r="217" spans="1:13" s="415" customFormat="1" ht="15" customHeight="1">
      <c r="A217" s="409"/>
      <c r="B217" s="421" t="s">
        <v>1474</v>
      </c>
      <c r="C217" s="422"/>
      <c r="D217" s="423"/>
      <c r="E217" s="422"/>
      <c r="F217" s="422"/>
      <c r="G217" s="422"/>
      <c r="H217" s="422"/>
      <c r="I217" s="422"/>
      <c r="J217" s="422"/>
      <c r="M217" s="416"/>
    </row>
    <row r="218" spans="1:13" s="415" customFormat="1">
      <c r="A218" s="409"/>
      <c r="B218" s="410" t="s">
        <v>523</v>
      </c>
      <c r="C218" s="411" t="s">
        <v>470</v>
      </c>
      <c r="D218" s="412">
        <v>15000</v>
      </c>
      <c r="E218" s="418">
        <v>0</v>
      </c>
      <c r="F218" s="418">
        <v>0</v>
      </c>
      <c r="G218" s="412">
        <f>+'Cartera Propia'!J117</f>
        <v>32589041.095890045</v>
      </c>
      <c r="H218" s="970">
        <v>1133000000000</v>
      </c>
      <c r="I218" s="414">
        <v>422837396274</v>
      </c>
      <c r="J218" s="974">
        <v>4074694762572</v>
      </c>
      <c r="M218" s="416"/>
    </row>
    <row r="219" spans="1:13" s="415" customFormat="1">
      <c r="A219" s="409"/>
      <c r="B219" s="410" t="s">
        <v>1343</v>
      </c>
      <c r="C219" s="411" t="s">
        <v>655</v>
      </c>
      <c r="D219" s="412">
        <v>7000</v>
      </c>
      <c r="E219" s="418">
        <v>0</v>
      </c>
      <c r="F219" s="418">
        <v>0</v>
      </c>
      <c r="G219" s="412">
        <f>+'Cartera Propia'!J118</f>
        <v>156589041.09589052</v>
      </c>
      <c r="H219" s="970">
        <v>146400000000</v>
      </c>
      <c r="I219" s="414">
        <v>38213000000</v>
      </c>
      <c r="J219" s="974">
        <v>880090000000</v>
      </c>
      <c r="M219" s="416"/>
    </row>
    <row r="220" spans="1:13" s="415" customFormat="1">
      <c r="A220" s="409"/>
      <c r="B220" s="410" t="s">
        <v>1344</v>
      </c>
      <c r="C220" s="411" t="s">
        <v>655</v>
      </c>
      <c r="D220" s="412">
        <v>4350</v>
      </c>
      <c r="E220" s="418">
        <v>0</v>
      </c>
      <c r="F220" s="418">
        <v>0</v>
      </c>
      <c r="G220" s="412">
        <f>+'Cartera Propia'!J119+'Cartera Propia'!J120</f>
        <v>2180958.3424658775</v>
      </c>
      <c r="H220" s="970">
        <v>40000000000</v>
      </c>
      <c r="I220" s="414">
        <v>697811704</v>
      </c>
      <c r="J220" s="974">
        <v>48989660333</v>
      </c>
      <c r="M220" s="416"/>
    </row>
    <row r="221" spans="1:13" s="415" customFormat="1">
      <c r="A221" s="409"/>
      <c r="B221" s="417" t="s">
        <v>1597</v>
      </c>
      <c r="C221" s="411" t="s">
        <v>72</v>
      </c>
      <c r="D221" s="412">
        <v>1</v>
      </c>
      <c r="E221" s="418">
        <v>0</v>
      </c>
      <c r="F221" s="418">
        <v>0</v>
      </c>
      <c r="G221" s="418">
        <f>+'Cartera Propia'!J124</f>
        <v>19082191.78082196</v>
      </c>
      <c r="H221" s="970">
        <v>115000000000</v>
      </c>
      <c r="I221" s="414">
        <v>9501328665</v>
      </c>
      <c r="J221" s="974">
        <v>177412642042</v>
      </c>
      <c r="M221" s="416"/>
    </row>
    <row r="222" spans="1:13" s="415" customFormat="1">
      <c r="A222" s="409"/>
      <c r="B222" s="417" t="s">
        <v>1597</v>
      </c>
      <c r="C222" s="411" t="s">
        <v>72</v>
      </c>
      <c r="D222" s="412">
        <v>1</v>
      </c>
      <c r="E222" s="418">
        <v>0</v>
      </c>
      <c r="F222" s="418">
        <v>0</v>
      </c>
      <c r="G222" s="418">
        <f>+'Cartera Propia'!J125</f>
        <v>19082191.780821979</v>
      </c>
      <c r="H222" s="970">
        <v>115000000000</v>
      </c>
      <c r="I222" s="414">
        <v>9501328665</v>
      </c>
      <c r="J222" s="974">
        <v>177412642042</v>
      </c>
      <c r="M222" s="416"/>
    </row>
    <row r="223" spans="1:13" s="415" customFormat="1">
      <c r="A223" s="409"/>
      <c r="B223" s="417" t="s">
        <v>1597</v>
      </c>
      <c r="C223" s="411" t="s">
        <v>72</v>
      </c>
      <c r="D223" s="412">
        <v>1</v>
      </c>
      <c r="E223" s="418">
        <v>0</v>
      </c>
      <c r="F223" s="418">
        <v>0</v>
      </c>
      <c r="G223" s="418">
        <f>+'Cartera Propia'!J126</f>
        <v>19082191.780821979</v>
      </c>
      <c r="H223" s="970">
        <v>115000000000</v>
      </c>
      <c r="I223" s="414">
        <v>9501328665</v>
      </c>
      <c r="J223" s="974">
        <v>177412642042</v>
      </c>
      <c r="M223" s="416"/>
    </row>
    <row r="224" spans="1:13" s="415" customFormat="1">
      <c r="A224" s="409"/>
      <c r="B224" s="417" t="s">
        <v>1597</v>
      </c>
      <c r="C224" s="411" t="s">
        <v>72</v>
      </c>
      <c r="D224" s="412">
        <v>1</v>
      </c>
      <c r="E224" s="418">
        <v>0</v>
      </c>
      <c r="F224" s="418">
        <v>0</v>
      </c>
      <c r="G224" s="418">
        <f>+'Cartera Propia'!J127</f>
        <v>19082191.780821979</v>
      </c>
      <c r="H224" s="970">
        <v>115000000000</v>
      </c>
      <c r="I224" s="414">
        <v>9501328665</v>
      </c>
      <c r="J224" s="974">
        <v>177412642042</v>
      </c>
      <c r="M224" s="416"/>
    </row>
    <row r="225" spans="1:13" s="415" customFormat="1">
      <c r="A225" s="409"/>
      <c r="B225" s="417" t="s">
        <v>1597</v>
      </c>
      <c r="C225" s="411" t="s">
        <v>72</v>
      </c>
      <c r="D225" s="412">
        <v>1</v>
      </c>
      <c r="E225" s="418">
        <v>0</v>
      </c>
      <c r="F225" s="418">
        <v>0</v>
      </c>
      <c r="G225" s="418">
        <f>+'Cartera Propia'!J128</f>
        <v>19082191.780821979</v>
      </c>
      <c r="H225" s="970">
        <v>115000000000</v>
      </c>
      <c r="I225" s="414">
        <v>9501328665</v>
      </c>
      <c r="J225" s="974">
        <v>177412642042</v>
      </c>
      <c r="M225" s="416"/>
    </row>
    <row r="226" spans="1:13" s="415" customFormat="1">
      <c r="A226" s="409"/>
      <c r="B226" s="417" t="s">
        <v>1597</v>
      </c>
      <c r="C226" s="411" t="s">
        <v>72</v>
      </c>
      <c r="D226" s="412">
        <v>1</v>
      </c>
      <c r="E226" s="418">
        <v>0</v>
      </c>
      <c r="F226" s="418">
        <v>0</v>
      </c>
      <c r="G226" s="418">
        <f>+'Cartera Propia'!J129</f>
        <v>19082191.780821979</v>
      </c>
      <c r="H226" s="970">
        <v>115000000000</v>
      </c>
      <c r="I226" s="414">
        <v>9501328665</v>
      </c>
      <c r="J226" s="974">
        <v>177412642042</v>
      </c>
      <c r="M226" s="416"/>
    </row>
    <row r="227" spans="1:13" s="415" customFormat="1">
      <c r="A227" s="409"/>
      <c r="B227" s="417" t="s">
        <v>1597</v>
      </c>
      <c r="C227" s="411" t="s">
        <v>72</v>
      </c>
      <c r="D227" s="412">
        <v>1</v>
      </c>
      <c r="E227" s="418">
        <v>0</v>
      </c>
      <c r="F227" s="418">
        <v>0</v>
      </c>
      <c r="G227" s="418">
        <f>+'Cartera Propia'!J130</f>
        <v>19082191.780821979</v>
      </c>
      <c r="H227" s="970">
        <v>115000000000</v>
      </c>
      <c r="I227" s="414">
        <v>9501328665</v>
      </c>
      <c r="J227" s="974">
        <v>177412642042</v>
      </c>
      <c r="M227" s="416"/>
    </row>
    <row r="228" spans="1:13" s="415" customFormat="1">
      <c r="A228" s="409"/>
      <c r="B228" s="417" t="s">
        <v>1597</v>
      </c>
      <c r="C228" s="411" t="s">
        <v>72</v>
      </c>
      <c r="D228" s="412">
        <v>1</v>
      </c>
      <c r="E228" s="418">
        <v>0</v>
      </c>
      <c r="F228" s="418">
        <v>0</v>
      </c>
      <c r="G228" s="418">
        <f>+'Cartera Propia'!J131</f>
        <v>19082191.780821979</v>
      </c>
      <c r="H228" s="970">
        <v>115000000000</v>
      </c>
      <c r="I228" s="414">
        <v>9501328665</v>
      </c>
      <c r="J228" s="974">
        <v>177412642042</v>
      </c>
      <c r="L228" s="419"/>
      <c r="M228" s="416"/>
    </row>
    <row r="229" spans="1:13" s="415" customFormat="1">
      <c r="A229" s="409"/>
      <c r="B229" s="417" t="s">
        <v>1597</v>
      </c>
      <c r="C229" s="411" t="s">
        <v>72</v>
      </c>
      <c r="D229" s="412">
        <v>1</v>
      </c>
      <c r="E229" s="418">
        <v>0</v>
      </c>
      <c r="F229" s="418">
        <v>0</v>
      </c>
      <c r="G229" s="418">
        <f>+'Cartera Propia'!J132</f>
        <v>19082191.780821979</v>
      </c>
      <c r="H229" s="970">
        <v>115000000000</v>
      </c>
      <c r="I229" s="414">
        <v>9501328665</v>
      </c>
      <c r="J229" s="974">
        <v>177412642042</v>
      </c>
      <c r="L229" s="419"/>
      <c r="M229" s="416"/>
    </row>
    <row r="230" spans="1:13" s="415" customFormat="1">
      <c r="A230" s="409"/>
      <c r="B230" s="417" t="s">
        <v>1597</v>
      </c>
      <c r="C230" s="411" t="s">
        <v>72</v>
      </c>
      <c r="D230" s="412">
        <v>1</v>
      </c>
      <c r="E230" s="418">
        <v>0</v>
      </c>
      <c r="F230" s="418">
        <v>0</v>
      </c>
      <c r="G230" s="418">
        <f>+'Cartera Propia'!J133</f>
        <v>19082191.780821979</v>
      </c>
      <c r="H230" s="970">
        <v>115000000000</v>
      </c>
      <c r="I230" s="414">
        <v>9501328665</v>
      </c>
      <c r="J230" s="974">
        <v>177412642042</v>
      </c>
      <c r="L230" s="419"/>
      <c r="M230" s="416"/>
    </row>
    <row r="231" spans="1:13" s="415" customFormat="1">
      <c r="A231" s="409"/>
      <c r="B231" s="417" t="s">
        <v>1597</v>
      </c>
      <c r="C231" s="411" t="s">
        <v>72</v>
      </c>
      <c r="D231" s="412">
        <v>1</v>
      </c>
      <c r="E231" s="418">
        <v>0</v>
      </c>
      <c r="F231" s="418">
        <v>0</v>
      </c>
      <c r="G231" s="418">
        <f>+'Cartera Propia'!J134</f>
        <v>19082191.780821979</v>
      </c>
      <c r="H231" s="970">
        <v>115000000000</v>
      </c>
      <c r="I231" s="414">
        <v>9501328665</v>
      </c>
      <c r="J231" s="974">
        <v>177412642042</v>
      </c>
      <c r="L231" s="419"/>
      <c r="M231" s="416"/>
    </row>
    <row r="232" spans="1:13" s="415" customFormat="1">
      <c r="A232" s="409"/>
      <c r="B232" s="417" t="s">
        <v>1597</v>
      </c>
      <c r="C232" s="411" t="s">
        <v>72</v>
      </c>
      <c r="D232" s="412">
        <v>1</v>
      </c>
      <c r="E232" s="418">
        <v>0</v>
      </c>
      <c r="F232" s="418">
        <v>0</v>
      </c>
      <c r="G232" s="418">
        <f>+'Cartera Propia'!J135</f>
        <v>19082191.780821979</v>
      </c>
      <c r="H232" s="970">
        <v>115000000000</v>
      </c>
      <c r="I232" s="414">
        <v>9501328665</v>
      </c>
      <c r="J232" s="974">
        <v>177412642042</v>
      </c>
      <c r="L232" s="419"/>
      <c r="M232" s="416"/>
    </row>
    <row r="233" spans="1:13" s="415" customFormat="1">
      <c r="A233" s="409"/>
      <c r="B233" s="417" t="s">
        <v>1597</v>
      </c>
      <c r="C233" s="411" t="s">
        <v>72</v>
      </c>
      <c r="D233" s="412">
        <v>1</v>
      </c>
      <c r="E233" s="418">
        <v>0</v>
      </c>
      <c r="F233" s="418">
        <v>0</v>
      </c>
      <c r="G233" s="418">
        <f>+'Cartera Propia'!J136</f>
        <v>19082191.780821979</v>
      </c>
      <c r="H233" s="970">
        <v>115000000000</v>
      </c>
      <c r="I233" s="414">
        <v>9501328665</v>
      </c>
      <c r="J233" s="974">
        <v>177412642042</v>
      </c>
      <c r="L233" s="419"/>
      <c r="M233" s="416"/>
    </row>
    <row r="234" spans="1:13" s="415" customFormat="1">
      <c r="A234" s="409"/>
      <c r="B234" s="417" t="s">
        <v>1597</v>
      </c>
      <c r="C234" s="411" t="s">
        <v>72</v>
      </c>
      <c r="D234" s="412">
        <v>1</v>
      </c>
      <c r="E234" s="418">
        <v>0</v>
      </c>
      <c r="F234" s="418">
        <v>0</v>
      </c>
      <c r="G234" s="418">
        <f>+'Cartera Propia'!J137</f>
        <v>19082191.780821979</v>
      </c>
      <c r="H234" s="970">
        <v>115000000000</v>
      </c>
      <c r="I234" s="414">
        <v>9501328665</v>
      </c>
      <c r="J234" s="974">
        <v>177412642042</v>
      </c>
      <c r="L234" s="419"/>
      <c r="M234" s="416"/>
    </row>
    <row r="235" spans="1:13" s="415" customFormat="1">
      <c r="A235" s="409"/>
      <c r="B235" s="417" t="s">
        <v>1597</v>
      </c>
      <c r="C235" s="411" t="s">
        <v>72</v>
      </c>
      <c r="D235" s="412">
        <v>1</v>
      </c>
      <c r="E235" s="418">
        <v>0</v>
      </c>
      <c r="F235" s="418">
        <v>0</v>
      </c>
      <c r="G235" s="418">
        <f>+'Cartera Propia'!J138</f>
        <v>19082191.780821979</v>
      </c>
      <c r="H235" s="970">
        <v>115000000000</v>
      </c>
      <c r="I235" s="414">
        <v>9501328665</v>
      </c>
      <c r="J235" s="974">
        <v>177412642042</v>
      </c>
      <c r="L235" s="419"/>
      <c r="M235" s="416"/>
    </row>
    <row r="236" spans="1:13" s="415" customFormat="1">
      <c r="A236" s="409"/>
      <c r="B236" s="417" t="s">
        <v>1597</v>
      </c>
      <c r="C236" s="411" t="s">
        <v>72</v>
      </c>
      <c r="D236" s="412">
        <v>1</v>
      </c>
      <c r="E236" s="418">
        <v>0</v>
      </c>
      <c r="F236" s="418">
        <v>0</v>
      </c>
      <c r="G236" s="418">
        <f>+'Cartera Propia'!J139</f>
        <v>19082191.780821979</v>
      </c>
      <c r="H236" s="970">
        <v>115000000000</v>
      </c>
      <c r="I236" s="414">
        <v>9501328665</v>
      </c>
      <c r="J236" s="974">
        <v>177412642042</v>
      </c>
      <c r="L236" s="419"/>
      <c r="M236" s="416"/>
    </row>
    <row r="237" spans="1:13" s="415" customFormat="1">
      <c r="A237" s="409"/>
      <c r="B237" s="417" t="s">
        <v>1597</v>
      </c>
      <c r="C237" s="411" t="s">
        <v>72</v>
      </c>
      <c r="D237" s="412">
        <v>1</v>
      </c>
      <c r="E237" s="418">
        <v>0</v>
      </c>
      <c r="F237" s="418">
        <v>0</v>
      </c>
      <c r="G237" s="418">
        <f>+'Cartera Propia'!J140</f>
        <v>16356164.38356163</v>
      </c>
      <c r="H237" s="970">
        <v>115000000000</v>
      </c>
      <c r="I237" s="414">
        <v>9501328665</v>
      </c>
      <c r="J237" s="974">
        <v>177412642042</v>
      </c>
      <c r="L237" s="419"/>
      <c r="M237" s="416"/>
    </row>
    <row r="238" spans="1:13" s="415" customFormat="1">
      <c r="A238" s="409"/>
      <c r="B238" s="417" t="s">
        <v>1597</v>
      </c>
      <c r="C238" s="411" t="s">
        <v>72</v>
      </c>
      <c r="D238" s="412">
        <v>1</v>
      </c>
      <c r="E238" s="418">
        <v>0</v>
      </c>
      <c r="F238" s="418">
        <v>0</v>
      </c>
      <c r="G238" s="418">
        <f>+'Cartera Propia'!J141</f>
        <v>16356164.38356163</v>
      </c>
      <c r="H238" s="970">
        <v>115000000000</v>
      </c>
      <c r="I238" s="414">
        <v>9501328665</v>
      </c>
      <c r="J238" s="974">
        <v>177412642042</v>
      </c>
      <c r="L238" s="419"/>
      <c r="M238" s="416"/>
    </row>
    <row r="239" spans="1:13" s="415" customFormat="1">
      <c r="A239" s="409"/>
      <c r="B239" s="417" t="s">
        <v>1597</v>
      </c>
      <c r="C239" s="411" t="s">
        <v>72</v>
      </c>
      <c r="D239" s="412">
        <v>1</v>
      </c>
      <c r="E239" s="418">
        <v>0</v>
      </c>
      <c r="F239" s="418">
        <v>0</v>
      </c>
      <c r="G239" s="418">
        <f>+'Cartera Propia'!J142</f>
        <v>16356164.38356163</v>
      </c>
      <c r="H239" s="970">
        <v>115000000000</v>
      </c>
      <c r="I239" s="414">
        <v>9501328665</v>
      </c>
      <c r="J239" s="974">
        <v>177412642042</v>
      </c>
      <c r="L239" s="419"/>
      <c r="M239" s="416"/>
    </row>
    <row r="240" spans="1:13" s="415" customFormat="1">
      <c r="A240" s="409"/>
      <c r="B240" s="417" t="s">
        <v>1597</v>
      </c>
      <c r="C240" s="411" t="s">
        <v>72</v>
      </c>
      <c r="D240" s="412">
        <v>1</v>
      </c>
      <c r="E240" s="418">
        <v>0</v>
      </c>
      <c r="F240" s="418">
        <v>0</v>
      </c>
      <c r="G240" s="418">
        <f>+'Cartera Propia'!J143</f>
        <v>16356164.38356163</v>
      </c>
      <c r="H240" s="970">
        <v>115000000000</v>
      </c>
      <c r="I240" s="414">
        <v>9501328665</v>
      </c>
      <c r="J240" s="974">
        <v>177412642042</v>
      </c>
      <c r="L240" s="419"/>
      <c r="M240" s="416"/>
    </row>
    <row r="241" spans="1:13" s="415" customFormat="1">
      <c r="A241" s="409"/>
      <c r="B241" s="417" t="s">
        <v>1597</v>
      </c>
      <c r="C241" s="411" t="s">
        <v>72</v>
      </c>
      <c r="D241" s="412">
        <v>1</v>
      </c>
      <c r="E241" s="418">
        <v>0</v>
      </c>
      <c r="F241" s="418">
        <v>0</v>
      </c>
      <c r="G241" s="418">
        <f>+'Cartera Propia'!J144</f>
        <v>16356164.38356163</v>
      </c>
      <c r="H241" s="970">
        <v>115000000000</v>
      </c>
      <c r="I241" s="414">
        <v>9501328665</v>
      </c>
      <c r="J241" s="974">
        <v>177412642042</v>
      </c>
      <c r="L241" s="419"/>
      <c r="M241" s="416"/>
    </row>
    <row r="242" spans="1:13" s="415" customFormat="1">
      <c r="A242" s="409"/>
      <c r="B242" s="417" t="s">
        <v>1597</v>
      </c>
      <c r="C242" s="411" t="s">
        <v>72</v>
      </c>
      <c r="D242" s="412">
        <v>1</v>
      </c>
      <c r="E242" s="418">
        <v>0</v>
      </c>
      <c r="F242" s="418">
        <v>0</v>
      </c>
      <c r="G242" s="418">
        <f>+'Cartera Propia'!J145</f>
        <v>16356164.38356163</v>
      </c>
      <c r="H242" s="970">
        <v>115000000000</v>
      </c>
      <c r="I242" s="414">
        <v>9501328665</v>
      </c>
      <c r="J242" s="974">
        <v>177412642042</v>
      </c>
      <c r="L242" s="419"/>
      <c r="M242" s="416"/>
    </row>
    <row r="243" spans="1:13" s="415" customFormat="1">
      <c r="A243" s="409"/>
      <c r="B243" s="417" t="s">
        <v>1597</v>
      </c>
      <c r="C243" s="411" t="s">
        <v>72</v>
      </c>
      <c r="D243" s="412">
        <v>1</v>
      </c>
      <c r="E243" s="418">
        <v>0</v>
      </c>
      <c r="F243" s="418">
        <v>0</v>
      </c>
      <c r="G243" s="418">
        <f>+'Cartera Propia'!J146</f>
        <v>16356164.38356163</v>
      </c>
      <c r="H243" s="970">
        <v>115000000000</v>
      </c>
      <c r="I243" s="414">
        <v>9501328665</v>
      </c>
      <c r="J243" s="974">
        <v>177412642042</v>
      </c>
      <c r="M243" s="416"/>
    </row>
    <row r="244" spans="1:13" s="415" customFormat="1">
      <c r="A244" s="409"/>
      <c r="B244" s="417" t="s">
        <v>1597</v>
      </c>
      <c r="C244" s="411" t="s">
        <v>72</v>
      </c>
      <c r="D244" s="412">
        <v>1</v>
      </c>
      <c r="E244" s="418">
        <v>0</v>
      </c>
      <c r="F244" s="418">
        <v>0</v>
      </c>
      <c r="G244" s="418">
        <f>+'Cartera Propia'!J147</f>
        <v>16356164.38356163</v>
      </c>
      <c r="H244" s="970">
        <v>115000000000</v>
      </c>
      <c r="I244" s="414">
        <v>9501328665</v>
      </c>
      <c r="J244" s="974">
        <v>177412642042</v>
      </c>
      <c r="M244" s="416"/>
    </row>
    <row r="245" spans="1:13" s="415" customFormat="1">
      <c r="A245" s="409"/>
      <c r="B245" s="417" t="s">
        <v>1597</v>
      </c>
      <c r="C245" s="411" t="s">
        <v>72</v>
      </c>
      <c r="D245" s="412">
        <v>1</v>
      </c>
      <c r="E245" s="418">
        <v>0</v>
      </c>
      <c r="F245" s="418">
        <v>0</v>
      </c>
      <c r="G245" s="418">
        <f>+'Cartera Propia'!J148</f>
        <v>16356164.38356163</v>
      </c>
      <c r="H245" s="970">
        <v>115000000000</v>
      </c>
      <c r="I245" s="414">
        <v>9501328665</v>
      </c>
      <c r="J245" s="974">
        <v>177412642042</v>
      </c>
      <c r="M245" s="416"/>
    </row>
    <row r="246" spans="1:13" s="415" customFormat="1">
      <c r="A246" s="409"/>
      <c r="B246" s="417" t="s">
        <v>1597</v>
      </c>
      <c r="C246" s="411" t="s">
        <v>72</v>
      </c>
      <c r="D246" s="412">
        <v>1</v>
      </c>
      <c r="E246" s="418">
        <v>0</v>
      </c>
      <c r="F246" s="418">
        <v>0</v>
      </c>
      <c r="G246" s="418">
        <f>+'Cartera Propia'!J149</f>
        <v>16356164.38356163</v>
      </c>
      <c r="H246" s="970">
        <v>115000000000</v>
      </c>
      <c r="I246" s="414">
        <v>9501328665</v>
      </c>
      <c r="J246" s="974">
        <v>177412642042</v>
      </c>
      <c r="M246" s="416"/>
    </row>
    <row r="247" spans="1:13" s="415" customFormat="1">
      <c r="A247" s="409"/>
      <c r="B247" s="417" t="s">
        <v>1597</v>
      </c>
      <c r="C247" s="411" t="s">
        <v>72</v>
      </c>
      <c r="D247" s="412">
        <v>1</v>
      </c>
      <c r="E247" s="418">
        <v>0</v>
      </c>
      <c r="F247" s="418">
        <v>0</v>
      </c>
      <c r="G247" s="418">
        <f>+'Cartera Propia'!J150</f>
        <v>16356164.38356163</v>
      </c>
      <c r="H247" s="970">
        <v>115000000000</v>
      </c>
      <c r="I247" s="414">
        <v>9501328665</v>
      </c>
      <c r="J247" s="974">
        <v>177412642042</v>
      </c>
      <c r="M247" s="416"/>
    </row>
    <row r="248" spans="1:13" s="415" customFormat="1">
      <c r="A248" s="409"/>
      <c r="B248" s="417" t="s">
        <v>1597</v>
      </c>
      <c r="C248" s="411" t="s">
        <v>72</v>
      </c>
      <c r="D248" s="412">
        <v>1</v>
      </c>
      <c r="E248" s="418">
        <v>0</v>
      </c>
      <c r="F248" s="418">
        <v>0</v>
      </c>
      <c r="G248" s="418">
        <f>+'Cartera Propia'!J151</f>
        <v>16356164.38356163</v>
      </c>
      <c r="H248" s="970">
        <v>115000000000</v>
      </c>
      <c r="I248" s="414">
        <v>9501328665</v>
      </c>
      <c r="J248" s="974">
        <v>177412642042</v>
      </c>
      <c r="M248" s="416"/>
    </row>
    <row r="249" spans="1:13" s="415" customFormat="1">
      <c r="A249" s="409"/>
      <c r="B249" s="417" t="s">
        <v>1597</v>
      </c>
      <c r="C249" s="411" t="s">
        <v>72</v>
      </c>
      <c r="D249" s="412">
        <v>1</v>
      </c>
      <c r="E249" s="418">
        <v>0</v>
      </c>
      <c r="F249" s="418">
        <v>0</v>
      </c>
      <c r="G249" s="418">
        <f>+'Cartera Propia'!J152</f>
        <v>16356164.38356163</v>
      </c>
      <c r="H249" s="970">
        <v>115000000000</v>
      </c>
      <c r="I249" s="414">
        <v>9501328665</v>
      </c>
      <c r="J249" s="974">
        <v>177412642042</v>
      </c>
      <c r="M249" s="416"/>
    </row>
    <row r="250" spans="1:13" s="415" customFormat="1">
      <c r="A250" s="409"/>
      <c r="B250" s="417" t="s">
        <v>1597</v>
      </c>
      <c r="C250" s="411" t="s">
        <v>72</v>
      </c>
      <c r="D250" s="412">
        <v>1</v>
      </c>
      <c r="E250" s="418">
        <v>0</v>
      </c>
      <c r="F250" s="418">
        <v>0</v>
      </c>
      <c r="G250" s="418">
        <f>+'Cartera Propia'!J153</f>
        <v>16356164.38356163</v>
      </c>
      <c r="H250" s="970">
        <v>115000000000</v>
      </c>
      <c r="I250" s="414">
        <v>9501328665</v>
      </c>
      <c r="J250" s="974">
        <v>177412642042</v>
      </c>
      <c r="M250" s="416"/>
    </row>
    <row r="251" spans="1:13" s="415" customFormat="1">
      <c r="A251" s="409"/>
      <c r="B251" s="417" t="s">
        <v>1597</v>
      </c>
      <c r="C251" s="411" t="s">
        <v>72</v>
      </c>
      <c r="D251" s="412">
        <v>1</v>
      </c>
      <c r="E251" s="418">
        <v>0</v>
      </c>
      <c r="F251" s="418">
        <v>0</v>
      </c>
      <c r="G251" s="418">
        <f>+'Cartera Propia'!J154</f>
        <v>16356164.38356163</v>
      </c>
      <c r="H251" s="970">
        <v>115000000000</v>
      </c>
      <c r="I251" s="414">
        <v>9501328665</v>
      </c>
      <c r="J251" s="974">
        <v>177412642042</v>
      </c>
      <c r="M251" s="416"/>
    </row>
    <row r="252" spans="1:13" s="415" customFormat="1">
      <c r="A252" s="409"/>
      <c r="B252" s="417" t="s">
        <v>1597</v>
      </c>
      <c r="C252" s="411" t="s">
        <v>72</v>
      </c>
      <c r="D252" s="412">
        <v>1</v>
      </c>
      <c r="E252" s="418">
        <v>0</v>
      </c>
      <c r="F252" s="418">
        <v>0</v>
      </c>
      <c r="G252" s="418">
        <f>+'Cartera Propia'!J155</f>
        <v>16356164.38356163</v>
      </c>
      <c r="H252" s="970">
        <v>115000000000</v>
      </c>
      <c r="I252" s="414">
        <v>9501328665</v>
      </c>
      <c r="J252" s="974">
        <v>177412642042</v>
      </c>
      <c r="M252" s="416"/>
    </row>
    <row r="253" spans="1:13" s="415" customFormat="1">
      <c r="A253" s="409"/>
      <c r="B253" s="417" t="s">
        <v>1597</v>
      </c>
      <c r="C253" s="411" t="s">
        <v>72</v>
      </c>
      <c r="D253" s="412">
        <v>1</v>
      </c>
      <c r="E253" s="418">
        <v>0</v>
      </c>
      <c r="F253" s="418">
        <v>0</v>
      </c>
      <c r="G253" s="418">
        <f>+'Cartera Propia'!J156</f>
        <v>16356164.38356163</v>
      </c>
      <c r="H253" s="970">
        <v>115000000000</v>
      </c>
      <c r="I253" s="414">
        <v>9501328665</v>
      </c>
      <c r="J253" s="974">
        <v>177412642042</v>
      </c>
      <c r="L253" s="419"/>
      <c r="M253" s="416"/>
    </row>
    <row r="254" spans="1:13" s="415" customFormat="1">
      <c r="A254" s="409"/>
      <c r="B254" s="417" t="s">
        <v>1597</v>
      </c>
      <c r="C254" s="411" t="s">
        <v>72</v>
      </c>
      <c r="D254" s="412">
        <v>1</v>
      </c>
      <c r="E254" s="418">
        <v>0</v>
      </c>
      <c r="F254" s="418">
        <v>0</v>
      </c>
      <c r="G254" s="418">
        <f>+'Cartera Propia'!J157</f>
        <v>16356164.38356163</v>
      </c>
      <c r="H254" s="970">
        <v>115000000000</v>
      </c>
      <c r="I254" s="414">
        <v>9501328665</v>
      </c>
      <c r="J254" s="974">
        <v>177412642042</v>
      </c>
      <c r="L254" s="419"/>
      <c r="M254" s="416"/>
    </row>
    <row r="255" spans="1:13" s="415" customFormat="1">
      <c r="A255" s="409"/>
      <c r="B255" s="417" t="s">
        <v>1597</v>
      </c>
      <c r="C255" s="411" t="s">
        <v>72</v>
      </c>
      <c r="D255" s="412">
        <v>1</v>
      </c>
      <c r="E255" s="418">
        <v>0</v>
      </c>
      <c r="F255" s="418">
        <v>0</v>
      </c>
      <c r="G255" s="418">
        <f>+'Cartera Propia'!J158</f>
        <v>16356164.38356163</v>
      </c>
      <c r="H255" s="970">
        <v>115000000000</v>
      </c>
      <c r="I255" s="414">
        <v>9501328665</v>
      </c>
      <c r="J255" s="974">
        <v>177412642042</v>
      </c>
      <c r="M255" s="416"/>
    </row>
    <row r="256" spans="1:13" s="415" customFormat="1">
      <c r="A256" s="409"/>
      <c r="B256" s="417" t="s">
        <v>1597</v>
      </c>
      <c r="C256" s="411" t="s">
        <v>72</v>
      </c>
      <c r="D256" s="412">
        <v>1</v>
      </c>
      <c r="E256" s="418">
        <v>0</v>
      </c>
      <c r="F256" s="418">
        <v>0</v>
      </c>
      <c r="G256" s="418">
        <f>+'Cartera Propia'!J159</f>
        <v>16356164.38356163</v>
      </c>
      <c r="H256" s="970">
        <v>115000000000</v>
      </c>
      <c r="I256" s="414">
        <v>9501328665</v>
      </c>
      <c r="J256" s="974">
        <v>177412642042</v>
      </c>
      <c r="M256" s="416"/>
    </row>
    <row r="257" spans="1:13" s="415" customFormat="1">
      <c r="A257" s="409"/>
      <c r="B257" s="417" t="s">
        <v>1597</v>
      </c>
      <c r="C257" s="411" t="s">
        <v>72</v>
      </c>
      <c r="D257" s="412">
        <v>1</v>
      </c>
      <c r="E257" s="418">
        <v>0</v>
      </c>
      <c r="F257" s="418">
        <v>0</v>
      </c>
      <c r="G257" s="418">
        <f>+'Cartera Propia'!J160</f>
        <v>5484931.2328767208</v>
      </c>
      <c r="H257" s="970">
        <v>115000000000</v>
      </c>
      <c r="I257" s="414">
        <v>9501328665</v>
      </c>
      <c r="J257" s="974">
        <v>177412642042</v>
      </c>
      <c r="M257" s="416"/>
    </row>
    <row r="258" spans="1:13" s="415" customFormat="1">
      <c r="A258" s="409"/>
      <c r="B258" s="417" t="s">
        <v>1597</v>
      </c>
      <c r="C258" s="411" t="s">
        <v>72</v>
      </c>
      <c r="D258" s="412">
        <v>1</v>
      </c>
      <c r="E258" s="418">
        <v>0</v>
      </c>
      <c r="F258" s="418">
        <v>0</v>
      </c>
      <c r="G258" s="418">
        <f>+'Cartera Propia'!J161</f>
        <v>26541095.465753477</v>
      </c>
      <c r="H258" s="970">
        <v>115000000000</v>
      </c>
      <c r="I258" s="414">
        <v>9501328665</v>
      </c>
      <c r="J258" s="974">
        <v>177412642042</v>
      </c>
      <c r="M258" s="416"/>
    </row>
    <row r="259" spans="1:13" s="415" customFormat="1">
      <c r="A259" s="409"/>
      <c r="B259" s="417" t="s">
        <v>1597</v>
      </c>
      <c r="C259" s="411" t="s">
        <v>72</v>
      </c>
      <c r="D259" s="412">
        <v>1</v>
      </c>
      <c r="E259" s="418">
        <v>0</v>
      </c>
      <c r="F259" s="418">
        <v>0</v>
      </c>
      <c r="G259" s="418">
        <f>+'Cartera Propia'!J162</f>
        <v>13270548.232876739</v>
      </c>
      <c r="H259" s="970">
        <v>115000000000</v>
      </c>
      <c r="I259" s="414">
        <v>9501328665</v>
      </c>
      <c r="J259" s="974">
        <v>177412642042</v>
      </c>
      <c r="M259" s="416"/>
    </row>
    <row r="260" spans="1:13" s="415" customFormat="1">
      <c r="A260" s="409"/>
      <c r="B260" s="417" t="s">
        <v>1346</v>
      </c>
      <c r="C260" s="411" t="s">
        <v>72</v>
      </c>
      <c r="D260" s="412">
        <v>1</v>
      </c>
      <c r="E260" s="418">
        <v>0</v>
      </c>
      <c r="F260" s="418">
        <v>0</v>
      </c>
      <c r="G260" s="418">
        <f>+'Cartera Propia'!J163</f>
        <v>2424657.561643837</v>
      </c>
      <c r="H260" s="970">
        <v>163488517429</v>
      </c>
      <c r="I260" s="414">
        <v>8110728569</v>
      </c>
      <c r="J260" s="974">
        <v>212346287805</v>
      </c>
      <c r="M260" s="416"/>
    </row>
    <row r="261" spans="1:13" s="415" customFormat="1">
      <c r="A261" s="409"/>
      <c r="B261" s="417" t="s">
        <v>1346</v>
      </c>
      <c r="C261" s="411" t="s">
        <v>72</v>
      </c>
      <c r="D261" s="412">
        <v>1</v>
      </c>
      <c r="E261" s="418">
        <v>0</v>
      </c>
      <c r="F261" s="418">
        <v>0</v>
      </c>
      <c r="G261" s="418">
        <f>+'Cartera Propia'!J164</f>
        <v>2424657.561643837</v>
      </c>
      <c r="H261" s="970">
        <v>163488517429</v>
      </c>
      <c r="I261" s="414">
        <v>8110728569</v>
      </c>
      <c r="J261" s="974">
        <v>212346287805</v>
      </c>
      <c r="M261" s="416"/>
    </row>
    <row r="262" spans="1:13" s="415" customFormat="1">
      <c r="A262" s="409"/>
      <c r="B262" s="417" t="s">
        <v>1346</v>
      </c>
      <c r="C262" s="411" t="s">
        <v>72</v>
      </c>
      <c r="D262" s="412">
        <v>1</v>
      </c>
      <c r="E262" s="418">
        <v>0</v>
      </c>
      <c r="F262" s="418">
        <v>0</v>
      </c>
      <c r="G262" s="418">
        <f>+'Cartera Propia'!J165</f>
        <v>2424657.561643837</v>
      </c>
      <c r="H262" s="970">
        <v>163488517429</v>
      </c>
      <c r="I262" s="414">
        <v>8110728569</v>
      </c>
      <c r="J262" s="974">
        <v>212346287805</v>
      </c>
      <c r="M262" s="416"/>
    </row>
    <row r="263" spans="1:13" s="415" customFormat="1">
      <c r="A263" s="409"/>
      <c r="B263" s="417" t="s">
        <v>1346</v>
      </c>
      <c r="C263" s="411" t="s">
        <v>72</v>
      </c>
      <c r="D263" s="412">
        <v>1</v>
      </c>
      <c r="E263" s="418">
        <v>0</v>
      </c>
      <c r="F263" s="418">
        <v>0</v>
      </c>
      <c r="G263" s="418">
        <f>+'Cartera Propia'!J166</f>
        <v>2424657.561643837</v>
      </c>
      <c r="H263" s="970">
        <v>163488517429</v>
      </c>
      <c r="I263" s="414">
        <v>8110728569</v>
      </c>
      <c r="J263" s="974">
        <v>212346287805</v>
      </c>
      <c r="M263" s="416"/>
    </row>
    <row r="264" spans="1:13" s="415" customFormat="1">
      <c r="A264" s="409"/>
      <c r="B264" s="417" t="s">
        <v>1346</v>
      </c>
      <c r="C264" s="411" t="s">
        <v>72</v>
      </c>
      <c r="D264" s="412">
        <v>1</v>
      </c>
      <c r="E264" s="418">
        <v>0</v>
      </c>
      <c r="F264" s="418">
        <v>0</v>
      </c>
      <c r="G264" s="418">
        <f>+'Cartera Propia'!J167</f>
        <v>2424657.561643837</v>
      </c>
      <c r="H264" s="970">
        <v>163488517429</v>
      </c>
      <c r="I264" s="414">
        <v>8110728569</v>
      </c>
      <c r="J264" s="974">
        <v>212346287805</v>
      </c>
      <c r="L264" s="419"/>
      <c r="M264" s="416"/>
    </row>
    <row r="265" spans="1:13" s="415" customFormat="1">
      <c r="A265" s="409"/>
      <c r="B265" s="417" t="s">
        <v>1346</v>
      </c>
      <c r="C265" s="411" t="s">
        <v>72</v>
      </c>
      <c r="D265" s="412">
        <v>1</v>
      </c>
      <c r="E265" s="418">
        <v>0</v>
      </c>
      <c r="F265" s="418">
        <v>0</v>
      </c>
      <c r="G265" s="418">
        <f>+'Cartera Propia'!J168</f>
        <v>2424657.561643837</v>
      </c>
      <c r="H265" s="970">
        <v>163488517429</v>
      </c>
      <c r="I265" s="414">
        <v>8110728569</v>
      </c>
      <c r="J265" s="974">
        <v>212346287805</v>
      </c>
      <c r="L265" s="419"/>
      <c r="M265" s="416"/>
    </row>
    <row r="266" spans="1:13" s="415" customFormat="1">
      <c r="A266" s="409"/>
      <c r="B266" s="417" t="s">
        <v>1346</v>
      </c>
      <c r="C266" s="411" t="s">
        <v>72</v>
      </c>
      <c r="D266" s="412">
        <v>1</v>
      </c>
      <c r="E266" s="418">
        <v>0</v>
      </c>
      <c r="F266" s="418">
        <v>0</v>
      </c>
      <c r="G266" s="418">
        <f>+'Cartera Propia'!J169</f>
        <v>2424657.561643837</v>
      </c>
      <c r="H266" s="970">
        <v>163488517429</v>
      </c>
      <c r="I266" s="414">
        <v>8110728569</v>
      </c>
      <c r="J266" s="974">
        <v>212346287805</v>
      </c>
      <c r="L266" s="419"/>
      <c r="M266" s="416"/>
    </row>
    <row r="267" spans="1:13" s="415" customFormat="1">
      <c r="A267" s="409"/>
      <c r="B267" s="417" t="s">
        <v>1346</v>
      </c>
      <c r="C267" s="411" t="s">
        <v>72</v>
      </c>
      <c r="D267" s="412">
        <v>1</v>
      </c>
      <c r="E267" s="418">
        <v>0</v>
      </c>
      <c r="F267" s="418">
        <v>0</v>
      </c>
      <c r="G267" s="418">
        <f>+'Cartera Propia'!J170</f>
        <v>2424657.561643837</v>
      </c>
      <c r="H267" s="970">
        <v>163488517429</v>
      </c>
      <c r="I267" s="414">
        <v>8110728569</v>
      </c>
      <c r="J267" s="974">
        <v>212346287805</v>
      </c>
      <c r="L267" s="419"/>
      <c r="M267" s="416"/>
    </row>
    <row r="268" spans="1:13" s="415" customFormat="1">
      <c r="A268" s="409"/>
      <c r="B268" s="417" t="s">
        <v>1346</v>
      </c>
      <c r="C268" s="411" t="s">
        <v>72</v>
      </c>
      <c r="D268" s="412">
        <v>1</v>
      </c>
      <c r="E268" s="418">
        <v>0</v>
      </c>
      <c r="F268" s="418">
        <v>0</v>
      </c>
      <c r="G268" s="418">
        <f>+'Cartera Propia'!J171</f>
        <v>569863.01369863038</v>
      </c>
      <c r="H268" s="970">
        <v>163488517429</v>
      </c>
      <c r="I268" s="414">
        <v>8110728569</v>
      </c>
      <c r="J268" s="974">
        <v>212346287805</v>
      </c>
      <c r="L268" s="419"/>
      <c r="M268" s="416"/>
    </row>
    <row r="269" spans="1:13" s="415" customFormat="1">
      <c r="A269" s="409"/>
      <c r="B269" s="417" t="s">
        <v>1346</v>
      </c>
      <c r="C269" s="411" t="s">
        <v>72</v>
      </c>
      <c r="D269" s="412">
        <v>1</v>
      </c>
      <c r="E269" s="418">
        <v>0</v>
      </c>
      <c r="F269" s="418">
        <v>0</v>
      </c>
      <c r="G269" s="418">
        <f>+'Cartera Propia'!J172</f>
        <v>569863.01369863038</v>
      </c>
      <c r="H269" s="970">
        <v>163488517429</v>
      </c>
      <c r="I269" s="414">
        <v>8110728569</v>
      </c>
      <c r="J269" s="974">
        <v>212346287805</v>
      </c>
      <c r="L269" s="419"/>
      <c r="M269" s="416"/>
    </row>
    <row r="270" spans="1:13" s="415" customFormat="1">
      <c r="A270" s="409"/>
      <c r="B270" s="417" t="s">
        <v>1346</v>
      </c>
      <c r="C270" s="411" t="s">
        <v>72</v>
      </c>
      <c r="D270" s="412">
        <v>1</v>
      </c>
      <c r="E270" s="418">
        <v>0</v>
      </c>
      <c r="F270" s="418">
        <v>0</v>
      </c>
      <c r="G270" s="418">
        <f>+'Cartera Propia'!J173</f>
        <v>569863.01369863038</v>
      </c>
      <c r="H270" s="970">
        <v>163488517429</v>
      </c>
      <c r="I270" s="414">
        <v>8110728569</v>
      </c>
      <c r="J270" s="974">
        <v>212346287805</v>
      </c>
      <c r="L270" s="419"/>
      <c r="M270" s="416"/>
    </row>
    <row r="271" spans="1:13" s="415" customFormat="1">
      <c r="A271" s="409"/>
      <c r="B271" s="417" t="s">
        <v>1346</v>
      </c>
      <c r="C271" s="411" t="s">
        <v>72</v>
      </c>
      <c r="D271" s="412">
        <v>1</v>
      </c>
      <c r="E271" s="418">
        <v>0</v>
      </c>
      <c r="F271" s="418">
        <v>0</v>
      </c>
      <c r="G271" s="418">
        <f>+'Cartera Propia'!J174</f>
        <v>569863.01369863038</v>
      </c>
      <c r="H271" s="970">
        <v>163488517429</v>
      </c>
      <c r="I271" s="414">
        <v>8110728569</v>
      </c>
      <c r="J271" s="974">
        <v>212346287805</v>
      </c>
      <c r="L271" s="419"/>
      <c r="M271" s="416"/>
    </row>
    <row r="272" spans="1:13" s="415" customFormat="1">
      <c r="A272" s="409"/>
      <c r="B272" s="417" t="s">
        <v>1346</v>
      </c>
      <c r="C272" s="411" t="s">
        <v>72</v>
      </c>
      <c r="D272" s="412">
        <v>1</v>
      </c>
      <c r="E272" s="418">
        <v>0</v>
      </c>
      <c r="F272" s="418">
        <v>0</v>
      </c>
      <c r="G272" s="418">
        <f>+'Cartera Propia'!J175</f>
        <v>569863.01369863038</v>
      </c>
      <c r="H272" s="970">
        <v>163488517429</v>
      </c>
      <c r="I272" s="414">
        <v>8110728569</v>
      </c>
      <c r="J272" s="974">
        <v>212346287805</v>
      </c>
      <c r="L272" s="419"/>
      <c r="M272" s="416"/>
    </row>
    <row r="273" spans="1:13" s="415" customFormat="1">
      <c r="A273" s="409"/>
      <c r="B273" s="417" t="s">
        <v>1346</v>
      </c>
      <c r="C273" s="411" t="s">
        <v>72</v>
      </c>
      <c r="D273" s="412">
        <v>1</v>
      </c>
      <c r="E273" s="418">
        <v>0</v>
      </c>
      <c r="F273" s="418">
        <v>0</v>
      </c>
      <c r="G273" s="418">
        <f>+'Cartera Propia'!J176</f>
        <v>569863.01369863038</v>
      </c>
      <c r="H273" s="970">
        <v>163488517429</v>
      </c>
      <c r="I273" s="414">
        <v>8110728569</v>
      </c>
      <c r="J273" s="974">
        <v>212346287805</v>
      </c>
      <c r="L273" s="419"/>
      <c r="M273" s="416"/>
    </row>
    <row r="274" spans="1:13" s="415" customFormat="1">
      <c r="A274" s="409"/>
      <c r="B274" s="417" t="s">
        <v>1346</v>
      </c>
      <c r="C274" s="411" t="s">
        <v>72</v>
      </c>
      <c r="D274" s="412">
        <v>1</v>
      </c>
      <c r="E274" s="418">
        <v>0</v>
      </c>
      <c r="F274" s="418">
        <v>0</v>
      </c>
      <c r="G274" s="418">
        <f>+'Cartera Propia'!J177</f>
        <v>284931.50684931519</v>
      </c>
      <c r="H274" s="970">
        <v>163488517429</v>
      </c>
      <c r="I274" s="414">
        <v>8110728569</v>
      </c>
      <c r="J274" s="974">
        <v>212346287805</v>
      </c>
      <c r="L274" s="419"/>
      <c r="M274" s="416"/>
    </row>
    <row r="275" spans="1:13" s="415" customFormat="1">
      <c r="A275" s="409"/>
      <c r="B275" s="417" t="s">
        <v>1346</v>
      </c>
      <c r="C275" s="411" t="s">
        <v>72</v>
      </c>
      <c r="D275" s="412">
        <v>1</v>
      </c>
      <c r="E275" s="418">
        <v>0</v>
      </c>
      <c r="F275" s="418">
        <v>0</v>
      </c>
      <c r="G275" s="418">
        <f>+'Cartera Propia'!J178</f>
        <v>1331506.7397260284</v>
      </c>
      <c r="H275" s="970">
        <v>163488517429</v>
      </c>
      <c r="I275" s="414">
        <v>8110728569</v>
      </c>
      <c r="J275" s="974">
        <v>212346287805</v>
      </c>
      <c r="L275" s="419"/>
      <c r="M275" s="416"/>
    </row>
    <row r="276" spans="1:13" s="415" customFormat="1">
      <c r="A276" s="409"/>
      <c r="B276" s="417" t="s">
        <v>1346</v>
      </c>
      <c r="C276" s="411" t="s">
        <v>72</v>
      </c>
      <c r="D276" s="412">
        <v>1</v>
      </c>
      <c r="E276" s="418">
        <v>0</v>
      </c>
      <c r="F276" s="418">
        <v>0</v>
      </c>
      <c r="G276" s="418">
        <f>+'Cartera Propia'!J179</f>
        <v>1331506.7397260284</v>
      </c>
      <c r="H276" s="970">
        <v>163488517429</v>
      </c>
      <c r="I276" s="414">
        <v>8110728569</v>
      </c>
      <c r="J276" s="974">
        <v>212346287805</v>
      </c>
      <c r="L276" s="419"/>
      <c r="M276" s="416"/>
    </row>
    <row r="277" spans="1:13" s="415" customFormat="1">
      <c r="A277" s="409"/>
      <c r="B277" s="417" t="s">
        <v>1346</v>
      </c>
      <c r="C277" s="411" t="s">
        <v>72</v>
      </c>
      <c r="D277" s="412">
        <v>1</v>
      </c>
      <c r="E277" s="418">
        <v>0</v>
      </c>
      <c r="F277" s="418">
        <v>0</v>
      </c>
      <c r="G277" s="418">
        <f>+'Cartera Propia'!J180</f>
        <v>1331506.7397260284</v>
      </c>
      <c r="H277" s="970">
        <v>163488517429</v>
      </c>
      <c r="I277" s="414">
        <v>8110728569</v>
      </c>
      <c r="J277" s="974">
        <v>212346287805</v>
      </c>
      <c r="L277" s="419"/>
      <c r="M277" s="416"/>
    </row>
    <row r="278" spans="1:13" s="415" customFormat="1">
      <c r="A278" s="409"/>
      <c r="B278" s="417" t="s">
        <v>1346</v>
      </c>
      <c r="C278" s="411" t="s">
        <v>72</v>
      </c>
      <c r="D278" s="412">
        <v>1</v>
      </c>
      <c r="E278" s="418">
        <v>0</v>
      </c>
      <c r="F278" s="418">
        <v>0</v>
      </c>
      <c r="G278" s="418">
        <f>+'Cartera Propia'!J181</f>
        <v>1331506.7397260284</v>
      </c>
      <c r="H278" s="970">
        <v>163488517429</v>
      </c>
      <c r="I278" s="414">
        <v>8110728569</v>
      </c>
      <c r="J278" s="974">
        <v>212346287805</v>
      </c>
      <c r="L278" s="419"/>
      <c r="M278" s="416"/>
    </row>
    <row r="279" spans="1:13" s="415" customFormat="1">
      <c r="A279" s="409"/>
      <c r="B279" s="410" t="s">
        <v>1519</v>
      </c>
      <c r="C279" s="411" t="s">
        <v>72</v>
      </c>
      <c r="D279" s="412">
        <v>1</v>
      </c>
      <c r="E279" s="418">
        <v>0</v>
      </c>
      <c r="F279" s="418">
        <v>0</v>
      </c>
      <c r="G279" s="418">
        <f>+'Cartera Propia'!J182</f>
        <v>3139596.2465753425</v>
      </c>
      <c r="H279" s="970">
        <v>50000000000</v>
      </c>
      <c r="I279" s="414">
        <v>8410681395</v>
      </c>
      <c r="J279" s="974">
        <v>128964105055</v>
      </c>
      <c r="L279" s="419"/>
      <c r="M279" s="416"/>
    </row>
    <row r="280" spans="1:13" s="415" customFormat="1">
      <c r="A280" s="409"/>
      <c r="B280" s="410" t="s">
        <v>1519</v>
      </c>
      <c r="C280" s="411" t="s">
        <v>72</v>
      </c>
      <c r="D280" s="412">
        <v>1</v>
      </c>
      <c r="E280" s="418">
        <v>0</v>
      </c>
      <c r="F280" s="418">
        <v>0</v>
      </c>
      <c r="G280" s="418">
        <f>+'Cartera Propia'!J183</f>
        <v>3139596.2465753425</v>
      </c>
      <c r="H280" s="970">
        <v>50000000000</v>
      </c>
      <c r="I280" s="414">
        <v>8410681395</v>
      </c>
      <c r="J280" s="974">
        <v>128964105055</v>
      </c>
      <c r="L280" s="419"/>
      <c r="M280" s="416"/>
    </row>
    <row r="281" spans="1:13" s="415" customFormat="1">
      <c r="A281" s="409"/>
      <c r="B281" s="410" t="s">
        <v>1519</v>
      </c>
      <c r="C281" s="411" t="s">
        <v>72</v>
      </c>
      <c r="D281" s="412">
        <v>1</v>
      </c>
      <c r="E281" s="418">
        <v>0</v>
      </c>
      <c r="F281" s="418">
        <v>0</v>
      </c>
      <c r="G281" s="418">
        <f>+'Cartera Propia'!J184</f>
        <v>2241837.3972602747</v>
      </c>
      <c r="H281" s="970">
        <v>50000000000</v>
      </c>
      <c r="I281" s="414">
        <v>8410681395</v>
      </c>
      <c r="J281" s="974">
        <v>128964105055</v>
      </c>
      <c r="L281" s="419"/>
      <c r="M281" s="416"/>
    </row>
    <row r="282" spans="1:13" s="415" customFormat="1">
      <c r="A282" s="409"/>
      <c r="B282" s="410" t="s">
        <v>1521</v>
      </c>
      <c r="C282" s="411" t="s">
        <v>878</v>
      </c>
      <c r="D282" s="412">
        <v>220</v>
      </c>
      <c r="E282" s="418">
        <v>0</v>
      </c>
      <c r="F282" s="418">
        <v>0</v>
      </c>
      <c r="G282" s="418">
        <f>('Cartera Propia'!J188+'Cartera Propia'!J189)*$C$15</f>
        <v>13353575.671232939</v>
      </c>
      <c r="H282" s="970">
        <v>2277496877765</v>
      </c>
      <c r="I282" s="414">
        <v>335614537076</v>
      </c>
      <c r="J282" s="974">
        <v>3754494345786</v>
      </c>
      <c r="L282" s="419"/>
      <c r="M282" s="416"/>
    </row>
    <row r="283" spans="1:13" s="415" customFormat="1">
      <c r="A283" s="409"/>
      <c r="B283" s="410" t="s">
        <v>1520</v>
      </c>
      <c r="C283" s="411" t="s">
        <v>655</v>
      </c>
      <c r="D283" s="412">
        <v>1512</v>
      </c>
      <c r="E283" s="418">
        <v>0</v>
      </c>
      <c r="F283" s="418">
        <v>0</v>
      </c>
      <c r="G283" s="418">
        <f>('Cartera Propia'!J190+'Cartera Propia'!J191+'Cartera Propia'!J192)*$C$15</f>
        <v>63662136.960615598</v>
      </c>
      <c r="H283" s="970">
        <v>60000000000</v>
      </c>
      <c r="I283" s="414">
        <v>0</v>
      </c>
      <c r="J283" s="974">
        <v>49556050118.041183</v>
      </c>
      <c r="L283" s="419"/>
      <c r="M283" s="416"/>
    </row>
    <row r="284" spans="1:13" s="415" customFormat="1">
      <c r="A284" s="409"/>
      <c r="B284" s="417" t="s">
        <v>1805</v>
      </c>
      <c r="C284" s="411" t="s">
        <v>655</v>
      </c>
      <c r="D284" s="412">
        <v>130</v>
      </c>
      <c r="E284" s="418">
        <v>0</v>
      </c>
      <c r="F284" s="418">
        <v>0</v>
      </c>
      <c r="G284" s="418">
        <f>+'Cartera Propia'!J194*$C$15</f>
        <v>9376353.2876712345</v>
      </c>
      <c r="H284" s="970">
        <v>32000000000</v>
      </c>
      <c r="I284" s="414">
        <v>5719859360</v>
      </c>
      <c r="J284" s="974">
        <v>54429536981</v>
      </c>
      <c r="L284" s="419"/>
      <c r="M284" s="416"/>
    </row>
    <row r="285" spans="1:13" s="415" customFormat="1">
      <c r="A285" s="409"/>
      <c r="B285" s="417" t="s">
        <v>1805</v>
      </c>
      <c r="C285" s="411" t="s">
        <v>655</v>
      </c>
      <c r="D285" s="412">
        <v>260</v>
      </c>
      <c r="E285" s="418">
        <v>0</v>
      </c>
      <c r="F285" s="418">
        <v>0</v>
      </c>
      <c r="G285" s="418">
        <f>+'Cartera Propia'!J193*$C$15</f>
        <v>19264144.027397282</v>
      </c>
      <c r="H285" s="970">
        <v>32000000000</v>
      </c>
      <c r="I285" s="414">
        <v>5719859360</v>
      </c>
      <c r="J285" s="974">
        <v>54429536981</v>
      </c>
      <c r="L285" s="419"/>
      <c r="M285" s="416"/>
    </row>
    <row r="286" spans="1:13" s="415" customFormat="1">
      <c r="A286" s="409"/>
      <c r="B286" s="410" t="s">
        <v>1347</v>
      </c>
      <c r="C286" s="411" t="s">
        <v>655</v>
      </c>
      <c r="D286" s="412">
        <v>408</v>
      </c>
      <c r="E286" s="418">
        <v>0</v>
      </c>
      <c r="F286" s="418">
        <v>0</v>
      </c>
      <c r="G286" s="418">
        <f>+'Cartera Propia'!J195*$C$15</f>
        <v>28433674.257534619</v>
      </c>
      <c r="H286" s="970">
        <v>330135829875</v>
      </c>
      <c r="I286" s="414">
        <v>-12692550914</v>
      </c>
      <c r="J286" s="974">
        <v>318939564215</v>
      </c>
      <c r="L286" s="419"/>
      <c r="M286" s="416"/>
    </row>
    <row r="287" spans="1:13" s="415" customFormat="1">
      <c r="A287" s="409"/>
      <c r="B287" s="410" t="s">
        <v>1794</v>
      </c>
      <c r="C287" s="411" t="s">
        <v>72</v>
      </c>
      <c r="D287" s="412">
        <v>1</v>
      </c>
      <c r="E287" s="418">
        <v>0</v>
      </c>
      <c r="F287" s="418">
        <v>0</v>
      </c>
      <c r="G287" s="418">
        <f>+'Cartera Propia'!J196*$C$15</f>
        <v>24650161.150684912</v>
      </c>
      <c r="H287" s="970">
        <v>289254499525</v>
      </c>
      <c r="I287" s="414">
        <v>22039047386</v>
      </c>
      <c r="J287" s="974">
        <v>344080530943</v>
      </c>
      <c r="L287" s="419"/>
      <c r="M287" s="416"/>
    </row>
    <row r="288" spans="1:13" s="415" customFormat="1">
      <c r="A288" s="409"/>
      <c r="B288" s="410" t="s">
        <v>1794</v>
      </c>
      <c r="C288" s="411" t="s">
        <v>72</v>
      </c>
      <c r="D288" s="412">
        <v>1</v>
      </c>
      <c r="E288" s="418">
        <v>0</v>
      </c>
      <c r="F288" s="418">
        <v>0</v>
      </c>
      <c r="G288" s="418">
        <f>+'Cartera Propia'!J197*$C$15</f>
        <v>24650161.150684912</v>
      </c>
      <c r="H288" s="970">
        <v>289254499525</v>
      </c>
      <c r="I288" s="414">
        <v>22039047386</v>
      </c>
      <c r="J288" s="974">
        <v>344080530943</v>
      </c>
      <c r="L288" s="419"/>
      <c r="M288" s="416"/>
    </row>
    <row r="289" spans="1:13" s="415" customFormat="1">
      <c r="A289" s="409"/>
      <c r="B289" s="410" t="s">
        <v>1794</v>
      </c>
      <c r="C289" s="411" t="s">
        <v>72</v>
      </c>
      <c r="D289" s="412">
        <v>1</v>
      </c>
      <c r="E289" s="418">
        <v>0</v>
      </c>
      <c r="F289" s="418">
        <v>0</v>
      </c>
      <c r="G289" s="418">
        <f>+'Cartera Propia'!J198*$C$15</f>
        <v>24650161.150684912</v>
      </c>
      <c r="H289" s="970">
        <v>289254499525</v>
      </c>
      <c r="I289" s="414">
        <v>22039047386</v>
      </c>
      <c r="J289" s="974">
        <v>344080530943</v>
      </c>
      <c r="L289" s="419"/>
      <c r="M289" s="416"/>
    </row>
    <row r="290" spans="1:13" s="415" customFormat="1">
      <c r="A290" s="409"/>
      <c r="B290" s="410" t="s">
        <v>1794</v>
      </c>
      <c r="C290" s="411" t="s">
        <v>72</v>
      </c>
      <c r="D290" s="412">
        <v>1</v>
      </c>
      <c r="E290" s="418">
        <v>0</v>
      </c>
      <c r="F290" s="418">
        <v>0</v>
      </c>
      <c r="G290" s="418">
        <f>+'Cartera Propia'!J199*$C$15</f>
        <v>2596528.6027397281</v>
      </c>
      <c r="H290" s="970">
        <v>289254499525</v>
      </c>
      <c r="I290" s="414">
        <v>22039047386</v>
      </c>
      <c r="J290" s="974">
        <v>344080530943</v>
      </c>
      <c r="L290" s="419"/>
      <c r="M290" s="416"/>
    </row>
    <row r="291" spans="1:13" s="415" customFormat="1">
      <c r="A291" s="409"/>
      <c r="B291" s="410" t="s">
        <v>1794</v>
      </c>
      <c r="C291" s="411" t="s">
        <v>72</v>
      </c>
      <c r="D291" s="412">
        <v>1</v>
      </c>
      <c r="E291" s="418">
        <v>0</v>
      </c>
      <c r="F291" s="418">
        <v>0</v>
      </c>
      <c r="G291" s="418">
        <f>+'Cartera Propia'!J200*$C$15</f>
        <v>2596528.6027397281</v>
      </c>
      <c r="H291" s="970">
        <v>289254499525</v>
      </c>
      <c r="I291" s="414">
        <v>22039047386</v>
      </c>
      <c r="J291" s="974">
        <v>344080530943</v>
      </c>
      <c r="L291" s="419"/>
      <c r="M291" s="416"/>
    </row>
    <row r="292" spans="1:13" s="415" customFormat="1">
      <c r="A292" s="409"/>
      <c r="B292" s="410" t="s">
        <v>1342</v>
      </c>
      <c r="C292" s="411" t="s">
        <v>72</v>
      </c>
      <c r="D292" s="412">
        <v>1</v>
      </c>
      <c r="E292" s="418">
        <v>0</v>
      </c>
      <c r="F292" s="418">
        <v>0</v>
      </c>
      <c r="G292" s="418">
        <f>+'Cartera Propia'!J201*$C$15</f>
        <v>2891588.6712328731</v>
      </c>
      <c r="H292" s="970">
        <v>251111000000</v>
      </c>
      <c r="I292" s="414">
        <v>-728735745</v>
      </c>
      <c r="J292" s="974">
        <v>270678165153</v>
      </c>
      <c r="L292" s="419"/>
      <c r="M292" s="416"/>
    </row>
    <row r="293" spans="1:13" s="415" customFormat="1">
      <c r="A293" s="409"/>
      <c r="B293" s="410" t="s">
        <v>1339</v>
      </c>
      <c r="C293" s="411" t="s">
        <v>72</v>
      </c>
      <c r="D293" s="412">
        <v>1</v>
      </c>
      <c r="E293" s="418">
        <v>0</v>
      </c>
      <c r="F293" s="418">
        <v>0</v>
      </c>
      <c r="G293" s="418">
        <f>+'Cartera Propia'!J202*$C$15</f>
        <v>2146819.590410958</v>
      </c>
      <c r="H293" s="970">
        <v>50000000000</v>
      </c>
      <c r="I293" s="414">
        <v>8410681395</v>
      </c>
      <c r="J293" s="974">
        <v>128964105055</v>
      </c>
      <c r="L293" s="419"/>
      <c r="M293" s="416"/>
    </row>
    <row r="294" spans="1:13" s="415" customFormat="1">
      <c r="A294" s="409"/>
      <c r="B294" s="417" t="s">
        <v>1339</v>
      </c>
      <c r="C294" s="411" t="s">
        <v>72</v>
      </c>
      <c r="D294" s="412">
        <v>1</v>
      </c>
      <c r="E294" s="418">
        <v>0</v>
      </c>
      <c r="F294" s="418">
        <v>0</v>
      </c>
      <c r="G294" s="418">
        <f>+'Cartera Propia'!J203*$C$15</f>
        <v>2146819.590410958</v>
      </c>
      <c r="H294" s="970">
        <v>50000000000</v>
      </c>
      <c r="I294" s="414">
        <v>8410681395</v>
      </c>
      <c r="J294" s="974">
        <v>128964105055</v>
      </c>
      <c r="L294" s="419"/>
      <c r="M294" s="416"/>
    </row>
    <row r="295" spans="1:13" s="415" customFormat="1">
      <c r="A295" s="409"/>
      <c r="B295" s="417" t="s">
        <v>1339</v>
      </c>
      <c r="C295" s="411" t="s">
        <v>72</v>
      </c>
      <c r="D295" s="412">
        <v>1</v>
      </c>
      <c r="E295" s="418">
        <v>0</v>
      </c>
      <c r="F295" s="418">
        <v>0</v>
      </c>
      <c r="G295" s="418">
        <f>+'Cartera Propia'!J204*$C$15</f>
        <v>2146819.590410958</v>
      </c>
      <c r="H295" s="970">
        <v>50000000000</v>
      </c>
      <c r="I295" s="414">
        <v>8410681395</v>
      </c>
      <c r="J295" s="974">
        <v>128964105055</v>
      </c>
      <c r="L295" s="419"/>
      <c r="M295" s="416"/>
    </row>
    <row r="296" spans="1:13" s="415" customFormat="1">
      <c r="A296" s="409"/>
      <c r="B296" s="417" t="s">
        <v>1339</v>
      </c>
      <c r="C296" s="411" t="s">
        <v>72</v>
      </c>
      <c r="D296" s="412">
        <v>1</v>
      </c>
      <c r="E296" s="418">
        <v>0</v>
      </c>
      <c r="F296" s="418">
        <v>0</v>
      </c>
      <c r="G296" s="418">
        <f>+'Cartera Propia'!J205*$C$15</f>
        <v>2146819.590410958</v>
      </c>
      <c r="H296" s="970">
        <v>50000000000</v>
      </c>
      <c r="I296" s="414">
        <v>8410681395</v>
      </c>
      <c r="J296" s="974">
        <v>128964105055</v>
      </c>
      <c r="L296" s="419"/>
      <c r="M296" s="416"/>
    </row>
    <row r="297" spans="1:13" s="415" customFormat="1">
      <c r="A297" s="409"/>
      <c r="B297" s="417" t="s">
        <v>1339</v>
      </c>
      <c r="C297" s="411" t="s">
        <v>72</v>
      </c>
      <c r="D297" s="412">
        <v>1</v>
      </c>
      <c r="E297" s="418">
        <v>0</v>
      </c>
      <c r="F297" s="418">
        <v>0</v>
      </c>
      <c r="G297" s="418">
        <f>+'Cartera Propia'!J206*$C$15</f>
        <v>2146819.590410958</v>
      </c>
      <c r="H297" s="970">
        <v>50000000000</v>
      </c>
      <c r="I297" s="414">
        <v>8410681395</v>
      </c>
      <c r="J297" s="974">
        <v>128964105055</v>
      </c>
      <c r="L297" s="419"/>
      <c r="M297" s="416"/>
    </row>
    <row r="298" spans="1:13" s="415" customFormat="1">
      <c r="A298" s="409"/>
      <c r="B298" s="417" t="s">
        <v>1339</v>
      </c>
      <c r="C298" s="411" t="s">
        <v>72</v>
      </c>
      <c r="D298" s="412">
        <v>1</v>
      </c>
      <c r="E298" s="418">
        <v>0</v>
      </c>
      <c r="F298" s="418">
        <v>0</v>
      </c>
      <c r="G298" s="418">
        <f>+'Cartera Propia'!J207*$C$15</f>
        <v>1073409.795205479</v>
      </c>
      <c r="H298" s="970">
        <v>50000000000</v>
      </c>
      <c r="I298" s="414">
        <v>8410681395</v>
      </c>
      <c r="J298" s="974">
        <v>128964105055</v>
      </c>
      <c r="L298" s="419"/>
      <c r="M298" s="416"/>
    </row>
    <row r="299" spans="1:13" s="415" customFormat="1">
      <c r="A299" s="409"/>
      <c r="B299" s="417" t="s">
        <v>1339</v>
      </c>
      <c r="C299" s="411" t="s">
        <v>72</v>
      </c>
      <c r="D299" s="412">
        <v>1</v>
      </c>
      <c r="E299" s="418">
        <v>0</v>
      </c>
      <c r="F299" s="418">
        <v>0</v>
      </c>
      <c r="G299" s="418">
        <f>+'Cartera Propia'!J208*$C$15</f>
        <v>1073409.795205479</v>
      </c>
      <c r="H299" s="970">
        <v>50000000000</v>
      </c>
      <c r="I299" s="414">
        <v>8410681395</v>
      </c>
      <c r="J299" s="974">
        <v>128964105055</v>
      </c>
      <c r="L299" s="419"/>
      <c r="M299" s="416"/>
    </row>
    <row r="300" spans="1:13" s="415" customFormat="1">
      <c r="A300" s="409"/>
      <c r="B300" s="417" t="s">
        <v>1339</v>
      </c>
      <c r="C300" s="411" t="s">
        <v>72</v>
      </c>
      <c r="D300" s="412">
        <v>1</v>
      </c>
      <c r="E300" s="418">
        <v>0</v>
      </c>
      <c r="F300" s="418">
        <v>0</v>
      </c>
      <c r="G300" s="418">
        <f>+'Cartera Propia'!J209*$C$15</f>
        <v>1073409.795205479</v>
      </c>
      <c r="H300" s="970">
        <v>50000000000</v>
      </c>
      <c r="I300" s="414">
        <v>8410681395</v>
      </c>
      <c r="J300" s="974">
        <v>128964105055</v>
      </c>
      <c r="L300" s="419"/>
      <c r="M300" s="416"/>
    </row>
    <row r="301" spans="1:13" s="415" customFormat="1">
      <c r="A301" s="409"/>
      <c r="B301" s="417" t="s">
        <v>1339</v>
      </c>
      <c r="C301" s="411" t="s">
        <v>72</v>
      </c>
      <c r="D301" s="412">
        <v>1</v>
      </c>
      <c r="E301" s="418">
        <v>0</v>
      </c>
      <c r="F301" s="418">
        <v>0</v>
      </c>
      <c r="G301" s="418">
        <f>+'Cartera Propia'!J210*$C$15</f>
        <v>1073409.795205479</v>
      </c>
      <c r="H301" s="970">
        <v>50000000000</v>
      </c>
      <c r="I301" s="414">
        <v>8410681395</v>
      </c>
      <c r="J301" s="974">
        <v>128964105055</v>
      </c>
      <c r="L301" s="419"/>
      <c r="M301" s="416"/>
    </row>
    <row r="302" spans="1:13" s="415" customFormat="1">
      <c r="A302" s="409"/>
      <c r="B302" s="417" t="s">
        <v>1339</v>
      </c>
      <c r="C302" s="411" t="s">
        <v>72</v>
      </c>
      <c r="D302" s="412">
        <v>1</v>
      </c>
      <c r="E302" s="418">
        <v>0</v>
      </c>
      <c r="F302" s="418">
        <v>0</v>
      </c>
      <c r="G302" s="418">
        <f>+'Cartera Propia'!J211*$C$15</f>
        <v>1073409.795205479</v>
      </c>
      <c r="H302" s="970">
        <v>50000000000</v>
      </c>
      <c r="I302" s="414">
        <v>8410681395</v>
      </c>
      <c r="J302" s="974">
        <v>128964105055</v>
      </c>
      <c r="L302" s="419"/>
      <c r="M302" s="416"/>
    </row>
    <row r="303" spans="1:13" s="415" customFormat="1">
      <c r="A303" s="409"/>
      <c r="B303" s="417" t="s">
        <v>1339</v>
      </c>
      <c r="C303" s="411" t="s">
        <v>72</v>
      </c>
      <c r="D303" s="412">
        <v>1</v>
      </c>
      <c r="E303" s="418">
        <v>0</v>
      </c>
      <c r="F303" s="418">
        <v>0</v>
      </c>
      <c r="G303" s="418">
        <f>+'Cartera Propia'!J212*$C$15</f>
        <v>1073409.795205479</v>
      </c>
      <c r="H303" s="970">
        <v>50000000000</v>
      </c>
      <c r="I303" s="414">
        <v>8410681395</v>
      </c>
      <c r="J303" s="974">
        <v>128964105055</v>
      </c>
      <c r="L303" s="419"/>
      <c r="M303" s="416"/>
    </row>
    <row r="304" spans="1:13" s="415" customFormat="1">
      <c r="A304" s="409"/>
      <c r="B304" s="417" t="s">
        <v>1339</v>
      </c>
      <c r="C304" s="411" t="s">
        <v>72</v>
      </c>
      <c r="D304" s="412">
        <v>1</v>
      </c>
      <c r="E304" s="418">
        <v>0</v>
      </c>
      <c r="F304" s="418">
        <v>0</v>
      </c>
      <c r="G304" s="418">
        <f>+'Cartera Propia'!J213*$C$15</f>
        <v>1073409.795205479</v>
      </c>
      <c r="H304" s="970">
        <v>50000000000</v>
      </c>
      <c r="I304" s="414">
        <v>8410681395</v>
      </c>
      <c r="J304" s="974">
        <v>128964105055</v>
      </c>
      <c r="L304" s="419"/>
      <c r="M304" s="416"/>
    </row>
    <row r="305" spans="1:13" s="415" customFormat="1">
      <c r="A305" s="409"/>
      <c r="B305" s="417" t="s">
        <v>1346</v>
      </c>
      <c r="C305" s="411" t="s">
        <v>72</v>
      </c>
      <c r="D305" s="412">
        <v>1</v>
      </c>
      <c r="E305" s="418">
        <v>0</v>
      </c>
      <c r="F305" s="418">
        <v>0</v>
      </c>
      <c r="G305" s="418">
        <f>+'Cartera Propia'!J214*$C$15</f>
        <v>5479659.8220411018</v>
      </c>
      <c r="H305" s="970">
        <v>163488517429</v>
      </c>
      <c r="I305" s="414">
        <v>8110728569</v>
      </c>
      <c r="J305" s="974">
        <v>212346287805</v>
      </c>
      <c r="L305" s="419"/>
      <c r="M305" s="416"/>
    </row>
    <row r="306" spans="1:13" s="415" customFormat="1">
      <c r="A306" s="409"/>
      <c r="B306" s="417" t="s">
        <v>1346</v>
      </c>
      <c r="C306" s="411" t="s">
        <v>72</v>
      </c>
      <c r="D306" s="412">
        <v>1</v>
      </c>
      <c r="E306" s="418">
        <v>0</v>
      </c>
      <c r="F306" s="418">
        <v>0</v>
      </c>
      <c r="G306" s="418">
        <f>+'Cartera Propia'!J215*$C$15</f>
        <v>4822117.0543561541</v>
      </c>
      <c r="H306" s="970">
        <v>163488517429</v>
      </c>
      <c r="I306" s="414">
        <v>8110728569</v>
      </c>
      <c r="J306" s="974">
        <v>212346287805</v>
      </c>
      <c r="L306" s="419"/>
      <c r="M306" s="416"/>
    </row>
    <row r="307" spans="1:13" s="415" customFormat="1">
      <c r="A307" s="409"/>
      <c r="B307" s="417" t="s">
        <v>1349</v>
      </c>
      <c r="C307" s="411" t="s">
        <v>72</v>
      </c>
      <c r="D307" s="412">
        <v>1</v>
      </c>
      <c r="E307" s="418">
        <v>0</v>
      </c>
      <c r="F307" s="418">
        <v>0</v>
      </c>
      <c r="G307" s="418">
        <f>+'Cartera Propia'!J216*$C$15</f>
        <v>948403.61621917807</v>
      </c>
      <c r="H307" s="970">
        <v>114665953371</v>
      </c>
      <c r="I307" s="414">
        <v>5202846667</v>
      </c>
      <c r="J307" s="974">
        <v>163345270165</v>
      </c>
      <c r="L307" s="419"/>
      <c r="M307" s="416"/>
    </row>
    <row r="308" spans="1:13" s="415" customFormat="1">
      <c r="A308" s="409"/>
      <c r="B308" s="417" t="s">
        <v>1349</v>
      </c>
      <c r="C308" s="411" t="s">
        <v>72</v>
      </c>
      <c r="D308" s="412">
        <v>1</v>
      </c>
      <c r="E308" s="418">
        <v>0</v>
      </c>
      <c r="F308" s="418">
        <v>0</v>
      </c>
      <c r="G308" s="418">
        <f>+'Cartera Propia'!J217*$C$15</f>
        <v>2853558.7068493152</v>
      </c>
      <c r="H308" s="970">
        <v>114665953371</v>
      </c>
      <c r="I308" s="414">
        <v>5202846667</v>
      </c>
      <c r="J308" s="974">
        <v>163345270165</v>
      </c>
      <c r="L308" s="419"/>
      <c r="M308" s="416"/>
    </row>
    <row r="309" spans="1:13" s="415" customFormat="1">
      <c r="A309" s="409"/>
      <c r="B309" s="417" t="s">
        <v>1349</v>
      </c>
      <c r="C309" s="411" t="s">
        <v>72</v>
      </c>
      <c r="D309" s="412">
        <v>1</v>
      </c>
      <c r="E309" s="418">
        <v>0</v>
      </c>
      <c r="F309" s="418">
        <v>0</v>
      </c>
      <c r="G309" s="418">
        <f>+'Cartera Propia'!J218*$C$15</f>
        <v>80476.462808219207</v>
      </c>
      <c r="H309" s="970">
        <v>114665953371</v>
      </c>
      <c r="I309" s="414">
        <v>5202846667</v>
      </c>
      <c r="J309" s="974">
        <v>163345270165</v>
      </c>
      <c r="L309" s="419"/>
      <c r="M309" s="416"/>
    </row>
    <row r="310" spans="1:13" s="415" customFormat="1">
      <c r="A310" s="409"/>
      <c r="B310" s="417" t="s">
        <v>1349</v>
      </c>
      <c r="C310" s="411" t="s">
        <v>72</v>
      </c>
      <c r="D310" s="412">
        <v>1</v>
      </c>
      <c r="E310" s="418">
        <v>0</v>
      </c>
      <c r="F310" s="418">
        <v>0</v>
      </c>
      <c r="G310" s="418">
        <f>+'Cartera Propia'!J219*$C$15</f>
        <v>80476.462808219207</v>
      </c>
      <c r="H310" s="970">
        <v>114665953371</v>
      </c>
      <c r="I310" s="414">
        <v>5202846667</v>
      </c>
      <c r="J310" s="974">
        <v>163345270165</v>
      </c>
      <c r="L310" s="419"/>
      <c r="M310" s="416"/>
    </row>
    <row r="311" spans="1:13" s="415" customFormat="1">
      <c r="A311" s="409"/>
      <c r="B311" s="417" t="s">
        <v>1349</v>
      </c>
      <c r="C311" s="411" t="s">
        <v>72</v>
      </c>
      <c r="D311" s="412">
        <v>1</v>
      </c>
      <c r="E311" s="418">
        <v>0</v>
      </c>
      <c r="F311" s="418">
        <v>0</v>
      </c>
      <c r="G311" s="418">
        <f>+'Cartera Propia'!J220*$C$15</f>
        <v>80476.462808219207</v>
      </c>
      <c r="H311" s="970">
        <v>114665953371</v>
      </c>
      <c r="I311" s="414">
        <v>5202846667</v>
      </c>
      <c r="J311" s="974">
        <v>163345270165</v>
      </c>
      <c r="L311" s="419"/>
      <c r="M311" s="416"/>
    </row>
    <row r="312" spans="1:13" s="415" customFormat="1">
      <c r="A312" s="409"/>
      <c r="B312" s="417" t="s">
        <v>1349</v>
      </c>
      <c r="C312" s="411" t="s">
        <v>72</v>
      </c>
      <c r="D312" s="412">
        <v>1</v>
      </c>
      <c r="E312" s="418">
        <v>0</v>
      </c>
      <c r="F312" s="418">
        <v>0</v>
      </c>
      <c r="G312" s="418">
        <f>+'Cartera Propia'!J221*$C$15</f>
        <v>80476.462808219207</v>
      </c>
      <c r="H312" s="970">
        <v>114665953371</v>
      </c>
      <c r="I312" s="414">
        <v>5202846667</v>
      </c>
      <c r="J312" s="974">
        <v>163345270165</v>
      </c>
      <c r="L312" s="419"/>
      <c r="M312" s="416"/>
    </row>
    <row r="313" spans="1:13" s="415" customFormat="1">
      <c r="A313" s="409"/>
      <c r="B313" s="417" t="s">
        <v>1349</v>
      </c>
      <c r="C313" s="411" t="s">
        <v>72</v>
      </c>
      <c r="D313" s="412">
        <v>1</v>
      </c>
      <c r="E313" s="418">
        <v>0</v>
      </c>
      <c r="F313" s="418">
        <v>0</v>
      </c>
      <c r="G313" s="418">
        <f>+'Cartera Propia'!J222*$C$15</f>
        <v>80476.462808219207</v>
      </c>
      <c r="H313" s="970">
        <v>114665953371</v>
      </c>
      <c r="I313" s="414">
        <v>5202846667</v>
      </c>
      <c r="J313" s="974">
        <v>163345270165</v>
      </c>
      <c r="L313" s="419"/>
      <c r="M313" s="416"/>
    </row>
    <row r="314" spans="1:13" s="415" customFormat="1">
      <c r="A314" s="409"/>
      <c r="B314" s="417" t="s">
        <v>1349</v>
      </c>
      <c r="C314" s="411" t="s">
        <v>72</v>
      </c>
      <c r="D314" s="412">
        <v>1</v>
      </c>
      <c r="E314" s="418">
        <v>0</v>
      </c>
      <c r="F314" s="418">
        <v>0</v>
      </c>
      <c r="G314" s="418">
        <f>+'Cartera Propia'!J223*$C$15</f>
        <v>80476.462808219207</v>
      </c>
      <c r="H314" s="970">
        <v>114665953371</v>
      </c>
      <c r="I314" s="414">
        <v>5202846667</v>
      </c>
      <c r="J314" s="974">
        <v>163345270165</v>
      </c>
      <c r="L314" s="419"/>
      <c r="M314" s="416"/>
    </row>
    <row r="315" spans="1:13" s="415" customFormat="1">
      <c r="A315" s="409"/>
      <c r="B315" s="417" t="s">
        <v>1349</v>
      </c>
      <c r="C315" s="411" t="s">
        <v>72</v>
      </c>
      <c r="D315" s="412">
        <v>1</v>
      </c>
      <c r="E315" s="418">
        <v>0</v>
      </c>
      <c r="F315" s="418">
        <v>0</v>
      </c>
      <c r="G315" s="418">
        <f>+'Cartera Propia'!J224*$C$15</f>
        <v>80476.462808219207</v>
      </c>
      <c r="H315" s="970">
        <v>114665953371</v>
      </c>
      <c r="I315" s="414">
        <v>5202846667</v>
      </c>
      <c r="J315" s="974">
        <v>163345270165</v>
      </c>
      <c r="L315" s="419"/>
      <c r="M315" s="416"/>
    </row>
    <row r="316" spans="1:13" s="415" customFormat="1">
      <c r="A316" s="409"/>
      <c r="B316" s="417" t="s">
        <v>1349</v>
      </c>
      <c r="C316" s="411" t="s">
        <v>72</v>
      </c>
      <c r="D316" s="412">
        <v>1</v>
      </c>
      <c r="E316" s="418">
        <v>0</v>
      </c>
      <c r="F316" s="418">
        <v>0</v>
      </c>
      <c r="G316" s="418">
        <f>+'Cartera Propia'!J225*$C$15</f>
        <v>80476.462808219207</v>
      </c>
      <c r="H316" s="970">
        <v>114665953371</v>
      </c>
      <c r="I316" s="414">
        <v>5202846667</v>
      </c>
      <c r="J316" s="974">
        <v>163345270165</v>
      </c>
      <c r="L316" s="419"/>
      <c r="M316" s="416"/>
    </row>
    <row r="317" spans="1:13" s="415" customFormat="1">
      <c r="A317" s="409"/>
      <c r="B317" s="417" t="s">
        <v>1349</v>
      </c>
      <c r="C317" s="411" t="s">
        <v>72</v>
      </c>
      <c r="D317" s="412">
        <v>1</v>
      </c>
      <c r="E317" s="418">
        <v>0</v>
      </c>
      <c r="F317" s="418">
        <v>0</v>
      </c>
      <c r="G317" s="418">
        <f>+'Cartera Propia'!J226*$C$15</f>
        <v>80476.462808219207</v>
      </c>
      <c r="H317" s="970">
        <v>114665953371</v>
      </c>
      <c r="I317" s="414">
        <v>5202846667</v>
      </c>
      <c r="J317" s="974">
        <v>163345270165</v>
      </c>
      <c r="L317" s="419"/>
      <c r="M317" s="416"/>
    </row>
    <row r="318" spans="1:13" s="415" customFormat="1">
      <c r="A318" s="409"/>
      <c r="B318" s="417" t="s">
        <v>1349</v>
      </c>
      <c r="C318" s="411" t="s">
        <v>72</v>
      </c>
      <c r="D318" s="412">
        <v>1</v>
      </c>
      <c r="E318" s="418">
        <v>0</v>
      </c>
      <c r="F318" s="418">
        <v>0</v>
      </c>
      <c r="G318" s="418">
        <f>+'Cartera Propia'!J227*$C$15</f>
        <v>120817.26271232852</v>
      </c>
      <c r="H318" s="970">
        <v>114665953371</v>
      </c>
      <c r="I318" s="414">
        <v>5202846667</v>
      </c>
      <c r="J318" s="974">
        <v>163345270165</v>
      </c>
      <c r="L318" s="419"/>
      <c r="M318" s="416"/>
    </row>
    <row r="319" spans="1:13" s="415" customFormat="1">
      <c r="A319" s="409"/>
      <c r="B319" s="417" t="s">
        <v>1349</v>
      </c>
      <c r="C319" s="411" t="s">
        <v>72</v>
      </c>
      <c r="D319" s="412">
        <v>1</v>
      </c>
      <c r="E319" s="418">
        <v>0</v>
      </c>
      <c r="F319" s="418">
        <v>0</v>
      </c>
      <c r="G319" s="418">
        <f>+'Cartera Propia'!J228*$C$15</f>
        <v>120817.26271232852</v>
      </c>
      <c r="H319" s="970">
        <v>114665953371</v>
      </c>
      <c r="I319" s="414">
        <v>5202846667</v>
      </c>
      <c r="J319" s="974">
        <v>163345270165</v>
      </c>
      <c r="L319" s="419"/>
      <c r="M319" s="416"/>
    </row>
    <row r="320" spans="1:13" s="415" customFormat="1">
      <c r="A320" s="409"/>
      <c r="B320" s="417" t="s">
        <v>1349</v>
      </c>
      <c r="C320" s="411" t="s">
        <v>72</v>
      </c>
      <c r="D320" s="412">
        <v>1</v>
      </c>
      <c r="E320" s="418">
        <v>0</v>
      </c>
      <c r="F320" s="418">
        <v>0</v>
      </c>
      <c r="G320" s="418">
        <f>+'Cartera Propia'!J229*$C$15</f>
        <v>120817.26271232852</v>
      </c>
      <c r="H320" s="970">
        <v>114665953371</v>
      </c>
      <c r="I320" s="414">
        <v>5202846667</v>
      </c>
      <c r="J320" s="974">
        <v>163345270165</v>
      </c>
      <c r="L320" s="419"/>
      <c r="M320" s="416"/>
    </row>
    <row r="321" spans="1:13" s="415" customFormat="1">
      <c r="A321" s="409"/>
      <c r="B321" s="417" t="s">
        <v>1349</v>
      </c>
      <c r="C321" s="411" t="s">
        <v>72</v>
      </c>
      <c r="D321" s="412">
        <v>1</v>
      </c>
      <c r="E321" s="418">
        <v>0</v>
      </c>
      <c r="F321" s="418">
        <v>0</v>
      </c>
      <c r="G321" s="418">
        <f>+'Cartera Propia'!J230*$C$15</f>
        <v>120817.26271232852</v>
      </c>
      <c r="H321" s="970">
        <v>114665953371</v>
      </c>
      <c r="I321" s="414">
        <v>5202846667</v>
      </c>
      <c r="J321" s="974">
        <v>163345270165</v>
      </c>
      <c r="L321" s="419"/>
      <c r="M321" s="416"/>
    </row>
    <row r="322" spans="1:13" s="415" customFormat="1">
      <c r="A322" s="409"/>
      <c r="B322" s="417" t="s">
        <v>1349</v>
      </c>
      <c r="C322" s="411" t="s">
        <v>72</v>
      </c>
      <c r="D322" s="412">
        <v>1</v>
      </c>
      <c r="E322" s="418">
        <v>0</v>
      </c>
      <c r="F322" s="418">
        <v>0</v>
      </c>
      <c r="G322" s="418">
        <f>+'Cartera Propia'!J231*$C$15</f>
        <v>201430.4835205476</v>
      </c>
      <c r="H322" s="970">
        <v>114665953371</v>
      </c>
      <c r="I322" s="414">
        <v>5202846667</v>
      </c>
      <c r="J322" s="974">
        <v>163345270165</v>
      </c>
      <c r="L322" s="419"/>
      <c r="M322" s="416"/>
    </row>
    <row r="323" spans="1:13" s="415" customFormat="1">
      <c r="A323" s="409"/>
      <c r="B323" s="417" t="s">
        <v>1349</v>
      </c>
      <c r="C323" s="411" t="s">
        <v>72</v>
      </c>
      <c r="D323" s="412">
        <v>1</v>
      </c>
      <c r="E323" s="418">
        <v>0</v>
      </c>
      <c r="F323" s="418">
        <v>0</v>
      </c>
      <c r="G323" s="418">
        <f>+'Cartera Propia'!J232*$C$15</f>
        <v>201430.4835205476</v>
      </c>
      <c r="H323" s="970">
        <v>114665953371</v>
      </c>
      <c r="I323" s="414">
        <v>5202846667</v>
      </c>
      <c r="J323" s="974">
        <v>163345270165</v>
      </c>
      <c r="L323" s="419"/>
      <c r="M323" s="416"/>
    </row>
    <row r="324" spans="1:13" s="415" customFormat="1">
      <c r="A324" s="409"/>
      <c r="B324" s="417" t="s">
        <v>1349</v>
      </c>
      <c r="C324" s="411" t="s">
        <v>72</v>
      </c>
      <c r="D324" s="412">
        <v>1</v>
      </c>
      <c r="E324" s="418">
        <v>0</v>
      </c>
      <c r="F324" s="418">
        <v>0</v>
      </c>
      <c r="G324" s="418">
        <f>+'Cartera Propia'!J233*$C$15</f>
        <v>201430.4835205476</v>
      </c>
      <c r="H324" s="970">
        <v>114665953371</v>
      </c>
      <c r="I324" s="414">
        <v>5202846667</v>
      </c>
      <c r="J324" s="974">
        <v>163345270165</v>
      </c>
      <c r="L324" s="419"/>
      <c r="M324" s="416"/>
    </row>
    <row r="325" spans="1:13" s="415" customFormat="1">
      <c r="A325" s="409"/>
      <c r="B325" s="417" t="s">
        <v>1349</v>
      </c>
      <c r="C325" s="411" t="s">
        <v>72</v>
      </c>
      <c r="D325" s="412">
        <v>1</v>
      </c>
      <c r="E325" s="418">
        <v>0</v>
      </c>
      <c r="F325" s="418">
        <v>0</v>
      </c>
      <c r="G325" s="418">
        <f>+'Cartera Propia'!J234*$C$15</f>
        <v>201430.4835205476</v>
      </c>
      <c r="H325" s="970">
        <v>114665953371</v>
      </c>
      <c r="I325" s="414">
        <v>5202846667</v>
      </c>
      <c r="J325" s="974">
        <v>163345270165</v>
      </c>
      <c r="L325" s="419"/>
      <c r="M325" s="416"/>
    </row>
    <row r="326" spans="1:13" s="415" customFormat="1">
      <c r="A326" s="409"/>
      <c r="B326" s="417" t="s">
        <v>1349</v>
      </c>
      <c r="C326" s="411" t="s">
        <v>72</v>
      </c>
      <c r="D326" s="412">
        <v>1</v>
      </c>
      <c r="E326" s="418">
        <v>0</v>
      </c>
      <c r="F326" s="418">
        <v>0</v>
      </c>
      <c r="G326" s="418">
        <f>+'Cartera Propia'!J235*$C$15</f>
        <v>201430.4835205476</v>
      </c>
      <c r="H326" s="970">
        <v>114665953371</v>
      </c>
      <c r="I326" s="414">
        <v>5202846667</v>
      </c>
      <c r="J326" s="974">
        <v>163345270165</v>
      </c>
      <c r="L326" s="419"/>
      <c r="M326" s="416"/>
    </row>
    <row r="327" spans="1:13" s="415" customFormat="1">
      <c r="A327" s="409"/>
      <c r="B327" s="417" t="s">
        <v>1349</v>
      </c>
      <c r="C327" s="411" t="s">
        <v>72</v>
      </c>
      <c r="D327" s="412">
        <v>1</v>
      </c>
      <c r="E327" s="418">
        <v>0</v>
      </c>
      <c r="F327" s="418">
        <v>0</v>
      </c>
      <c r="G327" s="418">
        <f>+'Cartera Propia'!J236*$C$15</f>
        <v>331004.94172602694</v>
      </c>
      <c r="H327" s="970">
        <v>114665953371</v>
      </c>
      <c r="I327" s="414">
        <v>5202846667</v>
      </c>
      <c r="J327" s="974">
        <v>163345270165</v>
      </c>
      <c r="L327" s="419"/>
      <c r="M327" s="416"/>
    </row>
    <row r="328" spans="1:13" s="415" customFormat="1">
      <c r="A328" s="409"/>
      <c r="B328" s="417" t="s">
        <v>1349</v>
      </c>
      <c r="C328" s="411" t="s">
        <v>72</v>
      </c>
      <c r="D328" s="412">
        <v>1</v>
      </c>
      <c r="E328" s="418">
        <v>0</v>
      </c>
      <c r="F328" s="418">
        <v>0</v>
      </c>
      <c r="G328" s="418">
        <f>+'Cartera Propia'!J237*$C$15</f>
        <v>331004.94172602694</v>
      </c>
      <c r="H328" s="970">
        <v>114665953371</v>
      </c>
      <c r="I328" s="414">
        <v>5202846667</v>
      </c>
      <c r="J328" s="974">
        <v>163345270165</v>
      </c>
      <c r="L328" s="419"/>
      <c r="M328" s="416"/>
    </row>
    <row r="329" spans="1:13" s="415" customFormat="1">
      <c r="A329" s="409"/>
      <c r="B329" s="417" t="s">
        <v>1349</v>
      </c>
      <c r="C329" s="411" t="s">
        <v>72</v>
      </c>
      <c r="D329" s="412">
        <v>1</v>
      </c>
      <c r="E329" s="418">
        <v>0</v>
      </c>
      <c r="F329" s="418">
        <v>0</v>
      </c>
      <c r="G329" s="418">
        <f>+'Cartera Propia'!J238*$C$15</f>
        <v>331004.94172602694</v>
      </c>
      <c r="H329" s="970">
        <v>114665953371</v>
      </c>
      <c r="I329" s="414">
        <v>5202846667</v>
      </c>
      <c r="J329" s="974">
        <v>163345270165</v>
      </c>
      <c r="L329" s="419"/>
      <c r="M329" s="416"/>
    </row>
    <row r="330" spans="1:13" s="415" customFormat="1">
      <c r="A330" s="409"/>
      <c r="B330" s="417" t="s">
        <v>1349</v>
      </c>
      <c r="C330" s="411" t="s">
        <v>72</v>
      </c>
      <c r="D330" s="412">
        <v>1</v>
      </c>
      <c r="E330" s="418">
        <v>0</v>
      </c>
      <c r="F330" s="418">
        <v>0</v>
      </c>
      <c r="G330" s="418">
        <f>+'Cartera Propia'!J239*$C$15</f>
        <v>331004.94172602694</v>
      </c>
      <c r="H330" s="970">
        <v>114665953371</v>
      </c>
      <c r="I330" s="414">
        <v>5202846667</v>
      </c>
      <c r="J330" s="974">
        <v>163345270165</v>
      </c>
      <c r="L330" s="419"/>
      <c r="M330" s="416"/>
    </row>
    <row r="331" spans="1:13" s="415" customFormat="1">
      <c r="A331" s="409"/>
      <c r="B331" s="417" t="s">
        <v>1349</v>
      </c>
      <c r="C331" s="411" t="s">
        <v>72</v>
      </c>
      <c r="D331" s="412">
        <v>1</v>
      </c>
      <c r="E331" s="418">
        <v>0</v>
      </c>
      <c r="F331" s="418">
        <v>0</v>
      </c>
      <c r="G331" s="418">
        <f>+'Cartera Propia'!J240*$C$15</f>
        <v>331004.94172602694</v>
      </c>
      <c r="H331" s="970">
        <v>114665953371</v>
      </c>
      <c r="I331" s="414">
        <v>5202846667</v>
      </c>
      <c r="J331" s="974">
        <v>163345270165</v>
      </c>
      <c r="L331" s="419"/>
      <c r="M331" s="416"/>
    </row>
    <row r="332" spans="1:13" s="415" customFormat="1">
      <c r="A332" s="409"/>
      <c r="B332" s="417" t="s">
        <v>1349</v>
      </c>
      <c r="C332" s="411" t="s">
        <v>72</v>
      </c>
      <c r="D332" s="412">
        <v>1</v>
      </c>
      <c r="E332" s="418">
        <v>0</v>
      </c>
      <c r="F332" s="418">
        <v>0</v>
      </c>
      <c r="G332" s="418">
        <f>+'Cartera Propia'!J241*$C$15</f>
        <v>331004.94172602694</v>
      </c>
      <c r="H332" s="970">
        <v>114665953371</v>
      </c>
      <c r="I332" s="414">
        <v>5202846667</v>
      </c>
      <c r="J332" s="974">
        <v>163345270165</v>
      </c>
      <c r="L332" s="419"/>
      <c r="M332" s="416"/>
    </row>
    <row r="333" spans="1:13" s="415" customFormat="1">
      <c r="A333" s="409"/>
      <c r="B333" s="417" t="s">
        <v>1349</v>
      </c>
      <c r="C333" s="411" t="s">
        <v>72</v>
      </c>
      <c r="D333" s="412">
        <v>1</v>
      </c>
      <c r="E333" s="418">
        <v>0</v>
      </c>
      <c r="F333" s="418">
        <v>0</v>
      </c>
      <c r="G333" s="418">
        <f>+'Cartera Propia'!J242*$C$15</f>
        <v>331004.94172602694</v>
      </c>
      <c r="H333" s="970">
        <v>114665953371</v>
      </c>
      <c r="I333" s="414">
        <v>5202846667</v>
      </c>
      <c r="J333" s="974">
        <v>163345270165</v>
      </c>
      <c r="L333" s="419"/>
      <c r="M333" s="416"/>
    </row>
    <row r="334" spans="1:13" s="415" customFormat="1">
      <c r="A334" s="409"/>
      <c r="B334" s="417" t="s">
        <v>1349</v>
      </c>
      <c r="C334" s="411" t="s">
        <v>72</v>
      </c>
      <c r="D334" s="412">
        <v>1</v>
      </c>
      <c r="E334" s="418">
        <v>0</v>
      </c>
      <c r="F334" s="418">
        <v>0</v>
      </c>
      <c r="G334" s="418">
        <f>+'Cartera Propia'!J243*$C$15</f>
        <v>331004.94172602694</v>
      </c>
      <c r="H334" s="970">
        <v>114665953371</v>
      </c>
      <c r="I334" s="414">
        <v>5202846667</v>
      </c>
      <c r="J334" s="974">
        <v>163345270165</v>
      </c>
      <c r="L334" s="419"/>
      <c r="M334" s="416"/>
    </row>
    <row r="335" spans="1:13" s="415" customFormat="1">
      <c r="A335" s="409"/>
      <c r="B335" s="417" t="s">
        <v>1349</v>
      </c>
      <c r="C335" s="411" t="s">
        <v>72</v>
      </c>
      <c r="D335" s="412">
        <v>1</v>
      </c>
      <c r="E335" s="418">
        <v>0</v>
      </c>
      <c r="F335" s="418">
        <v>0</v>
      </c>
      <c r="G335" s="418">
        <f>+'Cartera Propia'!J244*$C$15</f>
        <v>331004.94172602694</v>
      </c>
      <c r="H335" s="970">
        <v>114665953371</v>
      </c>
      <c r="I335" s="414">
        <v>5202846667</v>
      </c>
      <c r="J335" s="974">
        <v>163345270165</v>
      </c>
      <c r="L335" s="419"/>
      <c r="M335" s="416"/>
    </row>
    <row r="336" spans="1:13" s="415" customFormat="1">
      <c r="A336" s="409"/>
      <c r="B336" s="417" t="s">
        <v>1349</v>
      </c>
      <c r="C336" s="411" t="s">
        <v>72</v>
      </c>
      <c r="D336" s="412">
        <v>1</v>
      </c>
      <c r="E336" s="418">
        <v>0</v>
      </c>
      <c r="F336" s="418">
        <v>0</v>
      </c>
      <c r="G336" s="418">
        <f>+'Cartera Propia'!J245*$C$15</f>
        <v>331004.94172602694</v>
      </c>
      <c r="H336" s="970">
        <v>114665953371</v>
      </c>
      <c r="I336" s="414">
        <v>5202846667</v>
      </c>
      <c r="J336" s="974">
        <v>163345270165</v>
      </c>
      <c r="L336" s="419"/>
      <c r="M336" s="416"/>
    </row>
    <row r="337" spans="1:13" s="415" customFormat="1">
      <c r="A337" s="409"/>
      <c r="B337" s="417" t="s">
        <v>1796</v>
      </c>
      <c r="C337" s="411" t="s">
        <v>72</v>
      </c>
      <c r="D337" s="412">
        <v>1</v>
      </c>
      <c r="E337" s="418">
        <v>0</v>
      </c>
      <c r="F337" s="418">
        <v>0</v>
      </c>
      <c r="G337" s="418">
        <f>+'Cartera Propia'!J246*$C$15</f>
        <v>31085876.480054811</v>
      </c>
      <c r="H337" s="970">
        <v>1687535078916</v>
      </c>
      <c r="I337" s="414">
        <v>143348060020</v>
      </c>
      <c r="J337" s="974">
        <v>203990416046</v>
      </c>
      <c r="L337" s="419"/>
      <c r="M337" s="416"/>
    </row>
    <row r="338" spans="1:13" s="415" customFormat="1">
      <c r="A338" s="409"/>
      <c r="B338" s="417" t="s">
        <v>1796</v>
      </c>
      <c r="C338" s="411" t="s">
        <v>72</v>
      </c>
      <c r="D338" s="412">
        <v>1</v>
      </c>
      <c r="E338" s="418">
        <v>0</v>
      </c>
      <c r="F338" s="418">
        <v>0</v>
      </c>
      <c r="G338" s="418">
        <f>+'Cartera Propia'!J247*$C$15</f>
        <v>31085876.480054811</v>
      </c>
      <c r="H338" s="970">
        <v>1687535078916</v>
      </c>
      <c r="I338" s="414">
        <v>143348060020</v>
      </c>
      <c r="J338" s="974">
        <v>203990416046</v>
      </c>
      <c r="L338" s="419"/>
      <c r="M338" s="416"/>
    </row>
    <row r="339" spans="1:13" s="415" customFormat="1">
      <c r="A339" s="409"/>
      <c r="B339" s="417" t="s">
        <v>1796</v>
      </c>
      <c r="C339" s="411" t="s">
        <v>72</v>
      </c>
      <c r="D339" s="412">
        <v>1</v>
      </c>
      <c r="E339" s="418">
        <v>0</v>
      </c>
      <c r="F339" s="418">
        <v>0</v>
      </c>
      <c r="G339" s="418">
        <f>+'Cartera Propia'!J248*$C$15</f>
        <v>27015106.941000003</v>
      </c>
      <c r="H339" s="970">
        <v>1687535078916</v>
      </c>
      <c r="I339" s="414">
        <v>143348060020</v>
      </c>
      <c r="J339" s="974">
        <v>203990416046</v>
      </c>
      <c r="L339" s="419"/>
      <c r="M339" s="416"/>
    </row>
    <row r="340" spans="1:13" s="415" customFormat="1">
      <c r="A340" s="409"/>
      <c r="B340" s="417" t="s">
        <v>1796</v>
      </c>
      <c r="C340" s="411" t="s">
        <v>72</v>
      </c>
      <c r="D340" s="412">
        <v>1</v>
      </c>
      <c r="E340" s="418">
        <v>0</v>
      </c>
      <c r="F340" s="418">
        <v>0</v>
      </c>
      <c r="G340" s="418">
        <f>+'Cartera Propia'!J249*$C$15</f>
        <v>27015106.941000003</v>
      </c>
      <c r="H340" s="970">
        <v>1687535078916</v>
      </c>
      <c r="I340" s="414">
        <v>143348060020</v>
      </c>
      <c r="J340" s="974">
        <v>203990416046</v>
      </c>
      <c r="L340" s="419"/>
      <c r="M340" s="416"/>
    </row>
    <row r="341" spans="1:13" s="415" customFormat="1">
      <c r="A341" s="409"/>
      <c r="B341" s="417" t="s">
        <v>1796</v>
      </c>
      <c r="C341" s="411" t="s">
        <v>72</v>
      </c>
      <c r="D341" s="412">
        <v>1</v>
      </c>
      <c r="E341" s="418">
        <v>0</v>
      </c>
      <c r="F341" s="418">
        <v>0</v>
      </c>
      <c r="G341" s="418">
        <f>+'Cartera Propia'!J250*$C$15</f>
        <v>38487275.641972579</v>
      </c>
      <c r="H341" s="970">
        <v>1687535078916</v>
      </c>
      <c r="I341" s="414">
        <v>143348060020</v>
      </c>
      <c r="J341" s="974">
        <v>203990416046</v>
      </c>
      <c r="L341" s="419"/>
      <c r="M341" s="416"/>
    </row>
    <row r="342" spans="1:13" s="415" customFormat="1">
      <c r="A342" s="409"/>
      <c r="B342" s="417" t="s">
        <v>1796</v>
      </c>
      <c r="C342" s="411" t="s">
        <v>72</v>
      </c>
      <c r="D342" s="412">
        <v>1</v>
      </c>
      <c r="E342" s="418">
        <v>0</v>
      </c>
      <c r="F342" s="418">
        <v>0</v>
      </c>
      <c r="G342" s="418">
        <f>+'Cartera Propia'!J251*$C$15</f>
        <v>38487275.641972579</v>
      </c>
      <c r="H342" s="970">
        <v>1687535078916</v>
      </c>
      <c r="I342" s="414">
        <v>143348060020</v>
      </c>
      <c r="J342" s="974">
        <v>203990416046</v>
      </c>
      <c r="L342" s="419"/>
      <c r="M342" s="416"/>
    </row>
    <row r="343" spans="1:13" s="415" customFormat="1">
      <c r="A343" s="409"/>
      <c r="B343" s="417" t="s">
        <v>1796</v>
      </c>
      <c r="C343" s="411" t="s">
        <v>72</v>
      </c>
      <c r="D343" s="412">
        <v>1</v>
      </c>
      <c r="E343" s="418">
        <v>0</v>
      </c>
      <c r="F343" s="418">
        <v>0</v>
      </c>
      <c r="G343" s="418">
        <f>+'Cartera Propia'!J252*$C$15</f>
        <v>38487275.641972579</v>
      </c>
      <c r="H343" s="970">
        <v>1687535078916</v>
      </c>
      <c r="I343" s="414">
        <v>143348060020</v>
      </c>
      <c r="J343" s="974">
        <v>203990416046</v>
      </c>
      <c r="L343" s="419"/>
      <c r="M343" s="416"/>
    </row>
    <row r="344" spans="1:13" s="415" customFormat="1">
      <c r="A344" s="409"/>
      <c r="B344" s="417" t="s">
        <v>1796</v>
      </c>
      <c r="C344" s="411" t="s">
        <v>72</v>
      </c>
      <c r="D344" s="412">
        <v>1</v>
      </c>
      <c r="E344" s="418">
        <v>0</v>
      </c>
      <c r="F344" s="418">
        <v>0</v>
      </c>
      <c r="G344" s="418">
        <f>+'Cartera Propia'!J253*$C$15</f>
        <v>16863947.457534272</v>
      </c>
      <c r="H344" s="970">
        <v>1687535078916</v>
      </c>
      <c r="I344" s="414">
        <v>143348060020</v>
      </c>
      <c r="J344" s="974">
        <v>203990416046</v>
      </c>
      <c r="L344" s="419"/>
      <c r="M344" s="416"/>
    </row>
    <row r="345" spans="1:13" s="415" customFormat="1">
      <c r="A345" s="409"/>
      <c r="B345" s="417" t="s">
        <v>1797</v>
      </c>
      <c r="C345" s="411" t="s">
        <v>72</v>
      </c>
      <c r="D345" s="412">
        <v>1</v>
      </c>
      <c r="E345" s="418">
        <v>0</v>
      </c>
      <c r="F345" s="418">
        <v>0</v>
      </c>
      <c r="G345" s="418">
        <f>+'Cartera Propia'!J254*$C$15</f>
        <v>1504338</v>
      </c>
      <c r="H345" s="970">
        <v>395294800000</v>
      </c>
      <c r="I345" s="414">
        <v>11148767398</v>
      </c>
      <c r="J345" s="974">
        <v>455722422477</v>
      </c>
      <c r="L345" s="419"/>
      <c r="M345" s="416"/>
    </row>
    <row r="346" spans="1:13" s="415" customFormat="1">
      <c r="A346" s="409"/>
      <c r="B346" s="417" t="s">
        <v>1797</v>
      </c>
      <c r="C346" s="411" t="s">
        <v>72</v>
      </c>
      <c r="D346" s="412">
        <v>1</v>
      </c>
      <c r="E346" s="418">
        <v>0</v>
      </c>
      <c r="F346" s="418">
        <v>0</v>
      </c>
      <c r="G346" s="418">
        <f>+'Cartera Propia'!J255*$C$15</f>
        <v>1504338</v>
      </c>
      <c r="H346" s="970">
        <v>395294800000</v>
      </c>
      <c r="I346" s="414">
        <v>11148767398</v>
      </c>
      <c r="J346" s="974">
        <v>455722422477</v>
      </c>
      <c r="L346" s="419"/>
      <c r="M346" s="416"/>
    </row>
    <row r="347" spans="1:13" s="415" customFormat="1">
      <c r="A347" s="409"/>
      <c r="B347" s="417" t="s">
        <v>1797</v>
      </c>
      <c r="C347" s="411" t="s">
        <v>72</v>
      </c>
      <c r="D347" s="412">
        <v>1</v>
      </c>
      <c r="E347" s="418">
        <v>0</v>
      </c>
      <c r="F347" s="418">
        <v>0</v>
      </c>
      <c r="G347" s="418">
        <f>+'Cartera Propia'!J256*$C$15</f>
        <v>6058566.7397260303</v>
      </c>
      <c r="H347" s="970">
        <v>395294800000</v>
      </c>
      <c r="I347" s="414">
        <v>11148767398</v>
      </c>
      <c r="J347" s="974">
        <v>455722422477</v>
      </c>
      <c r="L347" s="419"/>
      <c r="M347" s="416"/>
    </row>
    <row r="348" spans="1:13" s="415" customFormat="1">
      <c r="A348" s="409"/>
      <c r="B348" s="417" t="s">
        <v>1797</v>
      </c>
      <c r="C348" s="411" t="s">
        <v>72</v>
      </c>
      <c r="D348" s="412">
        <v>1</v>
      </c>
      <c r="E348" s="418">
        <v>0</v>
      </c>
      <c r="F348" s="418">
        <v>0</v>
      </c>
      <c r="G348" s="418">
        <f>+'Cartera Propia'!J257*$C$15</f>
        <v>6058566.7397260303</v>
      </c>
      <c r="H348" s="970">
        <v>395294800000</v>
      </c>
      <c r="I348" s="414">
        <v>11148767398</v>
      </c>
      <c r="J348" s="974">
        <v>455722422477</v>
      </c>
      <c r="L348" s="419"/>
      <c r="M348" s="416"/>
    </row>
    <row r="349" spans="1:13" s="415" customFormat="1">
      <c r="A349" s="409"/>
      <c r="B349" s="417" t="s">
        <v>1797</v>
      </c>
      <c r="C349" s="411" t="s">
        <v>72</v>
      </c>
      <c r="D349" s="412">
        <v>1</v>
      </c>
      <c r="E349" s="418">
        <v>0</v>
      </c>
      <c r="F349" s="418">
        <v>0</v>
      </c>
      <c r="G349" s="418">
        <f>+'Cartera Propia'!J258*$C$15</f>
        <v>6058566.7397260303</v>
      </c>
      <c r="H349" s="970">
        <v>395294800000</v>
      </c>
      <c r="I349" s="414">
        <v>11148767398</v>
      </c>
      <c r="J349" s="974">
        <v>455722422477</v>
      </c>
      <c r="L349" s="419"/>
      <c r="M349" s="416"/>
    </row>
    <row r="350" spans="1:13" s="415" customFormat="1">
      <c r="A350" s="409"/>
      <c r="B350" s="417" t="s">
        <v>1797</v>
      </c>
      <c r="C350" s="411" t="s">
        <v>72</v>
      </c>
      <c r="D350" s="412">
        <v>1</v>
      </c>
      <c r="E350" s="418">
        <v>0</v>
      </c>
      <c r="F350" s="418">
        <v>0</v>
      </c>
      <c r="G350" s="418">
        <f>+'Cartera Propia'!J259*$C$15</f>
        <v>1504338</v>
      </c>
      <c r="H350" s="970">
        <v>395294800000</v>
      </c>
      <c r="I350" s="414">
        <v>11148767398</v>
      </c>
      <c r="J350" s="974">
        <v>455722422477</v>
      </c>
      <c r="L350" s="419"/>
      <c r="M350" s="416"/>
    </row>
    <row r="351" spans="1:13" s="415" customFormat="1">
      <c r="A351" s="409"/>
      <c r="B351" s="417" t="s">
        <v>1797</v>
      </c>
      <c r="C351" s="411" t="s">
        <v>72</v>
      </c>
      <c r="D351" s="412">
        <v>1</v>
      </c>
      <c r="E351" s="418">
        <v>0</v>
      </c>
      <c r="F351" s="418">
        <v>0</v>
      </c>
      <c r="G351" s="418">
        <f>+'Cartera Propia'!J260*$C$15</f>
        <v>1504338</v>
      </c>
      <c r="H351" s="970">
        <v>395294800000</v>
      </c>
      <c r="I351" s="414">
        <v>11148767398</v>
      </c>
      <c r="J351" s="974">
        <v>455722422477</v>
      </c>
      <c r="L351" s="419"/>
      <c r="M351" s="416"/>
    </row>
    <row r="352" spans="1:13" s="415" customFormat="1">
      <c r="A352" s="409"/>
      <c r="B352" s="417" t="s">
        <v>1797</v>
      </c>
      <c r="C352" s="411" t="s">
        <v>72</v>
      </c>
      <c r="D352" s="412">
        <v>1</v>
      </c>
      <c r="E352" s="418">
        <v>0</v>
      </c>
      <c r="F352" s="418">
        <v>0</v>
      </c>
      <c r="G352" s="418">
        <f>+'Cartera Propia'!J261*$C$15</f>
        <v>1504338</v>
      </c>
      <c r="H352" s="970">
        <v>395294800000</v>
      </c>
      <c r="I352" s="414">
        <v>11148767398</v>
      </c>
      <c r="J352" s="974">
        <v>455722422477</v>
      </c>
      <c r="L352" s="419"/>
      <c r="M352" s="416"/>
    </row>
    <row r="353" spans="1:13" s="415" customFormat="1">
      <c r="A353" s="409"/>
      <c r="B353" s="417" t="s">
        <v>1797</v>
      </c>
      <c r="C353" s="411" t="s">
        <v>72</v>
      </c>
      <c r="D353" s="412">
        <v>1</v>
      </c>
      <c r="E353" s="418">
        <v>0</v>
      </c>
      <c r="F353" s="418">
        <v>0</v>
      </c>
      <c r="G353" s="418">
        <f>+'Cartera Propia'!J262*$C$15</f>
        <v>1196632.5000000002</v>
      </c>
      <c r="H353" s="970">
        <v>395294800000</v>
      </c>
      <c r="I353" s="414">
        <v>11148767398</v>
      </c>
      <c r="J353" s="974">
        <v>455722422477</v>
      </c>
      <c r="L353" s="419"/>
      <c r="M353" s="416"/>
    </row>
    <row r="354" spans="1:13" s="415" customFormat="1">
      <c r="A354" s="409"/>
      <c r="B354" s="417" t="s">
        <v>1797</v>
      </c>
      <c r="C354" s="411" t="s">
        <v>72</v>
      </c>
      <c r="D354" s="412">
        <v>1</v>
      </c>
      <c r="E354" s="418">
        <v>0</v>
      </c>
      <c r="F354" s="418">
        <v>0</v>
      </c>
      <c r="G354" s="418">
        <f>+'Cartera Propia'!J263*$C$15</f>
        <v>1196632.5000000002</v>
      </c>
      <c r="H354" s="970">
        <v>395294800000</v>
      </c>
      <c r="I354" s="414">
        <v>11148767398</v>
      </c>
      <c r="J354" s="974">
        <v>455722422477</v>
      </c>
      <c r="L354" s="419"/>
      <c r="M354" s="416"/>
    </row>
    <row r="355" spans="1:13" s="415" customFormat="1">
      <c r="A355" s="409"/>
      <c r="B355" s="410" t="s">
        <v>523</v>
      </c>
      <c r="C355" s="411" t="s">
        <v>72</v>
      </c>
      <c r="D355" s="412">
        <v>1</v>
      </c>
      <c r="E355" s="418">
        <v>0</v>
      </c>
      <c r="F355" s="418">
        <v>0</v>
      </c>
      <c r="G355" s="418">
        <f>+'Cartera Propia'!J264*$C$15</f>
        <v>3480022.7506849379</v>
      </c>
      <c r="H355" s="970">
        <v>1133000000000</v>
      </c>
      <c r="I355" s="414">
        <v>422837396274</v>
      </c>
      <c r="J355" s="974">
        <v>4074694762572</v>
      </c>
      <c r="L355" s="419"/>
      <c r="M355" s="416"/>
    </row>
    <row r="356" spans="1:13" s="415" customFormat="1">
      <c r="A356" s="409"/>
      <c r="B356" s="410" t="s">
        <v>523</v>
      </c>
      <c r="C356" s="411" t="s">
        <v>72</v>
      </c>
      <c r="D356" s="412">
        <v>1</v>
      </c>
      <c r="E356" s="418">
        <v>0</v>
      </c>
      <c r="F356" s="418">
        <v>0</v>
      </c>
      <c r="G356" s="418">
        <f>+'Cartera Propia'!J265*$C$15</f>
        <v>3480022.7506849379</v>
      </c>
      <c r="H356" s="970">
        <v>1133000000000</v>
      </c>
      <c r="I356" s="414">
        <v>422837396274</v>
      </c>
      <c r="J356" s="974">
        <v>4074694762572</v>
      </c>
      <c r="L356" s="419"/>
      <c r="M356" s="416"/>
    </row>
    <row r="357" spans="1:13" s="415" customFormat="1">
      <c r="A357" s="409"/>
      <c r="B357" s="410" t="s">
        <v>523</v>
      </c>
      <c r="C357" s="411" t="s">
        <v>72</v>
      </c>
      <c r="D357" s="412">
        <v>1</v>
      </c>
      <c r="E357" s="418">
        <v>0</v>
      </c>
      <c r="F357" s="418">
        <v>0</v>
      </c>
      <c r="G357" s="418">
        <f>+'Cartera Propia'!J266*$C$15</f>
        <v>3480022.7506849379</v>
      </c>
      <c r="H357" s="970">
        <v>1133000000000</v>
      </c>
      <c r="I357" s="414">
        <v>422837396274</v>
      </c>
      <c r="J357" s="974">
        <v>4074694762572</v>
      </c>
      <c r="L357" s="419"/>
      <c r="M357" s="416"/>
    </row>
    <row r="358" spans="1:13" s="415" customFormat="1">
      <c r="A358" s="409"/>
      <c r="B358" s="410" t="s">
        <v>523</v>
      </c>
      <c r="C358" s="411" t="s">
        <v>72</v>
      </c>
      <c r="D358" s="412">
        <v>1</v>
      </c>
      <c r="E358" s="418">
        <v>0</v>
      </c>
      <c r="F358" s="418">
        <v>0</v>
      </c>
      <c r="G358" s="418">
        <f>+'Cartera Propia'!J267*$C$15</f>
        <v>3480022.7506849379</v>
      </c>
      <c r="H358" s="970">
        <v>1133000000000</v>
      </c>
      <c r="I358" s="414">
        <v>422837396274</v>
      </c>
      <c r="J358" s="974">
        <v>4074694762572</v>
      </c>
      <c r="L358" s="419"/>
      <c r="M358" s="416"/>
    </row>
    <row r="359" spans="1:13" s="415" customFormat="1">
      <c r="A359" s="409"/>
      <c r="B359" s="410" t="s">
        <v>523</v>
      </c>
      <c r="C359" s="411" t="s">
        <v>72</v>
      </c>
      <c r="D359" s="412">
        <v>1</v>
      </c>
      <c r="E359" s="418">
        <v>0</v>
      </c>
      <c r="F359" s="418">
        <v>0</v>
      </c>
      <c r="G359" s="418">
        <f>+'Cartera Propia'!J268*$C$15</f>
        <v>3480022.7506849379</v>
      </c>
      <c r="H359" s="970">
        <v>1133000000000</v>
      </c>
      <c r="I359" s="414">
        <v>422837396274</v>
      </c>
      <c r="J359" s="974">
        <v>4074694762572</v>
      </c>
      <c r="L359" s="419"/>
      <c r="M359" s="416"/>
    </row>
    <row r="360" spans="1:13" s="415" customFormat="1">
      <c r="A360" s="409"/>
      <c r="B360" s="417" t="s">
        <v>472</v>
      </c>
      <c r="C360" s="411" t="s">
        <v>72</v>
      </c>
      <c r="D360" s="412">
        <v>1</v>
      </c>
      <c r="E360" s="418">
        <v>0</v>
      </c>
      <c r="F360" s="418">
        <v>0</v>
      </c>
      <c r="G360" s="418">
        <f>+'Cartera Propia'!J269*$C$15</f>
        <v>36531251.258835644</v>
      </c>
      <c r="H360" s="970">
        <v>1084664860000</v>
      </c>
      <c r="I360" s="414">
        <v>44141644708</v>
      </c>
      <c r="J360" s="974">
        <v>1607682435889</v>
      </c>
      <c r="L360" s="419"/>
      <c r="M360" s="416"/>
    </row>
    <row r="361" spans="1:13" s="415" customFormat="1">
      <c r="A361" s="409"/>
      <c r="B361" s="417" t="s">
        <v>472</v>
      </c>
      <c r="C361" s="411" t="s">
        <v>72</v>
      </c>
      <c r="D361" s="412">
        <v>1</v>
      </c>
      <c r="E361" s="418">
        <v>0</v>
      </c>
      <c r="F361" s="418">
        <v>0</v>
      </c>
      <c r="G361" s="418">
        <f>+'Cartera Propia'!J270*$C$15</f>
        <v>36531251.258835644</v>
      </c>
      <c r="H361" s="970">
        <v>1084664860000</v>
      </c>
      <c r="I361" s="414">
        <v>44141644708</v>
      </c>
      <c r="J361" s="974">
        <v>1607682435889</v>
      </c>
      <c r="L361" s="419"/>
      <c r="M361" s="416"/>
    </row>
    <row r="362" spans="1:13" s="415" customFormat="1">
      <c r="A362" s="409"/>
      <c r="B362" s="417" t="s">
        <v>472</v>
      </c>
      <c r="C362" s="411" t="s">
        <v>72</v>
      </c>
      <c r="D362" s="412">
        <v>1</v>
      </c>
      <c r="E362" s="418">
        <v>0</v>
      </c>
      <c r="F362" s="418">
        <v>0</v>
      </c>
      <c r="G362" s="418">
        <f>+'Cartera Propia'!J271*$C$15</f>
        <v>36531182.879835628</v>
      </c>
      <c r="H362" s="970">
        <v>1084664860000</v>
      </c>
      <c r="I362" s="414">
        <v>44141644708</v>
      </c>
      <c r="J362" s="974">
        <v>1607682435889</v>
      </c>
      <c r="L362" s="419"/>
      <c r="M362" s="416"/>
    </row>
    <row r="363" spans="1:13" s="415" customFormat="1">
      <c r="A363" s="409"/>
      <c r="B363" s="417" t="s">
        <v>472</v>
      </c>
      <c r="C363" s="411" t="s">
        <v>72</v>
      </c>
      <c r="D363" s="412">
        <v>1</v>
      </c>
      <c r="E363" s="418">
        <v>0</v>
      </c>
      <c r="F363" s="418">
        <v>0</v>
      </c>
      <c r="G363" s="418">
        <f>+'Cartera Propia'!J272*$C$15</f>
        <v>2243124961.4295125</v>
      </c>
      <c r="H363" s="970">
        <v>1084664860000</v>
      </c>
      <c r="I363" s="414">
        <v>44141644708</v>
      </c>
      <c r="J363" s="974">
        <v>1607682435889</v>
      </c>
      <c r="L363" s="419"/>
      <c r="M363" s="416"/>
    </row>
    <row r="364" spans="1:13" s="415" customFormat="1">
      <c r="A364" s="409"/>
      <c r="B364" s="417" t="s">
        <v>472</v>
      </c>
      <c r="C364" s="411" t="s">
        <v>72</v>
      </c>
      <c r="D364" s="412">
        <v>1</v>
      </c>
      <c r="E364" s="418">
        <v>0</v>
      </c>
      <c r="F364" s="418">
        <v>0</v>
      </c>
      <c r="G364" s="418">
        <f>+'Cartera Propia'!J273*$C$15</f>
        <v>25571841.691684991</v>
      </c>
      <c r="H364" s="970">
        <v>1084664860000</v>
      </c>
      <c r="I364" s="414">
        <v>44141644708</v>
      </c>
      <c r="J364" s="974">
        <v>1607682435889</v>
      </c>
      <c r="L364" s="419"/>
      <c r="M364" s="416"/>
    </row>
    <row r="365" spans="1:13" s="774" customFormat="1" ht="15" customHeight="1">
      <c r="B365" s="421" t="s">
        <v>1149</v>
      </c>
      <c r="C365" s="422"/>
      <c r="D365" s="423"/>
      <c r="E365" s="422"/>
      <c r="F365" s="422"/>
      <c r="G365" s="422"/>
      <c r="H365" s="422"/>
      <c r="I365" s="422"/>
      <c r="J365" s="422"/>
      <c r="M365" s="775"/>
    </row>
    <row r="366" spans="1:13" s="774" customFormat="1">
      <c r="B366" s="410" t="s">
        <v>1343</v>
      </c>
      <c r="C366" s="411" t="s">
        <v>655</v>
      </c>
      <c r="D366" s="412">
        <f>+'Cartera Propia'!G303/'Nota 5'!E366</f>
        <v>7000</v>
      </c>
      <c r="E366" s="412">
        <v>1000000</v>
      </c>
      <c r="F366" s="413">
        <v>0</v>
      </c>
      <c r="G366" s="412">
        <f>+'Cartera Propia'!G303</f>
        <v>7000000000</v>
      </c>
      <c r="H366" s="970">
        <v>146400000000</v>
      </c>
      <c r="I366" s="414">
        <v>38213000000</v>
      </c>
      <c r="J366" s="974">
        <v>880090000000</v>
      </c>
      <c r="M366" s="775"/>
    </row>
    <row r="367" spans="1:13" s="774" customFormat="1">
      <c r="B367" s="410" t="s">
        <v>523</v>
      </c>
      <c r="C367" s="411" t="s">
        <v>470</v>
      </c>
      <c r="D367" s="412">
        <f>+'Cartera Propia'!G304/'Nota 5'!E367</f>
        <v>15000</v>
      </c>
      <c r="E367" s="412">
        <v>1000000</v>
      </c>
      <c r="F367" s="413">
        <v>0</v>
      </c>
      <c r="G367" s="412">
        <f>+'Cartera Propia'!G304</f>
        <v>15000000000</v>
      </c>
      <c r="H367" s="970">
        <v>1133000000000</v>
      </c>
      <c r="I367" s="414">
        <v>422837396274</v>
      </c>
      <c r="J367" s="974">
        <v>4074694762572</v>
      </c>
      <c r="M367" s="775"/>
    </row>
    <row r="368" spans="1:13" s="774" customFormat="1">
      <c r="B368" s="410" t="s">
        <v>1345</v>
      </c>
      <c r="C368" s="411" t="s">
        <v>655</v>
      </c>
      <c r="D368" s="412">
        <f>+'Cartera Propia'!G305/'Nota 5'!E368</f>
        <v>2751</v>
      </c>
      <c r="E368" s="412">
        <v>1000000</v>
      </c>
      <c r="F368" s="413">
        <v>0</v>
      </c>
      <c r="G368" s="412">
        <f>+'Cartera Propia'!G305</f>
        <v>2751000000</v>
      </c>
      <c r="H368" s="970">
        <v>327245000000</v>
      </c>
      <c r="I368" s="414">
        <v>7391000000</v>
      </c>
      <c r="J368" s="974">
        <v>715971000000</v>
      </c>
      <c r="K368" s="776"/>
      <c r="M368" s="775"/>
    </row>
    <row r="369" spans="2:13" s="774" customFormat="1">
      <c r="B369" s="410" t="s">
        <v>1345</v>
      </c>
      <c r="C369" s="411" t="s">
        <v>655</v>
      </c>
      <c r="D369" s="412">
        <f>+'Cartera Propia'!G306/'Nota 5'!E369</f>
        <v>3115</v>
      </c>
      <c r="E369" s="412">
        <v>1000000</v>
      </c>
      <c r="F369" s="413">
        <v>0</v>
      </c>
      <c r="G369" s="412">
        <f>+'Cartera Propia'!G306</f>
        <v>3115000000</v>
      </c>
      <c r="H369" s="970">
        <v>327245000000</v>
      </c>
      <c r="I369" s="414">
        <v>7391000000</v>
      </c>
      <c r="J369" s="974">
        <v>715971000000</v>
      </c>
      <c r="K369" s="776"/>
      <c r="M369" s="775"/>
    </row>
    <row r="370" spans="2:13" s="774" customFormat="1">
      <c r="B370" s="410" t="s">
        <v>1345</v>
      </c>
      <c r="C370" s="411" t="s">
        <v>655</v>
      </c>
      <c r="D370" s="412">
        <f>+'Cartera Propia'!G307/'Nota 5'!E370</f>
        <v>7750</v>
      </c>
      <c r="E370" s="412">
        <v>1000000</v>
      </c>
      <c r="F370" s="413">
        <v>0</v>
      </c>
      <c r="G370" s="412">
        <f>+'Cartera Propia'!G307</f>
        <v>7750000000</v>
      </c>
      <c r="H370" s="970">
        <v>327245000000</v>
      </c>
      <c r="I370" s="414">
        <v>7391000000</v>
      </c>
      <c r="J370" s="974">
        <v>715971000000</v>
      </c>
      <c r="K370" s="776"/>
      <c r="M370" s="775"/>
    </row>
    <row r="371" spans="2:13" s="774" customFormat="1">
      <c r="B371" s="410" t="s">
        <v>1344</v>
      </c>
      <c r="C371" s="411" t="s">
        <v>655</v>
      </c>
      <c r="D371" s="412">
        <f>+'Cartera Propia'!G308/'Nota 5'!E371</f>
        <v>2050</v>
      </c>
      <c r="E371" s="412">
        <v>1000000</v>
      </c>
      <c r="F371" s="413">
        <v>0</v>
      </c>
      <c r="G371" s="412">
        <f>+'Cartera Propia'!G308</f>
        <v>2050000000</v>
      </c>
      <c r="H371" s="970">
        <v>40000000000</v>
      </c>
      <c r="I371" s="414">
        <v>697811704</v>
      </c>
      <c r="J371" s="974">
        <v>48989660333</v>
      </c>
      <c r="M371" s="775"/>
    </row>
    <row r="372" spans="2:13" s="774" customFormat="1">
      <c r="B372" s="410" t="s">
        <v>1344</v>
      </c>
      <c r="C372" s="411" t="s">
        <v>655</v>
      </c>
      <c r="D372" s="412">
        <f>+'Cartera Propia'!G309/'Nota 5'!E372</f>
        <v>2300</v>
      </c>
      <c r="E372" s="412">
        <v>1000000</v>
      </c>
      <c r="F372" s="413">
        <v>0</v>
      </c>
      <c r="G372" s="412">
        <f>+'Cartera Propia'!G309</f>
        <v>2300000000</v>
      </c>
      <c r="H372" s="970">
        <v>40000000000</v>
      </c>
      <c r="I372" s="414">
        <v>697811704</v>
      </c>
      <c r="J372" s="974">
        <v>48989660333</v>
      </c>
      <c r="M372" s="775"/>
    </row>
    <row r="373" spans="2:13" s="774" customFormat="1">
      <c r="B373" s="417" t="s">
        <v>1346</v>
      </c>
      <c r="C373" s="411" t="s">
        <v>72</v>
      </c>
      <c r="D373" s="412">
        <v>1</v>
      </c>
      <c r="E373" s="412">
        <f>+'Cartera Propia'!G281</f>
        <v>50000000</v>
      </c>
      <c r="F373" s="413">
        <v>0</v>
      </c>
      <c r="G373" s="418">
        <f>+'Cartera Propia'!G281</f>
        <v>50000000</v>
      </c>
      <c r="H373" s="970">
        <v>163488517429</v>
      </c>
      <c r="I373" s="414">
        <v>8110728569</v>
      </c>
      <c r="J373" s="974">
        <v>212346287805</v>
      </c>
      <c r="M373" s="775"/>
    </row>
    <row r="374" spans="2:13" s="774" customFormat="1">
      <c r="B374" s="417" t="s">
        <v>1346</v>
      </c>
      <c r="C374" s="411" t="s">
        <v>72</v>
      </c>
      <c r="D374" s="412">
        <v>1</v>
      </c>
      <c r="E374" s="412">
        <f>+'Cartera Propia'!G282</f>
        <v>50000000</v>
      </c>
      <c r="F374" s="413">
        <v>0</v>
      </c>
      <c r="G374" s="418">
        <f>+'Cartera Propia'!G282</f>
        <v>50000000</v>
      </c>
      <c r="H374" s="970">
        <v>163488517429</v>
      </c>
      <c r="I374" s="414">
        <v>8110728569</v>
      </c>
      <c r="J374" s="974">
        <v>212346287805</v>
      </c>
      <c r="K374" s="776"/>
      <c r="M374" s="775"/>
    </row>
    <row r="375" spans="2:13" s="774" customFormat="1">
      <c r="B375" s="417" t="s">
        <v>1346</v>
      </c>
      <c r="C375" s="411" t="s">
        <v>72</v>
      </c>
      <c r="D375" s="412">
        <v>1</v>
      </c>
      <c r="E375" s="412">
        <f>+'Cartera Propia'!G283</f>
        <v>50000000</v>
      </c>
      <c r="F375" s="413">
        <v>0</v>
      </c>
      <c r="G375" s="418">
        <f>+'Cartera Propia'!G283</f>
        <v>50000000</v>
      </c>
      <c r="H375" s="970">
        <v>163488517429</v>
      </c>
      <c r="I375" s="414">
        <v>8110728569</v>
      </c>
      <c r="J375" s="974">
        <v>212346287805</v>
      </c>
      <c r="K375" s="776"/>
      <c r="M375" s="775"/>
    </row>
    <row r="376" spans="2:13" s="774" customFormat="1">
      <c r="B376" s="417" t="s">
        <v>1346</v>
      </c>
      <c r="C376" s="411" t="s">
        <v>72</v>
      </c>
      <c r="D376" s="412">
        <v>1</v>
      </c>
      <c r="E376" s="412">
        <f>+'Cartera Propia'!G284</f>
        <v>50000000</v>
      </c>
      <c r="F376" s="413">
        <v>0</v>
      </c>
      <c r="G376" s="418">
        <f>+'Cartera Propia'!G284</f>
        <v>50000000</v>
      </c>
      <c r="H376" s="970">
        <v>163488517429</v>
      </c>
      <c r="I376" s="414">
        <v>8110728569</v>
      </c>
      <c r="J376" s="974">
        <v>212346287805</v>
      </c>
      <c r="K376" s="776"/>
      <c r="M376" s="775"/>
    </row>
    <row r="377" spans="2:13" s="774" customFormat="1">
      <c r="B377" s="417" t="s">
        <v>1346</v>
      </c>
      <c r="C377" s="411" t="s">
        <v>72</v>
      </c>
      <c r="D377" s="412">
        <v>1</v>
      </c>
      <c r="E377" s="412">
        <f>+'Cartera Propia'!G285</f>
        <v>50000000</v>
      </c>
      <c r="F377" s="413">
        <v>0</v>
      </c>
      <c r="G377" s="418">
        <f>+'Cartera Propia'!G285</f>
        <v>50000000</v>
      </c>
      <c r="H377" s="970">
        <v>163488517429</v>
      </c>
      <c r="I377" s="414">
        <v>8110728569</v>
      </c>
      <c r="J377" s="974">
        <v>212346287805</v>
      </c>
      <c r="M377" s="775"/>
    </row>
    <row r="378" spans="2:13" s="774" customFormat="1">
      <c r="B378" s="417" t="s">
        <v>1346</v>
      </c>
      <c r="C378" s="411" t="s">
        <v>72</v>
      </c>
      <c r="D378" s="412">
        <v>1</v>
      </c>
      <c r="E378" s="412">
        <f>+'Cartera Propia'!G286</f>
        <v>50000000</v>
      </c>
      <c r="F378" s="413">
        <v>0</v>
      </c>
      <c r="G378" s="418">
        <f>+'Cartera Propia'!G286</f>
        <v>50000000</v>
      </c>
      <c r="H378" s="970">
        <v>163488517429</v>
      </c>
      <c r="I378" s="414">
        <v>8110728569</v>
      </c>
      <c r="J378" s="974">
        <v>212346287805</v>
      </c>
      <c r="M378" s="775"/>
    </row>
    <row r="379" spans="2:13" s="774" customFormat="1">
      <c r="B379" s="417" t="s">
        <v>1346</v>
      </c>
      <c r="C379" s="411" t="s">
        <v>72</v>
      </c>
      <c r="D379" s="412">
        <v>1</v>
      </c>
      <c r="E379" s="412">
        <f>+'Cartera Propia'!G287</f>
        <v>25000000</v>
      </c>
      <c r="F379" s="413">
        <v>0</v>
      </c>
      <c r="G379" s="418">
        <f>+'Cartera Propia'!G287</f>
        <v>25000000</v>
      </c>
      <c r="H379" s="970">
        <v>163488517429</v>
      </c>
      <c r="I379" s="414">
        <v>8110728569</v>
      </c>
      <c r="J379" s="974">
        <v>212346287805</v>
      </c>
      <c r="M379" s="775"/>
    </row>
    <row r="380" spans="2:13" s="774" customFormat="1">
      <c r="B380" s="417" t="s">
        <v>1346</v>
      </c>
      <c r="C380" s="411" t="s">
        <v>72</v>
      </c>
      <c r="D380" s="412">
        <v>1</v>
      </c>
      <c r="E380" s="412">
        <f>+'Cartera Propia'!G288</f>
        <v>150000000</v>
      </c>
      <c r="F380" s="413">
        <v>0</v>
      </c>
      <c r="G380" s="418">
        <f>+'Cartera Propia'!G288</f>
        <v>150000000</v>
      </c>
      <c r="H380" s="970">
        <v>163488517429</v>
      </c>
      <c r="I380" s="414">
        <v>8110728569</v>
      </c>
      <c r="J380" s="974">
        <v>212346287805</v>
      </c>
      <c r="M380" s="775"/>
    </row>
    <row r="381" spans="2:13" s="774" customFormat="1">
      <c r="B381" s="417" t="s">
        <v>1346</v>
      </c>
      <c r="C381" s="411" t="s">
        <v>72</v>
      </c>
      <c r="D381" s="412">
        <v>1</v>
      </c>
      <c r="E381" s="412">
        <f>+'Cartera Propia'!G289</f>
        <v>150000000</v>
      </c>
      <c r="F381" s="413">
        <v>0</v>
      </c>
      <c r="G381" s="418">
        <f>+'Cartera Propia'!G289</f>
        <v>150000000</v>
      </c>
      <c r="H381" s="970">
        <v>163488517429</v>
      </c>
      <c r="I381" s="414">
        <v>8110728569</v>
      </c>
      <c r="J381" s="974">
        <v>212346287805</v>
      </c>
      <c r="K381" s="776"/>
      <c r="M381" s="775"/>
    </row>
    <row r="382" spans="2:13" s="774" customFormat="1">
      <c r="B382" s="417" t="s">
        <v>1346</v>
      </c>
      <c r="C382" s="411" t="s">
        <v>72</v>
      </c>
      <c r="D382" s="412">
        <v>1</v>
      </c>
      <c r="E382" s="412">
        <f>+'Cartera Propia'!G290</f>
        <v>150000000</v>
      </c>
      <c r="F382" s="413">
        <v>0</v>
      </c>
      <c r="G382" s="418">
        <f>+'Cartera Propia'!G290</f>
        <v>150000000</v>
      </c>
      <c r="H382" s="970">
        <v>163488517429</v>
      </c>
      <c r="I382" s="414">
        <v>8110728569</v>
      </c>
      <c r="J382" s="974">
        <v>212346287805</v>
      </c>
      <c r="K382" s="776"/>
      <c r="M382" s="775"/>
    </row>
    <row r="383" spans="2:13" s="774" customFormat="1">
      <c r="B383" s="417" t="s">
        <v>1346</v>
      </c>
      <c r="C383" s="411" t="s">
        <v>72</v>
      </c>
      <c r="D383" s="412">
        <v>1</v>
      </c>
      <c r="E383" s="412">
        <f>+'Cartera Propia'!G291</f>
        <v>150000000</v>
      </c>
      <c r="F383" s="413">
        <v>0</v>
      </c>
      <c r="G383" s="418">
        <f>+'Cartera Propia'!G291</f>
        <v>150000000</v>
      </c>
      <c r="H383" s="970">
        <v>163488517429</v>
      </c>
      <c r="I383" s="414">
        <v>8110728569</v>
      </c>
      <c r="J383" s="974">
        <v>212346287805</v>
      </c>
      <c r="K383" s="776"/>
      <c r="M383" s="775"/>
    </row>
    <row r="384" spans="2:13" s="774" customFormat="1">
      <c r="B384" s="417" t="s">
        <v>1346</v>
      </c>
      <c r="C384" s="411" t="s">
        <v>72</v>
      </c>
      <c r="D384" s="412">
        <v>1</v>
      </c>
      <c r="E384" s="412">
        <f>+'Cartera Propia'!G292</f>
        <v>250000000</v>
      </c>
      <c r="F384" s="413">
        <v>0</v>
      </c>
      <c r="G384" s="418">
        <f>+'Cartera Propia'!G292</f>
        <v>250000000</v>
      </c>
      <c r="H384" s="970">
        <v>163488517429</v>
      </c>
      <c r="I384" s="414">
        <v>8110728569</v>
      </c>
      <c r="J384" s="974">
        <v>212346287805</v>
      </c>
      <c r="M384" s="775"/>
    </row>
    <row r="385" spans="2:13" s="774" customFormat="1">
      <c r="B385" s="417" t="s">
        <v>1346</v>
      </c>
      <c r="C385" s="411" t="s">
        <v>72</v>
      </c>
      <c r="D385" s="412">
        <v>1</v>
      </c>
      <c r="E385" s="412">
        <f>+'Cartera Propia'!G293</f>
        <v>250000000</v>
      </c>
      <c r="F385" s="413">
        <v>0</v>
      </c>
      <c r="G385" s="418">
        <f>+'Cartera Propia'!G293</f>
        <v>250000000</v>
      </c>
      <c r="H385" s="970">
        <v>163488517429</v>
      </c>
      <c r="I385" s="414">
        <v>8110728569</v>
      </c>
      <c r="J385" s="974">
        <v>212346287805</v>
      </c>
      <c r="M385" s="775"/>
    </row>
    <row r="386" spans="2:13" s="774" customFormat="1">
      <c r="B386" s="417" t="s">
        <v>1346</v>
      </c>
      <c r="C386" s="411" t="s">
        <v>72</v>
      </c>
      <c r="D386" s="412">
        <v>1</v>
      </c>
      <c r="E386" s="412">
        <f>+'Cartera Propia'!G294</f>
        <v>250000000</v>
      </c>
      <c r="F386" s="413">
        <v>0</v>
      </c>
      <c r="G386" s="418">
        <f>+'Cartera Propia'!G294</f>
        <v>250000000</v>
      </c>
      <c r="H386" s="970">
        <v>163488517429</v>
      </c>
      <c r="I386" s="414">
        <v>8110728569</v>
      </c>
      <c r="J386" s="974">
        <v>212346287805</v>
      </c>
      <c r="M386" s="775"/>
    </row>
    <row r="387" spans="2:13" s="774" customFormat="1">
      <c r="B387" s="417" t="s">
        <v>1346</v>
      </c>
      <c r="C387" s="411" t="s">
        <v>72</v>
      </c>
      <c r="D387" s="412">
        <v>1</v>
      </c>
      <c r="E387" s="412">
        <f>+'Cartera Propia'!G295</f>
        <v>250000000</v>
      </c>
      <c r="F387" s="413">
        <v>0</v>
      </c>
      <c r="G387" s="418">
        <f>+'Cartera Propia'!G295</f>
        <v>250000000</v>
      </c>
      <c r="H387" s="970">
        <v>163488517429</v>
      </c>
      <c r="I387" s="414">
        <v>8110728569</v>
      </c>
      <c r="J387" s="974">
        <v>212346287805</v>
      </c>
      <c r="K387" s="776"/>
      <c r="M387" s="775"/>
    </row>
    <row r="388" spans="2:13" s="774" customFormat="1">
      <c r="B388" s="417" t="s">
        <v>1346</v>
      </c>
      <c r="C388" s="411" t="s">
        <v>72</v>
      </c>
      <c r="D388" s="412">
        <v>1</v>
      </c>
      <c r="E388" s="412">
        <f>+'Cartera Propia'!G296</f>
        <v>250000000</v>
      </c>
      <c r="F388" s="413">
        <v>0</v>
      </c>
      <c r="G388" s="418">
        <f>+'Cartera Propia'!G296</f>
        <v>250000000</v>
      </c>
      <c r="H388" s="970">
        <v>163488517429</v>
      </c>
      <c r="I388" s="414">
        <v>8110728569</v>
      </c>
      <c r="J388" s="974">
        <v>212346287805</v>
      </c>
      <c r="K388" s="776"/>
      <c r="M388" s="775"/>
    </row>
    <row r="389" spans="2:13" s="774" customFormat="1">
      <c r="B389" s="417" t="s">
        <v>1346</v>
      </c>
      <c r="C389" s="411" t="s">
        <v>72</v>
      </c>
      <c r="D389" s="412">
        <v>1</v>
      </c>
      <c r="E389" s="412">
        <f>+'Cartera Propia'!G297</f>
        <v>250000000</v>
      </c>
      <c r="F389" s="413">
        <v>0</v>
      </c>
      <c r="G389" s="418">
        <f>+'Cartera Propia'!G297</f>
        <v>250000000</v>
      </c>
      <c r="H389" s="970">
        <v>163488517429</v>
      </c>
      <c r="I389" s="414">
        <v>8110728569</v>
      </c>
      <c r="J389" s="974">
        <v>212346287805</v>
      </c>
      <c r="K389" s="776"/>
      <c r="M389" s="775"/>
    </row>
    <row r="390" spans="2:13" s="774" customFormat="1">
      <c r="B390" s="417" t="s">
        <v>1346</v>
      </c>
      <c r="C390" s="411" t="s">
        <v>72</v>
      </c>
      <c r="D390" s="412">
        <v>1</v>
      </c>
      <c r="E390" s="412">
        <f>+'Cartera Propia'!G298</f>
        <v>250000000</v>
      </c>
      <c r="F390" s="413">
        <v>0</v>
      </c>
      <c r="G390" s="418">
        <f>+'Cartera Propia'!G298</f>
        <v>250000000</v>
      </c>
      <c r="H390" s="970">
        <v>163488517429</v>
      </c>
      <c r="I390" s="414">
        <v>8110728569</v>
      </c>
      <c r="J390" s="974">
        <v>212346287805</v>
      </c>
      <c r="M390" s="775"/>
    </row>
    <row r="391" spans="2:13" s="774" customFormat="1">
      <c r="B391" s="417" t="s">
        <v>1346</v>
      </c>
      <c r="C391" s="411" t="s">
        <v>72</v>
      </c>
      <c r="D391" s="412">
        <v>1</v>
      </c>
      <c r="E391" s="412">
        <f>+'Cartera Propia'!G299</f>
        <v>250000000</v>
      </c>
      <c r="F391" s="413">
        <v>0</v>
      </c>
      <c r="G391" s="418">
        <f>+'Cartera Propia'!G299</f>
        <v>250000000</v>
      </c>
      <c r="H391" s="970">
        <v>163488517429</v>
      </c>
      <c r="I391" s="414">
        <v>8110728569</v>
      </c>
      <c r="J391" s="974">
        <v>212346287805</v>
      </c>
      <c r="M391" s="775"/>
    </row>
    <row r="392" spans="2:13" s="774" customFormat="1">
      <c r="B392" s="410" t="s">
        <v>1339</v>
      </c>
      <c r="C392" s="411" t="s">
        <v>72</v>
      </c>
      <c r="D392" s="412">
        <v>1</v>
      </c>
      <c r="E392" s="412">
        <f>+'Cartera Propia'!G300</f>
        <v>150000000</v>
      </c>
      <c r="F392" s="413">
        <v>0</v>
      </c>
      <c r="G392" s="418">
        <f>+'Cartera Propia'!G300</f>
        <v>150000000</v>
      </c>
      <c r="H392" s="970">
        <v>50000000000</v>
      </c>
      <c r="I392" s="414">
        <v>8410681395</v>
      </c>
      <c r="J392" s="974">
        <v>128964105055</v>
      </c>
      <c r="K392" s="776"/>
      <c r="M392" s="775"/>
    </row>
    <row r="393" spans="2:13" s="774" customFormat="1">
      <c r="B393" s="410" t="s">
        <v>1339</v>
      </c>
      <c r="C393" s="411" t="s">
        <v>72</v>
      </c>
      <c r="D393" s="412">
        <v>1</v>
      </c>
      <c r="E393" s="412">
        <f>+'Cartera Propia'!G301</f>
        <v>150000000</v>
      </c>
      <c r="F393" s="413">
        <v>0</v>
      </c>
      <c r="G393" s="418">
        <f>+'Cartera Propia'!G301</f>
        <v>150000000</v>
      </c>
      <c r="H393" s="970">
        <v>50000000000</v>
      </c>
      <c r="I393" s="414">
        <v>8410681395</v>
      </c>
      <c r="J393" s="974">
        <v>128964105055</v>
      </c>
      <c r="K393" s="776"/>
      <c r="M393" s="775"/>
    </row>
    <row r="394" spans="2:13" s="774" customFormat="1">
      <c r="B394" s="417" t="s">
        <v>1339</v>
      </c>
      <c r="C394" s="411" t="s">
        <v>72</v>
      </c>
      <c r="D394" s="412">
        <v>1</v>
      </c>
      <c r="E394" s="412">
        <f>+'Cartera Propia'!G302</f>
        <v>100000000</v>
      </c>
      <c r="F394" s="413">
        <v>0</v>
      </c>
      <c r="G394" s="418">
        <f>+'Cartera Propia'!G302</f>
        <v>100000000</v>
      </c>
      <c r="H394" s="970">
        <v>50000000000</v>
      </c>
      <c r="I394" s="414">
        <v>8410681395</v>
      </c>
      <c r="J394" s="974">
        <v>128964105055</v>
      </c>
      <c r="K394" s="776"/>
      <c r="M394" s="775"/>
    </row>
    <row r="395" spans="2:13" s="774" customFormat="1">
      <c r="B395" s="417" t="s">
        <v>1597</v>
      </c>
      <c r="C395" s="411" t="s">
        <v>72</v>
      </c>
      <c r="D395" s="412">
        <v>1</v>
      </c>
      <c r="E395" s="412">
        <f>+'Cartera Propia'!G313</f>
        <v>250000000</v>
      </c>
      <c r="F395" s="413">
        <v>0</v>
      </c>
      <c r="G395" s="420">
        <f>+'Cartera Propia'!G313</f>
        <v>250000000</v>
      </c>
      <c r="H395" s="970">
        <v>115000000000</v>
      </c>
      <c r="I395" s="414">
        <v>9501328665</v>
      </c>
      <c r="J395" s="974">
        <v>177412642042</v>
      </c>
      <c r="M395" s="775"/>
    </row>
    <row r="396" spans="2:13" s="774" customFormat="1">
      <c r="B396" s="417" t="s">
        <v>1597</v>
      </c>
      <c r="C396" s="411" t="s">
        <v>72</v>
      </c>
      <c r="D396" s="412">
        <v>1</v>
      </c>
      <c r="E396" s="412">
        <f>+'Cartera Propia'!G314</f>
        <v>250000000</v>
      </c>
      <c r="F396" s="413">
        <v>0</v>
      </c>
      <c r="G396" s="420">
        <f>+'Cartera Propia'!G314</f>
        <v>250000000</v>
      </c>
      <c r="H396" s="970">
        <v>115000000000</v>
      </c>
      <c r="I396" s="414">
        <v>9501328665</v>
      </c>
      <c r="J396" s="974">
        <v>177412642042</v>
      </c>
      <c r="M396" s="775"/>
    </row>
    <row r="397" spans="2:13" s="774" customFormat="1">
      <c r="B397" s="417" t="s">
        <v>1597</v>
      </c>
      <c r="C397" s="411" t="s">
        <v>72</v>
      </c>
      <c r="D397" s="412">
        <v>1</v>
      </c>
      <c r="E397" s="412">
        <f>+'Cartera Propia'!G315</f>
        <v>250000000</v>
      </c>
      <c r="F397" s="413">
        <v>0</v>
      </c>
      <c r="G397" s="420">
        <f>+'Cartera Propia'!G315</f>
        <v>250000000</v>
      </c>
      <c r="H397" s="970">
        <v>115000000000</v>
      </c>
      <c r="I397" s="414">
        <v>9501328665</v>
      </c>
      <c r="J397" s="974">
        <v>177412642042</v>
      </c>
      <c r="K397" s="776"/>
      <c r="M397" s="775"/>
    </row>
    <row r="398" spans="2:13" s="774" customFormat="1">
      <c r="B398" s="417" t="s">
        <v>1597</v>
      </c>
      <c r="C398" s="411" t="s">
        <v>72</v>
      </c>
      <c r="D398" s="412">
        <v>1</v>
      </c>
      <c r="E398" s="412">
        <f>+'Cartera Propia'!G316</f>
        <v>250000000</v>
      </c>
      <c r="F398" s="413">
        <v>0</v>
      </c>
      <c r="G398" s="420">
        <f>+'Cartera Propia'!G316</f>
        <v>250000000</v>
      </c>
      <c r="H398" s="970">
        <v>115000000000</v>
      </c>
      <c r="I398" s="414">
        <v>9501328665</v>
      </c>
      <c r="J398" s="974">
        <v>177412642042</v>
      </c>
      <c r="K398" s="776"/>
      <c r="M398" s="775"/>
    </row>
    <row r="399" spans="2:13" s="774" customFormat="1">
      <c r="B399" s="417" t="s">
        <v>1597</v>
      </c>
      <c r="C399" s="411" t="s">
        <v>72</v>
      </c>
      <c r="D399" s="412">
        <v>1</v>
      </c>
      <c r="E399" s="412">
        <f>+'Cartera Propia'!G317</f>
        <v>250000000</v>
      </c>
      <c r="F399" s="413">
        <v>0</v>
      </c>
      <c r="G399" s="420">
        <f>+'Cartera Propia'!G317</f>
        <v>250000000</v>
      </c>
      <c r="H399" s="970">
        <v>115000000000</v>
      </c>
      <c r="I399" s="414">
        <v>9501328665</v>
      </c>
      <c r="J399" s="974">
        <v>177412642042</v>
      </c>
      <c r="K399" s="776"/>
      <c r="M399" s="775"/>
    </row>
    <row r="400" spans="2:13" s="774" customFormat="1">
      <c r="B400" s="417" t="s">
        <v>1597</v>
      </c>
      <c r="C400" s="411" t="s">
        <v>72</v>
      </c>
      <c r="D400" s="412">
        <v>1</v>
      </c>
      <c r="E400" s="412">
        <f>+'Cartera Propia'!G318</f>
        <v>250000000</v>
      </c>
      <c r="F400" s="413">
        <v>0</v>
      </c>
      <c r="G400" s="420">
        <f>+'Cartera Propia'!G318</f>
        <v>250000000</v>
      </c>
      <c r="H400" s="970">
        <v>115000000000</v>
      </c>
      <c r="I400" s="414">
        <v>9501328665</v>
      </c>
      <c r="J400" s="974">
        <v>177412642042</v>
      </c>
      <c r="M400" s="775"/>
    </row>
    <row r="401" spans="2:13" s="774" customFormat="1">
      <c r="B401" s="417" t="s">
        <v>1597</v>
      </c>
      <c r="C401" s="411" t="s">
        <v>72</v>
      </c>
      <c r="D401" s="412">
        <v>1</v>
      </c>
      <c r="E401" s="412">
        <f>+'Cartera Propia'!G319</f>
        <v>250000000</v>
      </c>
      <c r="F401" s="413">
        <v>0</v>
      </c>
      <c r="G401" s="420">
        <f>+'Cartera Propia'!G319</f>
        <v>250000000</v>
      </c>
      <c r="H401" s="970">
        <v>115000000000</v>
      </c>
      <c r="I401" s="414">
        <v>9501328665</v>
      </c>
      <c r="J401" s="974">
        <v>177412642042</v>
      </c>
      <c r="M401" s="775"/>
    </row>
    <row r="402" spans="2:13" s="774" customFormat="1">
      <c r="B402" s="417" t="s">
        <v>1597</v>
      </c>
      <c r="C402" s="411" t="s">
        <v>72</v>
      </c>
      <c r="D402" s="412">
        <v>1</v>
      </c>
      <c r="E402" s="412">
        <f>+'Cartera Propia'!G320</f>
        <v>250000000</v>
      </c>
      <c r="F402" s="413">
        <v>0</v>
      </c>
      <c r="G402" s="420">
        <f>+'Cartera Propia'!G320</f>
        <v>250000000</v>
      </c>
      <c r="H402" s="970">
        <v>115000000000</v>
      </c>
      <c r="I402" s="414">
        <v>9501328665</v>
      </c>
      <c r="J402" s="974">
        <v>177412642042</v>
      </c>
      <c r="K402" s="776"/>
      <c r="M402" s="775"/>
    </row>
    <row r="403" spans="2:13" s="774" customFormat="1">
      <c r="B403" s="417" t="s">
        <v>1597</v>
      </c>
      <c r="C403" s="411" t="s">
        <v>72</v>
      </c>
      <c r="D403" s="412">
        <v>1</v>
      </c>
      <c r="E403" s="412">
        <f>+'Cartera Propia'!G321</f>
        <v>250000000</v>
      </c>
      <c r="F403" s="413">
        <v>0</v>
      </c>
      <c r="G403" s="420">
        <f>+'Cartera Propia'!G321</f>
        <v>250000000</v>
      </c>
      <c r="H403" s="970">
        <v>115000000000</v>
      </c>
      <c r="I403" s="414">
        <v>9501328665</v>
      </c>
      <c r="J403" s="974">
        <v>177412642042</v>
      </c>
      <c r="K403" s="776"/>
      <c r="M403" s="775"/>
    </row>
    <row r="404" spans="2:13" s="774" customFormat="1">
      <c r="B404" s="417" t="s">
        <v>1597</v>
      </c>
      <c r="C404" s="411" t="s">
        <v>72</v>
      </c>
      <c r="D404" s="412">
        <v>1</v>
      </c>
      <c r="E404" s="412">
        <f>+'Cartera Propia'!G322</f>
        <v>250000000</v>
      </c>
      <c r="F404" s="413">
        <v>0</v>
      </c>
      <c r="G404" s="420">
        <f>+'Cartera Propia'!G322</f>
        <v>250000000</v>
      </c>
      <c r="H404" s="970">
        <v>115000000000</v>
      </c>
      <c r="I404" s="414">
        <v>9501328665</v>
      </c>
      <c r="J404" s="974">
        <v>177412642042</v>
      </c>
      <c r="K404" s="776"/>
      <c r="M404" s="775"/>
    </row>
    <row r="405" spans="2:13" s="774" customFormat="1">
      <c r="B405" s="417" t="s">
        <v>1597</v>
      </c>
      <c r="C405" s="411" t="s">
        <v>72</v>
      </c>
      <c r="D405" s="412">
        <v>1</v>
      </c>
      <c r="E405" s="412">
        <f>+'Cartera Propia'!G323</f>
        <v>250000000</v>
      </c>
      <c r="F405" s="413">
        <v>0</v>
      </c>
      <c r="G405" s="420">
        <f>+'Cartera Propia'!G323</f>
        <v>250000000</v>
      </c>
      <c r="H405" s="970">
        <v>115000000000</v>
      </c>
      <c r="I405" s="414">
        <v>9501328665</v>
      </c>
      <c r="J405" s="974">
        <v>177412642042</v>
      </c>
      <c r="M405" s="775"/>
    </row>
    <row r="406" spans="2:13" s="774" customFormat="1">
      <c r="B406" s="417" t="s">
        <v>1597</v>
      </c>
      <c r="C406" s="411" t="s">
        <v>72</v>
      </c>
      <c r="D406" s="412">
        <v>1</v>
      </c>
      <c r="E406" s="412">
        <f>+'Cartera Propia'!G324</f>
        <v>250000000</v>
      </c>
      <c r="F406" s="413">
        <v>0</v>
      </c>
      <c r="G406" s="420">
        <f>+'Cartera Propia'!G324</f>
        <v>250000000</v>
      </c>
      <c r="H406" s="970">
        <v>115000000000</v>
      </c>
      <c r="I406" s="414">
        <v>9501328665</v>
      </c>
      <c r="J406" s="974">
        <v>177412642042</v>
      </c>
      <c r="M406" s="775"/>
    </row>
    <row r="407" spans="2:13" s="774" customFormat="1">
      <c r="B407" s="417" t="s">
        <v>1597</v>
      </c>
      <c r="C407" s="411" t="s">
        <v>72</v>
      </c>
      <c r="D407" s="412">
        <v>1</v>
      </c>
      <c r="E407" s="412">
        <f>+'Cartera Propia'!G325</f>
        <v>250000000</v>
      </c>
      <c r="F407" s="413">
        <v>0</v>
      </c>
      <c r="G407" s="420">
        <f>+'Cartera Propia'!G325</f>
        <v>250000000</v>
      </c>
      <c r="H407" s="970">
        <v>115000000000</v>
      </c>
      <c r="I407" s="414">
        <v>9501328665</v>
      </c>
      <c r="J407" s="974">
        <v>177412642042</v>
      </c>
      <c r="K407" s="776"/>
      <c r="M407" s="775"/>
    </row>
    <row r="408" spans="2:13" s="774" customFormat="1">
      <c r="B408" s="417" t="s">
        <v>1597</v>
      </c>
      <c r="C408" s="411" t="s">
        <v>72</v>
      </c>
      <c r="D408" s="412">
        <v>1</v>
      </c>
      <c r="E408" s="412">
        <f>+'Cartera Propia'!G326</f>
        <v>250000000</v>
      </c>
      <c r="F408" s="413">
        <v>0</v>
      </c>
      <c r="G408" s="420">
        <f>+'Cartera Propia'!G326</f>
        <v>250000000</v>
      </c>
      <c r="H408" s="970">
        <v>115000000000</v>
      </c>
      <c r="I408" s="414">
        <v>9501328665</v>
      </c>
      <c r="J408" s="974">
        <v>177412642042</v>
      </c>
      <c r="K408" s="776"/>
      <c r="M408" s="775"/>
    </row>
    <row r="409" spans="2:13" s="774" customFormat="1">
      <c r="B409" s="417" t="s">
        <v>1597</v>
      </c>
      <c r="C409" s="411" t="s">
        <v>72</v>
      </c>
      <c r="D409" s="412">
        <v>1</v>
      </c>
      <c r="E409" s="412">
        <f>+'Cartera Propia'!G327</f>
        <v>250000000</v>
      </c>
      <c r="F409" s="413">
        <v>0</v>
      </c>
      <c r="G409" s="420">
        <f>+'Cartera Propia'!G327</f>
        <v>250000000</v>
      </c>
      <c r="H409" s="970">
        <v>115000000000</v>
      </c>
      <c r="I409" s="414">
        <v>9501328665</v>
      </c>
      <c r="J409" s="974">
        <v>177412642042</v>
      </c>
      <c r="K409" s="776"/>
      <c r="M409" s="775"/>
    </row>
    <row r="410" spans="2:13" s="774" customFormat="1">
      <c r="B410" s="417" t="s">
        <v>1597</v>
      </c>
      <c r="C410" s="411" t="s">
        <v>72</v>
      </c>
      <c r="D410" s="412">
        <v>1</v>
      </c>
      <c r="E410" s="412">
        <f>+'Cartera Propia'!G328</f>
        <v>250000000</v>
      </c>
      <c r="F410" s="413">
        <v>0</v>
      </c>
      <c r="G410" s="420">
        <f>+'Cartera Propia'!G328</f>
        <v>250000000</v>
      </c>
      <c r="H410" s="970">
        <v>115000000000</v>
      </c>
      <c r="I410" s="414">
        <v>9501328665</v>
      </c>
      <c r="J410" s="974">
        <v>177412642042</v>
      </c>
      <c r="M410" s="775"/>
    </row>
    <row r="411" spans="2:13" s="774" customFormat="1">
      <c r="B411" s="417" t="s">
        <v>1597</v>
      </c>
      <c r="C411" s="411" t="s">
        <v>72</v>
      </c>
      <c r="D411" s="412">
        <v>1</v>
      </c>
      <c r="E411" s="412">
        <f>+'Cartera Propia'!G329</f>
        <v>250000000</v>
      </c>
      <c r="F411" s="413">
        <v>0</v>
      </c>
      <c r="G411" s="420">
        <f>+'Cartera Propia'!G329</f>
        <v>250000000</v>
      </c>
      <c r="H411" s="970">
        <v>115000000000</v>
      </c>
      <c r="I411" s="414">
        <v>9501328665</v>
      </c>
      <c r="J411" s="974">
        <v>177412642042</v>
      </c>
      <c r="M411" s="775"/>
    </row>
    <row r="412" spans="2:13" s="774" customFormat="1">
      <c r="B412" s="417" t="s">
        <v>1597</v>
      </c>
      <c r="C412" s="411" t="s">
        <v>72</v>
      </c>
      <c r="D412" s="412">
        <v>1</v>
      </c>
      <c r="E412" s="412">
        <f>+'Cartera Propia'!G330</f>
        <v>250000000</v>
      </c>
      <c r="F412" s="413">
        <v>0</v>
      </c>
      <c r="G412" s="420">
        <f>+'Cartera Propia'!G330</f>
        <v>250000000</v>
      </c>
      <c r="H412" s="970">
        <v>115000000000</v>
      </c>
      <c r="I412" s="414">
        <v>9501328665</v>
      </c>
      <c r="J412" s="974">
        <v>177412642042</v>
      </c>
      <c r="M412" s="775"/>
    </row>
    <row r="413" spans="2:13" s="774" customFormat="1">
      <c r="B413" s="417" t="s">
        <v>1597</v>
      </c>
      <c r="C413" s="411" t="s">
        <v>72</v>
      </c>
      <c r="D413" s="412">
        <v>1</v>
      </c>
      <c r="E413" s="412">
        <f>+'Cartera Propia'!G331</f>
        <v>250000000</v>
      </c>
      <c r="F413" s="413">
        <v>0</v>
      </c>
      <c r="G413" s="420">
        <f>+'Cartera Propia'!G331</f>
        <v>250000000</v>
      </c>
      <c r="H413" s="970">
        <v>115000000000</v>
      </c>
      <c r="I413" s="414">
        <v>9501328665</v>
      </c>
      <c r="J413" s="974">
        <v>177412642042</v>
      </c>
      <c r="M413" s="775"/>
    </row>
    <row r="414" spans="2:13" s="774" customFormat="1">
      <c r="B414" s="417" t="s">
        <v>1597</v>
      </c>
      <c r="C414" s="411" t="s">
        <v>72</v>
      </c>
      <c r="D414" s="412">
        <v>1</v>
      </c>
      <c r="E414" s="412">
        <f>+'Cartera Propia'!G332</f>
        <v>250000000</v>
      </c>
      <c r="F414" s="413">
        <v>0</v>
      </c>
      <c r="G414" s="420">
        <f>+'Cartera Propia'!G332</f>
        <v>250000000</v>
      </c>
      <c r="H414" s="970">
        <v>115000000000</v>
      </c>
      <c r="I414" s="414">
        <v>9501328665</v>
      </c>
      <c r="J414" s="974">
        <v>177412642042</v>
      </c>
      <c r="M414" s="775"/>
    </row>
    <row r="415" spans="2:13" s="774" customFormat="1">
      <c r="B415" s="417" t="s">
        <v>1597</v>
      </c>
      <c r="C415" s="411" t="s">
        <v>72</v>
      </c>
      <c r="D415" s="412">
        <v>1</v>
      </c>
      <c r="E415" s="412">
        <f>+'Cartera Propia'!G333</f>
        <v>250000000</v>
      </c>
      <c r="F415" s="413">
        <v>0</v>
      </c>
      <c r="G415" s="420">
        <f>+'Cartera Propia'!G333</f>
        <v>250000000</v>
      </c>
      <c r="H415" s="970">
        <v>115000000000</v>
      </c>
      <c r="I415" s="414">
        <v>9501328665</v>
      </c>
      <c r="J415" s="974">
        <v>177412642042</v>
      </c>
      <c r="M415" s="775"/>
    </row>
    <row r="416" spans="2:13" s="774" customFormat="1">
      <c r="B416" s="417" t="s">
        <v>1597</v>
      </c>
      <c r="C416" s="411" t="s">
        <v>72</v>
      </c>
      <c r="D416" s="412">
        <v>1</v>
      </c>
      <c r="E416" s="412">
        <f>+'Cartera Propia'!G334</f>
        <v>250000000</v>
      </c>
      <c r="F416" s="413">
        <v>0</v>
      </c>
      <c r="G416" s="420">
        <f>+'Cartera Propia'!G334</f>
        <v>250000000</v>
      </c>
      <c r="H416" s="970">
        <v>115000000000</v>
      </c>
      <c r="I416" s="414">
        <v>9501328665</v>
      </c>
      <c r="J416" s="974">
        <v>177412642042</v>
      </c>
      <c r="M416" s="775"/>
    </row>
    <row r="417" spans="2:13" s="774" customFormat="1">
      <c r="B417" s="417" t="s">
        <v>1597</v>
      </c>
      <c r="C417" s="411" t="s">
        <v>72</v>
      </c>
      <c r="D417" s="412">
        <v>1</v>
      </c>
      <c r="E417" s="412">
        <f>+'Cartera Propia'!G335</f>
        <v>250000000</v>
      </c>
      <c r="F417" s="413">
        <v>0</v>
      </c>
      <c r="G417" s="420">
        <f>+'Cartera Propia'!G335</f>
        <v>250000000</v>
      </c>
      <c r="H417" s="970">
        <v>115000000000</v>
      </c>
      <c r="I417" s="414">
        <v>9501328665</v>
      </c>
      <c r="J417" s="974">
        <v>177412642042</v>
      </c>
      <c r="M417" s="775"/>
    </row>
    <row r="418" spans="2:13" s="774" customFormat="1">
      <c r="B418" s="417" t="s">
        <v>1597</v>
      </c>
      <c r="C418" s="411" t="s">
        <v>72</v>
      </c>
      <c r="D418" s="412">
        <v>1</v>
      </c>
      <c r="E418" s="412">
        <f>+'Cartera Propia'!G336</f>
        <v>250000000</v>
      </c>
      <c r="F418" s="413">
        <v>0</v>
      </c>
      <c r="G418" s="420">
        <f>+'Cartera Propia'!G336</f>
        <v>250000000</v>
      </c>
      <c r="H418" s="970">
        <v>115000000000</v>
      </c>
      <c r="I418" s="414">
        <v>9501328665</v>
      </c>
      <c r="J418" s="974">
        <v>177412642042</v>
      </c>
      <c r="M418" s="775"/>
    </row>
    <row r="419" spans="2:13" s="774" customFormat="1">
      <c r="B419" s="417" t="s">
        <v>1597</v>
      </c>
      <c r="C419" s="411" t="s">
        <v>72</v>
      </c>
      <c r="D419" s="412">
        <v>1</v>
      </c>
      <c r="E419" s="412">
        <f>+'Cartera Propia'!G337</f>
        <v>250000000</v>
      </c>
      <c r="F419" s="413">
        <v>0</v>
      </c>
      <c r="G419" s="420">
        <f>+'Cartera Propia'!G337</f>
        <v>250000000</v>
      </c>
      <c r="H419" s="970">
        <v>115000000000</v>
      </c>
      <c r="I419" s="414">
        <v>9501328665</v>
      </c>
      <c r="J419" s="974">
        <v>177412642042</v>
      </c>
      <c r="M419" s="775"/>
    </row>
    <row r="420" spans="2:13" s="774" customFormat="1">
      <c r="B420" s="417" t="s">
        <v>1597</v>
      </c>
      <c r="C420" s="411" t="s">
        <v>72</v>
      </c>
      <c r="D420" s="412">
        <v>1</v>
      </c>
      <c r="E420" s="412">
        <f>+'Cartera Propia'!G338</f>
        <v>250000000</v>
      </c>
      <c r="F420" s="413">
        <v>0</v>
      </c>
      <c r="G420" s="420">
        <f>+'Cartera Propia'!G338</f>
        <v>250000000</v>
      </c>
      <c r="H420" s="970">
        <v>115000000000</v>
      </c>
      <c r="I420" s="414">
        <v>9501328665</v>
      </c>
      <c r="J420" s="974">
        <v>177412642042</v>
      </c>
      <c r="M420" s="775"/>
    </row>
    <row r="421" spans="2:13" s="774" customFormat="1">
      <c r="B421" s="417" t="s">
        <v>1597</v>
      </c>
      <c r="C421" s="411" t="s">
        <v>72</v>
      </c>
      <c r="D421" s="412">
        <v>1</v>
      </c>
      <c r="E421" s="412">
        <f>+'Cartera Propia'!G339</f>
        <v>250000000</v>
      </c>
      <c r="F421" s="413">
        <v>0</v>
      </c>
      <c r="G421" s="420">
        <f>+'Cartera Propia'!G339</f>
        <v>250000000</v>
      </c>
      <c r="H421" s="970">
        <v>115000000000</v>
      </c>
      <c r="I421" s="414">
        <v>9501328665</v>
      </c>
      <c r="J421" s="974">
        <v>177412642042</v>
      </c>
      <c r="M421" s="775"/>
    </row>
    <row r="422" spans="2:13" s="774" customFormat="1">
      <c r="B422" s="417" t="s">
        <v>1597</v>
      </c>
      <c r="C422" s="411" t="s">
        <v>72</v>
      </c>
      <c r="D422" s="412">
        <v>1</v>
      </c>
      <c r="E422" s="412">
        <f>+'Cartera Propia'!G340</f>
        <v>250000000</v>
      </c>
      <c r="F422" s="413">
        <v>0</v>
      </c>
      <c r="G422" s="420">
        <f>+'Cartera Propia'!G340</f>
        <v>250000000</v>
      </c>
      <c r="H422" s="970">
        <v>115000000000</v>
      </c>
      <c r="I422" s="414">
        <v>9501328665</v>
      </c>
      <c r="J422" s="974">
        <v>177412642042</v>
      </c>
      <c r="M422" s="775"/>
    </row>
    <row r="423" spans="2:13" s="774" customFormat="1">
      <c r="B423" s="417" t="s">
        <v>1597</v>
      </c>
      <c r="C423" s="411" t="s">
        <v>72</v>
      </c>
      <c r="D423" s="412">
        <v>1</v>
      </c>
      <c r="E423" s="412">
        <f>+'Cartera Propia'!G341</f>
        <v>250000000</v>
      </c>
      <c r="F423" s="413">
        <v>0</v>
      </c>
      <c r="G423" s="420">
        <f>+'Cartera Propia'!G341</f>
        <v>250000000</v>
      </c>
      <c r="H423" s="970">
        <v>115000000000</v>
      </c>
      <c r="I423" s="414">
        <v>9501328665</v>
      </c>
      <c r="J423" s="974">
        <v>177412642042</v>
      </c>
      <c r="M423" s="775"/>
    </row>
    <row r="424" spans="2:13" s="774" customFormat="1">
      <c r="B424" s="417" t="s">
        <v>1597</v>
      </c>
      <c r="C424" s="411" t="s">
        <v>72</v>
      </c>
      <c r="D424" s="412">
        <v>1</v>
      </c>
      <c r="E424" s="412">
        <f>+'Cartera Propia'!G342</f>
        <v>250000000</v>
      </c>
      <c r="F424" s="413">
        <v>0</v>
      </c>
      <c r="G424" s="420">
        <f>+'Cartera Propia'!G342</f>
        <v>250000000</v>
      </c>
      <c r="H424" s="970">
        <v>115000000000</v>
      </c>
      <c r="I424" s="414">
        <v>9501328665</v>
      </c>
      <c r="J424" s="974">
        <v>177412642042</v>
      </c>
      <c r="M424" s="775"/>
    </row>
    <row r="425" spans="2:13" s="774" customFormat="1">
      <c r="B425" s="417" t="s">
        <v>1597</v>
      </c>
      <c r="C425" s="411" t="s">
        <v>72</v>
      </c>
      <c r="D425" s="412">
        <v>1</v>
      </c>
      <c r="E425" s="412">
        <f>+'Cartera Propia'!G343</f>
        <v>250000000</v>
      </c>
      <c r="F425" s="413">
        <v>0</v>
      </c>
      <c r="G425" s="420">
        <f>+'Cartera Propia'!G343</f>
        <v>250000000</v>
      </c>
      <c r="H425" s="970">
        <v>115000000000</v>
      </c>
      <c r="I425" s="414">
        <v>9501328665</v>
      </c>
      <c r="J425" s="974">
        <v>177412642042</v>
      </c>
      <c r="M425" s="775"/>
    </row>
    <row r="426" spans="2:13" s="774" customFormat="1">
      <c r="B426" s="417" t="s">
        <v>1597</v>
      </c>
      <c r="C426" s="411" t="s">
        <v>72</v>
      </c>
      <c r="D426" s="412">
        <v>1</v>
      </c>
      <c r="E426" s="412">
        <f>+'Cartera Propia'!G344</f>
        <v>250000000</v>
      </c>
      <c r="F426" s="413">
        <v>0</v>
      </c>
      <c r="G426" s="420">
        <f>+'Cartera Propia'!G344</f>
        <v>250000000</v>
      </c>
      <c r="H426" s="970">
        <v>115000000000</v>
      </c>
      <c r="I426" s="414">
        <v>9501328665</v>
      </c>
      <c r="J426" s="974">
        <v>177412642042</v>
      </c>
      <c r="M426" s="775"/>
    </row>
    <row r="427" spans="2:13" s="774" customFormat="1">
      <c r="B427" s="417" t="s">
        <v>1597</v>
      </c>
      <c r="C427" s="411" t="s">
        <v>72</v>
      </c>
      <c r="D427" s="412">
        <v>1</v>
      </c>
      <c r="E427" s="412">
        <f>+'Cartera Propia'!G345</f>
        <v>250000000</v>
      </c>
      <c r="F427" s="413">
        <v>0</v>
      </c>
      <c r="G427" s="420">
        <f>+'Cartera Propia'!G345</f>
        <v>250000000</v>
      </c>
      <c r="H427" s="970">
        <v>115000000000</v>
      </c>
      <c r="I427" s="414">
        <v>9501328665</v>
      </c>
      <c r="J427" s="974">
        <v>177412642042</v>
      </c>
      <c r="M427" s="775"/>
    </row>
    <row r="428" spans="2:13" s="774" customFormat="1">
      <c r="B428" s="417" t="s">
        <v>1597</v>
      </c>
      <c r="C428" s="411" t="s">
        <v>72</v>
      </c>
      <c r="D428" s="412">
        <v>1</v>
      </c>
      <c r="E428" s="412">
        <f>+'Cartera Propia'!G346</f>
        <v>250000000</v>
      </c>
      <c r="F428" s="413">
        <v>0</v>
      </c>
      <c r="G428" s="420">
        <f>+'Cartera Propia'!G346</f>
        <v>250000000</v>
      </c>
      <c r="H428" s="970">
        <v>115000000000</v>
      </c>
      <c r="I428" s="414">
        <v>9501328665</v>
      </c>
      <c r="J428" s="974">
        <v>177412642042</v>
      </c>
      <c r="M428" s="775"/>
    </row>
    <row r="429" spans="2:13" s="774" customFormat="1">
      <c r="B429" s="417" t="s">
        <v>1597</v>
      </c>
      <c r="C429" s="411" t="s">
        <v>72</v>
      </c>
      <c r="D429" s="412">
        <v>1</v>
      </c>
      <c r="E429" s="412">
        <f>+'Cartera Propia'!G347</f>
        <v>250000000</v>
      </c>
      <c r="F429" s="413">
        <v>0</v>
      </c>
      <c r="G429" s="420">
        <f>+'Cartera Propia'!G347</f>
        <v>250000000</v>
      </c>
      <c r="H429" s="970">
        <v>115000000000</v>
      </c>
      <c r="I429" s="414">
        <v>9501328665</v>
      </c>
      <c r="J429" s="974">
        <v>177412642042</v>
      </c>
      <c r="M429" s="775"/>
    </row>
    <row r="430" spans="2:13" s="774" customFormat="1">
      <c r="B430" s="417" t="s">
        <v>1597</v>
      </c>
      <c r="C430" s="411" t="s">
        <v>72</v>
      </c>
      <c r="D430" s="412">
        <v>1</v>
      </c>
      <c r="E430" s="412">
        <f>+'Cartera Propia'!G348</f>
        <v>250000000</v>
      </c>
      <c r="F430" s="413">
        <v>0</v>
      </c>
      <c r="G430" s="420">
        <f>+'Cartera Propia'!G348</f>
        <v>250000000</v>
      </c>
      <c r="H430" s="970">
        <v>115000000000</v>
      </c>
      <c r="I430" s="414">
        <v>9501328665</v>
      </c>
      <c r="J430" s="974">
        <v>177412642042</v>
      </c>
      <c r="M430" s="775"/>
    </row>
    <row r="431" spans="2:13" s="774" customFormat="1">
      <c r="B431" s="417" t="s">
        <v>1597</v>
      </c>
      <c r="C431" s="411" t="s">
        <v>72</v>
      </c>
      <c r="D431" s="412">
        <v>1</v>
      </c>
      <c r="E431" s="412">
        <f>+'Cartera Propia'!G349</f>
        <v>500000000</v>
      </c>
      <c r="F431" s="413">
        <v>0</v>
      </c>
      <c r="G431" s="420">
        <f>+'Cartera Propia'!G349</f>
        <v>500000000</v>
      </c>
      <c r="H431" s="970">
        <v>115000000000</v>
      </c>
      <c r="I431" s="414">
        <v>9501328665</v>
      </c>
      <c r="J431" s="974">
        <v>177412642042</v>
      </c>
      <c r="M431" s="775"/>
    </row>
    <row r="432" spans="2:13" s="774" customFormat="1">
      <c r="B432" s="417" t="s">
        <v>1597</v>
      </c>
      <c r="C432" s="411" t="s">
        <v>72</v>
      </c>
      <c r="D432" s="412">
        <v>1</v>
      </c>
      <c r="E432" s="412">
        <f>+'Cartera Propia'!G350</f>
        <v>250000000</v>
      </c>
      <c r="F432" s="413">
        <v>0</v>
      </c>
      <c r="G432" s="420">
        <f>+'Cartera Propia'!G350</f>
        <v>250000000</v>
      </c>
      <c r="H432" s="970">
        <v>115000000000</v>
      </c>
      <c r="I432" s="414">
        <v>9501328665</v>
      </c>
      <c r="J432" s="974">
        <v>177412642042</v>
      </c>
      <c r="M432" s="775"/>
    </row>
    <row r="433" spans="2:13" s="774" customFormat="1">
      <c r="B433" s="417" t="s">
        <v>1597</v>
      </c>
      <c r="C433" s="411" t="s">
        <v>72</v>
      </c>
      <c r="D433" s="412">
        <v>1</v>
      </c>
      <c r="E433" s="412">
        <f>+'Cartera Propia'!G351</f>
        <v>100000000</v>
      </c>
      <c r="F433" s="413">
        <v>0</v>
      </c>
      <c r="G433" s="420">
        <f>+'Cartera Propia'!G351</f>
        <v>100000000</v>
      </c>
      <c r="H433" s="970">
        <v>115000000000</v>
      </c>
      <c r="I433" s="414">
        <v>9501328665</v>
      </c>
      <c r="J433" s="974">
        <v>177412642042</v>
      </c>
      <c r="M433" s="775"/>
    </row>
    <row r="434" spans="2:13" s="774" customFormat="1">
      <c r="B434" s="417" t="s">
        <v>1520</v>
      </c>
      <c r="C434" s="411" t="s">
        <v>655</v>
      </c>
      <c r="D434" s="412">
        <v>1512</v>
      </c>
      <c r="E434" s="412">
        <v>0</v>
      </c>
      <c r="F434" s="413">
        <v>1000</v>
      </c>
      <c r="G434" s="420">
        <f>(D434*F434)*$C$15</f>
        <v>10338904800</v>
      </c>
      <c r="H434" s="970">
        <v>60000000000</v>
      </c>
      <c r="I434" s="414">
        <v>0</v>
      </c>
      <c r="J434" s="974">
        <v>49556050118.041183</v>
      </c>
      <c r="M434" s="775"/>
    </row>
    <row r="435" spans="2:13" s="774" customFormat="1">
      <c r="B435" s="417" t="s">
        <v>1616</v>
      </c>
      <c r="C435" s="411" t="s">
        <v>655</v>
      </c>
      <c r="D435" s="412">
        <v>408</v>
      </c>
      <c r="E435" s="412">
        <v>0</v>
      </c>
      <c r="F435" s="413">
        <v>1000</v>
      </c>
      <c r="G435" s="420">
        <f>(D435*F435)*$C$15</f>
        <v>2789863200</v>
      </c>
      <c r="H435" s="970">
        <v>330135829875</v>
      </c>
      <c r="I435" s="414">
        <v>-12692550914</v>
      </c>
      <c r="J435" s="974">
        <v>318939564215</v>
      </c>
      <c r="M435" s="775"/>
    </row>
    <row r="436" spans="2:13" s="774" customFormat="1">
      <c r="B436" s="417" t="s">
        <v>1805</v>
      </c>
      <c r="C436" s="411" t="s">
        <v>655</v>
      </c>
      <c r="D436" s="412">
        <v>130</v>
      </c>
      <c r="E436" s="412">
        <v>0</v>
      </c>
      <c r="F436" s="413">
        <v>1000</v>
      </c>
      <c r="G436" s="420">
        <f t="shared" ref="G436:G437" si="6">(D436*F436)*$C$15</f>
        <v>888927000</v>
      </c>
      <c r="H436" s="970">
        <v>32000000000</v>
      </c>
      <c r="I436" s="414">
        <v>5719859360</v>
      </c>
      <c r="J436" s="974">
        <v>54429536981</v>
      </c>
      <c r="M436" s="775"/>
    </row>
    <row r="437" spans="2:13" s="774" customFormat="1">
      <c r="B437" s="417" t="s">
        <v>1805</v>
      </c>
      <c r="C437" s="411" t="s">
        <v>655</v>
      </c>
      <c r="D437" s="412">
        <v>260</v>
      </c>
      <c r="E437" s="412">
        <v>0</v>
      </c>
      <c r="F437" s="413">
        <v>1000</v>
      </c>
      <c r="G437" s="420">
        <f t="shared" si="6"/>
        <v>1777854000</v>
      </c>
      <c r="H437" s="970">
        <v>32000000000</v>
      </c>
      <c r="I437" s="414">
        <v>5719859360</v>
      </c>
      <c r="J437" s="974">
        <v>54429536981</v>
      </c>
      <c r="M437" s="775"/>
    </row>
    <row r="438" spans="2:13" s="774" customFormat="1">
      <c r="B438" s="417" t="s">
        <v>1521</v>
      </c>
      <c r="C438" s="411" t="s">
        <v>878</v>
      </c>
      <c r="D438" s="412">
        <v>220</v>
      </c>
      <c r="E438" s="412">
        <v>0</v>
      </c>
      <c r="F438" s="413">
        <v>1000</v>
      </c>
      <c r="G438" s="420">
        <f>(D438*F438)*$C$15</f>
        <v>1504338000</v>
      </c>
      <c r="H438" s="970">
        <v>2277496877765</v>
      </c>
      <c r="I438" s="414">
        <v>335614537076</v>
      </c>
      <c r="J438" s="974">
        <v>3754494345786</v>
      </c>
      <c r="M438" s="775"/>
    </row>
    <row r="439" spans="2:13" s="774" customFormat="1">
      <c r="B439" s="417" t="s">
        <v>1821</v>
      </c>
      <c r="C439" s="411" t="s">
        <v>72</v>
      </c>
      <c r="D439" s="412">
        <v>1</v>
      </c>
      <c r="E439" s="412">
        <v>0</v>
      </c>
      <c r="F439" s="413">
        <f>+'Cartera Propia'!G363</f>
        <v>100000</v>
      </c>
      <c r="G439" s="420">
        <f>+'Cartera Propia'!G363*$C$15</f>
        <v>683790000</v>
      </c>
      <c r="H439" s="970">
        <v>1133000000000</v>
      </c>
      <c r="I439" s="414">
        <v>422837396274</v>
      </c>
      <c r="J439" s="974">
        <v>4074694762572</v>
      </c>
      <c r="M439" s="775"/>
    </row>
    <row r="440" spans="2:13" s="774" customFormat="1">
      <c r="B440" s="417" t="s">
        <v>1821</v>
      </c>
      <c r="C440" s="411" t="s">
        <v>72</v>
      </c>
      <c r="D440" s="412">
        <v>1</v>
      </c>
      <c r="E440" s="412">
        <v>0</v>
      </c>
      <c r="F440" s="413">
        <f>+'Cartera Propia'!G364</f>
        <v>100000</v>
      </c>
      <c r="G440" s="420">
        <f>+'Cartera Propia'!G364*$C$15</f>
        <v>683790000</v>
      </c>
      <c r="H440" s="970">
        <v>1133000000000</v>
      </c>
      <c r="I440" s="414">
        <v>422837396274</v>
      </c>
      <c r="J440" s="974">
        <v>4074694762572</v>
      </c>
      <c r="M440" s="775"/>
    </row>
    <row r="441" spans="2:13" s="774" customFormat="1">
      <c r="B441" s="417" t="s">
        <v>1821</v>
      </c>
      <c r="C441" s="411" t="s">
        <v>72</v>
      </c>
      <c r="D441" s="412">
        <v>1</v>
      </c>
      <c r="E441" s="412">
        <v>0</v>
      </c>
      <c r="F441" s="413">
        <f>+'Cartera Propia'!G365</f>
        <v>100000</v>
      </c>
      <c r="G441" s="420">
        <f>+'Cartera Propia'!G365*$C$15</f>
        <v>683790000</v>
      </c>
      <c r="H441" s="970">
        <v>1133000000000</v>
      </c>
      <c r="I441" s="414">
        <v>422837396274</v>
      </c>
      <c r="J441" s="974">
        <v>4074694762572</v>
      </c>
      <c r="M441" s="775"/>
    </row>
    <row r="442" spans="2:13" s="774" customFormat="1">
      <c r="B442" s="417" t="s">
        <v>1821</v>
      </c>
      <c r="C442" s="411" t="s">
        <v>72</v>
      </c>
      <c r="D442" s="412">
        <v>1</v>
      </c>
      <c r="E442" s="412">
        <v>0</v>
      </c>
      <c r="F442" s="413">
        <f>+'Cartera Propia'!G366</f>
        <v>100000</v>
      </c>
      <c r="G442" s="420">
        <f>+'Cartera Propia'!G366*$C$15</f>
        <v>683790000</v>
      </c>
      <c r="H442" s="970">
        <v>1133000000000</v>
      </c>
      <c r="I442" s="414">
        <v>422837396274</v>
      </c>
      <c r="J442" s="974">
        <v>4074694762572</v>
      </c>
      <c r="M442" s="775"/>
    </row>
    <row r="443" spans="2:13" s="774" customFormat="1">
      <c r="B443" s="417" t="s">
        <v>1821</v>
      </c>
      <c r="C443" s="411" t="s">
        <v>72</v>
      </c>
      <c r="D443" s="412">
        <v>1</v>
      </c>
      <c r="E443" s="412">
        <v>0</v>
      </c>
      <c r="F443" s="413">
        <f>+'Cartera Propia'!G367</f>
        <v>100000</v>
      </c>
      <c r="G443" s="420">
        <f>+'Cartera Propia'!G367*$C$15</f>
        <v>683790000</v>
      </c>
      <c r="H443" s="970">
        <v>1133000000000</v>
      </c>
      <c r="I443" s="414">
        <v>422837396274</v>
      </c>
      <c r="J443" s="974">
        <v>4074694762572</v>
      </c>
      <c r="M443" s="775"/>
    </row>
    <row r="444" spans="2:13" s="774" customFormat="1">
      <c r="B444" s="410" t="s">
        <v>1794</v>
      </c>
      <c r="C444" s="411" t="s">
        <v>72</v>
      </c>
      <c r="D444" s="412">
        <v>1</v>
      </c>
      <c r="E444" s="412">
        <v>0</v>
      </c>
      <c r="F444" s="413">
        <f>+'Cartera Propia'!G368</f>
        <v>200000</v>
      </c>
      <c r="G444" s="420">
        <f>+'Cartera Propia'!G368*$C$15</f>
        <v>1367580000</v>
      </c>
      <c r="H444" s="970">
        <v>289254499525</v>
      </c>
      <c r="I444" s="414">
        <v>22039047386</v>
      </c>
      <c r="J444" s="974">
        <v>344080530943</v>
      </c>
      <c r="M444" s="775"/>
    </row>
    <row r="445" spans="2:13" s="774" customFormat="1">
      <c r="B445" s="410" t="s">
        <v>1794</v>
      </c>
      <c r="C445" s="411" t="s">
        <v>72</v>
      </c>
      <c r="D445" s="412">
        <v>1</v>
      </c>
      <c r="E445" s="412">
        <v>0</v>
      </c>
      <c r="F445" s="413">
        <f>+'Cartera Propia'!G369</f>
        <v>200000</v>
      </c>
      <c r="G445" s="420">
        <f>+'Cartera Propia'!G369*$C$15</f>
        <v>1367580000</v>
      </c>
      <c r="H445" s="970">
        <v>289254499525</v>
      </c>
      <c r="I445" s="414">
        <v>22039047386</v>
      </c>
      <c r="J445" s="974">
        <v>344080530943</v>
      </c>
      <c r="M445" s="775"/>
    </row>
    <row r="446" spans="2:13" s="774" customFormat="1">
      <c r="B446" s="410" t="s">
        <v>1794</v>
      </c>
      <c r="C446" s="411" t="s">
        <v>72</v>
      </c>
      <c r="D446" s="412">
        <v>1</v>
      </c>
      <c r="E446" s="412">
        <v>0</v>
      </c>
      <c r="F446" s="413">
        <f>+'Cartera Propia'!G370</f>
        <v>200000</v>
      </c>
      <c r="G446" s="420">
        <f>+'Cartera Propia'!G370*$C$15</f>
        <v>1367580000</v>
      </c>
      <c r="H446" s="970">
        <v>289254499525</v>
      </c>
      <c r="I446" s="414">
        <v>22039047386</v>
      </c>
      <c r="J446" s="974">
        <v>344080530943</v>
      </c>
      <c r="M446" s="775"/>
    </row>
    <row r="447" spans="2:13" s="774" customFormat="1">
      <c r="B447" s="410" t="s">
        <v>1794</v>
      </c>
      <c r="C447" s="411" t="s">
        <v>72</v>
      </c>
      <c r="D447" s="412">
        <v>1</v>
      </c>
      <c r="E447" s="412">
        <v>0</v>
      </c>
      <c r="F447" s="413">
        <f>+'Cartera Propia'!G371</f>
        <v>200000</v>
      </c>
      <c r="G447" s="420">
        <f>+'Cartera Propia'!G371*$C$15</f>
        <v>1367580000</v>
      </c>
      <c r="H447" s="970">
        <v>289254499525</v>
      </c>
      <c r="I447" s="414">
        <v>22039047386</v>
      </c>
      <c r="J447" s="974">
        <v>344080530943</v>
      </c>
      <c r="M447" s="775"/>
    </row>
    <row r="448" spans="2:13" s="774" customFormat="1">
      <c r="B448" s="410" t="s">
        <v>1794</v>
      </c>
      <c r="C448" s="411" t="s">
        <v>72</v>
      </c>
      <c r="D448" s="412">
        <v>1</v>
      </c>
      <c r="E448" s="412">
        <v>0</v>
      </c>
      <c r="F448" s="413">
        <f>+'Cartera Propia'!G372</f>
        <v>200000</v>
      </c>
      <c r="G448" s="420">
        <f>+'Cartera Propia'!G372*$C$15</f>
        <v>1367580000</v>
      </c>
      <c r="H448" s="970">
        <v>289254499525</v>
      </c>
      <c r="I448" s="414">
        <v>22039047386</v>
      </c>
      <c r="J448" s="974">
        <v>344080530943</v>
      </c>
      <c r="M448" s="775"/>
    </row>
    <row r="449" spans="2:13" s="774" customFormat="1">
      <c r="B449" s="417" t="s">
        <v>1797</v>
      </c>
      <c r="C449" s="411" t="s">
        <v>72</v>
      </c>
      <c r="D449" s="412">
        <v>1</v>
      </c>
      <c r="E449" s="412">
        <v>0</v>
      </c>
      <c r="F449" s="413">
        <f>+'Cartera Propia'!G373</f>
        <v>100000</v>
      </c>
      <c r="G449" s="420">
        <f>+'Cartera Propia'!G373*$C$15</f>
        <v>683790000</v>
      </c>
      <c r="H449" s="970">
        <v>395294800000</v>
      </c>
      <c r="I449" s="414">
        <v>11148767398</v>
      </c>
      <c r="J449" s="974">
        <v>455722422477</v>
      </c>
      <c r="M449" s="775"/>
    </row>
    <row r="450" spans="2:13" s="774" customFormat="1">
      <c r="B450" s="417" t="s">
        <v>1797</v>
      </c>
      <c r="C450" s="411" t="s">
        <v>72</v>
      </c>
      <c r="D450" s="412">
        <v>1</v>
      </c>
      <c r="E450" s="412">
        <v>0</v>
      </c>
      <c r="F450" s="413">
        <f>+'Cartera Propia'!G374</f>
        <v>100000</v>
      </c>
      <c r="G450" s="420">
        <f>+'Cartera Propia'!G374*$C$15</f>
        <v>683790000</v>
      </c>
      <c r="H450" s="970">
        <v>395294800000</v>
      </c>
      <c r="I450" s="414">
        <v>11148767398</v>
      </c>
      <c r="J450" s="974">
        <v>455722422477</v>
      </c>
      <c r="M450" s="775"/>
    </row>
    <row r="451" spans="2:13" s="774" customFormat="1">
      <c r="B451" s="417" t="s">
        <v>1797</v>
      </c>
      <c r="C451" s="411" t="s">
        <v>72</v>
      </c>
      <c r="D451" s="412">
        <v>1</v>
      </c>
      <c r="E451" s="412">
        <v>0</v>
      </c>
      <c r="F451" s="413">
        <f>+'Cartera Propia'!G375</f>
        <v>100000</v>
      </c>
      <c r="G451" s="420">
        <f>+'Cartera Propia'!G375*$C$15</f>
        <v>683790000</v>
      </c>
      <c r="H451" s="970">
        <v>395294800000</v>
      </c>
      <c r="I451" s="414">
        <v>11148767398</v>
      </c>
      <c r="J451" s="974">
        <v>455722422477</v>
      </c>
      <c r="M451" s="775"/>
    </row>
    <row r="452" spans="2:13" s="774" customFormat="1">
      <c r="B452" s="417" t="s">
        <v>1797</v>
      </c>
      <c r="C452" s="411" t="s">
        <v>72</v>
      </c>
      <c r="D452" s="412">
        <v>1</v>
      </c>
      <c r="E452" s="412">
        <v>0</v>
      </c>
      <c r="F452" s="413">
        <f>+'Cartera Propia'!G376</f>
        <v>100000</v>
      </c>
      <c r="G452" s="420">
        <f>+'Cartera Propia'!G376*$C$15</f>
        <v>683790000</v>
      </c>
      <c r="H452" s="970">
        <v>395294800000</v>
      </c>
      <c r="I452" s="414">
        <v>11148767398</v>
      </c>
      <c r="J452" s="974">
        <v>455722422477</v>
      </c>
      <c r="M452" s="775"/>
    </row>
    <row r="453" spans="2:13" s="774" customFormat="1">
      <c r="B453" s="417" t="s">
        <v>1797</v>
      </c>
      <c r="C453" s="411" t="s">
        <v>72</v>
      </c>
      <c r="D453" s="412">
        <v>1</v>
      </c>
      <c r="E453" s="412">
        <v>0</v>
      </c>
      <c r="F453" s="413">
        <f>+'Cartera Propia'!G377</f>
        <v>100000</v>
      </c>
      <c r="G453" s="420">
        <f>+'Cartera Propia'!G377*$C$15</f>
        <v>683790000</v>
      </c>
      <c r="H453" s="970">
        <v>395294800000</v>
      </c>
      <c r="I453" s="414">
        <v>11148767398</v>
      </c>
      <c r="J453" s="974">
        <v>455722422477</v>
      </c>
      <c r="M453" s="775"/>
    </row>
    <row r="454" spans="2:13" s="774" customFormat="1">
      <c r="B454" s="417" t="s">
        <v>1797</v>
      </c>
      <c r="C454" s="411" t="s">
        <v>72</v>
      </c>
      <c r="D454" s="412">
        <v>1</v>
      </c>
      <c r="E454" s="412">
        <v>0</v>
      </c>
      <c r="F454" s="413">
        <f>+'Cartera Propia'!G378</f>
        <v>100000</v>
      </c>
      <c r="G454" s="420">
        <f>+'Cartera Propia'!G378*$C$15</f>
        <v>683790000</v>
      </c>
      <c r="H454" s="970">
        <v>395294800000</v>
      </c>
      <c r="I454" s="414">
        <v>11148767398</v>
      </c>
      <c r="J454" s="974">
        <v>455722422477</v>
      </c>
      <c r="M454" s="775"/>
    </row>
    <row r="455" spans="2:13" s="774" customFormat="1">
      <c r="B455" s="417" t="s">
        <v>1797</v>
      </c>
      <c r="C455" s="411" t="s">
        <v>72</v>
      </c>
      <c r="D455" s="412">
        <v>1</v>
      </c>
      <c r="E455" s="412">
        <v>0</v>
      </c>
      <c r="F455" s="413">
        <f>+'Cartera Propia'!G379</f>
        <v>100000</v>
      </c>
      <c r="G455" s="420">
        <f>+'Cartera Propia'!G379*$C$15</f>
        <v>683790000</v>
      </c>
      <c r="H455" s="970">
        <v>395294800000</v>
      </c>
      <c r="I455" s="414">
        <v>11148767398</v>
      </c>
      <c r="J455" s="974">
        <v>455722422477</v>
      </c>
      <c r="M455" s="775"/>
    </row>
    <row r="456" spans="2:13" s="774" customFormat="1">
      <c r="B456" s="417" t="s">
        <v>1797</v>
      </c>
      <c r="C456" s="411" t="s">
        <v>72</v>
      </c>
      <c r="D456" s="412">
        <v>1</v>
      </c>
      <c r="E456" s="412">
        <v>0</v>
      </c>
      <c r="F456" s="413">
        <f>+'Cartera Propia'!G380</f>
        <v>100000</v>
      </c>
      <c r="G456" s="420">
        <f>+'Cartera Propia'!G380*$C$15</f>
        <v>683790000</v>
      </c>
      <c r="H456" s="970">
        <v>395294800000</v>
      </c>
      <c r="I456" s="414">
        <v>11148767398</v>
      </c>
      <c r="J456" s="974">
        <v>455722422477</v>
      </c>
      <c r="M456" s="775"/>
    </row>
    <row r="457" spans="2:13" s="774" customFormat="1">
      <c r="B457" s="417" t="s">
        <v>1797</v>
      </c>
      <c r="C457" s="411" t="s">
        <v>72</v>
      </c>
      <c r="D457" s="412">
        <v>1</v>
      </c>
      <c r="E457" s="412">
        <v>0</v>
      </c>
      <c r="F457" s="413">
        <f>+'Cartera Propia'!G381</f>
        <v>25000</v>
      </c>
      <c r="G457" s="420">
        <f>+'Cartera Propia'!G381*$C$15</f>
        <v>170947500</v>
      </c>
      <c r="H457" s="970">
        <v>395294800000</v>
      </c>
      <c r="I457" s="414">
        <v>11148767398</v>
      </c>
      <c r="J457" s="974">
        <v>455722422477</v>
      </c>
      <c r="M457" s="775"/>
    </row>
    <row r="458" spans="2:13" s="774" customFormat="1">
      <c r="B458" s="417" t="s">
        <v>1797</v>
      </c>
      <c r="C458" s="411" t="s">
        <v>72</v>
      </c>
      <c r="D458" s="412">
        <v>1</v>
      </c>
      <c r="E458" s="412">
        <v>0</v>
      </c>
      <c r="F458" s="413">
        <f>+'Cartera Propia'!G382</f>
        <v>25000</v>
      </c>
      <c r="G458" s="420">
        <f>+'Cartera Propia'!G382*$C$15</f>
        <v>170947500</v>
      </c>
      <c r="H458" s="970">
        <v>395294800000</v>
      </c>
      <c r="I458" s="414">
        <v>11148767398</v>
      </c>
      <c r="J458" s="974">
        <v>455722422477</v>
      </c>
      <c r="M458" s="775"/>
    </row>
    <row r="459" spans="2:13" s="774" customFormat="1">
      <c r="B459" s="417" t="s">
        <v>1346</v>
      </c>
      <c r="C459" s="411" t="s">
        <v>72</v>
      </c>
      <c r="D459" s="412">
        <v>1</v>
      </c>
      <c r="E459" s="412">
        <v>0</v>
      </c>
      <c r="F459" s="413">
        <f>+'Cartera Propia'!G383</f>
        <v>50000</v>
      </c>
      <c r="G459" s="420">
        <f>+'Cartera Propia'!G383*$C$15</f>
        <v>341895000</v>
      </c>
      <c r="H459" s="970">
        <v>163488517429</v>
      </c>
      <c r="I459" s="414">
        <v>8110728569</v>
      </c>
      <c r="J459" s="974">
        <v>212346287805</v>
      </c>
      <c r="M459" s="775"/>
    </row>
    <row r="460" spans="2:13" s="774" customFormat="1">
      <c r="B460" s="417" t="s">
        <v>1346</v>
      </c>
      <c r="C460" s="411" t="s">
        <v>72</v>
      </c>
      <c r="D460" s="412">
        <v>1</v>
      </c>
      <c r="E460" s="412">
        <v>0</v>
      </c>
      <c r="F460" s="413">
        <f>+'Cartera Propia'!G384</f>
        <v>44000</v>
      </c>
      <c r="G460" s="420">
        <f>+'Cartera Propia'!G384*$C$15</f>
        <v>300867600</v>
      </c>
      <c r="H460" s="970">
        <v>163488517429</v>
      </c>
      <c r="I460" s="414">
        <v>8110728569</v>
      </c>
      <c r="J460" s="974">
        <v>212346287805</v>
      </c>
      <c r="M460" s="775"/>
    </row>
    <row r="461" spans="2:13" s="774" customFormat="1">
      <c r="B461" s="417" t="s">
        <v>1339</v>
      </c>
      <c r="C461" s="411" t="s">
        <v>72</v>
      </c>
      <c r="D461" s="412">
        <v>1</v>
      </c>
      <c r="E461" s="412">
        <v>0</v>
      </c>
      <c r="F461" s="413">
        <f>+'Cartera Propia'!G385</f>
        <v>50000</v>
      </c>
      <c r="G461" s="420">
        <f>+'Cartera Propia'!G385*$C$15</f>
        <v>341895000</v>
      </c>
      <c r="H461" s="970">
        <v>50000000000</v>
      </c>
      <c r="I461" s="414">
        <v>8410681395</v>
      </c>
      <c r="J461" s="974">
        <v>128964105055</v>
      </c>
      <c r="M461" s="775"/>
    </row>
    <row r="462" spans="2:13" s="774" customFormat="1">
      <c r="B462" s="417" t="s">
        <v>1339</v>
      </c>
      <c r="C462" s="411" t="s">
        <v>72</v>
      </c>
      <c r="D462" s="412">
        <v>1</v>
      </c>
      <c r="E462" s="412">
        <v>0</v>
      </c>
      <c r="F462" s="413">
        <f>+'Cartera Propia'!G386</f>
        <v>50000</v>
      </c>
      <c r="G462" s="420">
        <f>+'Cartera Propia'!G386*$C$15</f>
        <v>341895000</v>
      </c>
      <c r="H462" s="970">
        <v>50000000000</v>
      </c>
      <c r="I462" s="414">
        <v>8410681395</v>
      </c>
      <c r="J462" s="974">
        <v>128964105055</v>
      </c>
      <c r="M462" s="775"/>
    </row>
    <row r="463" spans="2:13" s="774" customFormat="1">
      <c r="B463" s="417" t="s">
        <v>1339</v>
      </c>
      <c r="C463" s="411" t="s">
        <v>72</v>
      </c>
      <c r="D463" s="412">
        <v>1</v>
      </c>
      <c r="E463" s="412">
        <v>0</v>
      </c>
      <c r="F463" s="413">
        <f>+'Cartera Propia'!G387</f>
        <v>50000</v>
      </c>
      <c r="G463" s="420">
        <f>+'Cartera Propia'!G387*$C$15</f>
        <v>341895000</v>
      </c>
      <c r="H463" s="970">
        <v>50000000000</v>
      </c>
      <c r="I463" s="414">
        <v>8410681395</v>
      </c>
      <c r="J463" s="974">
        <v>128964105055</v>
      </c>
      <c r="M463" s="775"/>
    </row>
    <row r="464" spans="2:13" s="774" customFormat="1">
      <c r="B464" s="417" t="s">
        <v>1339</v>
      </c>
      <c r="C464" s="411" t="s">
        <v>72</v>
      </c>
      <c r="D464" s="412">
        <v>1</v>
      </c>
      <c r="E464" s="412">
        <v>0</v>
      </c>
      <c r="F464" s="413">
        <f>+'Cartera Propia'!G388</f>
        <v>50000</v>
      </c>
      <c r="G464" s="420">
        <f>+'Cartera Propia'!G388*$C$15</f>
        <v>341895000</v>
      </c>
      <c r="H464" s="970">
        <v>50000000000</v>
      </c>
      <c r="I464" s="414">
        <v>8410681395</v>
      </c>
      <c r="J464" s="974">
        <v>128964105055</v>
      </c>
      <c r="M464" s="775"/>
    </row>
    <row r="465" spans="2:13" s="774" customFormat="1">
      <c r="B465" s="417" t="s">
        <v>1339</v>
      </c>
      <c r="C465" s="411" t="s">
        <v>72</v>
      </c>
      <c r="D465" s="412">
        <v>1</v>
      </c>
      <c r="E465" s="412">
        <v>0</v>
      </c>
      <c r="F465" s="413">
        <f>+'Cartera Propia'!G389</f>
        <v>50000</v>
      </c>
      <c r="G465" s="420">
        <f>+'Cartera Propia'!G389*$C$15</f>
        <v>341895000</v>
      </c>
      <c r="H465" s="970">
        <v>50000000000</v>
      </c>
      <c r="I465" s="414">
        <v>8410681395</v>
      </c>
      <c r="J465" s="974">
        <v>128964105055</v>
      </c>
      <c r="M465" s="775"/>
    </row>
    <row r="466" spans="2:13" s="774" customFormat="1">
      <c r="B466" s="417" t="s">
        <v>1339</v>
      </c>
      <c r="C466" s="411" t="s">
        <v>72</v>
      </c>
      <c r="D466" s="412">
        <v>1</v>
      </c>
      <c r="E466" s="412">
        <v>0</v>
      </c>
      <c r="F466" s="413">
        <f>+'Cartera Propia'!G390</f>
        <v>25000</v>
      </c>
      <c r="G466" s="420">
        <f>+'Cartera Propia'!G390*$C$15</f>
        <v>170947500</v>
      </c>
      <c r="H466" s="970">
        <v>50000000000</v>
      </c>
      <c r="I466" s="414">
        <v>8410681395</v>
      </c>
      <c r="J466" s="974">
        <v>128964105055</v>
      </c>
      <c r="M466" s="775"/>
    </row>
    <row r="467" spans="2:13" s="774" customFormat="1">
      <c r="B467" s="417" t="s">
        <v>1339</v>
      </c>
      <c r="C467" s="411" t="s">
        <v>72</v>
      </c>
      <c r="D467" s="412">
        <v>1</v>
      </c>
      <c r="E467" s="412">
        <v>0</v>
      </c>
      <c r="F467" s="413">
        <f>+'Cartera Propia'!G391</f>
        <v>25000</v>
      </c>
      <c r="G467" s="420">
        <f>+'Cartera Propia'!G391*$C$15</f>
        <v>170947500</v>
      </c>
      <c r="H467" s="970">
        <v>50000000000</v>
      </c>
      <c r="I467" s="414">
        <v>8410681395</v>
      </c>
      <c r="J467" s="974">
        <v>128964105055</v>
      </c>
      <c r="M467" s="775"/>
    </row>
    <row r="468" spans="2:13" s="774" customFormat="1">
      <c r="B468" s="417" t="s">
        <v>1339</v>
      </c>
      <c r="C468" s="411" t="s">
        <v>72</v>
      </c>
      <c r="D468" s="412">
        <v>1</v>
      </c>
      <c r="E468" s="412">
        <v>0</v>
      </c>
      <c r="F468" s="413">
        <f>+'Cartera Propia'!G392</f>
        <v>25000</v>
      </c>
      <c r="G468" s="420">
        <f>+'Cartera Propia'!G392*$C$15</f>
        <v>170947500</v>
      </c>
      <c r="H468" s="970">
        <v>50000000000</v>
      </c>
      <c r="I468" s="414">
        <v>8410681395</v>
      </c>
      <c r="J468" s="974">
        <v>128964105055</v>
      </c>
      <c r="M468" s="775"/>
    </row>
    <row r="469" spans="2:13" s="774" customFormat="1">
      <c r="B469" s="417" t="s">
        <v>1339</v>
      </c>
      <c r="C469" s="411" t="s">
        <v>72</v>
      </c>
      <c r="D469" s="412">
        <v>1</v>
      </c>
      <c r="E469" s="412">
        <v>0</v>
      </c>
      <c r="F469" s="413">
        <f>+'Cartera Propia'!G393</f>
        <v>25000</v>
      </c>
      <c r="G469" s="420">
        <f>+'Cartera Propia'!G393*$C$15</f>
        <v>170947500</v>
      </c>
      <c r="H469" s="970">
        <v>50000000000</v>
      </c>
      <c r="I469" s="414">
        <v>8410681395</v>
      </c>
      <c r="J469" s="974">
        <v>128964105055</v>
      </c>
      <c r="M469" s="775"/>
    </row>
    <row r="470" spans="2:13" s="774" customFormat="1">
      <c r="B470" s="417" t="s">
        <v>1339</v>
      </c>
      <c r="C470" s="411" t="s">
        <v>72</v>
      </c>
      <c r="D470" s="412">
        <v>1</v>
      </c>
      <c r="E470" s="412">
        <v>0</v>
      </c>
      <c r="F470" s="413">
        <f>+'Cartera Propia'!G394</f>
        <v>25000</v>
      </c>
      <c r="G470" s="420">
        <f>+'Cartera Propia'!G394*$C$15</f>
        <v>170947500</v>
      </c>
      <c r="H470" s="970">
        <v>50000000000</v>
      </c>
      <c r="I470" s="414">
        <v>8410681395</v>
      </c>
      <c r="J470" s="974">
        <v>128964105055</v>
      </c>
      <c r="M470" s="775"/>
    </row>
    <row r="471" spans="2:13" s="774" customFormat="1">
      <c r="B471" s="417" t="s">
        <v>1339</v>
      </c>
      <c r="C471" s="411" t="s">
        <v>72</v>
      </c>
      <c r="D471" s="412">
        <v>1</v>
      </c>
      <c r="E471" s="412">
        <v>0</v>
      </c>
      <c r="F471" s="413">
        <f>+'Cartera Propia'!G395</f>
        <v>25000</v>
      </c>
      <c r="G471" s="420">
        <f>+'Cartera Propia'!G395*$C$15</f>
        <v>170947500</v>
      </c>
      <c r="H471" s="970">
        <v>50000000000</v>
      </c>
      <c r="I471" s="414">
        <v>8410681395</v>
      </c>
      <c r="J471" s="974">
        <v>128964105055</v>
      </c>
      <c r="M471" s="775"/>
    </row>
    <row r="472" spans="2:13" s="774" customFormat="1">
      <c r="B472" s="417" t="s">
        <v>1339</v>
      </c>
      <c r="C472" s="411" t="s">
        <v>72</v>
      </c>
      <c r="D472" s="412">
        <v>1</v>
      </c>
      <c r="E472" s="412">
        <v>0</v>
      </c>
      <c r="F472" s="413">
        <f>+'Cartera Propia'!G396</f>
        <v>25000</v>
      </c>
      <c r="G472" s="420">
        <f>+'Cartera Propia'!G396*$C$15</f>
        <v>170947500</v>
      </c>
      <c r="H472" s="970">
        <v>50000000000</v>
      </c>
      <c r="I472" s="414">
        <v>8410681395</v>
      </c>
      <c r="J472" s="974">
        <v>128964105055</v>
      </c>
      <c r="M472" s="775"/>
    </row>
    <row r="473" spans="2:13" s="774" customFormat="1">
      <c r="B473" s="417" t="s">
        <v>1349</v>
      </c>
      <c r="C473" s="411" t="s">
        <v>72</v>
      </c>
      <c r="D473" s="412">
        <v>1</v>
      </c>
      <c r="E473" s="412">
        <v>0</v>
      </c>
      <c r="F473" s="413">
        <f>+'Cartera Propia'!G397</f>
        <v>10000</v>
      </c>
      <c r="G473" s="420">
        <f>+'Cartera Propia'!G397*$C$15</f>
        <v>68379000</v>
      </c>
      <c r="H473" s="970">
        <v>114665953371</v>
      </c>
      <c r="I473" s="414">
        <v>5202846667</v>
      </c>
      <c r="J473" s="974">
        <v>163345270165</v>
      </c>
      <c r="M473" s="775"/>
    </row>
    <row r="474" spans="2:13" s="774" customFormat="1">
      <c r="B474" s="417" t="s">
        <v>1349</v>
      </c>
      <c r="C474" s="411" t="s">
        <v>72</v>
      </c>
      <c r="D474" s="412">
        <v>1</v>
      </c>
      <c r="E474" s="412">
        <v>0</v>
      </c>
      <c r="F474" s="413">
        <f>+'Cartera Propia'!G398</f>
        <v>10000</v>
      </c>
      <c r="G474" s="420">
        <f>+'Cartera Propia'!G398*$C$15</f>
        <v>68379000</v>
      </c>
      <c r="H474" s="970">
        <v>114665953371</v>
      </c>
      <c r="I474" s="414">
        <v>5202846667</v>
      </c>
      <c r="J474" s="974">
        <v>163345270165</v>
      </c>
      <c r="M474" s="775"/>
    </row>
    <row r="475" spans="2:13" s="774" customFormat="1">
      <c r="B475" s="417" t="s">
        <v>1349</v>
      </c>
      <c r="C475" s="411" t="s">
        <v>72</v>
      </c>
      <c r="D475" s="412">
        <v>1</v>
      </c>
      <c r="E475" s="412">
        <v>0</v>
      </c>
      <c r="F475" s="413">
        <f>+'Cartera Propia'!G399</f>
        <v>10000</v>
      </c>
      <c r="G475" s="420">
        <f>+'Cartera Propia'!G399*$C$15</f>
        <v>68379000</v>
      </c>
      <c r="H475" s="970">
        <v>114665953371</v>
      </c>
      <c r="I475" s="414">
        <v>5202846667</v>
      </c>
      <c r="J475" s="974">
        <v>163345270165</v>
      </c>
      <c r="M475" s="775"/>
    </row>
    <row r="476" spans="2:13" s="774" customFormat="1">
      <c r="B476" s="417" t="s">
        <v>1349</v>
      </c>
      <c r="C476" s="411" t="s">
        <v>72</v>
      </c>
      <c r="D476" s="412">
        <v>1</v>
      </c>
      <c r="E476" s="412">
        <v>0</v>
      </c>
      <c r="F476" s="413">
        <f>+'Cartera Propia'!G400</f>
        <v>10000</v>
      </c>
      <c r="G476" s="420">
        <f>+'Cartera Propia'!G400*$C$15</f>
        <v>68379000</v>
      </c>
      <c r="H476" s="970">
        <v>114665953371</v>
      </c>
      <c r="I476" s="414">
        <v>5202846667</v>
      </c>
      <c r="J476" s="974">
        <v>163345270165</v>
      </c>
      <c r="M476" s="775"/>
    </row>
    <row r="477" spans="2:13" s="774" customFormat="1">
      <c r="B477" s="417" t="s">
        <v>1349</v>
      </c>
      <c r="C477" s="411" t="s">
        <v>72</v>
      </c>
      <c r="D477" s="412">
        <v>1</v>
      </c>
      <c r="E477" s="412">
        <v>0</v>
      </c>
      <c r="F477" s="413">
        <f>+'Cartera Propia'!G401</f>
        <v>10000</v>
      </c>
      <c r="G477" s="420">
        <f>+'Cartera Propia'!G401*$C$15</f>
        <v>68379000</v>
      </c>
      <c r="H477" s="970">
        <v>114665953371</v>
      </c>
      <c r="I477" s="414">
        <v>5202846667</v>
      </c>
      <c r="J477" s="974">
        <v>163345270165</v>
      </c>
      <c r="M477" s="775"/>
    </row>
    <row r="478" spans="2:13" s="774" customFormat="1">
      <c r="B478" s="417" t="s">
        <v>1349</v>
      </c>
      <c r="C478" s="411" t="s">
        <v>72</v>
      </c>
      <c r="D478" s="412">
        <v>1</v>
      </c>
      <c r="E478" s="412">
        <v>0</v>
      </c>
      <c r="F478" s="413">
        <f>+'Cartera Propia'!G402</f>
        <v>10000</v>
      </c>
      <c r="G478" s="420">
        <f>+'Cartera Propia'!G402*$C$15</f>
        <v>68379000</v>
      </c>
      <c r="H478" s="970">
        <v>114665953371</v>
      </c>
      <c r="I478" s="414">
        <v>5202846667</v>
      </c>
      <c r="J478" s="974">
        <v>163345270165</v>
      </c>
      <c r="M478" s="775"/>
    </row>
    <row r="479" spans="2:13" s="774" customFormat="1">
      <c r="B479" s="417" t="s">
        <v>1349</v>
      </c>
      <c r="C479" s="411" t="s">
        <v>72</v>
      </c>
      <c r="D479" s="412">
        <v>1</v>
      </c>
      <c r="E479" s="412">
        <v>0</v>
      </c>
      <c r="F479" s="413">
        <f>+'Cartera Propia'!G403</f>
        <v>10000</v>
      </c>
      <c r="G479" s="420">
        <f>+'Cartera Propia'!G403*$C$15</f>
        <v>68379000</v>
      </c>
      <c r="H479" s="970">
        <v>114665953371</v>
      </c>
      <c r="I479" s="414">
        <v>5202846667</v>
      </c>
      <c r="J479" s="974">
        <v>163345270165</v>
      </c>
      <c r="M479" s="775"/>
    </row>
    <row r="480" spans="2:13" s="774" customFormat="1">
      <c r="B480" s="417" t="s">
        <v>1349</v>
      </c>
      <c r="C480" s="411" t="s">
        <v>72</v>
      </c>
      <c r="D480" s="412">
        <v>1</v>
      </c>
      <c r="E480" s="412">
        <v>0</v>
      </c>
      <c r="F480" s="413">
        <f>+'Cartera Propia'!G404</f>
        <v>10000</v>
      </c>
      <c r="G480" s="420">
        <f>+'Cartera Propia'!G404*$C$15</f>
        <v>68379000</v>
      </c>
      <c r="H480" s="970">
        <v>114665953371</v>
      </c>
      <c r="I480" s="414">
        <v>5202846667</v>
      </c>
      <c r="J480" s="974">
        <v>163345270165</v>
      </c>
      <c r="M480" s="775"/>
    </row>
    <row r="481" spans="2:13" s="774" customFormat="1">
      <c r="B481" s="417" t="s">
        <v>1349</v>
      </c>
      <c r="C481" s="411" t="s">
        <v>72</v>
      </c>
      <c r="D481" s="412">
        <v>1</v>
      </c>
      <c r="E481" s="412">
        <v>0</v>
      </c>
      <c r="F481" s="413">
        <f>+'Cartera Propia'!G405</f>
        <v>10000</v>
      </c>
      <c r="G481" s="420">
        <f>+'Cartera Propia'!G405*$C$15</f>
        <v>68379000</v>
      </c>
      <c r="H481" s="970">
        <v>114665953371</v>
      </c>
      <c r="I481" s="414">
        <v>5202846667</v>
      </c>
      <c r="J481" s="974">
        <v>163345270165</v>
      </c>
      <c r="M481" s="775"/>
    </row>
    <row r="482" spans="2:13" s="774" customFormat="1">
      <c r="B482" s="417" t="s">
        <v>1349</v>
      </c>
      <c r="C482" s="411" t="s">
        <v>72</v>
      </c>
      <c r="D482" s="412">
        <v>1</v>
      </c>
      <c r="E482" s="412">
        <v>0</v>
      </c>
      <c r="F482" s="413">
        <f>+'Cartera Propia'!G406</f>
        <v>15000</v>
      </c>
      <c r="G482" s="420">
        <f>+'Cartera Propia'!G406*$C$15</f>
        <v>102568500</v>
      </c>
      <c r="H482" s="970">
        <v>114665953371</v>
      </c>
      <c r="I482" s="414">
        <v>5202846667</v>
      </c>
      <c r="J482" s="974">
        <v>163345270165</v>
      </c>
      <c r="M482" s="775"/>
    </row>
    <row r="483" spans="2:13" s="774" customFormat="1">
      <c r="B483" s="417" t="s">
        <v>1349</v>
      </c>
      <c r="C483" s="411" t="s">
        <v>72</v>
      </c>
      <c r="D483" s="412">
        <v>1</v>
      </c>
      <c r="E483" s="412">
        <v>0</v>
      </c>
      <c r="F483" s="413">
        <f>+'Cartera Propia'!G407</f>
        <v>15000</v>
      </c>
      <c r="G483" s="420">
        <f>+'Cartera Propia'!G407*$C$15</f>
        <v>102568500</v>
      </c>
      <c r="H483" s="970">
        <v>114665953371</v>
      </c>
      <c r="I483" s="414">
        <v>5202846667</v>
      </c>
      <c r="J483" s="974">
        <v>163345270165</v>
      </c>
      <c r="M483" s="775"/>
    </row>
    <row r="484" spans="2:13" s="774" customFormat="1">
      <c r="B484" s="417" t="s">
        <v>1349</v>
      </c>
      <c r="C484" s="411" t="s">
        <v>72</v>
      </c>
      <c r="D484" s="412">
        <v>1</v>
      </c>
      <c r="E484" s="412">
        <v>0</v>
      </c>
      <c r="F484" s="413">
        <f>+'Cartera Propia'!G408</f>
        <v>15000</v>
      </c>
      <c r="G484" s="420">
        <f>+'Cartera Propia'!G408*$C$15</f>
        <v>102568500</v>
      </c>
      <c r="H484" s="970">
        <v>114665953371</v>
      </c>
      <c r="I484" s="414">
        <v>5202846667</v>
      </c>
      <c r="J484" s="974">
        <v>163345270165</v>
      </c>
      <c r="M484" s="775"/>
    </row>
    <row r="485" spans="2:13" s="774" customFormat="1">
      <c r="B485" s="417" t="s">
        <v>1349</v>
      </c>
      <c r="C485" s="411" t="s">
        <v>72</v>
      </c>
      <c r="D485" s="412">
        <v>1</v>
      </c>
      <c r="E485" s="412">
        <v>0</v>
      </c>
      <c r="F485" s="413">
        <f>+'Cartera Propia'!G409</f>
        <v>15000</v>
      </c>
      <c r="G485" s="420">
        <f>+'Cartera Propia'!G409*$C$15</f>
        <v>102568500</v>
      </c>
      <c r="H485" s="970">
        <v>114665953371</v>
      </c>
      <c r="I485" s="414">
        <v>5202846667</v>
      </c>
      <c r="J485" s="974">
        <v>163345270165</v>
      </c>
      <c r="M485" s="775"/>
    </row>
    <row r="486" spans="2:13" s="774" customFormat="1">
      <c r="B486" s="417" t="s">
        <v>1349</v>
      </c>
      <c r="C486" s="411" t="s">
        <v>72</v>
      </c>
      <c r="D486" s="412">
        <v>1</v>
      </c>
      <c r="E486" s="412">
        <v>0</v>
      </c>
      <c r="F486" s="413">
        <f>+'Cartera Propia'!G410</f>
        <v>25000</v>
      </c>
      <c r="G486" s="420">
        <f>+'Cartera Propia'!G410*$C$15</f>
        <v>170947500</v>
      </c>
      <c r="H486" s="970">
        <v>114665953371</v>
      </c>
      <c r="I486" s="414">
        <v>5202846667</v>
      </c>
      <c r="J486" s="974">
        <v>163345270165</v>
      </c>
      <c r="M486" s="775"/>
    </row>
    <row r="487" spans="2:13" s="774" customFormat="1">
      <c r="B487" s="417" t="s">
        <v>1349</v>
      </c>
      <c r="C487" s="411" t="s">
        <v>72</v>
      </c>
      <c r="D487" s="412">
        <v>1</v>
      </c>
      <c r="E487" s="412">
        <v>0</v>
      </c>
      <c r="F487" s="413">
        <f>+'Cartera Propia'!G411</f>
        <v>25000</v>
      </c>
      <c r="G487" s="420">
        <f>+'Cartera Propia'!G411*$C$15</f>
        <v>170947500</v>
      </c>
      <c r="H487" s="970">
        <v>114665953371</v>
      </c>
      <c r="I487" s="414">
        <v>5202846667</v>
      </c>
      <c r="J487" s="974">
        <v>163345270165</v>
      </c>
      <c r="M487" s="775"/>
    </row>
    <row r="488" spans="2:13" s="774" customFormat="1">
      <c r="B488" s="417" t="s">
        <v>1349</v>
      </c>
      <c r="C488" s="411" t="s">
        <v>72</v>
      </c>
      <c r="D488" s="412">
        <v>1</v>
      </c>
      <c r="E488" s="412">
        <v>0</v>
      </c>
      <c r="F488" s="413">
        <f>+'Cartera Propia'!G412</f>
        <v>25000</v>
      </c>
      <c r="G488" s="420">
        <f>+'Cartera Propia'!G412*$C$15</f>
        <v>170947500</v>
      </c>
      <c r="H488" s="970">
        <v>114665953371</v>
      </c>
      <c r="I488" s="414">
        <v>5202846667</v>
      </c>
      <c r="J488" s="974">
        <v>163345270165</v>
      </c>
      <c r="M488" s="775"/>
    </row>
    <row r="489" spans="2:13" s="774" customFormat="1">
      <c r="B489" s="417" t="s">
        <v>1349</v>
      </c>
      <c r="C489" s="411" t="s">
        <v>72</v>
      </c>
      <c r="D489" s="412">
        <v>1</v>
      </c>
      <c r="E489" s="412">
        <v>0</v>
      </c>
      <c r="F489" s="413">
        <f>+'Cartera Propia'!G413</f>
        <v>25000</v>
      </c>
      <c r="G489" s="420">
        <f>+'Cartera Propia'!G413*$C$15</f>
        <v>170947500</v>
      </c>
      <c r="H489" s="970">
        <v>114665953371</v>
      </c>
      <c r="I489" s="414">
        <v>5202846667</v>
      </c>
      <c r="J489" s="974">
        <v>163345270165</v>
      </c>
      <c r="M489" s="775"/>
    </row>
    <row r="490" spans="2:13" s="774" customFormat="1">
      <c r="B490" s="417" t="s">
        <v>1349</v>
      </c>
      <c r="C490" s="411" t="s">
        <v>72</v>
      </c>
      <c r="D490" s="412">
        <v>1</v>
      </c>
      <c r="E490" s="412">
        <v>0</v>
      </c>
      <c r="F490" s="413">
        <f>+'Cartera Propia'!G414</f>
        <v>25000</v>
      </c>
      <c r="G490" s="420">
        <f>+'Cartera Propia'!G414*$C$15</f>
        <v>170947500</v>
      </c>
      <c r="H490" s="970">
        <v>114665953371</v>
      </c>
      <c r="I490" s="414">
        <v>5202846667</v>
      </c>
      <c r="J490" s="974">
        <v>163345270165</v>
      </c>
      <c r="M490" s="775"/>
    </row>
    <row r="491" spans="2:13" s="774" customFormat="1">
      <c r="B491" s="417" t="s">
        <v>1349</v>
      </c>
      <c r="C491" s="411" t="s">
        <v>72</v>
      </c>
      <c r="D491" s="412">
        <v>1</v>
      </c>
      <c r="E491" s="412">
        <v>0</v>
      </c>
      <c r="F491" s="413">
        <f>+'Cartera Propia'!G415</f>
        <v>10000</v>
      </c>
      <c r="G491" s="420">
        <f>+'Cartera Propia'!G415*$C$15</f>
        <v>68379000</v>
      </c>
      <c r="H491" s="970">
        <v>114665953371</v>
      </c>
      <c r="I491" s="414">
        <v>5202846667</v>
      </c>
      <c r="J491" s="974">
        <v>163345270165</v>
      </c>
      <c r="M491" s="775"/>
    </row>
    <row r="492" spans="2:13" s="774" customFormat="1">
      <c r="B492" s="417" t="s">
        <v>1349</v>
      </c>
      <c r="C492" s="411" t="s">
        <v>72</v>
      </c>
      <c r="D492" s="412">
        <v>1</v>
      </c>
      <c r="E492" s="412">
        <v>0</v>
      </c>
      <c r="F492" s="413">
        <f>+'Cartera Propia'!G416</f>
        <v>10000</v>
      </c>
      <c r="G492" s="420">
        <f>+'Cartera Propia'!G416*$C$15</f>
        <v>68379000</v>
      </c>
      <c r="H492" s="970">
        <v>114665953371</v>
      </c>
      <c r="I492" s="414">
        <v>5202846667</v>
      </c>
      <c r="J492" s="974">
        <v>163345270165</v>
      </c>
      <c r="M492" s="775"/>
    </row>
    <row r="493" spans="2:13" s="774" customFormat="1">
      <c r="B493" s="417" t="s">
        <v>1349</v>
      </c>
      <c r="C493" s="411" t="s">
        <v>72</v>
      </c>
      <c r="D493" s="412">
        <v>1</v>
      </c>
      <c r="E493" s="412">
        <v>0</v>
      </c>
      <c r="F493" s="413">
        <f>+'Cartera Propia'!G417</f>
        <v>10000</v>
      </c>
      <c r="G493" s="420">
        <f>+'Cartera Propia'!G417*$C$15</f>
        <v>68379000</v>
      </c>
      <c r="H493" s="970">
        <v>114665953371</v>
      </c>
      <c r="I493" s="414">
        <v>5202846667</v>
      </c>
      <c r="J493" s="974">
        <v>163345270165</v>
      </c>
      <c r="M493" s="775"/>
    </row>
    <row r="494" spans="2:13" s="774" customFormat="1">
      <c r="B494" s="417" t="s">
        <v>1349</v>
      </c>
      <c r="C494" s="411" t="s">
        <v>72</v>
      </c>
      <c r="D494" s="412">
        <v>1</v>
      </c>
      <c r="E494" s="412">
        <v>0</v>
      </c>
      <c r="F494" s="413">
        <f>+'Cartera Propia'!G418</f>
        <v>10000</v>
      </c>
      <c r="G494" s="420">
        <f>+'Cartera Propia'!G418*$C$15</f>
        <v>68379000</v>
      </c>
      <c r="H494" s="970">
        <v>114665953371</v>
      </c>
      <c r="I494" s="414">
        <v>5202846667</v>
      </c>
      <c r="J494" s="974">
        <v>163345270165</v>
      </c>
      <c r="M494" s="775"/>
    </row>
    <row r="495" spans="2:13" s="774" customFormat="1">
      <c r="B495" s="417" t="s">
        <v>1349</v>
      </c>
      <c r="C495" s="411" t="s">
        <v>72</v>
      </c>
      <c r="D495" s="412">
        <v>1</v>
      </c>
      <c r="E495" s="412">
        <v>0</v>
      </c>
      <c r="F495" s="413">
        <f>+'Cartera Propia'!G419</f>
        <v>10000</v>
      </c>
      <c r="G495" s="420">
        <f>+'Cartera Propia'!G419*$C$15</f>
        <v>68379000</v>
      </c>
      <c r="H495" s="970">
        <v>114665953371</v>
      </c>
      <c r="I495" s="414">
        <v>5202846667</v>
      </c>
      <c r="J495" s="974">
        <v>163345270165</v>
      </c>
      <c r="M495" s="775"/>
    </row>
    <row r="496" spans="2:13" s="774" customFormat="1">
      <c r="B496" s="417" t="s">
        <v>1349</v>
      </c>
      <c r="C496" s="411" t="s">
        <v>72</v>
      </c>
      <c r="D496" s="412">
        <v>1</v>
      </c>
      <c r="E496" s="412">
        <v>0</v>
      </c>
      <c r="F496" s="413">
        <f>+'Cartera Propia'!G420</f>
        <v>10000</v>
      </c>
      <c r="G496" s="420">
        <f>+'Cartera Propia'!G420*$C$15</f>
        <v>68379000</v>
      </c>
      <c r="H496" s="970">
        <v>114665953371</v>
      </c>
      <c r="I496" s="414">
        <v>5202846667</v>
      </c>
      <c r="J496" s="974">
        <v>163345270165</v>
      </c>
      <c r="M496" s="775"/>
    </row>
    <row r="497" spans="2:13" s="774" customFormat="1">
      <c r="B497" s="417" t="s">
        <v>1349</v>
      </c>
      <c r="C497" s="411" t="s">
        <v>72</v>
      </c>
      <c r="D497" s="412">
        <v>1</v>
      </c>
      <c r="E497" s="412">
        <v>0</v>
      </c>
      <c r="F497" s="413">
        <f>+'Cartera Propia'!G421</f>
        <v>10000</v>
      </c>
      <c r="G497" s="420">
        <f>+'Cartera Propia'!G421*$C$15</f>
        <v>68379000</v>
      </c>
      <c r="H497" s="970">
        <v>114665953371</v>
      </c>
      <c r="I497" s="414">
        <v>5202846667</v>
      </c>
      <c r="J497" s="974">
        <v>163345270165</v>
      </c>
      <c r="M497" s="775"/>
    </row>
    <row r="498" spans="2:13" s="774" customFormat="1">
      <c r="B498" s="417" t="s">
        <v>1349</v>
      </c>
      <c r="C498" s="411" t="s">
        <v>72</v>
      </c>
      <c r="D498" s="412">
        <v>1</v>
      </c>
      <c r="E498" s="412">
        <v>0</v>
      </c>
      <c r="F498" s="413">
        <f>+'Cartera Propia'!G422</f>
        <v>10000</v>
      </c>
      <c r="G498" s="420">
        <f>+'Cartera Propia'!G422*$C$15</f>
        <v>68379000</v>
      </c>
      <c r="H498" s="970">
        <v>114665953371</v>
      </c>
      <c r="I498" s="414">
        <v>5202846667</v>
      </c>
      <c r="J498" s="974">
        <v>163345270165</v>
      </c>
      <c r="M498" s="775"/>
    </row>
    <row r="499" spans="2:13" s="774" customFormat="1">
      <c r="B499" s="417" t="s">
        <v>1349</v>
      </c>
      <c r="C499" s="411" t="s">
        <v>72</v>
      </c>
      <c r="D499" s="412">
        <v>1</v>
      </c>
      <c r="E499" s="412">
        <v>0</v>
      </c>
      <c r="F499" s="413">
        <f>+'Cartera Propia'!G423</f>
        <v>10000</v>
      </c>
      <c r="G499" s="420">
        <f>+'Cartera Propia'!G423*$C$15</f>
        <v>68379000</v>
      </c>
      <c r="H499" s="970">
        <v>114665953371</v>
      </c>
      <c r="I499" s="414">
        <v>5202846667</v>
      </c>
      <c r="J499" s="974">
        <v>163345270165</v>
      </c>
      <c r="M499" s="775"/>
    </row>
    <row r="500" spans="2:13" s="774" customFormat="1">
      <c r="B500" s="417" t="s">
        <v>1349</v>
      </c>
      <c r="C500" s="411" t="s">
        <v>72</v>
      </c>
      <c r="D500" s="412">
        <v>1</v>
      </c>
      <c r="E500" s="412">
        <v>0</v>
      </c>
      <c r="F500" s="413">
        <f>+'Cartera Propia'!G424</f>
        <v>10000</v>
      </c>
      <c r="G500" s="420">
        <f>+'Cartera Propia'!G424*$C$15</f>
        <v>68379000</v>
      </c>
      <c r="H500" s="970">
        <v>114665953371</v>
      </c>
      <c r="I500" s="414">
        <v>5202846667</v>
      </c>
      <c r="J500" s="974">
        <v>163345270165</v>
      </c>
      <c r="M500" s="775"/>
    </row>
    <row r="501" spans="2:13" s="774" customFormat="1">
      <c r="B501" s="417" t="s">
        <v>1349</v>
      </c>
      <c r="C501" s="411" t="s">
        <v>72</v>
      </c>
      <c r="D501" s="412">
        <v>1</v>
      </c>
      <c r="E501" s="412">
        <v>0</v>
      </c>
      <c r="F501" s="413">
        <f>+'Cartera Propia'!G425</f>
        <v>25000</v>
      </c>
      <c r="G501" s="420">
        <f>+'Cartera Propia'!G425*$C$15</f>
        <v>170947500</v>
      </c>
      <c r="H501" s="970">
        <v>114665953371</v>
      </c>
      <c r="I501" s="414">
        <v>5202846667</v>
      </c>
      <c r="J501" s="974">
        <v>163345270165</v>
      </c>
      <c r="M501" s="775"/>
    </row>
    <row r="502" spans="2:13" s="774" customFormat="1">
      <c r="B502" s="417" t="s">
        <v>1349</v>
      </c>
      <c r="C502" s="411" t="s">
        <v>72</v>
      </c>
      <c r="D502" s="412">
        <v>1</v>
      </c>
      <c r="E502" s="412">
        <v>0</v>
      </c>
      <c r="F502" s="413">
        <f>+'Cartera Propia'!G426</f>
        <v>20000</v>
      </c>
      <c r="G502" s="420">
        <f>+'Cartera Propia'!G426*$C$15</f>
        <v>136758000</v>
      </c>
      <c r="H502" s="970">
        <v>114665953371</v>
      </c>
      <c r="I502" s="414">
        <v>5202846667</v>
      </c>
      <c r="J502" s="974">
        <v>163345270165</v>
      </c>
      <c r="M502" s="775"/>
    </row>
    <row r="503" spans="2:13" s="774" customFormat="1">
      <c r="B503" s="417" t="s">
        <v>472</v>
      </c>
      <c r="C503" s="411" t="s">
        <v>72</v>
      </c>
      <c r="D503" s="412">
        <v>1</v>
      </c>
      <c r="E503" s="412">
        <v>0</v>
      </c>
      <c r="F503" s="413">
        <f>+'Cartera Propia'!G427</f>
        <v>750000</v>
      </c>
      <c r="G503" s="420">
        <f>+'Cartera Propia'!G427*$C$15</f>
        <v>5128425000</v>
      </c>
      <c r="H503" s="970">
        <v>1084664860000</v>
      </c>
      <c r="I503" s="414">
        <v>44141644708</v>
      </c>
      <c r="J503" s="974">
        <v>1607682435889</v>
      </c>
      <c r="M503" s="775"/>
    </row>
    <row r="504" spans="2:13" s="774" customFormat="1">
      <c r="B504" s="417" t="s">
        <v>472</v>
      </c>
      <c r="C504" s="411" t="s">
        <v>72</v>
      </c>
      <c r="D504" s="412">
        <v>1</v>
      </c>
      <c r="E504" s="412">
        <v>0</v>
      </c>
      <c r="F504" s="413">
        <f>+'Cartera Propia'!G428</f>
        <v>750000</v>
      </c>
      <c r="G504" s="420">
        <f>+'Cartera Propia'!G428*$C$15</f>
        <v>5128425000</v>
      </c>
      <c r="H504" s="970">
        <v>1084664860000</v>
      </c>
      <c r="I504" s="414">
        <v>44141644708</v>
      </c>
      <c r="J504" s="974">
        <v>1607682435889</v>
      </c>
      <c r="M504" s="775"/>
    </row>
    <row r="505" spans="2:13" s="774" customFormat="1">
      <c r="B505" s="417" t="s">
        <v>472</v>
      </c>
      <c r="C505" s="411" t="s">
        <v>72</v>
      </c>
      <c r="D505" s="412">
        <v>1</v>
      </c>
      <c r="E505" s="412">
        <v>0</v>
      </c>
      <c r="F505" s="413">
        <f>+'Cartera Propia'!G429</f>
        <v>750000</v>
      </c>
      <c r="G505" s="420">
        <f>+'Cartera Propia'!G429*$C$15</f>
        <v>5128425000</v>
      </c>
      <c r="H505" s="970">
        <v>1084664860000</v>
      </c>
      <c r="I505" s="414">
        <v>44141644708</v>
      </c>
      <c r="J505" s="974">
        <v>1607682435889</v>
      </c>
      <c r="M505" s="775"/>
    </row>
    <row r="506" spans="2:13" s="774" customFormat="1">
      <c r="B506" s="417" t="s">
        <v>472</v>
      </c>
      <c r="C506" s="411" t="s">
        <v>72</v>
      </c>
      <c r="D506" s="412">
        <v>1</v>
      </c>
      <c r="E506" s="412">
        <v>0</v>
      </c>
      <c r="F506" s="413">
        <f>+'Cartera Propia'!G430</f>
        <v>2443336</v>
      </c>
      <c r="G506" s="420">
        <f>+'Cartera Propia'!G430*$C$15</f>
        <v>16707287234.4</v>
      </c>
      <c r="H506" s="970">
        <v>1084664860000</v>
      </c>
      <c r="I506" s="414">
        <v>44141644708</v>
      </c>
      <c r="J506" s="974">
        <v>1607682435889</v>
      </c>
      <c r="M506" s="775"/>
    </row>
    <row r="507" spans="2:13" s="774" customFormat="1">
      <c r="B507" s="417" t="s">
        <v>472</v>
      </c>
      <c r="C507" s="411" t="s">
        <v>72</v>
      </c>
      <c r="D507" s="412">
        <v>1</v>
      </c>
      <c r="E507" s="412">
        <v>0</v>
      </c>
      <c r="F507" s="413">
        <f>+'Cartera Propia'!G431</f>
        <v>750000</v>
      </c>
      <c r="G507" s="420">
        <f>+'Cartera Propia'!G431*$C$15</f>
        <v>5128425000</v>
      </c>
      <c r="H507" s="970">
        <v>1084664860000</v>
      </c>
      <c r="I507" s="414">
        <v>44141644708</v>
      </c>
      <c r="J507" s="974">
        <v>1607682435889</v>
      </c>
      <c r="M507" s="775"/>
    </row>
    <row r="508" spans="2:13" s="774" customFormat="1">
      <c r="B508" s="417" t="s">
        <v>1796</v>
      </c>
      <c r="C508" s="411" t="s">
        <v>72</v>
      </c>
      <c r="D508" s="412">
        <v>1</v>
      </c>
      <c r="E508" s="412">
        <v>0</v>
      </c>
      <c r="F508" s="413">
        <f>+'Cartera Propia'!G432</f>
        <v>500100</v>
      </c>
      <c r="G508" s="420">
        <f>+'Cartera Propia'!G432*$C$15</f>
        <v>3419633790</v>
      </c>
      <c r="H508" s="970">
        <v>1687535078916</v>
      </c>
      <c r="I508" s="414">
        <v>143348060020</v>
      </c>
      <c r="J508" s="974">
        <v>203990416046</v>
      </c>
      <c r="M508" s="775"/>
    </row>
    <row r="509" spans="2:13" s="774" customFormat="1">
      <c r="B509" s="417" t="s">
        <v>1796</v>
      </c>
      <c r="C509" s="411" t="s">
        <v>72</v>
      </c>
      <c r="D509" s="412">
        <v>1</v>
      </c>
      <c r="E509" s="412">
        <v>0</v>
      </c>
      <c r="F509" s="413">
        <f>+'Cartera Propia'!G433</f>
        <v>500100</v>
      </c>
      <c r="G509" s="420">
        <f>+'Cartera Propia'!G433*$C$15</f>
        <v>3419633790</v>
      </c>
      <c r="H509" s="970">
        <v>1687535078916</v>
      </c>
      <c r="I509" s="414">
        <v>143348060020</v>
      </c>
      <c r="J509" s="974">
        <v>203990416046</v>
      </c>
      <c r="M509" s="775"/>
    </row>
    <row r="510" spans="2:13" s="774" customFormat="1">
      <c r="B510" s="417" t="s">
        <v>1796</v>
      </c>
      <c r="C510" s="411" t="s">
        <v>72</v>
      </c>
      <c r="D510" s="412">
        <v>1</v>
      </c>
      <c r="E510" s="412">
        <v>0</v>
      </c>
      <c r="F510" s="413">
        <f>+'Cartera Propia'!G434</f>
        <v>500100</v>
      </c>
      <c r="G510" s="420">
        <f>+'Cartera Propia'!G434*$C$15</f>
        <v>3419633790</v>
      </c>
      <c r="H510" s="970">
        <v>1687535078916</v>
      </c>
      <c r="I510" s="414">
        <v>143348060020</v>
      </c>
      <c r="J510" s="974">
        <v>203990416046</v>
      </c>
      <c r="M510" s="775"/>
    </row>
    <row r="511" spans="2:13" s="774" customFormat="1">
      <c r="B511" s="417" t="s">
        <v>1796</v>
      </c>
      <c r="C511" s="411" t="s">
        <v>72</v>
      </c>
      <c r="D511" s="412">
        <v>1</v>
      </c>
      <c r="E511" s="412">
        <v>0</v>
      </c>
      <c r="F511" s="413">
        <f>+'Cartera Propia'!G435</f>
        <v>500100</v>
      </c>
      <c r="G511" s="420">
        <f>+'Cartera Propia'!G435*$C$15</f>
        <v>3419633790</v>
      </c>
      <c r="H511" s="970">
        <v>1687535078916</v>
      </c>
      <c r="I511" s="414">
        <v>143348060020</v>
      </c>
      <c r="J511" s="974">
        <v>203990416046</v>
      </c>
      <c r="M511" s="775"/>
    </row>
    <row r="512" spans="2:13" s="774" customFormat="1">
      <c r="B512" s="417" t="s">
        <v>1796</v>
      </c>
      <c r="C512" s="411" t="s">
        <v>72</v>
      </c>
      <c r="D512" s="412">
        <v>1</v>
      </c>
      <c r="E512" s="412">
        <v>0</v>
      </c>
      <c r="F512" s="413">
        <f>+'Cartera Propia'!G436</f>
        <v>500100</v>
      </c>
      <c r="G512" s="420">
        <f>+'Cartera Propia'!G436*$C$15</f>
        <v>3419633790</v>
      </c>
      <c r="H512" s="970">
        <v>1687535078916</v>
      </c>
      <c r="I512" s="414">
        <v>143348060020</v>
      </c>
      <c r="J512" s="974">
        <v>203990416046</v>
      </c>
      <c r="M512" s="775"/>
    </row>
    <row r="513" spans="1:14" s="774" customFormat="1">
      <c r="B513" s="417" t="s">
        <v>1796</v>
      </c>
      <c r="C513" s="411" t="s">
        <v>72</v>
      </c>
      <c r="D513" s="412">
        <v>1</v>
      </c>
      <c r="E513" s="412">
        <v>0</v>
      </c>
      <c r="F513" s="413">
        <f>+'Cartera Propia'!G437</f>
        <v>500100</v>
      </c>
      <c r="G513" s="420">
        <f>+'Cartera Propia'!G437*$C$15</f>
        <v>3419633790</v>
      </c>
      <c r="H513" s="970">
        <v>1687535078916</v>
      </c>
      <c r="I513" s="414">
        <v>143348060020</v>
      </c>
      <c r="J513" s="974">
        <v>203990416046</v>
      </c>
      <c r="M513" s="775"/>
    </row>
    <row r="514" spans="1:14" s="774" customFormat="1">
      <c r="B514" s="417" t="s">
        <v>1796</v>
      </c>
      <c r="C514" s="411" t="s">
        <v>72</v>
      </c>
      <c r="D514" s="412">
        <v>1</v>
      </c>
      <c r="E514" s="412">
        <v>0</v>
      </c>
      <c r="F514" s="413">
        <f>+'Cartera Propia'!G438</f>
        <v>500100</v>
      </c>
      <c r="G514" s="420">
        <f>+'Cartera Propia'!G438*$C$15</f>
        <v>3419633790</v>
      </c>
      <c r="H514" s="970">
        <v>1687535078916</v>
      </c>
      <c r="I514" s="414">
        <v>143348060020</v>
      </c>
      <c r="J514" s="974">
        <v>203990416046</v>
      </c>
      <c r="M514" s="775"/>
    </row>
    <row r="515" spans="1:14" s="774" customFormat="1">
      <c r="B515" s="417" t="s">
        <v>1796</v>
      </c>
      <c r="C515" s="411" t="s">
        <v>72</v>
      </c>
      <c r="D515" s="412">
        <v>1</v>
      </c>
      <c r="E515" s="412">
        <v>0</v>
      </c>
      <c r="F515" s="413">
        <f>+'Cartera Propia'!G439</f>
        <v>500100</v>
      </c>
      <c r="G515" s="420">
        <f>+'Cartera Propia'!G439*$C$15</f>
        <v>3419633790</v>
      </c>
      <c r="H515" s="970">
        <v>1687535078916</v>
      </c>
      <c r="I515" s="414">
        <v>143348060020</v>
      </c>
      <c r="J515" s="974">
        <v>203990416046</v>
      </c>
      <c r="M515" s="775"/>
    </row>
    <row r="516" spans="1:14" s="774" customFormat="1">
      <c r="B516" s="410" t="s">
        <v>1342</v>
      </c>
      <c r="C516" s="411" t="s">
        <v>72</v>
      </c>
      <c r="D516" s="412">
        <v>1</v>
      </c>
      <c r="E516" s="412">
        <v>0</v>
      </c>
      <c r="F516" s="413">
        <f>+'Cartera Propia'!G440</f>
        <v>100000</v>
      </c>
      <c r="G516" s="420">
        <f>+'Cartera Propia'!G440*$C$15</f>
        <v>683790000</v>
      </c>
      <c r="H516" s="970">
        <v>251111000000</v>
      </c>
      <c r="I516" s="414">
        <v>-728735745</v>
      </c>
      <c r="J516" s="974">
        <v>270678165153</v>
      </c>
      <c r="M516" s="775"/>
    </row>
    <row r="517" spans="1:14" s="774" customFormat="1" ht="15" customHeight="1">
      <c r="B517" s="417" t="s">
        <v>472</v>
      </c>
      <c r="C517" s="411" t="s">
        <v>72</v>
      </c>
      <c r="D517" s="412">
        <v>1</v>
      </c>
      <c r="E517" s="412">
        <f>+'Cartera Propia'!G447</f>
        <v>25000000</v>
      </c>
      <c r="F517" s="413">
        <v>0</v>
      </c>
      <c r="G517" s="418">
        <f>+'Cartera Propia'!J447</f>
        <v>25019520.547945205</v>
      </c>
      <c r="H517" s="970">
        <v>1084664860000</v>
      </c>
      <c r="I517" s="414">
        <v>44141644708</v>
      </c>
      <c r="J517" s="974">
        <v>1607682435889</v>
      </c>
      <c r="M517" s="775"/>
    </row>
    <row r="518" spans="1:14" s="774" customFormat="1" ht="15" customHeight="1">
      <c r="B518" s="417" t="s">
        <v>1523</v>
      </c>
      <c r="C518" s="411" t="s">
        <v>655</v>
      </c>
      <c r="D518" s="412">
        <v>50</v>
      </c>
      <c r="E518" s="412">
        <v>0</v>
      </c>
      <c r="F518" s="413">
        <v>1000</v>
      </c>
      <c r="G518" s="418">
        <f>+'Cartera Propia'!J448</f>
        <v>320881153.03846771</v>
      </c>
      <c r="H518" s="414">
        <v>211300000</v>
      </c>
      <c r="I518" s="414">
        <v>1119189</v>
      </c>
      <c r="J518" s="414">
        <v>225455691</v>
      </c>
      <c r="M518" s="775"/>
    </row>
    <row r="519" spans="1:14" s="774" customFormat="1" ht="15" customHeight="1">
      <c r="B519" s="417" t="s">
        <v>1819</v>
      </c>
      <c r="C519" s="411" t="s">
        <v>878</v>
      </c>
      <c r="D519" s="412">
        <v>100</v>
      </c>
      <c r="E519" s="412">
        <v>0</v>
      </c>
      <c r="F519" s="413">
        <v>1000</v>
      </c>
      <c r="G519" s="418">
        <f>+'Cartera Propia'!J449</f>
        <v>634645461.3943125</v>
      </c>
      <c r="H519" s="973">
        <v>811171970711</v>
      </c>
      <c r="I519" s="972">
        <v>129637010728</v>
      </c>
      <c r="J519" s="968">
        <v>1246146894183</v>
      </c>
      <c r="M519" s="775"/>
    </row>
    <row r="520" spans="1:14" s="399" customFormat="1">
      <c r="A520" s="397"/>
      <c r="B520" s="383" t="s">
        <v>1538</v>
      </c>
      <c r="C520" s="425"/>
      <c r="D520" s="426"/>
      <c r="E520" s="426"/>
      <c r="F520" s="426"/>
      <c r="G520" s="427">
        <f>+SUM(G142:G519)</f>
        <v>187761109352.52939</v>
      </c>
      <c r="H520" s="428">
        <f>+G520-BG!D23+553</f>
        <v>-0.470611572265625</v>
      </c>
      <c r="I520" s="386"/>
      <c r="J520" s="429"/>
      <c r="L520" s="415"/>
      <c r="M520" s="416"/>
      <c r="N520" s="415"/>
    </row>
    <row r="521" spans="1:14" s="399" customFormat="1">
      <c r="A521" s="397"/>
      <c r="B521" s="383" t="s">
        <v>1274</v>
      </c>
      <c r="C521" s="430"/>
      <c r="D521" s="431"/>
      <c r="E521" s="431"/>
      <c r="F521" s="431"/>
      <c r="G521" s="432">
        <f>+BG!F23</f>
        <v>87224765301</v>
      </c>
      <c r="H521" s="433">
        <f>+G521-BG!F23</f>
        <v>0</v>
      </c>
      <c r="I521" s="434"/>
      <c r="L521" s="415"/>
      <c r="M521" s="416"/>
      <c r="N521" s="415"/>
    </row>
    <row r="522" spans="1:14" s="399" customFormat="1">
      <c r="A522" s="397"/>
      <c r="B522" s="406" t="s">
        <v>152</v>
      </c>
      <c r="C522" s="435"/>
      <c r="D522" s="435"/>
      <c r="E522" s="436"/>
      <c r="F522" s="436"/>
      <c r="G522" s="437"/>
      <c r="H522" s="260"/>
      <c r="I522" s="438"/>
      <c r="J522" s="439"/>
      <c r="L522" s="415"/>
      <c r="M522" s="416"/>
      <c r="N522" s="415"/>
    </row>
    <row r="523" spans="1:14" s="399" customFormat="1">
      <c r="A523" s="397"/>
      <c r="B523" s="440" t="s">
        <v>1150</v>
      </c>
      <c r="C523" s="441" t="s">
        <v>207</v>
      </c>
      <c r="D523" s="442">
        <v>1</v>
      </c>
      <c r="E523" s="443">
        <v>200000000</v>
      </c>
      <c r="F523" s="444">
        <v>0</v>
      </c>
      <c r="G523" s="445">
        <v>900000000</v>
      </c>
      <c r="H523" s="446"/>
      <c r="I523" s="400"/>
      <c r="J523" s="429"/>
      <c r="L523" s="415"/>
      <c r="M523" s="447"/>
      <c r="N523" s="415"/>
    </row>
    <row r="524" spans="1:14" s="399" customFormat="1">
      <c r="A524" s="397"/>
      <c r="B524" s="440" t="s">
        <v>382</v>
      </c>
      <c r="C524" s="441" t="s">
        <v>1348</v>
      </c>
      <c r="D524" s="448">
        <v>4999</v>
      </c>
      <c r="E524" s="443">
        <v>4999000000</v>
      </c>
      <c r="F524" s="444">
        <v>0</v>
      </c>
      <c r="G524" s="445">
        <f>+Clasificaciones!G332+Clasificaciones!G338</f>
        <v>8453158107</v>
      </c>
      <c r="H524" s="446"/>
      <c r="I524" s="400"/>
      <c r="J524" s="429"/>
      <c r="L524" s="415"/>
      <c r="M524" s="447"/>
      <c r="N524" s="415"/>
    </row>
    <row r="525" spans="1:14" s="399" customFormat="1">
      <c r="A525" s="397"/>
      <c r="B525" s="383" t="s">
        <v>1538</v>
      </c>
      <c r="C525" s="425"/>
      <c r="D525" s="383"/>
      <c r="E525" s="449">
        <f>SUM(E523:E524)</f>
        <v>5199000000</v>
      </c>
      <c r="F525" s="366"/>
      <c r="G525" s="366">
        <f>+SUM(G523:G524)</f>
        <v>9353158107</v>
      </c>
      <c r="H525" s="429">
        <f>+G525-BG!D49</f>
        <v>0</v>
      </c>
      <c r="I525" s="400"/>
      <c r="J525" s="429"/>
      <c r="L525" s="415"/>
      <c r="M525" s="416"/>
      <c r="N525" s="415"/>
    </row>
    <row r="526" spans="1:14" s="399" customFormat="1">
      <c r="A526" s="397"/>
      <c r="B526" s="383" t="s">
        <v>1274</v>
      </c>
      <c r="C526" s="425"/>
      <c r="D526" s="383"/>
      <c r="E526" s="449">
        <v>5199000000</v>
      </c>
      <c r="F526" s="366"/>
      <c r="G526" s="366">
        <f>+BG!F49</f>
        <v>7946406868</v>
      </c>
      <c r="I526" s="400"/>
      <c r="L526" s="415"/>
      <c r="M526" s="416"/>
      <c r="N526" s="415"/>
    </row>
    <row r="527" spans="1:14" s="399" customFormat="1">
      <c r="A527" s="397"/>
      <c r="I527" s="400"/>
      <c r="L527" s="415"/>
      <c r="M527" s="416"/>
      <c r="N527" s="415"/>
    </row>
    <row r="528" spans="1:14" s="399" customFormat="1" ht="15" customHeight="1">
      <c r="A528" s="397"/>
      <c r="B528" s="450" t="s">
        <v>1828</v>
      </c>
      <c r="C528" s="450"/>
      <c r="D528" s="450"/>
      <c r="E528" s="450"/>
      <c r="F528" s="450"/>
      <c r="G528" s="450"/>
      <c r="H528" s="450"/>
      <c r="I528" s="450"/>
      <c r="J528" s="450"/>
      <c r="K528" s="450"/>
      <c r="L528" s="450"/>
      <c r="M528" s="416"/>
      <c r="N528" s="415"/>
    </row>
    <row r="529" spans="1:14" s="399" customFormat="1" ht="15" customHeight="1">
      <c r="A529" s="397"/>
      <c r="B529" s="450"/>
      <c r="C529" s="450"/>
      <c r="D529" s="450"/>
      <c r="E529" s="450"/>
      <c r="F529" s="450"/>
      <c r="G529" s="450"/>
      <c r="H529" s="450"/>
      <c r="I529" s="450"/>
      <c r="J529" s="450"/>
      <c r="K529" s="450"/>
      <c r="L529" s="450"/>
      <c r="M529" s="416"/>
      <c r="N529" s="415"/>
    </row>
    <row r="530" spans="1:14" s="399" customFormat="1" ht="39.6" customHeight="1">
      <c r="A530" s="397"/>
      <c r="B530" s="389" t="s">
        <v>1151</v>
      </c>
      <c r="C530" s="326" t="s">
        <v>564</v>
      </c>
      <c r="D530" s="326" t="s">
        <v>563</v>
      </c>
      <c r="E530" s="326" t="s">
        <v>561</v>
      </c>
      <c r="F530" s="326" t="s">
        <v>562</v>
      </c>
      <c r="H530" s="429"/>
      <c r="I530" s="400"/>
      <c r="L530" s="415"/>
      <c r="M530" s="416"/>
      <c r="N530" s="415"/>
    </row>
    <row r="531" spans="1:14" s="399" customFormat="1">
      <c r="A531" s="397"/>
      <c r="B531" s="1044" t="s">
        <v>1372</v>
      </c>
      <c r="C531" s="1044"/>
      <c r="D531" s="1044"/>
      <c r="E531" s="1044"/>
      <c r="F531" s="1044"/>
      <c r="I531" s="400"/>
      <c r="L531" s="415"/>
      <c r="M531" s="416"/>
      <c r="N531" s="415"/>
    </row>
    <row r="532" spans="1:14" s="399" customFormat="1">
      <c r="A532" s="397"/>
      <c r="B532" s="953" t="s">
        <v>504</v>
      </c>
      <c r="C532" s="954"/>
      <c r="D532" s="954"/>
      <c r="E532" s="954"/>
      <c r="F532" s="954"/>
      <c r="G532" s="386"/>
      <c r="H532" s="429"/>
      <c r="I532" s="400"/>
      <c r="L532" s="415"/>
      <c r="M532" s="416"/>
      <c r="N532" s="415"/>
    </row>
    <row r="533" spans="1:14" s="399" customFormat="1">
      <c r="A533" s="397"/>
      <c r="B533" s="451" t="s">
        <v>1339</v>
      </c>
      <c r="C533" s="452">
        <v>100499315.6438356</v>
      </c>
      <c r="D533" s="452">
        <v>100499315.6438356</v>
      </c>
      <c r="E533" s="452">
        <v>100000000</v>
      </c>
      <c r="F533" s="452">
        <f>+C533</f>
        <v>100499315.6438356</v>
      </c>
      <c r="I533" s="400"/>
      <c r="L533" s="415"/>
      <c r="M533" s="416"/>
      <c r="N533" s="415"/>
    </row>
    <row r="534" spans="1:14" s="399" customFormat="1">
      <c r="A534" s="397"/>
      <c r="B534" s="451" t="s">
        <v>1339</v>
      </c>
      <c r="C534" s="452">
        <v>100499315.6438356</v>
      </c>
      <c r="D534" s="452">
        <v>100499315.6438356</v>
      </c>
      <c r="E534" s="452">
        <v>100000000</v>
      </c>
      <c r="F534" s="452">
        <f>+C534</f>
        <v>100499315.6438356</v>
      </c>
      <c r="G534" s="386"/>
      <c r="H534" s="429"/>
      <c r="I534" s="400"/>
      <c r="L534" s="415"/>
      <c r="M534" s="416"/>
      <c r="N534" s="415"/>
    </row>
    <row r="535" spans="1:14" s="399" customFormat="1">
      <c r="A535" s="397"/>
      <c r="B535" s="451" t="s">
        <v>1339</v>
      </c>
      <c r="C535" s="452">
        <v>102241837.71232878</v>
      </c>
      <c r="D535" s="452">
        <v>102241837.71232878</v>
      </c>
      <c r="E535" s="452">
        <v>100000000</v>
      </c>
      <c r="F535" s="452">
        <f>+C535</f>
        <v>102241837.71232878</v>
      </c>
      <c r="I535" s="400"/>
      <c r="L535" s="415"/>
      <c r="M535" s="416"/>
      <c r="N535" s="415"/>
    </row>
    <row r="536" spans="1:14" s="399" customFormat="1">
      <c r="A536" s="397"/>
      <c r="B536" s="451" t="s">
        <v>1339</v>
      </c>
      <c r="C536" s="452">
        <v>102241837.71232878</v>
      </c>
      <c r="D536" s="452">
        <v>102241837.71232878</v>
      </c>
      <c r="E536" s="452">
        <v>100000000</v>
      </c>
      <c r="F536" s="452">
        <f t="shared" ref="F536:F565" si="7">+C536</f>
        <v>102241837.71232878</v>
      </c>
      <c r="I536" s="400"/>
      <c r="L536" s="415"/>
      <c r="M536" s="416"/>
      <c r="N536" s="415"/>
    </row>
    <row r="537" spans="1:14" s="399" customFormat="1">
      <c r="A537" s="397"/>
      <c r="B537" s="451" t="s">
        <v>1339</v>
      </c>
      <c r="C537" s="452">
        <v>102241837.71232878</v>
      </c>
      <c r="D537" s="452">
        <v>102241837.71232878</v>
      </c>
      <c r="E537" s="452">
        <v>100000000</v>
      </c>
      <c r="F537" s="452">
        <f t="shared" si="7"/>
        <v>102241837.71232878</v>
      </c>
      <c r="I537" s="400"/>
      <c r="L537" s="415"/>
      <c r="M537" s="416"/>
      <c r="N537" s="415"/>
    </row>
    <row r="538" spans="1:14" s="399" customFormat="1">
      <c r="A538" s="397"/>
      <c r="B538" s="451" t="s">
        <v>1339</v>
      </c>
      <c r="C538" s="452">
        <v>102241837.71232878</v>
      </c>
      <c r="D538" s="452">
        <v>102241837.71232878</v>
      </c>
      <c r="E538" s="452">
        <v>100000000</v>
      </c>
      <c r="F538" s="452">
        <f t="shared" si="7"/>
        <v>102241837.71232878</v>
      </c>
      <c r="I538" s="400"/>
      <c r="L538" s="415"/>
      <c r="M538" s="416"/>
      <c r="N538" s="415"/>
    </row>
    <row r="539" spans="1:14" s="399" customFormat="1">
      <c r="A539" s="397"/>
      <c r="B539" s="451" t="s">
        <v>1339</v>
      </c>
      <c r="C539" s="452">
        <v>102241837.71232878</v>
      </c>
      <c r="D539" s="452">
        <v>102241837.71232878</v>
      </c>
      <c r="E539" s="452">
        <v>100000000</v>
      </c>
      <c r="F539" s="452">
        <f t="shared" si="7"/>
        <v>102241837.71232878</v>
      </c>
      <c r="I539" s="400"/>
      <c r="L539" s="415"/>
      <c r="M539" s="416"/>
      <c r="N539" s="415"/>
    </row>
    <row r="540" spans="1:14" s="399" customFormat="1">
      <c r="A540" s="397"/>
      <c r="B540" s="451" t="s">
        <v>1339</v>
      </c>
      <c r="C540" s="452">
        <v>153139596.54794523</v>
      </c>
      <c r="D540" s="452">
        <v>153139596.54794523</v>
      </c>
      <c r="E540" s="452">
        <v>150000000</v>
      </c>
      <c r="F540" s="452">
        <f t="shared" si="7"/>
        <v>153139596.54794523</v>
      </c>
      <c r="I540" s="400"/>
      <c r="L540" s="415"/>
      <c r="M540" s="416"/>
      <c r="N540" s="415"/>
    </row>
    <row r="541" spans="1:14" s="399" customFormat="1">
      <c r="A541" s="397"/>
      <c r="B541" s="451" t="s">
        <v>1339</v>
      </c>
      <c r="C541" s="452">
        <v>253444991.01369864</v>
      </c>
      <c r="D541" s="452">
        <v>253444991.01369864</v>
      </c>
      <c r="E541" s="452">
        <v>250000000</v>
      </c>
      <c r="F541" s="452">
        <f t="shared" si="7"/>
        <v>253444991.01369864</v>
      </c>
      <c r="I541" s="400"/>
      <c r="L541" s="415"/>
      <c r="M541" s="416"/>
      <c r="N541" s="415"/>
    </row>
    <row r="542" spans="1:14" s="399" customFormat="1">
      <c r="A542" s="397"/>
      <c r="B542" s="451" t="s">
        <v>1339</v>
      </c>
      <c r="C542" s="452">
        <v>253444991.01369864</v>
      </c>
      <c r="D542" s="452">
        <v>253444991.01369864</v>
      </c>
      <c r="E542" s="452">
        <v>250000000</v>
      </c>
      <c r="F542" s="452">
        <f t="shared" si="7"/>
        <v>253444991.01369864</v>
      </c>
      <c r="I542" s="400"/>
      <c r="L542" s="415"/>
      <c r="M542" s="416"/>
      <c r="N542" s="415"/>
    </row>
    <row r="543" spans="1:14" s="399" customFormat="1">
      <c r="A543" s="397"/>
      <c r="B543" s="451" t="s">
        <v>1339</v>
      </c>
      <c r="C543" s="452">
        <v>253444991.01369864</v>
      </c>
      <c r="D543" s="452">
        <v>253444991.01369864</v>
      </c>
      <c r="E543" s="452">
        <v>250000000</v>
      </c>
      <c r="F543" s="452">
        <f t="shared" si="7"/>
        <v>253444991.01369864</v>
      </c>
      <c r="I543" s="400"/>
      <c r="L543" s="415"/>
      <c r="M543" s="416"/>
      <c r="N543" s="415"/>
    </row>
    <row r="544" spans="1:14" s="399" customFormat="1">
      <c r="A544" s="397"/>
      <c r="B544" s="451" t="s">
        <v>1339</v>
      </c>
      <c r="C544" s="452">
        <v>253444991.01369864</v>
      </c>
      <c r="D544" s="452">
        <v>253444991.01369864</v>
      </c>
      <c r="E544" s="452">
        <v>250000000</v>
      </c>
      <c r="F544" s="452">
        <f t="shared" si="7"/>
        <v>253444991.01369864</v>
      </c>
      <c r="G544" s="386"/>
      <c r="H544" s="429"/>
      <c r="I544" s="400"/>
      <c r="L544" s="415"/>
      <c r="M544" s="416"/>
      <c r="N544" s="415"/>
    </row>
    <row r="545" spans="1:14" s="399" customFormat="1">
      <c r="A545" s="397"/>
      <c r="B545" s="451" t="s">
        <v>1339</v>
      </c>
      <c r="C545" s="452">
        <v>204186130.39726028</v>
      </c>
      <c r="D545" s="452">
        <v>204186130.39726028</v>
      </c>
      <c r="E545" s="452">
        <v>200000000</v>
      </c>
      <c r="F545" s="452">
        <f t="shared" si="7"/>
        <v>204186130.39726028</v>
      </c>
      <c r="I545" s="400"/>
      <c r="L545" s="415"/>
      <c r="M545" s="416"/>
      <c r="N545" s="415"/>
    </row>
    <row r="546" spans="1:14" s="399" customFormat="1">
      <c r="A546" s="397"/>
      <c r="B546" s="451" t="s">
        <v>1339</v>
      </c>
      <c r="C546" s="452">
        <v>102241837.71232878</v>
      </c>
      <c r="D546" s="452">
        <v>102241837.71232878</v>
      </c>
      <c r="E546" s="452">
        <v>100000000</v>
      </c>
      <c r="F546" s="452">
        <f t="shared" si="7"/>
        <v>102241837.71232878</v>
      </c>
      <c r="I546" s="400"/>
      <c r="L546" s="415"/>
      <c r="M546" s="416"/>
      <c r="N546" s="415"/>
    </row>
    <row r="547" spans="1:14" s="399" customFormat="1">
      <c r="A547" s="397"/>
      <c r="B547" s="451" t="s">
        <v>1339</v>
      </c>
      <c r="C547" s="452">
        <v>253444991.01369864</v>
      </c>
      <c r="D547" s="452">
        <v>253444991.01369864</v>
      </c>
      <c r="E547" s="452">
        <v>250000000</v>
      </c>
      <c r="F547" s="452">
        <f t="shared" si="7"/>
        <v>253444991.01369864</v>
      </c>
      <c r="I547" s="400"/>
      <c r="L547" s="415"/>
      <c r="M547" s="416"/>
      <c r="N547" s="415"/>
    </row>
    <row r="548" spans="1:14" s="399" customFormat="1">
      <c r="A548" s="397"/>
      <c r="B548" s="451" t="s">
        <v>1339</v>
      </c>
      <c r="C548" s="452">
        <v>253444991.01369864</v>
      </c>
      <c r="D548" s="452">
        <v>253444991.01369864</v>
      </c>
      <c r="E548" s="452">
        <v>250000000</v>
      </c>
      <c r="F548" s="452">
        <f t="shared" si="7"/>
        <v>253444991.01369864</v>
      </c>
      <c r="I548" s="400"/>
      <c r="L548" s="415"/>
      <c r="M548" s="416"/>
      <c r="N548" s="415"/>
    </row>
    <row r="549" spans="1:14" s="399" customFormat="1">
      <c r="A549" s="397"/>
      <c r="B549" s="451" t="s">
        <v>1339</v>
      </c>
      <c r="C549" s="452">
        <v>204186130.39726028</v>
      </c>
      <c r="D549" s="452">
        <v>204186130.39726028</v>
      </c>
      <c r="E549" s="452">
        <v>200000000</v>
      </c>
      <c r="F549" s="452">
        <f t="shared" si="7"/>
        <v>204186130.39726028</v>
      </c>
      <c r="I549" s="400"/>
      <c r="L549" s="415"/>
      <c r="M549" s="416"/>
      <c r="N549" s="415"/>
    </row>
    <row r="550" spans="1:14" s="399" customFormat="1">
      <c r="A550" s="397"/>
      <c r="B550" s="451" t="s">
        <v>1339</v>
      </c>
      <c r="C550" s="452">
        <v>204186130.39726028</v>
      </c>
      <c r="D550" s="452">
        <v>204186130.39726028</v>
      </c>
      <c r="E550" s="452">
        <v>200000000</v>
      </c>
      <c r="F550" s="452">
        <f t="shared" si="7"/>
        <v>204186130.39726028</v>
      </c>
      <c r="I550" s="400"/>
      <c r="L550" s="415"/>
      <c r="M550" s="416"/>
      <c r="N550" s="415"/>
    </row>
    <row r="551" spans="1:14" s="399" customFormat="1">
      <c r="A551" s="397"/>
      <c r="B551" s="451" t="s">
        <v>1517</v>
      </c>
      <c r="C551" s="452">
        <v>252219178.23287672</v>
      </c>
      <c r="D551" s="452">
        <v>252219178.23287672</v>
      </c>
      <c r="E551" s="452">
        <v>250000000</v>
      </c>
      <c r="F551" s="452">
        <f t="shared" si="7"/>
        <v>252219178.23287672</v>
      </c>
      <c r="I551" s="400"/>
      <c r="L551" s="415"/>
      <c r="M551" s="416"/>
      <c r="N551" s="415"/>
    </row>
    <row r="552" spans="1:14" s="399" customFormat="1">
      <c r="A552" s="397"/>
      <c r="B552" s="451" t="s">
        <v>1517</v>
      </c>
      <c r="C552" s="452">
        <v>252219178.23287672</v>
      </c>
      <c r="D552" s="452">
        <v>252219178.23287672</v>
      </c>
      <c r="E552" s="452">
        <v>250000000</v>
      </c>
      <c r="F552" s="452">
        <f t="shared" si="7"/>
        <v>252219178.23287672</v>
      </c>
      <c r="I552" s="400"/>
      <c r="L552" s="415"/>
      <c r="M552" s="416"/>
      <c r="N552" s="415"/>
    </row>
    <row r="553" spans="1:14" s="399" customFormat="1">
      <c r="A553" s="397"/>
      <c r="B553" s="451" t="s">
        <v>1517</v>
      </c>
      <c r="C553" s="452">
        <v>252219178.23287672</v>
      </c>
      <c r="D553" s="452">
        <v>252219178.23287672</v>
      </c>
      <c r="E553" s="452">
        <v>250000000</v>
      </c>
      <c r="F553" s="452">
        <f t="shared" si="7"/>
        <v>252219178.23287672</v>
      </c>
      <c r="I553" s="400"/>
      <c r="L553" s="415"/>
      <c r="M553" s="416"/>
      <c r="N553" s="415"/>
    </row>
    <row r="554" spans="1:14" s="399" customFormat="1">
      <c r="A554" s="397"/>
      <c r="B554" s="451" t="s">
        <v>1517</v>
      </c>
      <c r="C554" s="452">
        <v>252219178.23287672</v>
      </c>
      <c r="D554" s="452">
        <v>252219178.23287672</v>
      </c>
      <c r="E554" s="452">
        <v>250000000</v>
      </c>
      <c r="F554" s="452">
        <f t="shared" si="7"/>
        <v>252219178.23287672</v>
      </c>
      <c r="I554" s="400"/>
      <c r="L554" s="415"/>
      <c r="M554" s="416"/>
      <c r="N554" s="415"/>
    </row>
    <row r="555" spans="1:14" s="399" customFormat="1">
      <c r="A555" s="397"/>
      <c r="B555" s="451" t="s">
        <v>1517</v>
      </c>
      <c r="C555" s="452">
        <v>252219178.23287672</v>
      </c>
      <c r="D555" s="452">
        <v>252219178.23287672</v>
      </c>
      <c r="E555" s="452">
        <v>250000000</v>
      </c>
      <c r="F555" s="452">
        <f t="shared" si="7"/>
        <v>252219178.23287672</v>
      </c>
      <c r="I555" s="400"/>
      <c r="L555" s="415"/>
      <c r="M555" s="416"/>
      <c r="N555" s="415"/>
    </row>
    <row r="556" spans="1:14" s="399" customFormat="1">
      <c r="A556" s="397"/>
      <c r="B556" s="451" t="s">
        <v>1517</v>
      </c>
      <c r="C556" s="452">
        <v>504849315.12328768</v>
      </c>
      <c r="D556" s="452">
        <v>504849315.12328768</v>
      </c>
      <c r="E556" s="452">
        <v>500000000</v>
      </c>
      <c r="F556" s="452">
        <f t="shared" si="7"/>
        <v>504849315.12328768</v>
      </c>
      <c r="I556" s="400"/>
      <c r="L556" s="415"/>
      <c r="M556" s="416"/>
      <c r="N556" s="415"/>
    </row>
    <row r="557" spans="1:14" s="399" customFormat="1">
      <c r="A557" s="397"/>
      <c r="B557" s="451" t="s">
        <v>1517</v>
      </c>
      <c r="C557" s="452">
        <v>504849315.12328768</v>
      </c>
      <c r="D557" s="452">
        <v>504849315.12328768</v>
      </c>
      <c r="E557" s="452">
        <v>500000000</v>
      </c>
      <c r="F557" s="452">
        <f t="shared" si="7"/>
        <v>504849315.12328768</v>
      </c>
      <c r="I557" s="400"/>
      <c r="L557" s="415"/>
      <c r="M557" s="416"/>
      <c r="N557" s="415"/>
    </row>
    <row r="558" spans="1:14" s="399" customFormat="1">
      <c r="A558" s="397"/>
      <c r="B558" s="451" t="s">
        <v>1517</v>
      </c>
      <c r="C558" s="452">
        <v>201939725.84931508</v>
      </c>
      <c r="D558" s="452">
        <v>201939725.84931508</v>
      </c>
      <c r="E558" s="452">
        <v>200000000</v>
      </c>
      <c r="F558" s="452">
        <f t="shared" si="7"/>
        <v>201939725.84931508</v>
      </c>
      <c r="I558" s="400"/>
      <c r="L558" s="415"/>
      <c r="M558" s="416"/>
      <c r="N558" s="415"/>
    </row>
    <row r="559" spans="1:14" s="399" customFormat="1">
      <c r="A559" s="397"/>
      <c r="B559" s="451" t="s">
        <v>1517</v>
      </c>
      <c r="C559" s="452">
        <v>151331506.73972604</v>
      </c>
      <c r="D559" s="452">
        <v>151331506.73972604</v>
      </c>
      <c r="E559" s="452">
        <v>150000000</v>
      </c>
      <c r="F559" s="452">
        <f t="shared" si="7"/>
        <v>151331506.73972604</v>
      </c>
      <c r="I559" s="400"/>
      <c r="L559" s="415"/>
      <c r="M559" s="416"/>
      <c r="N559" s="415"/>
    </row>
    <row r="560" spans="1:14" s="399" customFormat="1">
      <c r="A560" s="397"/>
      <c r="B560" s="451" t="s">
        <v>1597</v>
      </c>
      <c r="C560" s="452">
        <v>505876712.47945207</v>
      </c>
      <c r="D560" s="452">
        <v>505876712.47945207</v>
      </c>
      <c r="E560" s="452">
        <v>500000000</v>
      </c>
      <c r="F560" s="452">
        <f t="shared" si="7"/>
        <v>505876712.47945207</v>
      </c>
      <c r="I560" s="400"/>
      <c r="L560" s="415"/>
      <c r="M560" s="416"/>
      <c r="N560" s="415"/>
    </row>
    <row r="561" spans="1:14" s="399" customFormat="1">
      <c r="A561" s="397"/>
      <c r="B561" s="451" t="s">
        <v>1597</v>
      </c>
      <c r="C561" s="452">
        <v>101175342.09589042</v>
      </c>
      <c r="D561" s="452">
        <v>101175342.09589042</v>
      </c>
      <c r="E561" s="452">
        <v>100000000</v>
      </c>
      <c r="F561" s="452">
        <f t="shared" si="7"/>
        <v>101175342.09589042</v>
      </c>
      <c r="G561" s="453"/>
      <c r="I561" s="400"/>
      <c r="L561" s="415"/>
      <c r="M561" s="416"/>
      <c r="N561" s="415"/>
    </row>
    <row r="562" spans="1:14" s="399" customFormat="1">
      <c r="A562" s="397"/>
      <c r="B562" s="451" t="s">
        <v>1597</v>
      </c>
      <c r="C562" s="452">
        <v>101175342.09589042</v>
      </c>
      <c r="D562" s="452">
        <v>101175342.09589042</v>
      </c>
      <c r="E562" s="452">
        <v>100000000</v>
      </c>
      <c r="F562" s="452">
        <f t="shared" si="7"/>
        <v>101175342.09589042</v>
      </c>
      <c r="I562" s="400"/>
      <c r="L562" s="415"/>
      <c r="M562" s="416"/>
      <c r="N562" s="415"/>
    </row>
    <row r="563" spans="1:14" s="399" customFormat="1">
      <c r="A563" s="397"/>
      <c r="B563" s="451" t="s">
        <v>1597</v>
      </c>
      <c r="C563" s="452">
        <v>252938355.73972604</v>
      </c>
      <c r="D563" s="452">
        <v>252938355.73972604</v>
      </c>
      <c r="E563" s="452">
        <v>250000000</v>
      </c>
      <c r="F563" s="452">
        <f t="shared" si="7"/>
        <v>252938355.73972604</v>
      </c>
      <c r="I563" s="400"/>
      <c r="L563" s="415"/>
      <c r="M563" s="416"/>
      <c r="N563" s="415"/>
    </row>
    <row r="564" spans="1:14" s="399" customFormat="1">
      <c r="A564" s="397"/>
      <c r="B564" s="451" t="s">
        <v>1602</v>
      </c>
      <c r="C564" s="452">
        <v>100397260.90410958</v>
      </c>
      <c r="D564" s="452">
        <v>100397260.90410958</v>
      </c>
      <c r="E564" s="452">
        <v>100000000</v>
      </c>
      <c r="F564" s="452">
        <f t="shared" si="7"/>
        <v>100397260.90410958</v>
      </c>
      <c r="I564" s="400"/>
      <c r="L564" s="415"/>
      <c r="M564" s="416"/>
      <c r="N564" s="415"/>
    </row>
    <row r="565" spans="1:14" s="399" customFormat="1">
      <c r="A565" s="397"/>
      <c r="B565" s="451" t="s">
        <v>1604</v>
      </c>
      <c r="C565" s="452">
        <v>101093150.67123288</v>
      </c>
      <c r="D565" s="452">
        <v>101093150.67123288</v>
      </c>
      <c r="E565" s="452">
        <v>100000000</v>
      </c>
      <c r="F565" s="452">
        <f t="shared" si="7"/>
        <v>101093150.67123288</v>
      </c>
      <c r="I565" s="400"/>
      <c r="L565" s="415"/>
      <c r="M565" s="416"/>
      <c r="N565" s="415"/>
    </row>
    <row r="566" spans="1:14" s="399" customFormat="1">
      <c r="A566" s="397"/>
      <c r="B566" s="451" t="s">
        <v>472</v>
      </c>
      <c r="C566" s="452">
        <v>110445451.07779451</v>
      </c>
      <c r="D566" s="452">
        <v>110445451.07779451</v>
      </c>
      <c r="E566" s="452">
        <v>103017205</v>
      </c>
      <c r="F566" s="452">
        <f>+C566</f>
        <v>110445451.07779451</v>
      </c>
      <c r="I566" s="400"/>
      <c r="L566" s="415"/>
      <c r="M566" s="416"/>
      <c r="N566" s="415"/>
    </row>
    <row r="567" spans="1:14" s="399" customFormat="1">
      <c r="A567" s="397"/>
      <c r="B567" s="451" t="s">
        <v>472</v>
      </c>
      <c r="C567" s="452">
        <v>205996712.32876712</v>
      </c>
      <c r="D567" s="452">
        <v>205996712.32876712</v>
      </c>
      <c r="E567" s="452">
        <v>200000000</v>
      </c>
      <c r="F567" s="452">
        <f t="shared" ref="F567:F571" si="8">+C567</f>
        <v>205996712.32876712</v>
      </c>
      <c r="I567" s="400"/>
      <c r="L567" s="415"/>
      <c r="M567" s="416"/>
      <c r="N567" s="415"/>
    </row>
    <row r="568" spans="1:14" s="399" customFormat="1">
      <c r="A568" s="397"/>
      <c r="B568" s="451" t="s">
        <v>472</v>
      </c>
      <c r="C568" s="452">
        <v>97441156.963989034</v>
      </c>
      <c r="D568" s="452">
        <v>97441156.963989034</v>
      </c>
      <c r="E568" s="452">
        <v>96585384</v>
      </c>
      <c r="F568" s="452">
        <f t="shared" si="8"/>
        <v>97441156.963989034</v>
      </c>
      <c r="I568" s="400"/>
      <c r="L568" s="415"/>
      <c r="M568" s="416"/>
      <c r="N568" s="415"/>
    </row>
    <row r="569" spans="1:14" s="399" customFormat="1">
      <c r="A569" s="397"/>
      <c r="B569" s="451" t="s">
        <v>472</v>
      </c>
      <c r="C569" s="452">
        <v>70620219.178082198</v>
      </c>
      <c r="D569" s="452">
        <v>70620219.178082198</v>
      </c>
      <c r="E569" s="452">
        <v>70000000</v>
      </c>
      <c r="F569" s="452">
        <f t="shared" si="8"/>
        <v>70620219.178082198</v>
      </c>
      <c r="I569" s="400"/>
      <c r="L569" s="415"/>
      <c r="M569" s="416"/>
      <c r="N569" s="415"/>
    </row>
    <row r="570" spans="1:14" s="399" customFormat="1">
      <c r="A570" s="397"/>
      <c r="B570" s="451" t="s">
        <v>472</v>
      </c>
      <c r="C570" s="452">
        <v>20092054.794520549</v>
      </c>
      <c r="D570" s="452">
        <v>20092054.794520549</v>
      </c>
      <c r="E570" s="452">
        <v>20000000</v>
      </c>
      <c r="F570" s="452">
        <f t="shared" si="8"/>
        <v>20092054.794520549</v>
      </c>
      <c r="I570" s="400"/>
      <c r="L570" s="415"/>
      <c r="M570" s="416"/>
      <c r="N570" s="415"/>
    </row>
    <row r="571" spans="1:14" s="399" customFormat="1">
      <c r="A571" s="397"/>
      <c r="B571" s="451" t="s">
        <v>472</v>
      </c>
      <c r="C571" s="452">
        <v>15049315.06849315</v>
      </c>
      <c r="D571" s="452">
        <v>15049315.06849315</v>
      </c>
      <c r="E571" s="452">
        <v>15000000</v>
      </c>
      <c r="F571" s="452">
        <f t="shared" si="8"/>
        <v>15049315.06849315</v>
      </c>
      <c r="I571" s="400"/>
      <c r="L571" s="415"/>
      <c r="M571" s="416"/>
      <c r="N571" s="415"/>
    </row>
    <row r="572" spans="1:14" s="399" customFormat="1">
      <c r="A572" s="397"/>
      <c r="B572" s="451" t="s">
        <v>472</v>
      </c>
      <c r="C572" s="452">
        <v>108922145.54219179</v>
      </c>
      <c r="D572" s="452">
        <v>108922145.54219179</v>
      </c>
      <c r="E572" s="452">
        <f>15000*$C$15</f>
        <v>102568500</v>
      </c>
      <c r="F572" s="452">
        <f>+C572</f>
        <v>108922145.54219179</v>
      </c>
      <c r="I572" s="400"/>
      <c r="L572" s="415"/>
      <c r="M572" s="416"/>
      <c r="N572" s="415"/>
    </row>
    <row r="573" spans="1:14" s="399" customFormat="1">
      <c r="A573" s="397"/>
      <c r="B573" s="451" t="s">
        <v>472</v>
      </c>
      <c r="C573" s="452">
        <v>548035391.57260263</v>
      </c>
      <c r="D573" s="452">
        <v>548035391.57260263</v>
      </c>
      <c r="E573" s="452">
        <f>80000*$C$15</f>
        <v>547032000</v>
      </c>
      <c r="F573" s="452">
        <f>+C573</f>
        <v>548035391.57260263</v>
      </c>
      <c r="I573" s="400"/>
      <c r="L573" s="415"/>
      <c r="M573" s="416"/>
      <c r="N573" s="415"/>
    </row>
    <row r="574" spans="1:14" s="399" customFormat="1">
      <c r="A574" s="397"/>
      <c r="B574" s="451" t="s">
        <v>1610</v>
      </c>
      <c r="C574" s="452">
        <v>206794956.57534245</v>
      </c>
      <c r="D574" s="452">
        <v>206794956.57534245</v>
      </c>
      <c r="E574" s="452">
        <f>30000*$C$15</f>
        <v>205137000</v>
      </c>
      <c r="F574" s="452">
        <f>+C574</f>
        <v>206794956.57534245</v>
      </c>
      <c r="I574" s="400"/>
      <c r="L574" s="415"/>
      <c r="M574" s="416"/>
      <c r="N574" s="415"/>
    </row>
    <row r="575" spans="1:14" s="399" customFormat="1">
      <c r="A575" s="397"/>
      <c r="B575" s="451" t="s">
        <v>1343</v>
      </c>
      <c r="C575" s="452">
        <v>200384493.15068492</v>
      </c>
      <c r="D575" s="452">
        <v>200384493.15068492</v>
      </c>
      <c r="E575" s="452">
        <v>1000000</v>
      </c>
      <c r="F575" s="452">
        <v>201362560</v>
      </c>
      <c r="G575" s="454"/>
      <c r="I575" s="400"/>
      <c r="L575" s="415"/>
      <c r="M575" s="416"/>
      <c r="N575" s="415"/>
    </row>
    <row r="576" spans="1:14" s="399" customFormat="1">
      <c r="A576" s="397"/>
      <c r="B576" s="451" t="s">
        <v>1343</v>
      </c>
      <c r="C576" s="452">
        <v>664540410.95890415</v>
      </c>
      <c r="D576" s="452">
        <v>664540410.95890415</v>
      </c>
      <c r="E576" s="452">
        <v>1000000</v>
      </c>
      <c r="F576" s="452">
        <v>667784000</v>
      </c>
      <c r="G576" s="454"/>
      <c r="I576" s="400"/>
      <c r="L576" s="415"/>
      <c r="M576" s="416"/>
      <c r="N576" s="415"/>
    </row>
    <row r="577" spans="1:14" s="399" customFormat="1">
      <c r="A577" s="397"/>
      <c r="B577" s="451" t="s">
        <v>1343</v>
      </c>
      <c r="C577" s="452">
        <v>67663561.643835619</v>
      </c>
      <c r="D577" s="452">
        <v>67663561.643835619</v>
      </c>
      <c r="E577" s="452">
        <v>1000000</v>
      </c>
      <c r="F577" s="452">
        <v>67620300</v>
      </c>
      <c r="G577" s="454"/>
      <c r="I577" s="400"/>
      <c r="L577" s="415"/>
      <c r="M577" s="416"/>
      <c r="N577" s="415"/>
    </row>
    <row r="578" spans="1:14" s="399" customFormat="1">
      <c r="A578" s="397"/>
      <c r="B578" s="451" t="s">
        <v>1343</v>
      </c>
      <c r="C578" s="452">
        <v>10252054.794520546</v>
      </c>
      <c r="D578" s="452">
        <v>10252054.794520546</v>
      </c>
      <c r="E578" s="452">
        <v>1000000</v>
      </c>
      <c r="F578" s="452">
        <v>10245500</v>
      </c>
      <c r="G578" s="454"/>
      <c r="I578" s="400"/>
      <c r="L578" s="415"/>
      <c r="M578" s="416"/>
      <c r="N578" s="415"/>
    </row>
    <row r="579" spans="1:14" s="399" customFormat="1">
      <c r="A579" s="397"/>
      <c r="B579" s="451" t="s">
        <v>1343</v>
      </c>
      <c r="C579" s="452">
        <v>410082191.78082198</v>
      </c>
      <c r="D579" s="452">
        <v>410082191.78082198</v>
      </c>
      <c r="E579" s="452">
        <v>1000000</v>
      </c>
      <c r="F579" s="452">
        <v>409820000</v>
      </c>
      <c r="G579" s="454"/>
      <c r="I579" s="400"/>
      <c r="L579" s="415"/>
      <c r="M579" s="416"/>
      <c r="N579" s="415"/>
    </row>
    <row r="580" spans="1:14" s="399" customFormat="1">
      <c r="A580" s="397"/>
      <c r="B580" s="451" t="s">
        <v>1343</v>
      </c>
      <c r="C580" s="452">
        <v>5126027.3972602729</v>
      </c>
      <c r="D580" s="452">
        <v>5126027.3972602729</v>
      </c>
      <c r="E580" s="452">
        <v>1000000</v>
      </c>
      <c r="F580" s="452">
        <v>5122750</v>
      </c>
      <c r="G580" s="454"/>
      <c r="I580" s="400"/>
      <c r="L580" s="415"/>
      <c r="M580" s="416"/>
      <c r="N580" s="415"/>
    </row>
    <row r="581" spans="1:14" s="399" customFormat="1">
      <c r="A581" s="397"/>
      <c r="B581" s="451" t="s">
        <v>1344</v>
      </c>
      <c r="C581" s="452">
        <v>5007397.2602739725</v>
      </c>
      <c r="D581" s="452">
        <v>5007397.2602739725</v>
      </c>
      <c r="E581" s="452">
        <v>1000000</v>
      </c>
      <c r="F581" s="452">
        <v>5027350</v>
      </c>
      <c r="G581" s="454"/>
      <c r="I581" s="400"/>
      <c r="L581" s="415"/>
      <c r="M581" s="416"/>
      <c r="N581" s="415"/>
    </row>
    <row r="582" spans="1:14" s="399" customFormat="1">
      <c r="A582" s="397"/>
      <c r="B582" s="451" t="s">
        <v>1344</v>
      </c>
      <c r="C582" s="452">
        <v>673995671.23287666</v>
      </c>
      <c r="D582" s="452">
        <v>673995671.23287666</v>
      </c>
      <c r="E582" s="452">
        <v>1000000</v>
      </c>
      <c r="F582" s="452">
        <v>676681310</v>
      </c>
      <c r="G582" s="454"/>
      <c r="I582" s="400"/>
      <c r="L582" s="415"/>
      <c r="M582" s="416"/>
      <c r="N582" s="415"/>
    </row>
    <row r="583" spans="1:14" s="399" customFormat="1">
      <c r="A583" s="397"/>
      <c r="B583" s="451" t="s">
        <v>1345</v>
      </c>
      <c r="C583" s="452">
        <v>200000000.00016984</v>
      </c>
      <c r="D583" s="452">
        <v>200000000.00016984</v>
      </c>
      <c r="E583" s="452">
        <v>1000000</v>
      </c>
      <c r="F583" s="452">
        <v>200152000.00000003</v>
      </c>
      <c r="G583" s="454"/>
      <c r="I583" s="400"/>
      <c r="L583" s="415"/>
      <c r="M583" s="416"/>
      <c r="N583" s="415"/>
    </row>
    <row r="584" spans="1:14" s="399" customFormat="1">
      <c r="A584" s="397"/>
      <c r="B584" s="451" t="s">
        <v>1345</v>
      </c>
      <c r="C584" s="452">
        <v>5000000.000001302</v>
      </c>
      <c r="D584" s="452">
        <v>5000000.000001302</v>
      </c>
      <c r="E584" s="452">
        <v>1000000</v>
      </c>
      <c r="F584" s="452">
        <v>5003800.0000000009</v>
      </c>
      <c r="G584" s="454"/>
      <c r="I584" s="400"/>
      <c r="L584" s="415"/>
      <c r="M584" s="416"/>
      <c r="N584" s="415"/>
    </row>
    <row r="585" spans="1:14" s="399" customFormat="1">
      <c r="A585" s="397"/>
      <c r="B585" s="451" t="s">
        <v>1345</v>
      </c>
      <c r="C585" s="452">
        <v>625000000</v>
      </c>
      <c r="D585" s="452">
        <v>625000000</v>
      </c>
      <c r="E585" s="452">
        <v>1000000</v>
      </c>
      <c r="F585" s="452">
        <v>625000000</v>
      </c>
      <c r="G585" s="454"/>
      <c r="I585" s="400"/>
      <c r="L585" s="415"/>
      <c r="M585" s="416"/>
      <c r="N585" s="415"/>
    </row>
    <row r="586" spans="1:14" s="399" customFormat="1">
      <c r="A586" s="397"/>
      <c r="B586" s="451" t="s">
        <v>1616</v>
      </c>
      <c r="C586" s="452">
        <v>36285041.095890403</v>
      </c>
      <c r="D586" s="452">
        <v>36285041.095890403</v>
      </c>
      <c r="E586" s="452">
        <v>1000000</v>
      </c>
      <c r="F586" s="452">
        <v>36285120</v>
      </c>
      <c r="G586" s="454"/>
      <c r="I586" s="400"/>
      <c r="L586" s="415"/>
      <c r="M586" s="416"/>
      <c r="N586" s="415"/>
    </row>
    <row r="587" spans="1:14" s="399" customFormat="1">
      <c r="A587" s="397"/>
      <c r="B587" s="451" t="s">
        <v>1344</v>
      </c>
      <c r="C587" s="452">
        <v>684342936.98630142</v>
      </c>
      <c r="D587" s="452">
        <v>684342936.98630142</v>
      </c>
      <c r="E587" s="452">
        <v>1000000</v>
      </c>
      <c r="F587" s="452">
        <v>672543000</v>
      </c>
      <c r="G587" s="454"/>
      <c r="I587" s="400"/>
      <c r="L587" s="415"/>
      <c r="M587" s="416"/>
      <c r="N587" s="415"/>
    </row>
    <row r="588" spans="1:14" s="399" customFormat="1">
      <c r="A588" s="397"/>
      <c r="B588" s="451" t="s">
        <v>1344</v>
      </c>
      <c r="C588" s="452">
        <v>1090546493.1506848</v>
      </c>
      <c r="D588" s="452">
        <v>1090546493.1506848</v>
      </c>
      <c r="E588" s="452">
        <v>1000000</v>
      </c>
      <c r="F588" s="452">
        <v>1071742500</v>
      </c>
      <c r="G588" s="454"/>
      <c r="I588" s="400"/>
      <c r="L588" s="415"/>
      <c r="M588" s="416"/>
      <c r="N588" s="415"/>
    </row>
    <row r="589" spans="1:14" s="399" customFormat="1">
      <c r="A589" s="397"/>
      <c r="B589" s="451" t="s">
        <v>1344</v>
      </c>
      <c r="C589" s="452">
        <v>2051027808.219178</v>
      </c>
      <c r="D589" s="452">
        <v>2051027808.219178</v>
      </c>
      <c r="E589" s="452">
        <v>1000000</v>
      </c>
      <c r="F589" s="452">
        <v>2015662500</v>
      </c>
      <c r="G589" s="454"/>
      <c r="I589" s="400"/>
      <c r="L589" s="415"/>
      <c r="M589" s="416"/>
      <c r="N589" s="415"/>
    </row>
    <row r="590" spans="1:14" s="399" customFormat="1">
      <c r="A590" s="397"/>
      <c r="B590" s="451" t="s">
        <v>1344</v>
      </c>
      <c r="C590" s="452">
        <v>33016545.205479454</v>
      </c>
      <c r="D590" s="452">
        <v>33016545.205479454</v>
      </c>
      <c r="E590" s="452">
        <v>1000000</v>
      </c>
      <c r="F590" s="452">
        <v>32447250</v>
      </c>
      <c r="G590" s="454"/>
      <c r="I590" s="400"/>
      <c r="L590" s="415"/>
      <c r="M590" s="416"/>
      <c r="N590" s="415"/>
    </row>
    <row r="591" spans="1:14" s="399" customFormat="1">
      <c r="A591" s="397"/>
      <c r="B591" s="451" t="s">
        <v>1344</v>
      </c>
      <c r="C591" s="452">
        <v>1100551506.8493152</v>
      </c>
      <c r="D591" s="452">
        <v>1100551506.8493152</v>
      </c>
      <c r="E591" s="452">
        <v>1000000</v>
      </c>
      <c r="F591" s="452">
        <v>1081575000</v>
      </c>
      <c r="G591" s="454"/>
      <c r="I591" s="400"/>
      <c r="L591" s="415"/>
      <c r="M591" s="416"/>
      <c r="N591" s="415"/>
    </row>
    <row r="592" spans="1:14" s="399" customFormat="1">
      <c r="A592" s="397"/>
      <c r="B592" s="451" t="s">
        <v>1616</v>
      </c>
      <c r="C592" s="452">
        <v>1677359458.9041095</v>
      </c>
      <c r="D592" s="452">
        <v>1677359458.9041095</v>
      </c>
      <c r="E592" s="452">
        <v>1000000</v>
      </c>
      <c r="F592" s="452">
        <v>1657504940</v>
      </c>
      <c r="G592" s="454"/>
      <c r="I592" s="400"/>
      <c r="L592" s="415"/>
      <c r="M592" s="416"/>
      <c r="N592" s="415"/>
    </row>
    <row r="593" spans="1:14" s="399" customFormat="1">
      <c r="A593" s="397"/>
      <c r="B593" s="451" t="s">
        <v>1616</v>
      </c>
      <c r="C593" s="452">
        <v>1117562328.7671232</v>
      </c>
      <c r="D593" s="452">
        <v>1117562328.7671232</v>
      </c>
      <c r="E593" s="452">
        <v>1000000</v>
      </c>
      <c r="F593" s="452">
        <v>1104334000</v>
      </c>
      <c r="G593" s="454"/>
      <c r="I593" s="400"/>
      <c r="L593" s="415"/>
      <c r="M593" s="416"/>
      <c r="N593" s="415"/>
    </row>
    <row r="594" spans="1:14" s="399" customFormat="1">
      <c r="A594" s="397"/>
      <c r="B594" s="451" t="s">
        <v>1345</v>
      </c>
      <c r="C594" s="452">
        <v>435000000</v>
      </c>
      <c r="D594" s="452">
        <v>435000000</v>
      </c>
      <c r="E594" s="452">
        <v>1000000</v>
      </c>
      <c r="F594" s="452">
        <v>441007350.00000006</v>
      </c>
      <c r="G594" s="454"/>
      <c r="I594" s="400"/>
      <c r="L594" s="415"/>
      <c r="M594" s="416"/>
      <c r="N594" s="415"/>
    </row>
    <row r="595" spans="1:14" s="399" customFormat="1">
      <c r="A595" s="397"/>
      <c r="B595" s="451" t="s">
        <v>1345</v>
      </c>
      <c r="C595" s="452">
        <v>100000000</v>
      </c>
      <c r="D595" s="452">
        <v>100000000</v>
      </c>
      <c r="E595" s="452">
        <v>1000000</v>
      </c>
      <c r="F595" s="452">
        <v>101381000.00000001</v>
      </c>
      <c r="G595" s="454"/>
      <c r="I595" s="400"/>
      <c r="L595" s="415"/>
      <c r="M595" s="416"/>
      <c r="N595" s="415"/>
    </row>
    <row r="596" spans="1:14" s="399" customFormat="1">
      <c r="A596" s="397"/>
      <c r="B596" s="451" t="s">
        <v>1345</v>
      </c>
      <c r="C596" s="452">
        <v>304000000</v>
      </c>
      <c r="D596" s="452">
        <v>304000000</v>
      </c>
      <c r="E596" s="452">
        <v>1000000</v>
      </c>
      <c r="F596" s="452">
        <v>305620320</v>
      </c>
      <c r="G596" s="454"/>
      <c r="I596" s="400"/>
      <c r="L596" s="415"/>
      <c r="M596" s="416"/>
      <c r="N596" s="415"/>
    </row>
    <row r="597" spans="1:14" s="399" customFormat="1">
      <c r="A597" s="397"/>
      <c r="B597" s="451" t="s">
        <v>1345</v>
      </c>
      <c r="C597" s="452">
        <v>2300000000</v>
      </c>
      <c r="D597" s="452">
        <v>2300000000</v>
      </c>
      <c r="E597" s="452">
        <v>1000000</v>
      </c>
      <c r="F597" s="452">
        <v>2312259000</v>
      </c>
      <c r="G597" s="454"/>
      <c r="I597" s="400"/>
      <c r="L597" s="415"/>
      <c r="M597" s="416"/>
      <c r="N597" s="415"/>
    </row>
    <row r="598" spans="1:14" s="399" customFormat="1">
      <c r="A598" s="397"/>
      <c r="B598" s="451" t="s">
        <v>523</v>
      </c>
      <c r="C598" s="452">
        <v>701520822</v>
      </c>
      <c r="D598" s="452">
        <v>701520822</v>
      </c>
      <c r="E598" s="452">
        <v>1000000</v>
      </c>
      <c r="F598" s="452">
        <v>703493000</v>
      </c>
      <c r="G598" s="454"/>
      <c r="I598" s="400"/>
      <c r="L598" s="415"/>
      <c r="M598" s="416"/>
      <c r="N598" s="415"/>
    </row>
    <row r="599" spans="1:14" s="399" customFormat="1">
      <c r="A599" s="397"/>
      <c r="B599" s="451" t="s">
        <v>1522</v>
      </c>
      <c r="C599" s="452">
        <v>6837900</v>
      </c>
      <c r="D599" s="452">
        <v>6837900</v>
      </c>
      <c r="E599" s="452">
        <f t="shared" ref="E599:E604" si="9">1000*$C$15</f>
        <v>6837900</v>
      </c>
      <c r="F599" s="452">
        <f>1036.41*$C$15</f>
        <v>7086867.9390000002</v>
      </c>
      <c r="G599" s="454"/>
      <c r="I599" s="400"/>
      <c r="L599" s="415"/>
      <c r="M599" s="416"/>
      <c r="N599" s="415"/>
    </row>
    <row r="600" spans="1:14" s="399" customFormat="1">
      <c r="A600" s="397"/>
      <c r="B600" s="451" t="s">
        <v>1346</v>
      </c>
      <c r="C600" s="452">
        <v>34749645.780821912</v>
      </c>
      <c r="D600" s="452">
        <v>34749645.780821912</v>
      </c>
      <c r="E600" s="452">
        <f t="shared" si="9"/>
        <v>6837900</v>
      </c>
      <c r="F600" s="452">
        <f>5051.65*$C$15</f>
        <v>34542677.534999996</v>
      </c>
      <c r="G600" s="454"/>
      <c r="I600" s="400"/>
      <c r="L600" s="415"/>
      <c r="M600" s="416"/>
      <c r="N600" s="415"/>
    </row>
    <row r="601" spans="1:14" s="399" customFormat="1">
      <c r="A601" s="397"/>
      <c r="B601" s="451" t="s">
        <v>1346</v>
      </c>
      <c r="C601" s="452">
        <v>200741166.99863014</v>
      </c>
      <c r="D601" s="452">
        <v>200741166.99863014</v>
      </c>
      <c r="E601" s="452">
        <f t="shared" si="9"/>
        <v>6837900</v>
      </c>
      <c r="F601" s="452">
        <f>29299.57*$C$15</f>
        <v>200347529.70299998</v>
      </c>
      <c r="G601" s="454"/>
      <c r="I601" s="400"/>
      <c r="L601" s="415"/>
      <c r="M601" s="416"/>
      <c r="N601" s="415"/>
    </row>
    <row r="602" spans="1:14" s="399" customFormat="1">
      <c r="A602" s="397"/>
      <c r="B602" s="451" t="s">
        <v>1522</v>
      </c>
      <c r="C602" s="452">
        <v>34275910.448630132</v>
      </c>
      <c r="D602" s="452">
        <v>34275910.448630132</v>
      </c>
      <c r="E602" s="452">
        <f t="shared" si="9"/>
        <v>6837900</v>
      </c>
      <c r="F602" s="452">
        <f>5058.15*$C$15</f>
        <v>34587123.884999998</v>
      </c>
      <c r="G602" s="454"/>
      <c r="I602" s="400"/>
      <c r="L602" s="415"/>
      <c r="M602" s="416"/>
      <c r="N602" s="415"/>
    </row>
    <row r="603" spans="1:14" s="399" customFormat="1">
      <c r="A603" s="397"/>
      <c r="B603" s="451" t="s">
        <v>1522</v>
      </c>
      <c r="C603" s="452">
        <v>6845964.9752054783</v>
      </c>
      <c r="D603" s="452">
        <v>6845964.9752054783</v>
      </c>
      <c r="E603" s="452">
        <f t="shared" si="9"/>
        <v>6837900</v>
      </c>
      <c r="F603" s="452">
        <f>1010.28*$C$15</f>
        <v>6908193.6119999997</v>
      </c>
      <c r="G603" s="454"/>
      <c r="I603" s="400"/>
      <c r="L603" s="415"/>
      <c r="M603" s="416"/>
      <c r="N603" s="415"/>
    </row>
    <row r="604" spans="1:14" s="399" customFormat="1">
      <c r="A604" s="397"/>
      <c r="B604" s="451" t="s">
        <v>1522</v>
      </c>
      <c r="C604" s="452">
        <v>48129214.839041099</v>
      </c>
      <c r="D604" s="452">
        <v>48129214.839041099</v>
      </c>
      <c r="E604" s="452">
        <f t="shared" si="9"/>
        <v>6837900</v>
      </c>
      <c r="F604" s="452">
        <f>7154.35*$C$15</f>
        <v>48920729.865000002</v>
      </c>
      <c r="G604" s="454"/>
      <c r="I604" s="400"/>
      <c r="L604" s="415"/>
      <c r="M604" s="416"/>
      <c r="N604" s="415"/>
    </row>
    <row r="605" spans="1:14" s="399" customFormat="1">
      <c r="A605" s="397"/>
      <c r="B605" s="451" t="s">
        <v>1147</v>
      </c>
      <c r="C605" s="452">
        <v>76303458.733168229</v>
      </c>
      <c r="D605" s="452">
        <v>76303458.733168229</v>
      </c>
      <c r="E605" s="452">
        <v>1000000</v>
      </c>
      <c r="F605" s="452">
        <v>63750000</v>
      </c>
      <c r="G605" s="454"/>
      <c r="I605" s="400"/>
      <c r="L605" s="415"/>
      <c r="M605" s="416"/>
      <c r="N605" s="415"/>
    </row>
    <row r="606" spans="1:14" s="399" customFormat="1">
      <c r="A606" s="397"/>
      <c r="B606" s="451" t="s">
        <v>1147</v>
      </c>
      <c r="C606" s="452">
        <v>300604683.92341894</v>
      </c>
      <c r="D606" s="452">
        <v>300604683.92341894</v>
      </c>
      <c r="E606" s="452">
        <v>1000000</v>
      </c>
      <c r="F606" s="452">
        <v>290544000</v>
      </c>
      <c r="G606" s="454"/>
      <c r="I606" s="400"/>
      <c r="L606" s="415"/>
      <c r="M606" s="416"/>
      <c r="N606" s="415"/>
    </row>
    <row r="607" spans="1:14" s="399" customFormat="1">
      <c r="A607" s="397"/>
      <c r="B607" s="451" t="s">
        <v>472</v>
      </c>
      <c r="C607" s="452">
        <v>1277933080</v>
      </c>
      <c r="D607" s="452">
        <v>1277933080</v>
      </c>
      <c r="E607" s="452">
        <v>0</v>
      </c>
      <c r="F607" s="452">
        <f>+C607</f>
        <v>1277933080</v>
      </c>
      <c r="G607" s="454"/>
      <c r="I607" s="400"/>
      <c r="L607" s="415"/>
      <c r="M607" s="416"/>
      <c r="N607" s="415"/>
    </row>
    <row r="608" spans="1:14" s="399" customFormat="1">
      <c r="A608" s="397"/>
      <c r="B608" s="451"/>
      <c r="C608" s="452"/>
      <c r="D608" s="452"/>
      <c r="E608" s="452"/>
      <c r="F608" s="452"/>
      <c r="G608" s="454"/>
      <c r="I608" s="400"/>
      <c r="L608" s="415"/>
      <c r="M608" s="416"/>
      <c r="N608" s="415"/>
    </row>
    <row r="609" spans="1:14" s="399" customFormat="1">
      <c r="A609" s="397"/>
      <c r="B609" s="953" t="s">
        <v>1474</v>
      </c>
      <c r="C609" s="954"/>
      <c r="D609" s="954"/>
      <c r="E609" s="954"/>
      <c r="F609" s="954"/>
      <c r="G609" s="454"/>
      <c r="I609" s="400"/>
      <c r="L609" s="415"/>
      <c r="M609" s="416"/>
      <c r="N609" s="415"/>
    </row>
    <row r="610" spans="1:14" s="399" customFormat="1">
      <c r="A610" s="397"/>
      <c r="B610" s="451" t="s">
        <v>523</v>
      </c>
      <c r="C610" s="452">
        <v>32589041.095890045</v>
      </c>
      <c r="D610" s="452">
        <v>32589041.095890045</v>
      </c>
      <c r="E610" s="452">
        <v>0</v>
      </c>
      <c r="F610" s="452">
        <f>+C610</f>
        <v>32589041.095890045</v>
      </c>
      <c r="G610" s="454"/>
      <c r="I610" s="400"/>
      <c r="L610" s="415"/>
      <c r="M610" s="416"/>
      <c r="N610" s="415"/>
    </row>
    <row r="611" spans="1:14" s="399" customFormat="1">
      <c r="A611" s="397"/>
      <c r="B611" s="451" t="s">
        <v>1343</v>
      </c>
      <c r="C611" s="452">
        <v>156589041.09589052</v>
      </c>
      <c r="D611" s="452">
        <v>156589041.09589052</v>
      </c>
      <c r="E611" s="452">
        <v>0</v>
      </c>
      <c r="F611" s="452">
        <f t="shared" ref="F611:F674" si="10">+C611</f>
        <v>156589041.09589052</v>
      </c>
      <c r="G611" s="454"/>
      <c r="I611" s="400"/>
      <c r="L611" s="415"/>
      <c r="M611" s="416"/>
      <c r="N611" s="415"/>
    </row>
    <row r="612" spans="1:14" s="399" customFormat="1">
      <c r="A612" s="397"/>
      <c r="B612" s="451" t="s">
        <v>1344</v>
      </c>
      <c r="C612" s="452">
        <v>2180958.3424658775</v>
      </c>
      <c r="D612" s="452">
        <v>2180958.3424658775</v>
      </c>
      <c r="E612" s="452">
        <v>0</v>
      </c>
      <c r="F612" s="452">
        <f t="shared" si="10"/>
        <v>2180958.3424658775</v>
      </c>
      <c r="G612" s="454"/>
      <c r="I612" s="400"/>
      <c r="L612" s="415"/>
      <c r="M612" s="416"/>
      <c r="N612" s="415"/>
    </row>
    <row r="613" spans="1:14" s="399" customFormat="1">
      <c r="A613" s="397"/>
      <c r="B613" s="451" t="s">
        <v>1518</v>
      </c>
      <c r="C613" s="452">
        <v>19082191.78082196</v>
      </c>
      <c r="D613" s="452">
        <v>19082191.78082196</v>
      </c>
      <c r="E613" s="452">
        <v>0</v>
      </c>
      <c r="F613" s="452">
        <f t="shared" si="10"/>
        <v>19082191.78082196</v>
      </c>
      <c r="G613" s="454"/>
      <c r="I613" s="400"/>
      <c r="L613" s="415"/>
      <c r="M613" s="416"/>
      <c r="N613" s="415"/>
    </row>
    <row r="614" spans="1:14" s="399" customFormat="1">
      <c r="A614" s="397"/>
      <c r="B614" s="451" t="s">
        <v>1518</v>
      </c>
      <c r="C614" s="452">
        <v>19082191.780821979</v>
      </c>
      <c r="D614" s="452">
        <v>19082191.780821979</v>
      </c>
      <c r="E614" s="452">
        <v>0</v>
      </c>
      <c r="F614" s="452">
        <f t="shared" si="10"/>
        <v>19082191.780821979</v>
      </c>
      <c r="G614" s="454"/>
      <c r="I614" s="400"/>
      <c r="L614" s="415"/>
      <c r="M614" s="416"/>
      <c r="N614" s="415"/>
    </row>
    <row r="615" spans="1:14" s="399" customFormat="1">
      <c r="A615" s="397"/>
      <c r="B615" s="451" t="s">
        <v>1518</v>
      </c>
      <c r="C615" s="452">
        <v>19082191.780821979</v>
      </c>
      <c r="D615" s="452">
        <v>19082191.780821979</v>
      </c>
      <c r="E615" s="452">
        <v>0</v>
      </c>
      <c r="F615" s="452">
        <f t="shared" si="10"/>
        <v>19082191.780821979</v>
      </c>
      <c r="G615" s="454"/>
      <c r="I615" s="400"/>
      <c r="L615" s="415"/>
      <c r="M615" s="416"/>
      <c r="N615" s="415"/>
    </row>
    <row r="616" spans="1:14" s="399" customFormat="1">
      <c r="A616" s="397"/>
      <c r="B616" s="451" t="s">
        <v>1518</v>
      </c>
      <c r="C616" s="452">
        <v>19082191.780821979</v>
      </c>
      <c r="D616" s="452">
        <v>19082191.780821979</v>
      </c>
      <c r="E616" s="452">
        <v>0</v>
      </c>
      <c r="F616" s="452">
        <f t="shared" si="10"/>
        <v>19082191.780821979</v>
      </c>
      <c r="G616" s="454"/>
      <c r="I616" s="400"/>
      <c r="L616" s="415"/>
      <c r="M616" s="416"/>
      <c r="N616" s="415"/>
    </row>
    <row r="617" spans="1:14" s="399" customFormat="1">
      <c r="A617" s="397"/>
      <c r="B617" s="451" t="s">
        <v>1518</v>
      </c>
      <c r="C617" s="452">
        <v>19082191.780821979</v>
      </c>
      <c r="D617" s="452">
        <v>19082191.780821979</v>
      </c>
      <c r="E617" s="452">
        <v>0</v>
      </c>
      <c r="F617" s="452">
        <f t="shared" si="10"/>
        <v>19082191.780821979</v>
      </c>
      <c r="G617" s="454"/>
      <c r="I617" s="400"/>
      <c r="L617" s="415"/>
      <c r="M617" s="416"/>
      <c r="N617" s="415"/>
    </row>
    <row r="618" spans="1:14" s="399" customFormat="1">
      <c r="A618" s="397"/>
      <c r="B618" s="451" t="s">
        <v>1518</v>
      </c>
      <c r="C618" s="452">
        <v>19082191.780821979</v>
      </c>
      <c r="D618" s="452">
        <v>19082191.780821979</v>
      </c>
      <c r="E618" s="452">
        <v>0</v>
      </c>
      <c r="F618" s="452">
        <f t="shared" si="10"/>
        <v>19082191.780821979</v>
      </c>
      <c r="G618" s="454"/>
      <c r="I618" s="400"/>
      <c r="L618" s="415"/>
      <c r="M618" s="416"/>
      <c r="N618" s="415"/>
    </row>
    <row r="619" spans="1:14" s="399" customFormat="1">
      <c r="A619" s="397"/>
      <c r="B619" s="451" t="s">
        <v>1518</v>
      </c>
      <c r="C619" s="452">
        <v>19082191.780821979</v>
      </c>
      <c r="D619" s="452">
        <v>19082191.780821979</v>
      </c>
      <c r="E619" s="452">
        <v>0</v>
      </c>
      <c r="F619" s="452">
        <f t="shared" si="10"/>
        <v>19082191.780821979</v>
      </c>
      <c r="G619" s="454"/>
      <c r="I619" s="400"/>
      <c r="L619" s="415"/>
      <c r="M619" s="416"/>
      <c r="N619" s="415"/>
    </row>
    <row r="620" spans="1:14" s="399" customFormat="1">
      <c r="A620" s="397"/>
      <c r="B620" s="451" t="s">
        <v>1518</v>
      </c>
      <c r="C620" s="452">
        <v>19082191.780821979</v>
      </c>
      <c r="D620" s="452">
        <v>19082191.780821979</v>
      </c>
      <c r="E620" s="452">
        <v>0</v>
      </c>
      <c r="F620" s="452">
        <f t="shared" si="10"/>
        <v>19082191.780821979</v>
      </c>
      <c r="G620" s="454"/>
      <c r="I620" s="400"/>
      <c r="L620" s="415"/>
      <c r="M620" s="416"/>
      <c r="N620" s="415"/>
    </row>
    <row r="621" spans="1:14" s="399" customFormat="1">
      <c r="A621" s="397"/>
      <c r="B621" s="451" t="s">
        <v>1518</v>
      </c>
      <c r="C621" s="452">
        <v>19082191.780821979</v>
      </c>
      <c r="D621" s="452">
        <v>19082191.780821979</v>
      </c>
      <c r="E621" s="452">
        <v>0</v>
      </c>
      <c r="F621" s="452">
        <f t="shared" si="10"/>
        <v>19082191.780821979</v>
      </c>
      <c r="G621" s="454"/>
      <c r="I621" s="400"/>
      <c r="L621" s="415"/>
      <c r="M621" s="416"/>
      <c r="N621" s="415"/>
    </row>
    <row r="622" spans="1:14" s="399" customFormat="1">
      <c r="A622" s="397"/>
      <c r="B622" s="451" t="s">
        <v>1518</v>
      </c>
      <c r="C622" s="452">
        <v>19082191.780821979</v>
      </c>
      <c r="D622" s="452">
        <v>19082191.780821979</v>
      </c>
      <c r="E622" s="452">
        <v>0</v>
      </c>
      <c r="F622" s="452">
        <f t="shared" si="10"/>
        <v>19082191.780821979</v>
      </c>
      <c r="G622" s="454"/>
      <c r="I622" s="400"/>
      <c r="L622" s="415"/>
      <c r="M622" s="416"/>
      <c r="N622" s="415"/>
    </row>
    <row r="623" spans="1:14" s="399" customFormat="1">
      <c r="A623" s="397"/>
      <c r="B623" s="451" t="s">
        <v>1518</v>
      </c>
      <c r="C623" s="452">
        <v>19082191.780821979</v>
      </c>
      <c r="D623" s="452">
        <v>19082191.780821979</v>
      </c>
      <c r="E623" s="452">
        <v>0</v>
      </c>
      <c r="F623" s="452">
        <f t="shared" si="10"/>
        <v>19082191.780821979</v>
      </c>
      <c r="G623" s="454"/>
      <c r="I623" s="400"/>
      <c r="L623" s="415"/>
      <c r="M623" s="416"/>
      <c r="N623" s="415"/>
    </row>
    <row r="624" spans="1:14" s="399" customFormat="1">
      <c r="A624" s="397"/>
      <c r="B624" s="451" t="s">
        <v>1518</v>
      </c>
      <c r="C624" s="452">
        <v>19082191.780821979</v>
      </c>
      <c r="D624" s="452">
        <v>19082191.780821979</v>
      </c>
      <c r="E624" s="452">
        <v>0</v>
      </c>
      <c r="F624" s="452">
        <f t="shared" si="10"/>
        <v>19082191.780821979</v>
      </c>
      <c r="G624" s="454"/>
      <c r="I624" s="400"/>
      <c r="L624" s="415"/>
      <c r="M624" s="416"/>
      <c r="N624" s="415"/>
    </row>
    <row r="625" spans="1:14" s="399" customFormat="1">
      <c r="A625" s="397"/>
      <c r="B625" s="451" t="s">
        <v>1518</v>
      </c>
      <c r="C625" s="452">
        <v>19082191.780821979</v>
      </c>
      <c r="D625" s="452">
        <v>19082191.780821979</v>
      </c>
      <c r="E625" s="452">
        <v>0</v>
      </c>
      <c r="F625" s="452">
        <f t="shared" si="10"/>
        <v>19082191.780821979</v>
      </c>
      <c r="G625" s="454"/>
      <c r="I625" s="400"/>
      <c r="L625" s="415"/>
      <c r="M625" s="416"/>
      <c r="N625" s="415"/>
    </row>
    <row r="626" spans="1:14" s="399" customFormat="1">
      <c r="A626" s="397"/>
      <c r="B626" s="451" t="s">
        <v>1518</v>
      </c>
      <c r="C626" s="452">
        <v>19082191.780821979</v>
      </c>
      <c r="D626" s="452">
        <v>19082191.780821979</v>
      </c>
      <c r="E626" s="452">
        <v>0</v>
      </c>
      <c r="F626" s="452">
        <f t="shared" si="10"/>
        <v>19082191.780821979</v>
      </c>
      <c r="G626" s="454"/>
      <c r="I626" s="400"/>
      <c r="L626" s="415"/>
      <c r="M626" s="416"/>
      <c r="N626" s="415"/>
    </row>
    <row r="627" spans="1:14" s="399" customFormat="1">
      <c r="A627" s="397"/>
      <c r="B627" s="451" t="s">
        <v>1518</v>
      </c>
      <c r="C627" s="452">
        <v>19082191.780821979</v>
      </c>
      <c r="D627" s="452">
        <v>19082191.780821979</v>
      </c>
      <c r="E627" s="452">
        <v>0</v>
      </c>
      <c r="F627" s="452">
        <f t="shared" si="10"/>
        <v>19082191.780821979</v>
      </c>
      <c r="G627" s="454"/>
      <c r="I627" s="400"/>
      <c r="L627" s="415"/>
      <c r="M627" s="416"/>
      <c r="N627" s="415"/>
    </row>
    <row r="628" spans="1:14" s="399" customFormat="1">
      <c r="A628" s="397"/>
      <c r="B628" s="451" t="s">
        <v>1518</v>
      </c>
      <c r="C628" s="452">
        <v>19082191.780821979</v>
      </c>
      <c r="D628" s="452">
        <v>19082191.780821979</v>
      </c>
      <c r="E628" s="452">
        <v>0</v>
      </c>
      <c r="F628" s="452">
        <f t="shared" si="10"/>
        <v>19082191.780821979</v>
      </c>
      <c r="G628" s="454"/>
      <c r="I628" s="400"/>
      <c r="L628" s="415"/>
      <c r="M628" s="416"/>
      <c r="N628" s="415"/>
    </row>
    <row r="629" spans="1:14" s="399" customFormat="1">
      <c r="A629" s="397"/>
      <c r="B629" s="451" t="s">
        <v>1518</v>
      </c>
      <c r="C629" s="452">
        <v>16356164.38356163</v>
      </c>
      <c r="D629" s="452">
        <v>16356164.38356163</v>
      </c>
      <c r="E629" s="452">
        <v>0</v>
      </c>
      <c r="F629" s="452">
        <f t="shared" si="10"/>
        <v>16356164.38356163</v>
      </c>
      <c r="G629" s="454"/>
      <c r="I629" s="400"/>
      <c r="L629" s="415"/>
      <c r="M629" s="416"/>
      <c r="N629" s="415"/>
    </row>
    <row r="630" spans="1:14" s="399" customFormat="1">
      <c r="A630" s="397"/>
      <c r="B630" s="451" t="s">
        <v>1518</v>
      </c>
      <c r="C630" s="452">
        <v>16356164.38356163</v>
      </c>
      <c r="D630" s="452">
        <v>16356164.38356163</v>
      </c>
      <c r="E630" s="452">
        <v>0</v>
      </c>
      <c r="F630" s="452">
        <f t="shared" si="10"/>
        <v>16356164.38356163</v>
      </c>
      <c r="G630" s="454"/>
      <c r="I630" s="400"/>
      <c r="L630" s="415"/>
      <c r="M630" s="416"/>
      <c r="N630" s="415"/>
    </row>
    <row r="631" spans="1:14" s="399" customFormat="1">
      <c r="A631" s="397"/>
      <c r="B631" s="451" t="s">
        <v>1518</v>
      </c>
      <c r="C631" s="452">
        <v>16356164.38356163</v>
      </c>
      <c r="D631" s="452">
        <v>16356164.38356163</v>
      </c>
      <c r="E631" s="452">
        <v>0</v>
      </c>
      <c r="F631" s="452">
        <f t="shared" si="10"/>
        <v>16356164.38356163</v>
      </c>
      <c r="G631" s="454"/>
      <c r="I631" s="400"/>
      <c r="L631" s="415"/>
      <c r="M631" s="416"/>
      <c r="N631" s="415"/>
    </row>
    <row r="632" spans="1:14" s="399" customFormat="1">
      <c r="A632" s="397"/>
      <c r="B632" s="451" t="s">
        <v>1518</v>
      </c>
      <c r="C632" s="452">
        <v>16356164.38356163</v>
      </c>
      <c r="D632" s="452">
        <v>16356164.38356163</v>
      </c>
      <c r="E632" s="452">
        <v>0</v>
      </c>
      <c r="F632" s="452">
        <f t="shared" si="10"/>
        <v>16356164.38356163</v>
      </c>
      <c r="G632" s="454"/>
      <c r="I632" s="400"/>
      <c r="L632" s="415"/>
      <c r="M632" s="416"/>
      <c r="N632" s="415"/>
    </row>
    <row r="633" spans="1:14" s="399" customFormat="1">
      <c r="A633" s="397"/>
      <c r="B633" s="451" t="s">
        <v>1518</v>
      </c>
      <c r="C633" s="452">
        <v>16356164.38356163</v>
      </c>
      <c r="D633" s="452">
        <v>16356164.38356163</v>
      </c>
      <c r="E633" s="452">
        <v>0</v>
      </c>
      <c r="F633" s="452">
        <f t="shared" si="10"/>
        <v>16356164.38356163</v>
      </c>
      <c r="G633" s="454"/>
      <c r="I633" s="400"/>
      <c r="L633" s="415"/>
      <c r="M633" s="416"/>
      <c r="N633" s="415"/>
    </row>
    <row r="634" spans="1:14" s="399" customFormat="1">
      <c r="A634" s="397"/>
      <c r="B634" s="451" t="s">
        <v>1518</v>
      </c>
      <c r="C634" s="452">
        <v>16356164.38356163</v>
      </c>
      <c r="D634" s="452">
        <v>16356164.38356163</v>
      </c>
      <c r="E634" s="452">
        <v>0</v>
      </c>
      <c r="F634" s="452">
        <f t="shared" si="10"/>
        <v>16356164.38356163</v>
      </c>
      <c r="G634" s="454"/>
      <c r="I634" s="400"/>
      <c r="L634" s="415"/>
      <c r="M634" s="416"/>
      <c r="N634" s="415"/>
    </row>
    <row r="635" spans="1:14" s="399" customFormat="1">
      <c r="A635" s="397"/>
      <c r="B635" s="451" t="s">
        <v>1518</v>
      </c>
      <c r="C635" s="452">
        <v>16356164.38356163</v>
      </c>
      <c r="D635" s="452">
        <v>16356164.38356163</v>
      </c>
      <c r="E635" s="452">
        <v>0</v>
      </c>
      <c r="F635" s="452">
        <f t="shared" si="10"/>
        <v>16356164.38356163</v>
      </c>
      <c r="G635" s="454"/>
      <c r="I635" s="400"/>
      <c r="L635" s="415"/>
      <c r="M635" s="416"/>
      <c r="N635" s="415"/>
    </row>
    <row r="636" spans="1:14" s="399" customFormat="1">
      <c r="A636" s="397"/>
      <c r="B636" s="451" t="s">
        <v>1518</v>
      </c>
      <c r="C636" s="452">
        <v>16356164.38356163</v>
      </c>
      <c r="D636" s="452">
        <v>16356164.38356163</v>
      </c>
      <c r="E636" s="452">
        <v>0</v>
      </c>
      <c r="F636" s="452">
        <f t="shared" si="10"/>
        <v>16356164.38356163</v>
      </c>
      <c r="G636" s="454"/>
      <c r="I636" s="400"/>
      <c r="L636" s="415"/>
      <c r="M636" s="416"/>
      <c r="N636" s="415"/>
    </row>
    <row r="637" spans="1:14" s="399" customFormat="1">
      <c r="A637" s="397"/>
      <c r="B637" s="451" t="s">
        <v>1518</v>
      </c>
      <c r="C637" s="452">
        <v>16356164.38356163</v>
      </c>
      <c r="D637" s="452">
        <v>16356164.38356163</v>
      </c>
      <c r="E637" s="452">
        <v>0</v>
      </c>
      <c r="F637" s="452">
        <f t="shared" si="10"/>
        <v>16356164.38356163</v>
      </c>
      <c r="G637" s="454"/>
      <c r="I637" s="400"/>
      <c r="L637" s="415"/>
      <c r="M637" s="416"/>
      <c r="N637" s="415"/>
    </row>
    <row r="638" spans="1:14" s="399" customFormat="1">
      <c r="A638" s="397"/>
      <c r="B638" s="451" t="s">
        <v>1518</v>
      </c>
      <c r="C638" s="452">
        <v>16356164.38356163</v>
      </c>
      <c r="D638" s="452">
        <v>16356164.38356163</v>
      </c>
      <c r="E638" s="452">
        <v>0</v>
      </c>
      <c r="F638" s="452">
        <f t="shared" si="10"/>
        <v>16356164.38356163</v>
      </c>
      <c r="G638" s="454"/>
      <c r="I638" s="400"/>
      <c r="L638" s="415"/>
      <c r="M638" s="416"/>
      <c r="N638" s="415"/>
    </row>
    <row r="639" spans="1:14" s="399" customFormat="1">
      <c r="A639" s="397"/>
      <c r="B639" s="451" t="s">
        <v>1518</v>
      </c>
      <c r="C639" s="452">
        <v>16356164.38356163</v>
      </c>
      <c r="D639" s="452">
        <v>16356164.38356163</v>
      </c>
      <c r="E639" s="452">
        <v>0</v>
      </c>
      <c r="F639" s="452">
        <f t="shared" si="10"/>
        <v>16356164.38356163</v>
      </c>
      <c r="G639" s="454"/>
      <c r="I639" s="400"/>
      <c r="L639" s="415"/>
      <c r="M639" s="416"/>
      <c r="N639" s="415"/>
    </row>
    <row r="640" spans="1:14" s="399" customFormat="1">
      <c r="A640" s="397"/>
      <c r="B640" s="451" t="s">
        <v>1518</v>
      </c>
      <c r="C640" s="452">
        <v>16356164.38356163</v>
      </c>
      <c r="D640" s="452">
        <v>16356164.38356163</v>
      </c>
      <c r="E640" s="452">
        <v>0</v>
      </c>
      <c r="F640" s="452">
        <f t="shared" si="10"/>
        <v>16356164.38356163</v>
      </c>
      <c r="G640" s="454"/>
      <c r="I640" s="400"/>
      <c r="L640" s="415"/>
      <c r="M640" s="416"/>
      <c r="N640" s="415"/>
    </row>
    <row r="641" spans="1:14" s="399" customFormat="1">
      <c r="A641" s="397"/>
      <c r="B641" s="451" t="s">
        <v>1518</v>
      </c>
      <c r="C641" s="452">
        <v>16356164.38356163</v>
      </c>
      <c r="D641" s="452">
        <v>16356164.38356163</v>
      </c>
      <c r="E641" s="452">
        <v>0</v>
      </c>
      <c r="F641" s="452">
        <f t="shared" si="10"/>
        <v>16356164.38356163</v>
      </c>
      <c r="G641" s="454"/>
      <c r="I641" s="400"/>
      <c r="L641" s="415"/>
      <c r="M641" s="416"/>
      <c r="N641" s="415"/>
    </row>
    <row r="642" spans="1:14" s="399" customFormat="1">
      <c r="A642" s="397"/>
      <c r="B642" s="451" t="s">
        <v>1518</v>
      </c>
      <c r="C642" s="452">
        <v>16356164.38356163</v>
      </c>
      <c r="D642" s="452">
        <v>16356164.38356163</v>
      </c>
      <c r="E642" s="452">
        <v>0</v>
      </c>
      <c r="F642" s="452">
        <f t="shared" si="10"/>
        <v>16356164.38356163</v>
      </c>
      <c r="G642" s="454"/>
      <c r="I642" s="400"/>
      <c r="L642" s="415"/>
      <c r="M642" s="416"/>
      <c r="N642" s="415"/>
    </row>
    <row r="643" spans="1:14" s="399" customFormat="1">
      <c r="A643" s="397"/>
      <c r="B643" s="451" t="s">
        <v>1518</v>
      </c>
      <c r="C643" s="452">
        <v>16356164.38356163</v>
      </c>
      <c r="D643" s="452">
        <v>16356164.38356163</v>
      </c>
      <c r="E643" s="452">
        <v>0</v>
      </c>
      <c r="F643" s="452">
        <f t="shared" si="10"/>
        <v>16356164.38356163</v>
      </c>
      <c r="G643" s="454"/>
      <c r="I643" s="400"/>
      <c r="L643" s="415"/>
      <c r="M643" s="416"/>
      <c r="N643" s="415"/>
    </row>
    <row r="644" spans="1:14" s="399" customFormat="1">
      <c r="A644" s="397"/>
      <c r="B644" s="451" t="s">
        <v>1518</v>
      </c>
      <c r="C644" s="452">
        <v>16356164.38356163</v>
      </c>
      <c r="D644" s="452">
        <v>16356164.38356163</v>
      </c>
      <c r="E644" s="452">
        <v>0</v>
      </c>
      <c r="F644" s="452">
        <f t="shared" si="10"/>
        <v>16356164.38356163</v>
      </c>
      <c r="G644" s="454"/>
      <c r="I644" s="400"/>
      <c r="L644" s="415"/>
      <c r="M644" s="416"/>
      <c r="N644" s="415"/>
    </row>
    <row r="645" spans="1:14" s="399" customFormat="1">
      <c r="A645" s="397"/>
      <c r="B645" s="451" t="s">
        <v>1518</v>
      </c>
      <c r="C645" s="452">
        <v>16356164.38356163</v>
      </c>
      <c r="D645" s="452">
        <v>16356164.38356163</v>
      </c>
      <c r="E645" s="452">
        <v>0</v>
      </c>
      <c r="F645" s="452">
        <f t="shared" si="10"/>
        <v>16356164.38356163</v>
      </c>
      <c r="G645" s="454"/>
      <c r="I645" s="400"/>
      <c r="L645" s="415"/>
      <c r="M645" s="416"/>
      <c r="N645" s="415"/>
    </row>
    <row r="646" spans="1:14" s="399" customFormat="1">
      <c r="A646" s="397"/>
      <c r="B646" s="451" t="s">
        <v>1518</v>
      </c>
      <c r="C646" s="452">
        <v>16356164.38356163</v>
      </c>
      <c r="D646" s="452">
        <v>16356164.38356163</v>
      </c>
      <c r="E646" s="452">
        <v>0</v>
      </c>
      <c r="F646" s="452">
        <f t="shared" si="10"/>
        <v>16356164.38356163</v>
      </c>
      <c r="G646" s="454"/>
      <c r="I646" s="400"/>
      <c r="L646" s="415"/>
      <c r="M646" s="416"/>
      <c r="N646" s="415"/>
    </row>
    <row r="647" spans="1:14" s="399" customFormat="1">
      <c r="A647" s="397"/>
      <c r="B647" s="451" t="s">
        <v>1518</v>
      </c>
      <c r="C647" s="452">
        <v>16356164.38356163</v>
      </c>
      <c r="D647" s="452">
        <v>16356164.38356163</v>
      </c>
      <c r="E647" s="452">
        <v>0</v>
      </c>
      <c r="F647" s="452">
        <f t="shared" si="10"/>
        <v>16356164.38356163</v>
      </c>
      <c r="G647" s="454"/>
      <c r="I647" s="400"/>
      <c r="L647" s="415"/>
      <c r="M647" s="416"/>
      <c r="N647" s="415"/>
    </row>
    <row r="648" spans="1:14" s="399" customFormat="1">
      <c r="A648" s="397"/>
      <c r="B648" s="451" t="s">
        <v>1518</v>
      </c>
      <c r="C648" s="452">
        <v>16356164.38356163</v>
      </c>
      <c r="D648" s="452">
        <v>16356164.38356163</v>
      </c>
      <c r="E648" s="452">
        <v>0</v>
      </c>
      <c r="F648" s="452">
        <f t="shared" si="10"/>
        <v>16356164.38356163</v>
      </c>
      <c r="G648" s="454"/>
      <c r="I648" s="400"/>
      <c r="L648" s="415"/>
      <c r="M648" s="416"/>
      <c r="N648" s="415"/>
    </row>
    <row r="649" spans="1:14" s="399" customFormat="1">
      <c r="A649" s="397"/>
      <c r="B649" s="451" t="s">
        <v>1518</v>
      </c>
      <c r="C649" s="452">
        <v>5484931.2328767208</v>
      </c>
      <c r="D649" s="452">
        <v>5484931.2328767208</v>
      </c>
      <c r="E649" s="452">
        <v>0</v>
      </c>
      <c r="F649" s="452">
        <f t="shared" si="10"/>
        <v>5484931.2328767208</v>
      </c>
      <c r="G649" s="454"/>
      <c r="I649" s="400"/>
      <c r="L649" s="415"/>
      <c r="M649" s="416"/>
      <c r="N649" s="415"/>
    </row>
    <row r="650" spans="1:14" s="399" customFormat="1">
      <c r="A650" s="397"/>
      <c r="B650" s="451" t="s">
        <v>1518</v>
      </c>
      <c r="C650" s="452">
        <v>26541095.465753477</v>
      </c>
      <c r="D650" s="452">
        <v>26541095.465753477</v>
      </c>
      <c r="E650" s="452">
        <v>0</v>
      </c>
      <c r="F650" s="452">
        <f t="shared" si="10"/>
        <v>26541095.465753477</v>
      </c>
      <c r="G650" s="454"/>
      <c r="I650" s="400"/>
      <c r="L650" s="415"/>
      <c r="M650" s="416"/>
      <c r="N650" s="415"/>
    </row>
    <row r="651" spans="1:14" s="399" customFormat="1">
      <c r="A651" s="397"/>
      <c r="B651" s="451" t="s">
        <v>1518</v>
      </c>
      <c r="C651" s="452">
        <v>13270548.232876739</v>
      </c>
      <c r="D651" s="452">
        <v>13270548.232876739</v>
      </c>
      <c r="E651" s="452">
        <v>0</v>
      </c>
      <c r="F651" s="452">
        <f t="shared" si="10"/>
        <v>13270548.232876739</v>
      </c>
      <c r="G651" s="454"/>
      <c r="I651" s="400"/>
      <c r="L651" s="415"/>
      <c r="M651" s="416"/>
      <c r="N651" s="415"/>
    </row>
    <row r="652" spans="1:14" s="399" customFormat="1">
      <c r="A652" s="397"/>
      <c r="B652" s="451" t="s">
        <v>1792</v>
      </c>
      <c r="C652" s="452">
        <v>2424657.561643837</v>
      </c>
      <c r="D652" s="452">
        <v>2424657.561643837</v>
      </c>
      <c r="E652" s="452">
        <v>0</v>
      </c>
      <c r="F652" s="452">
        <f t="shared" si="10"/>
        <v>2424657.561643837</v>
      </c>
      <c r="G652" s="454"/>
      <c r="I652" s="400"/>
      <c r="L652" s="415"/>
      <c r="M652" s="416"/>
      <c r="N652" s="415"/>
    </row>
    <row r="653" spans="1:14" s="399" customFormat="1">
      <c r="A653" s="397"/>
      <c r="B653" s="451" t="s">
        <v>1792</v>
      </c>
      <c r="C653" s="452">
        <v>2424657.561643837</v>
      </c>
      <c r="D653" s="452">
        <v>2424657.561643837</v>
      </c>
      <c r="E653" s="452">
        <v>0</v>
      </c>
      <c r="F653" s="452">
        <f t="shared" si="10"/>
        <v>2424657.561643837</v>
      </c>
      <c r="G653" s="454"/>
      <c r="I653" s="400"/>
      <c r="L653" s="415"/>
      <c r="M653" s="416"/>
      <c r="N653" s="415"/>
    </row>
    <row r="654" spans="1:14" s="399" customFormat="1">
      <c r="A654" s="397"/>
      <c r="B654" s="451" t="s">
        <v>1792</v>
      </c>
      <c r="C654" s="452">
        <v>2424657.561643837</v>
      </c>
      <c r="D654" s="452">
        <v>2424657.561643837</v>
      </c>
      <c r="E654" s="452">
        <v>0</v>
      </c>
      <c r="F654" s="452">
        <f t="shared" si="10"/>
        <v>2424657.561643837</v>
      </c>
      <c r="G654" s="454"/>
      <c r="I654" s="400"/>
      <c r="L654" s="415"/>
      <c r="M654" s="416"/>
      <c r="N654" s="415"/>
    </row>
    <row r="655" spans="1:14" s="399" customFormat="1">
      <c r="A655" s="397"/>
      <c r="B655" s="451" t="s">
        <v>1792</v>
      </c>
      <c r="C655" s="452">
        <v>2424657.561643837</v>
      </c>
      <c r="D655" s="452">
        <v>2424657.561643837</v>
      </c>
      <c r="E655" s="452">
        <v>0</v>
      </c>
      <c r="F655" s="452">
        <f t="shared" si="10"/>
        <v>2424657.561643837</v>
      </c>
      <c r="G655" s="454"/>
      <c r="I655" s="400"/>
      <c r="L655" s="415"/>
      <c r="M655" s="416"/>
      <c r="N655" s="415"/>
    </row>
    <row r="656" spans="1:14" s="399" customFormat="1">
      <c r="A656" s="397"/>
      <c r="B656" s="451" t="s">
        <v>1792</v>
      </c>
      <c r="C656" s="452">
        <v>2424657.561643837</v>
      </c>
      <c r="D656" s="452">
        <v>2424657.561643837</v>
      </c>
      <c r="E656" s="452">
        <v>0</v>
      </c>
      <c r="F656" s="452">
        <f t="shared" si="10"/>
        <v>2424657.561643837</v>
      </c>
      <c r="G656" s="454"/>
      <c r="I656" s="400"/>
      <c r="L656" s="415"/>
      <c r="M656" s="416"/>
      <c r="N656" s="415"/>
    </row>
    <row r="657" spans="1:14" s="399" customFormat="1">
      <c r="A657" s="397"/>
      <c r="B657" s="451" t="s">
        <v>1792</v>
      </c>
      <c r="C657" s="452">
        <v>2424657.561643837</v>
      </c>
      <c r="D657" s="452">
        <v>2424657.561643837</v>
      </c>
      <c r="E657" s="452">
        <v>0</v>
      </c>
      <c r="F657" s="452">
        <f t="shared" si="10"/>
        <v>2424657.561643837</v>
      </c>
      <c r="G657" s="454"/>
      <c r="I657" s="400"/>
      <c r="L657" s="415"/>
      <c r="M657" s="416"/>
      <c r="N657" s="415"/>
    </row>
    <row r="658" spans="1:14" s="399" customFormat="1">
      <c r="A658" s="397"/>
      <c r="B658" s="451" t="s">
        <v>1792</v>
      </c>
      <c r="C658" s="452">
        <v>2424657.561643837</v>
      </c>
      <c r="D658" s="452">
        <v>2424657.561643837</v>
      </c>
      <c r="E658" s="452">
        <v>0</v>
      </c>
      <c r="F658" s="452">
        <f t="shared" si="10"/>
        <v>2424657.561643837</v>
      </c>
      <c r="G658" s="454"/>
      <c r="I658" s="400"/>
      <c r="L658" s="415"/>
      <c r="M658" s="416"/>
      <c r="N658" s="415"/>
    </row>
    <row r="659" spans="1:14" s="399" customFormat="1">
      <c r="A659" s="397"/>
      <c r="B659" s="451" t="s">
        <v>1792</v>
      </c>
      <c r="C659" s="452">
        <v>2424657.561643837</v>
      </c>
      <c r="D659" s="452">
        <v>2424657.561643837</v>
      </c>
      <c r="E659" s="452">
        <v>0</v>
      </c>
      <c r="F659" s="452">
        <f t="shared" si="10"/>
        <v>2424657.561643837</v>
      </c>
      <c r="G659" s="454"/>
      <c r="I659" s="400"/>
      <c r="L659" s="415"/>
      <c r="M659" s="416"/>
      <c r="N659" s="415"/>
    </row>
    <row r="660" spans="1:14" s="399" customFormat="1">
      <c r="A660" s="397"/>
      <c r="B660" s="451" t="s">
        <v>1792</v>
      </c>
      <c r="C660" s="452">
        <v>569863.01369863038</v>
      </c>
      <c r="D660" s="452">
        <v>569863.01369863038</v>
      </c>
      <c r="E660" s="452">
        <v>0</v>
      </c>
      <c r="F660" s="452">
        <f t="shared" si="10"/>
        <v>569863.01369863038</v>
      </c>
      <c r="G660" s="454"/>
      <c r="I660" s="400"/>
      <c r="L660" s="415"/>
      <c r="M660" s="416"/>
      <c r="N660" s="415"/>
    </row>
    <row r="661" spans="1:14" s="399" customFormat="1">
      <c r="A661" s="397"/>
      <c r="B661" s="451" t="s">
        <v>1792</v>
      </c>
      <c r="C661" s="452">
        <v>569863.01369863038</v>
      </c>
      <c r="D661" s="452">
        <v>569863.01369863038</v>
      </c>
      <c r="E661" s="452">
        <v>0</v>
      </c>
      <c r="F661" s="452">
        <f t="shared" si="10"/>
        <v>569863.01369863038</v>
      </c>
      <c r="G661" s="454"/>
      <c r="I661" s="400"/>
      <c r="L661" s="415"/>
      <c r="M661" s="416"/>
      <c r="N661" s="415"/>
    </row>
    <row r="662" spans="1:14" s="399" customFormat="1">
      <c r="A662" s="397"/>
      <c r="B662" s="451" t="s">
        <v>1792</v>
      </c>
      <c r="C662" s="452">
        <v>569863.01369863038</v>
      </c>
      <c r="D662" s="452">
        <v>569863.01369863038</v>
      </c>
      <c r="E662" s="452">
        <v>0</v>
      </c>
      <c r="F662" s="452">
        <f t="shared" si="10"/>
        <v>569863.01369863038</v>
      </c>
      <c r="G662" s="454"/>
      <c r="I662" s="400"/>
      <c r="L662" s="415"/>
      <c r="M662" s="416"/>
      <c r="N662" s="415"/>
    </row>
    <row r="663" spans="1:14" s="399" customFormat="1">
      <c r="A663" s="397"/>
      <c r="B663" s="451" t="s">
        <v>1792</v>
      </c>
      <c r="C663" s="452">
        <v>569863.01369863038</v>
      </c>
      <c r="D663" s="452">
        <v>569863.01369863038</v>
      </c>
      <c r="E663" s="452">
        <v>0</v>
      </c>
      <c r="F663" s="452">
        <f t="shared" si="10"/>
        <v>569863.01369863038</v>
      </c>
      <c r="G663" s="454"/>
      <c r="I663" s="400"/>
      <c r="L663" s="415"/>
      <c r="M663" s="416"/>
      <c r="N663" s="415"/>
    </row>
    <row r="664" spans="1:14" s="399" customFormat="1">
      <c r="A664" s="397"/>
      <c r="B664" s="451" t="s">
        <v>1792</v>
      </c>
      <c r="C664" s="452">
        <v>569863.01369863038</v>
      </c>
      <c r="D664" s="452">
        <v>569863.01369863038</v>
      </c>
      <c r="E664" s="452">
        <v>0</v>
      </c>
      <c r="F664" s="452">
        <f t="shared" si="10"/>
        <v>569863.01369863038</v>
      </c>
      <c r="G664" s="454"/>
      <c r="I664" s="400"/>
      <c r="L664" s="415"/>
      <c r="M664" s="416"/>
      <c r="N664" s="415"/>
    </row>
    <row r="665" spans="1:14" s="399" customFormat="1">
      <c r="A665" s="397"/>
      <c r="B665" s="451" t="s">
        <v>1792</v>
      </c>
      <c r="C665" s="452">
        <v>569863.01369863038</v>
      </c>
      <c r="D665" s="452">
        <v>569863.01369863038</v>
      </c>
      <c r="E665" s="452">
        <v>0</v>
      </c>
      <c r="F665" s="452">
        <f t="shared" si="10"/>
        <v>569863.01369863038</v>
      </c>
      <c r="G665" s="454"/>
      <c r="I665" s="400"/>
      <c r="L665" s="415"/>
      <c r="M665" s="416"/>
      <c r="N665" s="415"/>
    </row>
    <row r="666" spans="1:14" s="399" customFormat="1">
      <c r="A666" s="397"/>
      <c r="B666" s="451" t="s">
        <v>1792</v>
      </c>
      <c r="C666" s="452">
        <v>284931.50684931519</v>
      </c>
      <c r="D666" s="452">
        <v>284931.50684931519</v>
      </c>
      <c r="E666" s="452">
        <v>0</v>
      </c>
      <c r="F666" s="452">
        <f t="shared" si="10"/>
        <v>284931.50684931519</v>
      </c>
      <c r="G666" s="454"/>
      <c r="I666" s="400"/>
      <c r="L666" s="415"/>
      <c r="M666" s="416"/>
      <c r="N666" s="415"/>
    </row>
    <row r="667" spans="1:14" s="399" customFormat="1">
      <c r="A667" s="397"/>
      <c r="B667" s="451" t="s">
        <v>1792</v>
      </c>
      <c r="C667" s="452">
        <v>1331506.7397260284</v>
      </c>
      <c r="D667" s="452">
        <v>1331506.7397260284</v>
      </c>
      <c r="E667" s="452">
        <v>0</v>
      </c>
      <c r="F667" s="452">
        <f t="shared" si="10"/>
        <v>1331506.7397260284</v>
      </c>
      <c r="G667" s="454"/>
      <c r="I667" s="400"/>
      <c r="L667" s="415"/>
      <c r="M667" s="416"/>
      <c r="N667" s="415"/>
    </row>
    <row r="668" spans="1:14" s="399" customFormat="1">
      <c r="A668" s="397"/>
      <c r="B668" s="451" t="s">
        <v>1792</v>
      </c>
      <c r="C668" s="452">
        <v>1331506.7397260284</v>
      </c>
      <c r="D668" s="452">
        <v>1331506.7397260284</v>
      </c>
      <c r="E668" s="452">
        <v>0</v>
      </c>
      <c r="F668" s="452">
        <f t="shared" si="10"/>
        <v>1331506.7397260284</v>
      </c>
      <c r="G668" s="454"/>
      <c r="I668" s="400"/>
      <c r="L668" s="415"/>
      <c r="M668" s="416"/>
      <c r="N668" s="415"/>
    </row>
    <row r="669" spans="1:14" s="399" customFormat="1">
      <c r="A669" s="397"/>
      <c r="B669" s="451" t="s">
        <v>1792</v>
      </c>
      <c r="C669" s="452">
        <v>1331506.7397260284</v>
      </c>
      <c r="D669" s="452">
        <v>1331506.7397260284</v>
      </c>
      <c r="E669" s="452">
        <v>0</v>
      </c>
      <c r="F669" s="452">
        <f t="shared" si="10"/>
        <v>1331506.7397260284</v>
      </c>
      <c r="G669" s="454"/>
      <c r="I669" s="400"/>
      <c r="L669" s="415"/>
      <c r="M669" s="416"/>
      <c r="N669" s="415"/>
    </row>
    <row r="670" spans="1:14" s="399" customFormat="1">
      <c r="A670" s="397"/>
      <c r="B670" s="451" t="s">
        <v>1792</v>
      </c>
      <c r="C670" s="452">
        <v>1331506.7397260284</v>
      </c>
      <c r="D670" s="452">
        <v>1331506.7397260284</v>
      </c>
      <c r="E670" s="452">
        <v>0</v>
      </c>
      <c r="F670" s="452">
        <f t="shared" si="10"/>
        <v>1331506.7397260284</v>
      </c>
      <c r="G670" s="454"/>
      <c r="I670" s="400"/>
      <c r="L670" s="415"/>
      <c r="M670" s="416"/>
      <c r="N670" s="415"/>
    </row>
    <row r="671" spans="1:14" s="399" customFormat="1">
      <c r="A671" s="397"/>
      <c r="B671" s="451" t="s">
        <v>1519</v>
      </c>
      <c r="C671" s="452">
        <v>3139596.2465753425</v>
      </c>
      <c r="D671" s="452">
        <v>3139596.2465753425</v>
      </c>
      <c r="E671" s="452">
        <v>0</v>
      </c>
      <c r="F671" s="452">
        <f t="shared" si="10"/>
        <v>3139596.2465753425</v>
      </c>
      <c r="G671" s="454"/>
      <c r="I671" s="400"/>
      <c r="L671" s="415"/>
      <c r="M671" s="416"/>
      <c r="N671" s="415"/>
    </row>
    <row r="672" spans="1:14" s="399" customFormat="1">
      <c r="A672" s="397"/>
      <c r="B672" s="451" t="s">
        <v>1519</v>
      </c>
      <c r="C672" s="452">
        <v>3139596.2465753425</v>
      </c>
      <c r="D672" s="452">
        <v>3139596.2465753425</v>
      </c>
      <c r="E672" s="452">
        <v>0</v>
      </c>
      <c r="F672" s="452">
        <f t="shared" si="10"/>
        <v>3139596.2465753425</v>
      </c>
      <c r="G672" s="454"/>
      <c r="I672" s="400"/>
      <c r="L672" s="415"/>
      <c r="M672" s="416"/>
      <c r="N672" s="415"/>
    </row>
    <row r="673" spans="1:14" s="399" customFormat="1">
      <c r="A673" s="397"/>
      <c r="B673" s="451" t="s">
        <v>1519</v>
      </c>
      <c r="C673" s="452">
        <v>2241837.3972602747</v>
      </c>
      <c r="D673" s="452">
        <v>2241837.3972602747</v>
      </c>
      <c r="E673" s="452">
        <v>0</v>
      </c>
      <c r="F673" s="452">
        <f t="shared" si="10"/>
        <v>2241837.3972602747</v>
      </c>
      <c r="G673" s="454"/>
      <c r="I673" s="400"/>
      <c r="L673" s="415"/>
      <c r="M673" s="416"/>
      <c r="N673" s="415"/>
    </row>
    <row r="674" spans="1:14" s="399" customFormat="1">
      <c r="A674" s="397"/>
      <c r="B674" s="451" t="s">
        <v>1521</v>
      </c>
      <c r="C674" s="452">
        <v>13353575.671232939</v>
      </c>
      <c r="D674" s="452">
        <v>13353575.671232939</v>
      </c>
      <c r="E674" s="452">
        <v>0</v>
      </c>
      <c r="F674" s="452">
        <f t="shared" si="10"/>
        <v>13353575.671232939</v>
      </c>
      <c r="G674" s="454"/>
      <c r="I674" s="400"/>
      <c r="L674" s="415"/>
      <c r="M674" s="416"/>
      <c r="N674" s="415"/>
    </row>
    <row r="675" spans="1:14" s="399" customFormat="1">
      <c r="A675" s="397"/>
      <c r="B675" s="451" t="s">
        <v>1520</v>
      </c>
      <c r="C675" s="452">
        <v>63662136.960615598</v>
      </c>
      <c r="D675" s="452">
        <v>63662136.960615598</v>
      </c>
      <c r="E675" s="452">
        <v>0</v>
      </c>
      <c r="F675" s="452">
        <f t="shared" ref="F675:F738" si="11">+C675</f>
        <v>63662136.960615598</v>
      </c>
      <c r="G675" s="454"/>
      <c r="I675" s="400"/>
      <c r="L675" s="415"/>
      <c r="M675" s="416"/>
      <c r="N675" s="415"/>
    </row>
    <row r="676" spans="1:14" s="399" customFormat="1">
      <c r="A676" s="397"/>
      <c r="B676" s="451" t="s">
        <v>1793</v>
      </c>
      <c r="C676" s="452">
        <v>9376353.2876712345</v>
      </c>
      <c r="D676" s="452">
        <v>9376353.2876712345</v>
      </c>
      <c r="E676" s="452">
        <v>0</v>
      </c>
      <c r="F676" s="452">
        <f t="shared" si="11"/>
        <v>9376353.2876712345</v>
      </c>
      <c r="G676" s="454"/>
      <c r="I676" s="400"/>
      <c r="L676" s="415"/>
      <c r="M676" s="416"/>
      <c r="N676" s="415"/>
    </row>
    <row r="677" spans="1:14" s="399" customFormat="1">
      <c r="A677" s="397"/>
      <c r="B677" s="451" t="s">
        <v>1793</v>
      </c>
      <c r="C677" s="452">
        <v>19264144.027397282</v>
      </c>
      <c r="D677" s="452">
        <v>19264144.027397282</v>
      </c>
      <c r="E677" s="452">
        <v>0</v>
      </c>
      <c r="F677" s="452">
        <f t="shared" si="11"/>
        <v>19264144.027397282</v>
      </c>
      <c r="G677" s="454"/>
      <c r="I677" s="400"/>
      <c r="L677" s="415"/>
      <c r="M677" s="416"/>
      <c r="N677" s="415"/>
    </row>
    <row r="678" spans="1:14" s="399" customFormat="1">
      <c r="A678" s="397"/>
      <c r="B678" s="451" t="s">
        <v>1347</v>
      </c>
      <c r="C678" s="452">
        <v>28433674.257534619</v>
      </c>
      <c r="D678" s="452">
        <v>28433674.257534619</v>
      </c>
      <c r="E678" s="452">
        <v>0</v>
      </c>
      <c r="F678" s="452">
        <f t="shared" si="11"/>
        <v>28433674.257534619</v>
      </c>
      <c r="G678" s="454"/>
      <c r="I678" s="400"/>
      <c r="L678" s="415"/>
      <c r="M678" s="416"/>
      <c r="N678" s="415"/>
    </row>
    <row r="679" spans="1:14" s="399" customFormat="1">
      <c r="A679" s="397"/>
      <c r="B679" s="451" t="s">
        <v>1794</v>
      </c>
      <c r="C679" s="452">
        <v>24650161.150684912</v>
      </c>
      <c r="D679" s="452">
        <v>24650161.150684912</v>
      </c>
      <c r="E679" s="452">
        <v>0</v>
      </c>
      <c r="F679" s="452">
        <f t="shared" si="11"/>
        <v>24650161.150684912</v>
      </c>
      <c r="G679" s="454"/>
      <c r="I679" s="400"/>
      <c r="L679" s="415"/>
      <c r="M679" s="416"/>
      <c r="N679" s="415"/>
    </row>
    <row r="680" spans="1:14" s="399" customFormat="1">
      <c r="A680" s="397"/>
      <c r="B680" s="451" t="s">
        <v>1794</v>
      </c>
      <c r="C680" s="452">
        <v>24650161.150684912</v>
      </c>
      <c r="D680" s="452">
        <v>24650161.150684912</v>
      </c>
      <c r="E680" s="452">
        <v>0</v>
      </c>
      <c r="F680" s="452">
        <f t="shared" si="11"/>
        <v>24650161.150684912</v>
      </c>
      <c r="G680" s="454"/>
      <c r="I680" s="400"/>
      <c r="L680" s="415"/>
      <c r="M680" s="416"/>
      <c r="N680" s="415"/>
    </row>
    <row r="681" spans="1:14" s="399" customFormat="1">
      <c r="A681" s="397"/>
      <c r="B681" s="451" t="s">
        <v>1794</v>
      </c>
      <c r="C681" s="452">
        <v>24650161.150684912</v>
      </c>
      <c r="D681" s="452">
        <v>24650161.150684912</v>
      </c>
      <c r="E681" s="452">
        <v>0</v>
      </c>
      <c r="F681" s="452">
        <f t="shared" si="11"/>
        <v>24650161.150684912</v>
      </c>
      <c r="G681" s="454"/>
      <c r="I681" s="400"/>
      <c r="L681" s="415"/>
      <c r="M681" s="416"/>
      <c r="N681" s="415"/>
    </row>
    <row r="682" spans="1:14" s="399" customFormat="1">
      <c r="A682" s="397"/>
      <c r="B682" s="451" t="s">
        <v>1794</v>
      </c>
      <c r="C682" s="452">
        <v>2596528.6027397281</v>
      </c>
      <c r="D682" s="452">
        <v>2596528.6027397281</v>
      </c>
      <c r="E682" s="452">
        <v>0</v>
      </c>
      <c r="F682" s="452">
        <f t="shared" si="11"/>
        <v>2596528.6027397281</v>
      </c>
      <c r="G682" s="454"/>
      <c r="I682" s="400"/>
      <c r="L682" s="415"/>
      <c r="M682" s="416"/>
      <c r="N682" s="415"/>
    </row>
    <row r="683" spans="1:14" s="399" customFormat="1">
      <c r="A683" s="397"/>
      <c r="B683" s="451" t="s">
        <v>1794</v>
      </c>
      <c r="C683" s="452">
        <v>2596528.6027397281</v>
      </c>
      <c r="D683" s="452">
        <v>2596528.6027397281</v>
      </c>
      <c r="E683" s="452">
        <v>0</v>
      </c>
      <c r="F683" s="452">
        <f t="shared" si="11"/>
        <v>2596528.6027397281</v>
      </c>
      <c r="G683" s="454"/>
      <c r="I683" s="400"/>
      <c r="L683" s="415"/>
      <c r="M683" s="416"/>
      <c r="N683" s="415"/>
    </row>
    <row r="684" spans="1:14" s="399" customFormat="1">
      <c r="A684" s="397"/>
      <c r="B684" s="451" t="s">
        <v>1342</v>
      </c>
      <c r="C684" s="452">
        <v>2891588.6712328731</v>
      </c>
      <c r="D684" s="452">
        <v>2891588.6712328731</v>
      </c>
      <c r="E684" s="452">
        <v>0</v>
      </c>
      <c r="F684" s="452">
        <f t="shared" si="11"/>
        <v>2891588.6712328731</v>
      </c>
      <c r="G684" s="454"/>
      <c r="I684" s="400"/>
      <c r="L684" s="415"/>
      <c r="M684" s="416"/>
      <c r="N684" s="415"/>
    </row>
    <row r="685" spans="1:14" s="399" customFormat="1">
      <c r="A685" s="397"/>
      <c r="B685" s="451" t="s">
        <v>1339</v>
      </c>
      <c r="C685" s="452">
        <v>2146819.590410958</v>
      </c>
      <c r="D685" s="452">
        <v>2146819.590410958</v>
      </c>
      <c r="E685" s="452">
        <v>0</v>
      </c>
      <c r="F685" s="452">
        <f t="shared" si="11"/>
        <v>2146819.590410958</v>
      </c>
      <c r="G685" s="454"/>
      <c r="I685" s="400"/>
      <c r="L685" s="415"/>
      <c r="M685" s="416"/>
      <c r="N685" s="415"/>
    </row>
    <row r="686" spans="1:14" s="399" customFormat="1">
      <c r="A686" s="397"/>
      <c r="B686" s="451" t="s">
        <v>1339</v>
      </c>
      <c r="C686" s="452">
        <v>2146819.590410958</v>
      </c>
      <c r="D686" s="452">
        <v>2146819.590410958</v>
      </c>
      <c r="E686" s="452">
        <v>0</v>
      </c>
      <c r="F686" s="452">
        <f t="shared" si="11"/>
        <v>2146819.590410958</v>
      </c>
      <c r="G686" s="454"/>
      <c r="I686" s="400"/>
      <c r="L686" s="415"/>
      <c r="M686" s="416"/>
      <c r="N686" s="415"/>
    </row>
    <row r="687" spans="1:14" s="399" customFormat="1">
      <c r="A687" s="397"/>
      <c r="B687" s="451" t="s">
        <v>1339</v>
      </c>
      <c r="C687" s="452">
        <v>2146819.590410958</v>
      </c>
      <c r="D687" s="452">
        <v>2146819.590410958</v>
      </c>
      <c r="E687" s="452">
        <v>0</v>
      </c>
      <c r="F687" s="452">
        <f t="shared" si="11"/>
        <v>2146819.590410958</v>
      </c>
      <c r="G687" s="454"/>
      <c r="I687" s="400"/>
      <c r="L687" s="415"/>
      <c r="M687" s="416"/>
      <c r="N687" s="415"/>
    </row>
    <row r="688" spans="1:14" s="399" customFormat="1">
      <c r="A688" s="397"/>
      <c r="B688" s="451" t="s">
        <v>1339</v>
      </c>
      <c r="C688" s="452">
        <v>2146819.590410958</v>
      </c>
      <c r="D688" s="452">
        <v>2146819.590410958</v>
      </c>
      <c r="E688" s="452">
        <v>0</v>
      </c>
      <c r="F688" s="452">
        <f t="shared" si="11"/>
        <v>2146819.590410958</v>
      </c>
      <c r="G688" s="454"/>
      <c r="I688" s="400"/>
      <c r="L688" s="415"/>
      <c r="M688" s="416"/>
      <c r="N688" s="415"/>
    </row>
    <row r="689" spans="1:14" s="399" customFormat="1">
      <c r="A689" s="397"/>
      <c r="B689" s="451" t="s">
        <v>1339</v>
      </c>
      <c r="C689" s="452">
        <v>2146819.590410958</v>
      </c>
      <c r="D689" s="452">
        <v>2146819.590410958</v>
      </c>
      <c r="E689" s="452">
        <v>0</v>
      </c>
      <c r="F689" s="452">
        <f t="shared" si="11"/>
        <v>2146819.590410958</v>
      </c>
      <c r="G689" s="454"/>
      <c r="I689" s="400"/>
      <c r="L689" s="415"/>
      <c r="M689" s="416"/>
      <c r="N689" s="415"/>
    </row>
    <row r="690" spans="1:14" s="399" customFormat="1">
      <c r="A690" s="397"/>
      <c r="B690" s="451" t="s">
        <v>1339</v>
      </c>
      <c r="C690" s="452">
        <v>1073409.795205479</v>
      </c>
      <c r="D690" s="452">
        <v>1073409.795205479</v>
      </c>
      <c r="E690" s="452">
        <v>0</v>
      </c>
      <c r="F690" s="452">
        <f t="shared" si="11"/>
        <v>1073409.795205479</v>
      </c>
      <c r="G690" s="454"/>
      <c r="I690" s="400"/>
      <c r="L690" s="415"/>
      <c r="M690" s="416"/>
      <c r="N690" s="415"/>
    </row>
    <row r="691" spans="1:14" s="399" customFormat="1">
      <c r="A691" s="397"/>
      <c r="B691" s="451" t="s">
        <v>1339</v>
      </c>
      <c r="C691" s="452">
        <v>1073409.795205479</v>
      </c>
      <c r="D691" s="452">
        <v>1073409.795205479</v>
      </c>
      <c r="E691" s="452">
        <v>0</v>
      </c>
      <c r="F691" s="452">
        <f t="shared" si="11"/>
        <v>1073409.795205479</v>
      </c>
      <c r="G691" s="454"/>
      <c r="I691" s="400"/>
      <c r="L691" s="415"/>
      <c r="M691" s="416"/>
      <c r="N691" s="415"/>
    </row>
    <row r="692" spans="1:14" s="399" customFormat="1">
      <c r="A692" s="397"/>
      <c r="B692" s="451" t="s">
        <v>1339</v>
      </c>
      <c r="C692" s="452">
        <v>1073409.795205479</v>
      </c>
      <c r="D692" s="452">
        <v>1073409.795205479</v>
      </c>
      <c r="E692" s="452">
        <v>0</v>
      </c>
      <c r="F692" s="452">
        <f t="shared" si="11"/>
        <v>1073409.795205479</v>
      </c>
      <c r="G692" s="454"/>
      <c r="I692" s="400"/>
      <c r="L692" s="415"/>
      <c r="M692" s="416"/>
      <c r="N692" s="415"/>
    </row>
    <row r="693" spans="1:14" s="399" customFormat="1">
      <c r="A693" s="397"/>
      <c r="B693" s="451" t="s">
        <v>1339</v>
      </c>
      <c r="C693" s="452">
        <v>1073409.795205479</v>
      </c>
      <c r="D693" s="452">
        <v>1073409.795205479</v>
      </c>
      <c r="E693" s="452">
        <v>0</v>
      </c>
      <c r="F693" s="452">
        <f t="shared" si="11"/>
        <v>1073409.795205479</v>
      </c>
      <c r="G693" s="454"/>
      <c r="I693" s="400"/>
      <c r="L693" s="415"/>
      <c r="M693" s="416"/>
      <c r="N693" s="415"/>
    </row>
    <row r="694" spans="1:14" s="399" customFormat="1">
      <c r="A694" s="397"/>
      <c r="B694" s="451" t="s">
        <v>1339</v>
      </c>
      <c r="C694" s="452">
        <v>1073409.795205479</v>
      </c>
      <c r="D694" s="452">
        <v>1073409.795205479</v>
      </c>
      <c r="E694" s="452">
        <v>0</v>
      </c>
      <c r="F694" s="452">
        <f t="shared" si="11"/>
        <v>1073409.795205479</v>
      </c>
      <c r="G694" s="386"/>
      <c r="H694" s="429"/>
      <c r="I694" s="400"/>
      <c r="L694" s="415"/>
      <c r="M694" s="416"/>
      <c r="N694" s="415"/>
    </row>
    <row r="695" spans="1:14" s="399" customFormat="1">
      <c r="A695" s="397"/>
      <c r="B695" s="451" t="s">
        <v>1339</v>
      </c>
      <c r="C695" s="452">
        <v>1073409.795205479</v>
      </c>
      <c r="D695" s="452">
        <v>1073409.795205479</v>
      </c>
      <c r="E695" s="452">
        <v>0</v>
      </c>
      <c r="F695" s="452">
        <f t="shared" si="11"/>
        <v>1073409.795205479</v>
      </c>
      <c r="I695" s="400"/>
      <c r="L695" s="415"/>
      <c r="M695" s="416"/>
      <c r="N695" s="415"/>
    </row>
    <row r="696" spans="1:14" s="399" customFormat="1">
      <c r="A696" s="397"/>
      <c r="B696" s="451" t="s">
        <v>1339</v>
      </c>
      <c r="C696" s="452">
        <v>1073409.795205479</v>
      </c>
      <c r="D696" s="452">
        <v>1073409.795205479</v>
      </c>
      <c r="E696" s="452">
        <v>0</v>
      </c>
      <c r="F696" s="452">
        <f t="shared" si="11"/>
        <v>1073409.795205479</v>
      </c>
      <c r="I696" s="400"/>
      <c r="L696" s="415"/>
      <c r="M696" s="416"/>
      <c r="N696" s="415"/>
    </row>
    <row r="697" spans="1:14" s="399" customFormat="1">
      <c r="A697" s="397"/>
      <c r="B697" s="451" t="s">
        <v>1346</v>
      </c>
      <c r="C697" s="452">
        <v>5479659.8220411018</v>
      </c>
      <c r="D697" s="452">
        <v>5479659.8220411018</v>
      </c>
      <c r="E697" s="452">
        <v>0</v>
      </c>
      <c r="F697" s="452">
        <f t="shared" si="11"/>
        <v>5479659.8220411018</v>
      </c>
      <c r="I697" s="400"/>
      <c r="L697" s="415"/>
      <c r="M697" s="416"/>
      <c r="N697" s="415"/>
    </row>
    <row r="698" spans="1:14" s="399" customFormat="1">
      <c r="A698" s="397"/>
      <c r="B698" s="451" t="s">
        <v>1346</v>
      </c>
      <c r="C698" s="452">
        <v>4822117.0543561541</v>
      </c>
      <c r="D698" s="452">
        <v>4822117.0543561541</v>
      </c>
      <c r="E698" s="452">
        <v>0</v>
      </c>
      <c r="F698" s="452">
        <f t="shared" si="11"/>
        <v>4822117.0543561541</v>
      </c>
      <c r="I698" s="400"/>
      <c r="L698" s="415"/>
      <c r="M698" s="416"/>
      <c r="N698" s="415"/>
    </row>
    <row r="699" spans="1:14" s="399" customFormat="1">
      <c r="A699" s="397"/>
      <c r="B699" s="451" t="s">
        <v>1795</v>
      </c>
      <c r="C699" s="452">
        <v>948403.61621917807</v>
      </c>
      <c r="D699" s="452">
        <v>948403.61621917807</v>
      </c>
      <c r="E699" s="452">
        <v>0</v>
      </c>
      <c r="F699" s="452">
        <f t="shared" si="11"/>
        <v>948403.61621917807</v>
      </c>
      <c r="I699" s="400"/>
      <c r="L699" s="415"/>
      <c r="M699" s="416"/>
      <c r="N699" s="415"/>
    </row>
    <row r="700" spans="1:14" s="399" customFormat="1">
      <c r="A700" s="397"/>
      <c r="B700" s="451" t="s">
        <v>1795</v>
      </c>
      <c r="C700" s="452">
        <v>2853558.7068493152</v>
      </c>
      <c r="D700" s="452">
        <v>2853558.7068493152</v>
      </c>
      <c r="E700" s="452">
        <v>0</v>
      </c>
      <c r="F700" s="452">
        <f t="shared" si="11"/>
        <v>2853558.7068493152</v>
      </c>
      <c r="I700" s="400"/>
      <c r="L700" s="415"/>
      <c r="M700" s="416"/>
      <c r="N700" s="415"/>
    </row>
    <row r="701" spans="1:14" s="399" customFormat="1">
      <c r="A701" s="397"/>
      <c r="B701" s="451" t="s">
        <v>1795</v>
      </c>
      <c r="C701" s="452">
        <v>80476.462808219207</v>
      </c>
      <c r="D701" s="452">
        <v>80476.462808219207</v>
      </c>
      <c r="E701" s="452">
        <v>0</v>
      </c>
      <c r="F701" s="452">
        <f t="shared" si="11"/>
        <v>80476.462808219207</v>
      </c>
      <c r="I701" s="400"/>
      <c r="L701" s="415"/>
      <c r="M701" s="416"/>
      <c r="N701" s="415"/>
    </row>
    <row r="702" spans="1:14" s="399" customFormat="1">
      <c r="A702" s="397"/>
      <c r="B702" s="451" t="s">
        <v>1795</v>
      </c>
      <c r="C702" s="452">
        <v>80476.462808219207</v>
      </c>
      <c r="D702" s="452">
        <v>80476.462808219207</v>
      </c>
      <c r="E702" s="452">
        <v>0</v>
      </c>
      <c r="F702" s="452">
        <f t="shared" si="11"/>
        <v>80476.462808219207</v>
      </c>
      <c r="I702" s="400"/>
      <c r="L702" s="415"/>
      <c r="M702" s="416"/>
      <c r="N702" s="415"/>
    </row>
    <row r="703" spans="1:14" s="399" customFormat="1">
      <c r="A703" s="397"/>
      <c r="B703" s="451" t="s">
        <v>1795</v>
      </c>
      <c r="C703" s="452">
        <v>80476.462808219207</v>
      </c>
      <c r="D703" s="452">
        <v>80476.462808219207</v>
      </c>
      <c r="E703" s="452">
        <v>0</v>
      </c>
      <c r="F703" s="452">
        <f t="shared" si="11"/>
        <v>80476.462808219207</v>
      </c>
      <c r="I703" s="400"/>
      <c r="L703" s="415"/>
      <c r="M703" s="416"/>
      <c r="N703" s="415"/>
    </row>
    <row r="704" spans="1:14" s="399" customFormat="1">
      <c r="A704" s="397"/>
      <c r="B704" s="451" t="s">
        <v>1795</v>
      </c>
      <c r="C704" s="452">
        <v>80476.462808219207</v>
      </c>
      <c r="D704" s="452">
        <v>80476.462808219207</v>
      </c>
      <c r="E704" s="452">
        <v>0</v>
      </c>
      <c r="F704" s="452">
        <f t="shared" si="11"/>
        <v>80476.462808219207</v>
      </c>
      <c r="I704" s="400"/>
      <c r="L704" s="415"/>
      <c r="M704" s="416"/>
      <c r="N704" s="415"/>
    </row>
    <row r="705" spans="1:14" s="399" customFormat="1">
      <c r="A705" s="397"/>
      <c r="B705" s="451" t="s">
        <v>1795</v>
      </c>
      <c r="C705" s="452">
        <v>80476.462808219207</v>
      </c>
      <c r="D705" s="452">
        <v>80476.462808219207</v>
      </c>
      <c r="E705" s="452">
        <v>0</v>
      </c>
      <c r="F705" s="452">
        <f t="shared" si="11"/>
        <v>80476.462808219207</v>
      </c>
      <c r="I705" s="400"/>
      <c r="L705" s="415"/>
      <c r="M705" s="416"/>
      <c r="N705" s="415"/>
    </row>
    <row r="706" spans="1:14" s="399" customFormat="1">
      <c r="A706" s="397"/>
      <c r="B706" s="451" t="s">
        <v>1795</v>
      </c>
      <c r="C706" s="452">
        <v>80476.462808219207</v>
      </c>
      <c r="D706" s="452">
        <v>80476.462808219207</v>
      </c>
      <c r="E706" s="452">
        <v>0</v>
      </c>
      <c r="F706" s="452">
        <f t="shared" si="11"/>
        <v>80476.462808219207</v>
      </c>
      <c r="I706" s="400"/>
      <c r="L706" s="415"/>
      <c r="M706" s="416"/>
      <c r="N706" s="415"/>
    </row>
    <row r="707" spans="1:14" s="399" customFormat="1">
      <c r="A707" s="397"/>
      <c r="B707" s="451" t="s">
        <v>1795</v>
      </c>
      <c r="C707" s="452">
        <v>80476.462808219207</v>
      </c>
      <c r="D707" s="452">
        <v>80476.462808219207</v>
      </c>
      <c r="E707" s="452">
        <v>0</v>
      </c>
      <c r="F707" s="452">
        <f t="shared" si="11"/>
        <v>80476.462808219207</v>
      </c>
      <c r="I707" s="400"/>
      <c r="L707" s="415"/>
      <c r="M707" s="416"/>
      <c r="N707" s="415"/>
    </row>
    <row r="708" spans="1:14" s="399" customFormat="1">
      <c r="A708" s="397"/>
      <c r="B708" s="451" t="s">
        <v>1795</v>
      </c>
      <c r="C708" s="452">
        <v>80476.462808219207</v>
      </c>
      <c r="D708" s="452">
        <v>80476.462808219207</v>
      </c>
      <c r="E708" s="452">
        <v>0</v>
      </c>
      <c r="F708" s="452">
        <f t="shared" si="11"/>
        <v>80476.462808219207</v>
      </c>
      <c r="I708" s="400"/>
      <c r="L708" s="415"/>
      <c r="M708" s="416"/>
      <c r="N708" s="415"/>
    </row>
    <row r="709" spans="1:14" s="399" customFormat="1">
      <c r="A709" s="397"/>
      <c r="B709" s="451" t="s">
        <v>1795</v>
      </c>
      <c r="C709" s="452">
        <v>80476.462808219207</v>
      </c>
      <c r="D709" s="452">
        <v>80476.462808219207</v>
      </c>
      <c r="E709" s="452">
        <v>0</v>
      </c>
      <c r="F709" s="452">
        <f t="shared" si="11"/>
        <v>80476.462808219207</v>
      </c>
      <c r="I709" s="400"/>
      <c r="L709" s="415"/>
      <c r="M709" s="416"/>
      <c r="N709" s="415"/>
    </row>
    <row r="710" spans="1:14" s="399" customFormat="1">
      <c r="A710" s="397"/>
      <c r="B710" s="451" t="s">
        <v>1795</v>
      </c>
      <c r="C710" s="452">
        <v>120817.26271232852</v>
      </c>
      <c r="D710" s="452">
        <v>120817.26271232852</v>
      </c>
      <c r="E710" s="452">
        <v>0</v>
      </c>
      <c r="F710" s="452">
        <f t="shared" si="11"/>
        <v>120817.26271232852</v>
      </c>
      <c r="I710" s="400"/>
      <c r="L710" s="415"/>
      <c r="M710" s="416"/>
      <c r="N710" s="415"/>
    </row>
    <row r="711" spans="1:14" s="399" customFormat="1">
      <c r="A711" s="397"/>
      <c r="B711" s="451" t="s">
        <v>1795</v>
      </c>
      <c r="C711" s="452">
        <v>120817.26271232852</v>
      </c>
      <c r="D711" s="452">
        <v>120817.26271232852</v>
      </c>
      <c r="E711" s="452">
        <v>0</v>
      </c>
      <c r="F711" s="452">
        <f t="shared" si="11"/>
        <v>120817.26271232852</v>
      </c>
      <c r="G711" s="453"/>
      <c r="I711" s="400"/>
      <c r="L711" s="415"/>
      <c r="M711" s="416"/>
      <c r="N711" s="415"/>
    </row>
    <row r="712" spans="1:14" s="399" customFormat="1">
      <c r="A712" s="397"/>
      <c r="B712" s="451" t="s">
        <v>1795</v>
      </c>
      <c r="C712" s="452">
        <v>120817.26271232852</v>
      </c>
      <c r="D712" s="452">
        <v>120817.26271232852</v>
      </c>
      <c r="E712" s="452">
        <v>0</v>
      </c>
      <c r="F712" s="452">
        <f t="shared" si="11"/>
        <v>120817.26271232852</v>
      </c>
      <c r="I712" s="400"/>
      <c r="L712" s="415"/>
      <c r="M712" s="416"/>
      <c r="N712" s="415"/>
    </row>
    <row r="713" spans="1:14" s="399" customFormat="1">
      <c r="A713" s="397"/>
      <c r="B713" s="451" t="s">
        <v>1795</v>
      </c>
      <c r="C713" s="452">
        <v>120817.26271232852</v>
      </c>
      <c r="D713" s="452">
        <v>120817.26271232852</v>
      </c>
      <c r="E713" s="452">
        <v>0</v>
      </c>
      <c r="F713" s="452">
        <f t="shared" si="11"/>
        <v>120817.26271232852</v>
      </c>
      <c r="I713" s="400"/>
      <c r="L713" s="415"/>
      <c r="M713" s="416"/>
      <c r="N713" s="415"/>
    </row>
    <row r="714" spans="1:14" s="399" customFormat="1">
      <c r="A714" s="397"/>
      <c r="B714" s="451" t="s">
        <v>1795</v>
      </c>
      <c r="C714" s="452">
        <v>201430.4835205476</v>
      </c>
      <c r="D714" s="452">
        <v>201430.4835205476</v>
      </c>
      <c r="E714" s="452">
        <v>0</v>
      </c>
      <c r="F714" s="452">
        <f t="shared" si="11"/>
        <v>201430.4835205476</v>
      </c>
      <c r="I714" s="400"/>
      <c r="L714" s="415"/>
      <c r="M714" s="416"/>
      <c r="N714" s="415"/>
    </row>
    <row r="715" spans="1:14" s="399" customFormat="1">
      <c r="A715" s="397"/>
      <c r="B715" s="451" t="s">
        <v>1795</v>
      </c>
      <c r="C715" s="452">
        <v>201430.4835205476</v>
      </c>
      <c r="D715" s="452">
        <v>201430.4835205476</v>
      </c>
      <c r="E715" s="452">
        <v>0</v>
      </c>
      <c r="F715" s="452">
        <f t="shared" si="11"/>
        <v>201430.4835205476</v>
      </c>
      <c r="I715" s="400"/>
      <c r="L715" s="415"/>
      <c r="M715" s="416"/>
      <c r="N715" s="415"/>
    </row>
    <row r="716" spans="1:14" s="399" customFormat="1">
      <c r="A716" s="397"/>
      <c r="B716" s="451" t="s">
        <v>1795</v>
      </c>
      <c r="C716" s="452">
        <v>201430.4835205476</v>
      </c>
      <c r="D716" s="452">
        <v>201430.4835205476</v>
      </c>
      <c r="E716" s="452">
        <v>0</v>
      </c>
      <c r="F716" s="452">
        <f t="shared" si="11"/>
        <v>201430.4835205476</v>
      </c>
      <c r="I716" s="400"/>
      <c r="L716" s="415"/>
      <c r="M716" s="416"/>
      <c r="N716" s="415"/>
    </row>
    <row r="717" spans="1:14" s="399" customFormat="1">
      <c r="A717" s="397"/>
      <c r="B717" s="451" t="s">
        <v>1795</v>
      </c>
      <c r="C717" s="452">
        <v>201430.4835205476</v>
      </c>
      <c r="D717" s="452">
        <v>201430.4835205476</v>
      </c>
      <c r="E717" s="452">
        <v>0</v>
      </c>
      <c r="F717" s="452">
        <f t="shared" si="11"/>
        <v>201430.4835205476</v>
      </c>
      <c r="I717" s="400"/>
      <c r="L717" s="415"/>
      <c r="M717" s="416"/>
      <c r="N717" s="415"/>
    </row>
    <row r="718" spans="1:14" s="399" customFormat="1">
      <c r="A718" s="397"/>
      <c r="B718" s="451" t="s">
        <v>1795</v>
      </c>
      <c r="C718" s="452">
        <v>201430.4835205476</v>
      </c>
      <c r="D718" s="452">
        <v>201430.4835205476</v>
      </c>
      <c r="E718" s="452">
        <v>0</v>
      </c>
      <c r="F718" s="452">
        <f t="shared" si="11"/>
        <v>201430.4835205476</v>
      </c>
      <c r="I718" s="400"/>
      <c r="L718" s="415"/>
      <c r="M718" s="416"/>
      <c r="N718" s="415"/>
    </row>
    <row r="719" spans="1:14" s="399" customFormat="1">
      <c r="A719" s="397"/>
      <c r="B719" s="451" t="s">
        <v>1795</v>
      </c>
      <c r="C719" s="452">
        <v>331004.94172602694</v>
      </c>
      <c r="D719" s="452">
        <v>331004.94172602694</v>
      </c>
      <c r="E719" s="452">
        <v>0</v>
      </c>
      <c r="F719" s="452">
        <f t="shared" si="11"/>
        <v>331004.94172602694</v>
      </c>
      <c r="I719" s="400"/>
      <c r="L719" s="415"/>
      <c r="M719" s="416"/>
      <c r="N719" s="415"/>
    </row>
    <row r="720" spans="1:14" s="399" customFormat="1">
      <c r="A720" s="397"/>
      <c r="B720" s="451" t="s">
        <v>1795</v>
      </c>
      <c r="C720" s="452">
        <v>331004.94172602694</v>
      </c>
      <c r="D720" s="452">
        <v>331004.94172602694</v>
      </c>
      <c r="E720" s="452">
        <v>0</v>
      </c>
      <c r="F720" s="452">
        <f t="shared" si="11"/>
        <v>331004.94172602694</v>
      </c>
      <c r="I720" s="400"/>
      <c r="L720" s="415"/>
      <c r="M720" s="416"/>
      <c r="N720" s="415"/>
    </row>
    <row r="721" spans="1:14" s="399" customFormat="1">
      <c r="A721" s="397"/>
      <c r="B721" s="451" t="s">
        <v>1795</v>
      </c>
      <c r="C721" s="452">
        <v>331004.94172602694</v>
      </c>
      <c r="D721" s="452">
        <v>331004.94172602694</v>
      </c>
      <c r="E721" s="452">
        <v>0</v>
      </c>
      <c r="F721" s="452">
        <f t="shared" si="11"/>
        <v>331004.94172602694</v>
      </c>
      <c r="I721" s="400"/>
      <c r="L721" s="415"/>
      <c r="M721" s="416"/>
      <c r="N721" s="415"/>
    </row>
    <row r="722" spans="1:14" s="399" customFormat="1">
      <c r="A722" s="397"/>
      <c r="B722" s="451" t="s">
        <v>1795</v>
      </c>
      <c r="C722" s="452">
        <v>331004.94172602694</v>
      </c>
      <c r="D722" s="452">
        <v>331004.94172602694</v>
      </c>
      <c r="E722" s="452">
        <v>0</v>
      </c>
      <c r="F722" s="452">
        <f t="shared" si="11"/>
        <v>331004.94172602694</v>
      </c>
      <c r="I722" s="400"/>
      <c r="L722" s="415"/>
      <c r="M722" s="416"/>
      <c r="N722" s="415"/>
    </row>
    <row r="723" spans="1:14" s="399" customFormat="1">
      <c r="A723" s="397"/>
      <c r="B723" s="451" t="s">
        <v>1795</v>
      </c>
      <c r="C723" s="452">
        <v>331004.94172602694</v>
      </c>
      <c r="D723" s="452">
        <v>331004.94172602694</v>
      </c>
      <c r="E723" s="452">
        <v>0</v>
      </c>
      <c r="F723" s="452">
        <f t="shared" si="11"/>
        <v>331004.94172602694</v>
      </c>
      <c r="I723" s="400"/>
      <c r="L723" s="415"/>
      <c r="M723" s="416"/>
      <c r="N723" s="415"/>
    </row>
    <row r="724" spans="1:14" s="399" customFormat="1">
      <c r="A724" s="397"/>
      <c r="B724" s="451" t="s">
        <v>1795</v>
      </c>
      <c r="C724" s="452">
        <v>331004.94172602694</v>
      </c>
      <c r="D724" s="452">
        <v>331004.94172602694</v>
      </c>
      <c r="E724" s="452">
        <v>0</v>
      </c>
      <c r="F724" s="452">
        <f t="shared" si="11"/>
        <v>331004.94172602694</v>
      </c>
      <c r="I724" s="400"/>
      <c r="L724" s="415"/>
      <c r="M724" s="416"/>
      <c r="N724" s="415"/>
    </row>
    <row r="725" spans="1:14" s="399" customFormat="1">
      <c r="A725" s="397"/>
      <c r="B725" s="451" t="s">
        <v>1795</v>
      </c>
      <c r="C725" s="452">
        <v>331004.94172602694</v>
      </c>
      <c r="D725" s="452">
        <v>331004.94172602694</v>
      </c>
      <c r="E725" s="452">
        <v>0</v>
      </c>
      <c r="F725" s="452">
        <f t="shared" si="11"/>
        <v>331004.94172602694</v>
      </c>
      <c r="G725" s="454"/>
      <c r="I725" s="400"/>
      <c r="L725" s="415"/>
      <c r="M725" s="416"/>
      <c r="N725" s="415"/>
    </row>
    <row r="726" spans="1:14" s="399" customFormat="1">
      <c r="A726" s="397"/>
      <c r="B726" s="451" t="s">
        <v>1795</v>
      </c>
      <c r="C726" s="452">
        <v>331004.94172602694</v>
      </c>
      <c r="D726" s="452">
        <v>331004.94172602694</v>
      </c>
      <c r="E726" s="452">
        <v>0</v>
      </c>
      <c r="F726" s="452">
        <f t="shared" si="11"/>
        <v>331004.94172602694</v>
      </c>
      <c r="G726" s="454"/>
      <c r="I726" s="400"/>
      <c r="L726" s="415"/>
      <c r="M726" s="416"/>
      <c r="N726" s="415"/>
    </row>
    <row r="727" spans="1:14" s="399" customFormat="1">
      <c r="A727" s="397"/>
      <c r="B727" s="451" t="s">
        <v>1795</v>
      </c>
      <c r="C727" s="452">
        <v>331004.94172602694</v>
      </c>
      <c r="D727" s="452">
        <v>331004.94172602694</v>
      </c>
      <c r="E727" s="452">
        <v>0</v>
      </c>
      <c r="F727" s="452">
        <f t="shared" si="11"/>
        <v>331004.94172602694</v>
      </c>
      <c r="G727" s="454"/>
      <c r="I727" s="400"/>
      <c r="L727" s="415"/>
      <c r="M727" s="416"/>
      <c r="N727" s="415"/>
    </row>
    <row r="728" spans="1:14" s="399" customFormat="1">
      <c r="A728" s="397"/>
      <c r="B728" s="451" t="s">
        <v>1795</v>
      </c>
      <c r="C728" s="452">
        <v>331004.94172602694</v>
      </c>
      <c r="D728" s="452">
        <v>331004.94172602694</v>
      </c>
      <c r="E728" s="452">
        <v>0</v>
      </c>
      <c r="F728" s="452">
        <f t="shared" si="11"/>
        <v>331004.94172602694</v>
      </c>
      <c r="G728" s="454"/>
      <c r="I728" s="400"/>
      <c r="L728" s="415"/>
      <c r="M728" s="416"/>
      <c r="N728" s="415"/>
    </row>
    <row r="729" spans="1:14" s="399" customFormat="1">
      <c r="A729" s="397"/>
      <c r="B729" s="451" t="s">
        <v>1796</v>
      </c>
      <c r="C729" s="452">
        <v>31085876.480054811</v>
      </c>
      <c r="D729" s="452">
        <v>31085876.480054811</v>
      </c>
      <c r="E729" s="452">
        <v>0</v>
      </c>
      <c r="F729" s="452">
        <f t="shared" si="11"/>
        <v>31085876.480054811</v>
      </c>
      <c r="G729" s="454"/>
      <c r="I729" s="400"/>
      <c r="L729" s="415"/>
      <c r="M729" s="416"/>
      <c r="N729" s="415"/>
    </row>
    <row r="730" spans="1:14" s="399" customFormat="1">
      <c r="A730" s="397"/>
      <c r="B730" s="451" t="s">
        <v>1796</v>
      </c>
      <c r="C730" s="452">
        <v>31085876.480054811</v>
      </c>
      <c r="D730" s="452">
        <v>31085876.480054811</v>
      </c>
      <c r="E730" s="452">
        <v>0</v>
      </c>
      <c r="F730" s="452">
        <f t="shared" si="11"/>
        <v>31085876.480054811</v>
      </c>
      <c r="G730" s="454"/>
      <c r="I730" s="400"/>
      <c r="L730" s="415"/>
      <c r="M730" s="416"/>
      <c r="N730" s="415"/>
    </row>
    <row r="731" spans="1:14" s="399" customFormat="1">
      <c r="A731" s="397"/>
      <c r="B731" s="451" t="s">
        <v>1796</v>
      </c>
      <c r="C731" s="452">
        <v>27015106.941000003</v>
      </c>
      <c r="D731" s="452">
        <v>27015106.941000003</v>
      </c>
      <c r="E731" s="452">
        <v>0</v>
      </c>
      <c r="F731" s="452">
        <f t="shared" si="11"/>
        <v>27015106.941000003</v>
      </c>
      <c r="G731" s="454"/>
      <c r="I731" s="400"/>
      <c r="L731" s="415"/>
      <c r="M731" s="416"/>
      <c r="N731" s="415"/>
    </row>
    <row r="732" spans="1:14" s="399" customFormat="1">
      <c r="A732" s="397"/>
      <c r="B732" s="451" t="s">
        <v>1796</v>
      </c>
      <c r="C732" s="452">
        <v>27015106.941000003</v>
      </c>
      <c r="D732" s="452">
        <v>27015106.941000003</v>
      </c>
      <c r="E732" s="452">
        <v>0</v>
      </c>
      <c r="F732" s="452">
        <f t="shared" si="11"/>
        <v>27015106.941000003</v>
      </c>
      <c r="G732" s="454"/>
      <c r="I732" s="400"/>
      <c r="L732" s="415"/>
      <c r="M732" s="416"/>
      <c r="N732" s="415"/>
    </row>
    <row r="733" spans="1:14" s="399" customFormat="1">
      <c r="A733" s="397"/>
      <c r="B733" s="451" t="s">
        <v>1796</v>
      </c>
      <c r="C733" s="452">
        <v>38487275.641972579</v>
      </c>
      <c r="D733" s="452">
        <v>38487275.641972579</v>
      </c>
      <c r="E733" s="452">
        <v>0</v>
      </c>
      <c r="F733" s="452">
        <f t="shared" si="11"/>
        <v>38487275.641972579</v>
      </c>
      <c r="G733" s="454"/>
      <c r="I733" s="400"/>
      <c r="L733" s="415"/>
      <c r="M733" s="416"/>
      <c r="N733" s="415"/>
    </row>
    <row r="734" spans="1:14" s="399" customFormat="1">
      <c r="A734" s="397"/>
      <c r="B734" s="451" t="s">
        <v>1796</v>
      </c>
      <c r="C734" s="452">
        <v>38487275.641972579</v>
      </c>
      <c r="D734" s="452">
        <v>38487275.641972579</v>
      </c>
      <c r="E734" s="452">
        <v>0</v>
      </c>
      <c r="F734" s="452">
        <f t="shared" si="11"/>
        <v>38487275.641972579</v>
      </c>
      <c r="G734" s="454"/>
      <c r="I734" s="400"/>
      <c r="L734" s="415"/>
      <c r="M734" s="416"/>
      <c r="N734" s="415"/>
    </row>
    <row r="735" spans="1:14" s="399" customFormat="1">
      <c r="A735" s="397"/>
      <c r="B735" s="451" t="s">
        <v>1796</v>
      </c>
      <c r="C735" s="452">
        <v>38487275.641972579</v>
      </c>
      <c r="D735" s="452">
        <v>38487275.641972579</v>
      </c>
      <c r="E735" s="452">
        <v>0</v>
      </c>
      <c r="F735" s="452">
        <f t="shared" si="11"/>
        <v>38487275.641972579</v>
      </c>
      <c r="G735" s="454"/>
      <c r="I735" s="400"/>
      <c r="L735" s="415"/>
      <c r="M735" s="416"/>
      <c r="N735" s="415"/>
    </row>
    <row r="736" spans="1:14" s="399" customFormat="1">
      <c r="A736" s="397"/>
      <c r="B736" s="451" t="s">
        <v>1796</v>
      </c>
      <c r="C736" s="452">
        <v>16863947.457534272</v>
      </c>
      <c r="D736" s="452">
        <v>16863947.457534272</v>
      </c>
      <c r="E736" s="452">
        <v>0</v>
      </c>
      <c r="F736" s="452">
        <f t="shared" si="11"/>
        <v>16863947.457534272</v>
      </c>
      <c r="G736" s="454"/>
      <c r="I736" s="400"/>
      <c r="L736" s="415"/>
      <c r="M736" s="416"/>
      <c r="N736" s="415"/>
    </row>
    <row r="737" spans="1:14" s="399" customFormat="1">
      <c r="A737" s="397"/>
      <c r="B737" s="451" t="s">
        <v>1797</v>
      </c>
      <c r="C737" s="452">
        <v>1504338</v>
      </c>
      <c r="D737" s="452">
        <v>1504338</v>
      </c>
      <c r="E737" s="452">
        <v>0</v>
      </c>
      <c r="F737" s="452">
        <f t="shared" si="11"/>
        <v>1504338</v>
      </c>
      <c r="G737" s="454"/>
      <c r="I737" s="400"/>
      <c r="L737" s="415"/>
      <c r="M737" s="416"/>
      <c r="N737" s="415"/>
    </row>
    <row r="738" spans="1:14" s="399" customFormat="1">
      <c r="A738" s="397"/>
      <c r="B738" s="451" t="s">
        <v>1797</v>
      </c>
      <c r="C738" s="452">
        <v>1504338</v>
      </c>
      <c r="D738" s="452">
        <v>1504338</v>
      </c>
      <c r="E738" s="452">
        <v>0</v>
      </c>
      <c r="F738" s="452">
        <f t="shared" si="11"/>
        <v>1504338</v>
      </c>
      <c r="G738" s="454"/>
      <c r="I738" s="400"/>
      <c r="L738" s="415"/>
      <c r="M738" s="416"/>
      <c r="N738" s="415"/>
    </row>
    <row r="739" spans="1:14" s="399" customFormat="1">
      <c r="A739" s="397"/>
      <c r="B739" s="451" t="s">
        <v>1797</v>
      </c>
      <c r="C739" s="452">
        <v>6058566.7397260303</v>
      </c>
      <c r="D739" s="452">
        <v>6058566.7397260303</v>
      </c>
      <c r="E739" s="452">
        <v>0</v>
      </c>
      <c r="F739" s="452">
        <f t="shared" ref="F739:F756" si="12">+C739</f>
        <v>6058566.7397260303</v>
      </c>
      <c r="G739" s="454"/>
      <c r="I739" s="400"/>
      <c r="L739" s="415"/>
      <c r="M739" s="416"/>
      <c r="N739" s="415"/>
    </row>
    <row r="740" spans="1:14" s="399" customFormat="1">
      <c r="A740" s="397"/>
      <c r="B740" s="451" t="s">
        <v>1797</v>
      </c>
      <c r="C740" s="452">
        <v>6058566.7397260303</v>
      </c>
      <c r="D740" s="452">
        <v>6058566.7397260303</v>
      </c>
      <c r="E740" s="452">
        <v>0</v>
      </c>
      <c r="F740" s="452">
        <f t="shared" si="12"/>
        <v>6058566.7397260303</v>
      </c>
      <c r="G740" s="454"/>
      <c r="I740" s="400"/>
      <c r="L740" s="415"/>
      <c r="M740" s="416"/>
      <c r="N740" s="415"/>
    </row>
    <row r="741" spans="1:14" s="399" customFormat="1">
      <c r="A741" s="397"/>
      <c r="B741" s="451" t="s">
        <v>1797</v>
      </c>
      <c r="C741" s="452">
        <v>6058566.7397260303</v>
      </c>
      <c r="D741" s="452">
        <v>6058566.7397260303</v>
      </c>
      <c r="E741" s="452">
        <v>0</v>
      </c>
      <c r="F741" s="452">
        <f t="shared" si="12"/>
        <v>6058566.7397260303</v>
      </c>
      <c r="G741" s="454"/>
      <c r="I741" s="400"/>
      <c r="L741" s="415"/>
      <c r="M741" s="416"/>
      <c r="N741" s="415"/>
    </row>
    <row r="742" spans="1:14" s="399" customFormat="1">
      <c r="A742" s="397"/>
      <c r="B742" s="451" t="s">
        <v>1797</v>
      </c>
      <c r="C742" s="452">
        <v>1504338</v>
      </c>
      <c r="D742" s="452">
        <v>1504338</v>
      </c>
      <c r="E742" s="452">
        <v>0</v>
      </c>
      <c r="F742" s="452">
        <f t="shared" si="12"/>
        <v>1504338</v>
      </c>
      <c r="G742" s="454"/>
      <c r="I742" s="400"/>
      <c r="L742" s="415"/>
      <c r="M742" s="416"/>
      <c r="N742" s="415"/>
    </row>
    <row r="743" spans="1:14" s="399" customFormat="1">
      <c r="A743" s="397"/>
      <c r="B743" s="451" t="s">
        <v>1797</v>
      </c>
      <c r="C743" s="452">
        <v>1504338</v>
      </c>
      <c r="D743" s="452">
        <v>1504338</v>
      </c>
      <c r="E743" s="452">
        <v>0</v>
      </c>
      <c r="F743" s="452">
        <f t="shared" si="12"/>
        <v>1504338</v>
      </c>
      <c r="G743" s="454"/>
      <c r="I743" s="400"/>
      <c r="L743" s="415"/>
      <c r="M743" s="416"/>
      <c r="N743" s="415"/>
    </row>
    <row r="744" spans="1:14" s="399" customFormat="1">
      <c r="A744" s="397"/>
      <c r="B744" s="451" t="s">
        <v>1797</v>
      </c>
      <c r="C744" s="452">
        <v>1504338</v>
      </c>
      <c r="D744" s="452">
        <v>1504338</v>
      </c>
      <c r="E744" s="452">
        <v>0</v>
      </c>
      <c r="F744" s="452">
        <f t="shared" si="12"/>
        <v>1504338</v>
      </c>
      <c r="G744" s="454"/>
      <c r="I744" s="400"/>
      <c r="L744" s="415"/>
      <c r="M744" s="416"/>
      <c r="N744" s="415"/>
    </row>
    <row r="745" spans="1:14" s="399" customFormat="1">
      <c r="A745" s="397"/>
      <c r="B745" s="451" t="s">
        <v>1797</v>
      </c>
      <c r="C745" s="452">
        <v>1196632.5000000002</v>
      </c>
      <c r="D745" s="452">
        <v>1196632.5000000002</v>
      </c>
      <c r="E745" s="452">
        <v>0</v>
      </c>
      <c r="F745" s="452">
        <f t="shared" si="12"/>
        <v>1196632.5000000002</v>
      </c>
      <c r="G745" s="454"/>
      <c r="I745" s="400"/>
      <c r="L745" s="415"/>
      <c r="M745" s="416"/>
      <c r="N745" s="415"/>
    </row>
    <row r="746" spans="1:14" s="399" customFormat="1">
      <c r="A746" s="397"/>
      <c r="B746" s="451" t="s">
        <v>1797</v>
      </c>
      <c r="C746" s="452">
        <v>1196632.5000000002</v>
      </c>
      <c r="D746" s="452">
        <v>1196632.5000000002</v>
      </c>
      <c r="E746" s="452">
        <v>0</v>
      </c>
      <c r="F746" s="452">
        <f t="shared" si="12"/>
        <v>1196632.5000000002</v>
      </c>
      <c r="G746" s="454"/>
      <c r="I746" s="400"/>
      <c r="L746" s="415"/>
      <c r="M746" s="416"/>
      <c r="N746" s="415"/>
    </row>
    <row r="747" spans="1:14" s="399" customFormat="1">
      <c r="A747" s="397"/>
      <c r="B747" s="451" t="s">
        <v>1798</v>
      </c>
      <c r="C747" s="452">
        <v>3480022.7506849379</v>
      </c>
      <c r="D747" s="452">
        <v>3480022.7506849379</v>
      </c>
      <c r="E747" s="452">
        <v>0</v>
      </c>
      <c r="F747" s="452">
        <f t="shared" si="12"/>
        <v>3480022.7506849379</v>
      </c>
      <c r="G747" s="454"/>
      <c r="I747" s="400"/>
      <c r="L747" s="415"/>
      <c r="M747" s="416"/>
      <c r="N747" s="415"/>
    </row>
    <row r="748" spans="1:14" s="399" customFormat="1">
      <c r="A748" s="397"/>
      <c r="B748" s="451" t="s">
        <v>1798</v>
      </c>
      <c r="C748" s="452">
        <v>3480022.7506849379</v>
      </c>
      <c r="D748" s="452">
        <v>3480022.7506849379</v>
      </c>
      <c r="E748" s="452">
        <v>0</v>
      </c>
      <c r="F748" s="452">
        <f t="shared" si="12"/>
        <v>3480022.7506849379</v>
      </c>
      <c r="G748" s="454"/>
      <c r="I748" s="400"/>
      <c r="L748" s="415"/>
      <c r="M748" s="416"/>
      <c r="N748" s="415"/>
    </row>
    <row r="749" spans="1:14" s="399" customFormat="1">
      <c r="A749" s="397"/>
      <c r="B749" s="451" t="s">
        <v>1798</v>
      </c>
      <c r="C749" s="452">
        <v>3480022.7506849379</v>
      </c>
      <c r="D749" s="452">
        <v>3480022.7506849379</v>
      </c>
      <c r="E749" s="452">
        <v>0</v>
      </c>
      <c r="F749" s="452">
        <f t="shared" si="12"/>
        <v>3480022.7506849379</v>
      </c>
      <c r="G749" s="454"/>
      <c r="I749" s="400"/>
      <c r="L749" s="415"/>
      <c r="M749" s="416"/>
      <c r="N749" s="415"/>
    </row>
    <row r="750" spans="1:14" s="399" customFormat="1">
      <c r="A750" s="397"/>
      <c r="B750" s="451" t="s">
        <v>1798</v>
      </c>
      <c r="C750" s="452">
        <v>3480022.7506849379</v>
      </c>
      <c r="D750" s="452">
        <v>3480022.7506849379</v>
      </c>
      <c r="E750" s="452">
        <v>0</v>
      </c>
      <c r="F750" s="452">
        <f t="shared" si="12"/>
        <v>3480022.7506849379</v>
      </c>
      <c r="G750" s="454"/>
      <c r="I750" s="400"/>
      <c r="L750" s="415"/>
      <c r="M750" s="416"/>
      <c r="N750" s="415"/>
    </row>
    <row r="751" spans="1:14" s="399" customFormat="1">
      <c r="A751" s="397"/>
      <c r="B751" s="451" t="s">
        <v>1798</v>
      </c>
      <c r="C751" s="452">
        <v>3480022.7506849379</v>
      </c>
      <c r="D751" s="452">
        <v>3480022.7506849379</v>
      </c>
      <c r="E751" s="452">
        <v>0</v>
      </c>
      <c r="F751" s="452">
        <f t="shared" si="12"/>
        <v>3480022.7506849379</v>
      </c>
      <c r="G751" s="454"/>
      <c r="I751" s="400"/>
      <c r="L751" s="415"/>
      <c r="M751" s="416"/>
      <c r="N751" s="415"/>
    </row>
    <row r="752" spans="1:14" s="399" customFormat="1">
      <c r="A752" s="397"/>
      <c r="B752" s="451" t="s">
        <v>472</v>
      </c>
      <c r="C752" s="452">
        <v>36531251.258835644</v>
      </c>
      <c r="D752" s="452">
        <v>36531251.258835644</v>
      </c>
      <c r="E752" s="452">
        <v>0</v>
      </c>
      <c r="F752" s="452">
        <f t="shared" si="12"/>
        <v>36531251.258835644</v>
      </c>
      <c r="G752" s="454"/>
      <c r="I752" s="400"/>
      <c r="L752" s="415"/>
      <c r="M752" s="416"/>
      <c r="N752" s="415"/>
    </row>
    <row r="753" spans="1:14" s="399" customFormat="1">
      <c r="A753" s="397"/>
      <c r="B753" s="451" t="s">
        <v>472</v>
      </c>
      <c r="C753" s="452">
        <v>36531251.258835644</v>
      </c>
      <c r="D753" s="452">
        <v>36531251.258835644</v>
      </c>
      <c r="E753" s="452">
        <v>0</v>
      </c>
      <c r="F753" s="452">
        <f t="shared" si="12"/>
        <v>36531251.258835644</v>
      </c>
      <c r="G753" s="454"/>
      <c r="I753" s="400"/>
      <c r="L753" s="415"/>
      <c r="M753" s="416"/>
      <c r="N753" s="415"/>
    </row>
    <row r="754" spans="1:14" s="399" customFormat="1">
      <c r="A754" s="397"/>
      <c r="B754" s="451" t="s">
        <v>472</v>
      </c>
      <c r="C754" s="452">
        <v>36531182.879835628</v>
      </c>
      <c r="D754" s="452">
        <v>36531182.879835628</v>
      </c>
      <c r="E754" s="452">
        <v>0</v>
      </c>
      <c r="F754" s="452">
        <f t="shared" si="12"/>
        <v>36531182.879835628</v>
      </c>
      <c r="G754" s="454"/>
      <c r="I754" s="400"/>
      <c r="L754" s="415"/>
      <c r="M754" s="416"/>
      <c r="N754" s="415"/>
    </row>
    <row r="755" spans="1:14" s="399" customFormat="1">
      <c r="A755" s="397"/>
      <c r="B755" s="451" t="s">
        <v>472</v>
      </c>
      <c r="C755" s="452">
        <v>2243124961.4295125</v>
      </c>
      <c r="D755" s="452">
        <v>2243124961.4295125</v>
      </c>
      <c r="E755" s="452">
        <v>0</v>
      </c>
      <c r="F755" s="452">
        <f t="shared" si="12"/>
        <v>2243124961.4295125</v>
      </c>
      <c r="G755" s="454"/>
      <c r="I755" s="400"/>
      <c r="L755" s="415"/>
      <c r="M755" s="416"/>
      <c r="N755" s="415"/>
    </row>
    <row r="756" spans="1:14" s="399" customFormat="1">
      <c r="A756" s="397"/>
      <c r="B756" s="451" t="s">
        <v>472</v>
      </c>
      <c r="C756" s="452">
        <v>25571841.691684991</v>
      </c>
      <c r="D756" s="452">
        <v>25571841.691684991</v>
      </c>
      <c r="E756" s="452">
        <v>0</v>
      </c>
      <c r="F756" s="452">
        <f t="shared" si="12"/>
        <v>25571841.691684991</v>
      </c>
      <c r="G756" s="454"/>
      <c r="I756" s="400"/>
      <c r="L756" s="415"/>
      <c r="M756" s="416"/>
      <c r="N756" s="415"/>
    </row>
    <row r="757" spans="1:14" s="399" customFormat="1">
      <c r="A757" s="397"/>
      <c r="B757" s="451"/>
      <c r="C757" s="452"/>
      <c r="D757" s="452"/>
      <c r="E757" s="452"/>
      <c r="F757" s="452"/>
      <c r="G757" s="454"/>
      <c r="I757" s="400"/>
      <c r="L757" s="415"/>
      <c r="M757" s="416"/>
      <c r="N757" s="415"/>
    </row>
    <row r="758" spans="1:14" s="399" customFormat="1">
      <c r="A758" s="397"/>
      <c r="B758" s="953" t="s">
        <v>1149</v>
      </c>
      <c r="C758" s="954"/>
      <c r="D758" s="954"/>
      <c r="E758" s="954"/>
      <c r="F758" s="954"/>
      <c r="G758" s="454"/>
      <c r="I758" s="400"/>
      <c r="L758" s="415"/>
      <c r="M758" s="416"/>
      <c r="N758" s="415"/>
    </row>
    <row r="759" spans="1:14" s="399" customFormat="1">
      <c r="A759" s="397"/>
      <c r="B759" s="451" t="s">
        <v>1343</v>
      </c>
      <c r="C759" s="452">
        <v>7000000000</v>
      </c>
      <c r="D759" s="452">
        <v>7000000000</v>
      </c>
      <c r="E759" s="452">
        <v>1000000</v>
      </c>
      <c r="F759" s="452">
        <f>+C759</f>
        <v>7000000000</v>
      </c>
      <c r="G759" s="454"/>
      <c r="I759" s="400"/>
      <c r="L759" s="415"/>
      <c r="M759" s="416"/>
      <c r="N759" s="415"/>
    </row>
    <row r="760" spans="1:14" s="399" customFormat="1">
      <c r="A760" s="397"/>
      <c r="B760" s="451" t="s">
        <v>523</v>
      </c>
      <c r="C760" s="452">
        <v>15000000000</v>
      </c>
      <c r="D760" s="452">
        <v>15000000000</v>
      </c>
      <c r="E760" s="452">
        <v>1000000</v>
      </c>
      <c r="F760" s="452">
        <f t="shared" ref="F760:F823" si="13">+C760</f>
        <v>15000000000</v>
      </c>
      <c r="G760" s="454"/>
      <c r="I760" s="400"/>
      <c r="L760" s="415"/>
      <c r="M760" s="416"/>
      <c r="N760" s="415"/>
    </row>
    <row r="761" spans="1:14" s="399" customFormat="1">
      <c r="A761" s="397"/>
      <c r="B761" s="451" t="s">
        <v>1345</v>
      </c>
      <c r="C761" s="452">
        <v>2751000000</v>
      </c>
      <c r="D761" s="452">
        <v>2751000000</v>
      </c>
      <c r="E761" s="452">
        <v>1000000</v>
      </c>
      <c r="F761" s="452">
        <f t="shared" si="13"/>
        <v>2751000000</v>
      </c>
      <c r="G761" s="454"/>
      <c r="I761" s="400"/>
      <c r="L761" s="415"/>
      <c r="M761" s="416"/>
      <c r="N761" s="415"/>
    </row>
    <row r="762" spans="1:14" s="399" customFormat="1">
      <c r="A762" s="397"/>
      <c r="B762" s="451" t="s">
        <v>1345</v>
      </c>
      <c r="C762" s="452">
        <v>3115000000</v>
      </c>
      <c r="D762" s="452">
        <v>3115000000</v>
      </c>
      <c r="E762" s="452">
        <v>1000000</v>
      </c>
      <c r="F762" s="452">
        <f t="shared" si="13"/>
        <v>3115000000</v>
      </c>
      <c r="G762" s="454"/>
      <c r="I762" s="400"/>
      <c r="L762" s="415"/>
      <c r="M762" s="416"/>
      <c r="N762" s="415"/>
    </row>
    <row r="763" spans="1:14" s="399" customFormat="1">
      <c r="A763" s="397"/>
      <c r="B763" s="451" t="s">
        <v>1345</v>
      </c>
      <c r="C763" s="452">
        <v>7750000000</v>
      </c>
      <c r="D763" s="452">
        <v>7750000000</v>
      </c>
      <c r="E763" s="452">
        <v>1000000</v>
      </c>
      <c r="F763" s="452">
        <f t="shared" si="13"/>
        <v>7750000000</v>
      </c>
      <c r="G763" s="454"/>
      <c r="I763" s="400"/>
      <c r="L763" s="415"/>
      <c r="M763" s="416"/>
      <c r="N763" s="415"/>
    </row>
    <row r="764" spans="1:14" s="399" customFormat="1">
      <c r="A764" s="397"/>
      <c r="B764" s="451" t="s">
        <v>1344</v>
      </c>
      <c r="C764" s="452">
        <v>2050000000</v>
      </c>
      <c r="D764" s="452">
        <v>2050000000</v>
      </c>
      <c r="E764" s="452">
        <v>1000000</v>
      </c>
      <c r="F764" s="452">
        <f t="shared" si="13"/>
        <v>2050000000</v>
      </c>
      <c r="G764" s="454"/>
      <c r="I764" s="400"/>
      <c r="L764" s="415"/>
      <c r="M764" s="416"/>
      <c r="N764" s="415"/>
    </row>
    <row r="765" spans="1:14" s="399" customFormat="1">
      <c r="A765" s="397"/>
      <c r="B765" s="451" t="s">
        <v>1344</v>
      </c>
      <c r="C765" s="452">
        <v>2300000000</v>
      </c>
      <c r="D765" s="452">
        <v>2300000000</v>
      </c>
      <c r="E765" s="452">
        <v>1000000</v>
      </c>
      <c r="F765" s="452">
        <f t="shared" si="13"/>
        <v>2300000000</v>
      </c>
      <c r="G765" s="454"/>
      <c r="I765" s="400"/>
      <c r="L765" s="415"/>
      <c r="M765" s="416"/>
      <c r="N765" s="415"/>
    </row>
    <row r="766" spans="1:14" s="399" customFormat="1">
      <c r="A766" s="397"/>
      <c r="B766" s="451" t="s">
        <v>1346</v>
      </c>
      <c r="C766" s="452">
        <v>50000000</v>
      </c>
      <c r="D766" s="452">
        <v>50000000</v>
      </c>
      <c r="E766" s="452">
        <v>50000000</v>
      </c>
      <c r="F766" s="452">
        <f t="shared" si="13"/>
        <v>50000000</v>
      </c>
      <c r="G766" s="454"/>
      <c r="I766" s="400"/>
      <c r="L766" s="415"/>
      <c r="M766" s="416"/>
      <c r="N766" s="415"/>
    </row>
    <row r="767" spans="1:14" s="399" customFormat="1">
      <c r="A767" s="397"/>
      <c r="B767" s="451" t="s">
        <v>1346</v>
      </c>
      <c r="C767" s="452">
        <v>50000000</v>
      </c>
      <c r="D767" s="452">
        <v>50000000</v>
      </c>
      <c r="E767" s="452">
        <v>50000000</v>
      </c>
      <c r="F767" s="452">
        <f t="shared" si="13"/>
        <v>50000000</v>
      </c>
      <c r="G767" s="454"/>
      <c r="I767" s="400"/>
      <c r="L767" s="415"/>
      <c r="M767" s="416"/>
      <c r="N767" s="415"/>
    </row>
    <row r="768" spans="1:14" s="399" customFormat="1">
      <c r="A768" s="397"/>
      <c r="B768" s="451" t="s">
        <v>1346</v>
      </c>
      <c r="C768" s="452">
        <v>50000000</v>
      </c>
      <c r="D768" s="452">
        <v>50000000</v>
      </c>
      <c r="E768" s="452">
        <v>50000000</v>
      </c>
      <c r="F768" s="452">
        <f t="shared" si="13"/>
        <v>50000000</v>
      </c>
      <c r="G768" s="454"/>
      <c r="I768" s="400"/>
      <c r="L768" s="415"/>
      <c r="M768" s="416"/>
      <c r="N768" s="415"/>
    </row>
    <row r="769" spans="1:14" s="399" customFormat="1">
      <c r="A769" s="397"/>
      <c r="B769" s="451" t="s">
        <v>1346</v>
      </c>
      <c r="C769" s="452">
        <v>50000000</v>
      </c>
      <c r="D769" s="452">
        <v>50000000</v>
      </c>
      <c r="E769" s="452">
        <v>50000000</v>
      </c>
      <c r="F769" s="452">
        <f t="shared" si="13"/>
        <v>50000000</v>
      </c>
      <c r="G769" s="454"/>
      <c r="I769" s="400"/>
      <c r="L769" s="415"/>
      <c r="M769" s="416"/>
      <c r="N769" s="415"/>
    </row>
    <row r="770" spans="1:14" s="399" customFormat="1">
      <c r="A770" s="397"/>
      <c r="B770" s="451" t="s">
        <v>1346</v>
      </c>
      <c r="C770" s="452">
        <v>50000000</v>
      </c>
      <c r="D770" s="452">
        <v>50000000</v>
      </c>
      <c r="E770" s="452">
        <v>50000000</v>
      </c>
      <c r="F770" s="452">
        <f t="shared" si="13"/>
        <v>50000000</v>
      </c>
      <c r="G770" s="454"/>
      <c r="I770" s="400"/>
      <c r="L770" s="415"/>
      <c r="M770" s="416"/>
      <c r="N770" s="415"/>
    </row>
    <row r="771" spans="1:14" s="399" customFormat="1">
      <c r="A771" s="397"/>
      <c r="B771" s="451" t="s">
        <v>1346</v>
      </c>
      <c r="C771" s="452">
        <v>50000000</v>
      </c>
      <c r="D771" s="452">
        <v>50000000</v>
      </c>
      <c r="E771" s="452">
        <v>50000000</v>
      </c>
      <c r="F771" s="452">
        <f t="shared" si="13"/>
        <v>50000000</v>
      </c>
      <c r="G771" s="454"/>
      <c r="I771" s="400"/>
      <c r="L771" s="415"/>
      <c r="M771" s="416"/>
      <c r="N771" s="415"/>
    </row>
    <row r="772" spans="1:14" s="399" customFormat="1">
      <c r="A772" s="397"/>
      <c r="B772" s="451" t="s">
        <v>1346</v>
      </c>
      <c r="C772" s="452">
        <v>25000000</v>
      </c>
      <c r="D772" s="452">
        <v>25000000</v>
      </c>
      <c r="E772" s="452">
        <v>25000000</v>
      </c>
      <c r="F772" s="452">
        <f t="shared" si="13"/>
        <v>25000000</v>
      </c>
      <c r="G772" s="454"/>
      <c r="I772" s="400"/>
      <c r="L772" s="415"/>
      <c r="M772" s="416"/>
      <c r="N772" s="415"/>
    </row>
    <row r="773" spans="1:14" s="399" customFormat="1">
      <c r="A773" s="397"/>
      <c r="B773" s="451" t="s">
        <v>1346</v>
      </c>
      <c r="C773" s="452">
        <v>150000000</v>
      </c>
      <c r="D773" s="452">
        <v>150000000</v>
      </c>
      <c r="E773" s="452">
        <v>150000000</v>
      </c>
      <c r="F773" s="452">
        <f t="shared" si="13"/>
        <v>150000000</v>
      </c>
      <c r="G773" s="454"/>
      <c r="I773" s="400"/>
      <c r="L773" s="415"/>
      <c r="M773" s="416"/>
      <c r="N773" s="415"/>
    </row>
    <row r="774" spans="1:14" s="399" customFormat="1">
      <c r="A774" s="397"/>
      <c r="B774" s="451" t="s">
        <v>1346</v>
      </c>
      <c r="C774" s="452">
        <v>150000000</v>
      </c>
      <c r="D774" s="452">
        <v>150000000</v>
      </c>
      <c r="E774" s="452">
        <v>150000000</v>
      </c>
      <c r="F774" s="452">
        <f t="shared" si="13"/>
        <v>150000000</v>
      </c>
      <c r="G774" s="454"/>
      <c r="I774" s="400"/>
      <c r="L774" s="415"/>
      <c r="M774" s="416"/>
      <c r="N774" s="415"/>
    </row>
    <row r="775" spans="1:14" s="399" customFormat="1">
      <c r="A775" s="397"/>
      <c r="B775" s="451" t="s">
        <v>1346</v>
      </c>
      <c r="C775" s="452">
        <v>150000000</v>
      </c>
      <c r="D775" s="452">
        <v>150000000</v>
      </c>
      <c r="E775" s="452">
        <v>150000000</v>
      </c>
      <c r="F775" s="452">
        <f t="shared" si="13"/>
        <v>150000000</v>
      </c>
      <c r="G775" s="454"/>
      <c r="I775" s="400"/>
      <c r="L775" s="415"/>
      <c r="M775" s="416"/>
      <c r="N775" s="415"/>
    </row>
    <row r="776" spans="1:14" s="399" customFormat="1">
      <c r="A776" s="397"/>
      <c r="B776" s="451" t="s">
        <v>1346</v>
      </c>
      <c r="C776" s="452">
        <v>150000000</v>
      </c>
      <c r="D776" s="452">
        <v>150000000</v>
      </c>
      <c r="E776" s="452">
        <v>150000000</v>
      </c>
      <c r="F776" s="452">
        <f t="shared" si="13"/>
        <v>150000000</v>
      </c>
      <c r="G776" s="454"/>
      <c r="I776" s="400"/>
      <c r="L776" s="415"/>
      <c r="M776" s="416"/>
      <c r="N776" s="415"/>
    </row>
    <row r="777" spans="1:14" s="399" customFormat="1">
      <c r="A777" s="397"/>
      <c r="B777" s="451" t="s">
        <v>1346</v>
      </c>
      <c r="C777" s="452">
        <v>250000000</v>
      </c>
      <c r="D777" s="452">
        <v>250000000</v>
      </c>
      <c r="E777" s="452">
        <v>250000000</v>
      </c>
      <c r="F777" s="452">
        <f t="shared" si="13"/>
        <v>250000000</v>
      </c>
      <c r="G777" s="454"/>
      <c r="I777" s="400"/>
      <c r="L777" s="415"/>
      <c r="M777" s="416"/>
      <c r="N777" s="415"/>
    </row>
    <row r="778" spans="1:14" s="399" customFormat="1">
      <c r="A778" s="397"/>
      <c r="B778" s="451" t="s">
        <v>1346</v>
      </c>
      <c r="C778" s="452">
        <v>250000000</v>
      </c>
      <c r="D778" s="452">
        <v>250000000</v>
      </c>
      <c r="E778" s="452">
        <v>250000000</v>
      </c>
      <c r="F778" s="452">
        <f t="shared" si="13"/>
        <v>250000000</v>
      </c>
      <c r="G778" s="454"/>
      <c r="I778" s="400"/>
      <c r="L778" s="415"/>
      <c r="M778" s="416"/>
      <c r="N778" s="415"/>
    </row>
    <row r="779" spans="1:14" s="399" customFormat="1">
      <c r="A779" s="397"/>
      <c r="B779" s="451" t="s">
        <v>1346</v>
      </c>
      <c r="C779" s="452">
        <v>250000000</v>
      </c>
      <c r="D779" s="452">
        <v>250000000</v>
      </c>
      <c r="E779" s="452">
        <v>250000000</v>
      </c>
      <c r="F779" s="452">
        <f t="shared" si="13"/>
        <v>250000000</v>
      </c>
      <c r="G779" s="454"/>
      <c r="I779" s="400"/>
      <c r="L779" s="415"/>
      <c r="M779" s="416"/>
      <c r="N779" s="415"/>
    </row>
    <row r="780" spans="1:14" s="399" customFormat="1">
      <c r="A780" s="397"/>
      <c r="B780" s="451" t="s">
        <v>1346</v>
      </c>
      <c r="C780" s="452">
        <v>250000000</v>
      </c>
      <c r="D780" s="452">
        <v>250000000</v>
      </c>
      <c r="E780" s="452">
        <v>250000000</v>
      </c>
      <c r="F780" s="452">
        <f t="shared" si="13"/>
        <v>250000000</v>
      </c>
      <c r="G780" s="454"/>
      <c r="I780" s="400"/>
      <c r="L780" s="415"/>
      <c r="M780" s="416"/>
      <c r="N780" s="415"/>
    </row>
    <row r="781" spans="1:14" s="399" customFormat="1">
      <c r="A781" s="397"/>
      <c r="B781" s="451" t="s">
        <v>1346</v>
      </c>
      <c r="C781" s="452">
        <v>250000000</v>
      </c>
      <c r="D781" s="452">
        <v>250000000</v>
      </c>
      <c r="E781" s="452">
        <v>250000000</v>
      </c>
      <c r="F781" s="452">
        <f t="shared" si="13"/>
        <v>250000000</v>
      </c>
      <c r="G781" s="454"/>
      <c r="I781" s="400"/>
      <c r="L781" s="415"/>
      <c r="M781" s="416"/>
      <c r="N781" s="415"/>
    </row>
    <row r="782" spans="1:14" s="399" customFormat="1">
      <c r="A782" s="397"/>
      <c r="B782" s="451" t="s">
        <v>1346</v>
      </c>
      <c r="C782" s="452">
        <v>250000000</v>
      </c>
      <c r="D782" s="452">
        <v>250000000</v>
      </c>
      <c r="E782" s="452">
        <v>250000000</v>
      </c>
      <c r="F782" s="452">
        <f t="shared" si="13"/>
        <v>250000000</v>
      </c>
      <c r="G782" s="454"/>
      <c r="I782" s="400"/>
      <c r="L782" s="415"/>
      <c r="M782" s="416"/>
      <c r="N782" s="415"/>
    </row>
    <row r="783" spans="1:14" s="399" customFormat="1">
      <c r="A783" s="397"/>
      <c r="B783" s="451" t="s">
        <v>1346</v>
      </c>
      <c r="C783" s="452">
        <v>250000000</v>
      </c>
      <c r="D783" s="452">
        <v>250000000</v>
      </c>
      <c r="E783" s="452">
        <v>250000000</v>
      </c>
      <c r="F783" s="452">
        <f t="shared" si="13"/>
        <v>250000000</v>
      </c>
      <c r="G783" s="454"/>
      <c r="I783" s="400"/>
      <c r="L783" s="415"/>
      <c r="M783" s="416"/>
      <c r="N783" s="415"/>
    </row>
    <row r="784" spans="1:14" s="399" customFormat="1">
      <c r="A784" s="397"/>
      <c r="B784" s="451" t="s">
        <v>1346</v>
      </c>
      <c r="C784" s="452">
        <v>250000000</v>
      </c>
      <c r="D784" s="452">
        <v>250000000</v>
      </c>
      <c r="E784" s="452">
        <v>250000000</v>
      </c>
      <c r="F784" s="452">
        <f t="shared" si="13"/>
        <v>250000000</v>
      </c>
      <c r="G784" s="454"/>
      <c r="I784" s="400"/>
      <c r="L784" s="415"/>
      <c r="M784" s="416"/>
      <c r="N784" s="415"/>
    </row>
    <row r="785" spans="1:14" s="399" customFormat="1">
      <c r="A785" s="397"/>
      <c r="B785" s="451" t="s">
        <v>1339</v>
      </c>
      <c r="C785" s="452">
        <v>150000000</v>
      </c>
      <c r="D785" s="452">
        <v>150000000</v>
      </c>
      <c r="E785" s="452">
        <v>150000000</v>
      </c>
      <c r="F785" s="452">
        <f t="shared" si="13"/>
        <v>150000000</v>
      </c>
      <c r="G785" s="454"/>
      <c r="I785" s="400"/>
      <c r="L785" s="415"/>
      <c r="M785" s="416"/>
      <c r="N785" s="415"/>
    </row>
    <row r="786" spans="1:14" s="399" customFormat="1">
      <c r="A786" s="397"/>
      <c r="B786" s="451" t="s">
        <v>1339</v>
      </c>
      <c r="C786" s="452">
        <v>150000000</v>
      </c>
      <c r="D786" s="452">
        <v>150000000</v>
      </c>
      <c r="E786" s="452">
        <v>150000000</v>
      </c>
      <c r="F786" s="452">
        <f t="shared" si="13"/>
        <v>150000000</v>
      </c>
      <c r="G786" s="454"/>
      <c r="I786" s="400"/>
      <c r="L786" s="415"/>
      <c r="M786" s="416"/>
      <c r="N786" s="415"/>
    </row>
    <row r="787" spans="1:14" s="399" customFormat="1">
      <c r="A787" s="397"/>
      <c r="B787" s="451" t="s">
        <v>1339</v>
      </c>
      <c r="C787" s="452">
        <v>100000000</v>
      </c>
      <c r="D787" s="452">
        <v>100000000</v>
      </c>
      <c r="E787" s="452">
        <v>100000000</v>
      </c>
      <c r="F787" s="452">
        <f t="shared" si="13"/>
        <v>100000000</v>
      </c>
      <c r="G787" s="454"/>
      <c r="I787" s="400"/>
      <c r="L787" s="415"/>
      <c r="M787" s="416"/>
      <c r="N787" s="415"/>
    </row>
    <row r="788" spans="1:14" s="399" customFormat="1">
      <c r="A788" s="397"/>
      <c r="B788" s="451" t="s">
        <v>1801</v>
      </c>
      <c r="C788" s="452">
        <v>250000000</v>
      </c>
      <c r="D788" s="452">
        <v>250000000</v>
      </c>
      <c r="E788" s="452">
        <v>250000000</v>
      </c>
      <c r="F788" s="452">
        <f t="shared" si="13"/>
        <v>250000000</v>
      </c>
      <c r="G788" s="454"/>
      <c r="I788" s="400"/>
      <c r="L788" s="415"/>
      <c r="M788" s="416"/>
      <c r="N788" s="415"/>
    </row>
    <row r="789" spans="1:14" s="399" customFormat="1">
      <c r="A789" s="397"/>
      <c r="B789" s="451" t="s">
        <v>1801</v>
      </c>
      <c r="C789" s="452">
        <v>250000000</v>
      </c>
      <c r="D789" s="452">
        <v>250000000</v>
      </c>
      <c r="E789" s="452">
        <v>250000000</v>
      </c>
      <c r="F789" s="452">
        <f t="shared" si="13"/>
        <v>250000000</v>
      </c>
      <c r="G789" s="454"/>
      <c r="I789" s="400"/>
      <c r="L789" s="415"/>
      <c r="M789" s="416"/>
      <c r="N789" s="415"/>
    </row>
    <row r="790" spans="1:14" s="399" customFormat="1">
      <c r="A790" s="397"/>
      <c r="B790" s="451" t="s">
        <v>1801</v>
      </c>
      <c r="C790" s="452">
        <v>250000000</v>
      </c>
      <c r="D790" s="452">
        <v>250000000</v>
      </c>
      <c r="E790" s="452">
        <v>250000000</v>
      </c>
      <c r="F790" s="452">
        <f t="shared" si="13"/>
        <v>250000000</v>
      </c>
      <c r="G790" s="454"/>
      <c r="I790" s="400"/>
      <c r="L790" s="415"/>
      <c r="M790" s="416"/>
      <c r="N790" s="415"/>
    </row>
    <row r="791" spans="1:14" s="399" customFormat="1">
      <c r="A791" s="397"/>
      <c r="B791" s="451" t="s">
        <v>1801</v>
      </c>
      <c r="C791" s="452">
        <v>250000000</v>
      </c>
      <c r="D791" s="452">
        <v>250000000</v>
      </c>
      <c r="E791" s="452">
        <v>250000000</v>
      </c>
      <c r="F791" s="452">
        <f t="shared" si="13"/>
        <v>250000000</v>
      </c>
      <c r="G791" s="454"/>
      <c r="I791" s="400"/>
      <c r="L791" s="415"/>
      <c r="M791" s="416"/>
      <c r="N791" s="415"/>
    </row>
    <row r="792" spans="1:14" s="399" customFormat="1">
      <c r="A792" s="397"/>
      <c r="B792" s="451" t="s">
        <v>1801</v>
      </c>
      <c r="C792" s="452">
        <v>250000000</v>
      </c>
      <c r="D792" s="452">
        <v>250000000</v>
      </c>
      <c r="E792" s="452">
        <v>250000000</v>
      </c>
      <c r="F792" s="452">
        <f t="shared" si="13"/>
        <v>250000000</v>
      </c>
      <c r="G792" s="454"/>
      <c r="I792" s="400"/>
      <c r="L792" s="415"/>
      <c r="M792" s="416"/>
      <c r="N792" s="415"/>
    </row>
    <row r="793" spans="1:14" s="399" customFormat="1">
      <c r="A793" s="397"/>
      <c r="B793" s="451" t="s">
        <v>1801</v>
      </c>
      <c r="C793" s="452">
        <v>250000000</v>
      </c>
      <c r="D793" s="452">
        <v>250000000</v>
      </c>
      <c r="E793" s="452">
        <v>250000000</v>
      </c>
      <c r="F793" s="452">
        <f t="shared" si="13"/>
        <v>250000000</v>
      </c>
      <c r="G793" s="454"/>
      <c r="I793" s="400"/>
      <c r="L793" s="415"/>
      <c r="M793" s="416"/>
      <c r="N793" s="415"/>
    </row>
    <row r="794" spans="1:14" s="399" customFormat="1">
      <c r="A794" s="397"/>
      <c r="B794" s="451" t="s">
        <v>1801</v>
      </c>
      <c r="C794" s="452">
        <v>250000000</v>
      </c>
      <c r="D794" s="452">
        <v>250000000</v>
      </c>
      <c r="E794" s="452">
        <v>250000000</v>
      </c>
      <c r="F794" s="452">
        <f t="shared" si="13"/>
        <v>250000000</v>
      </c>
      <c r="G794" s="454"/>
      <c r="I794" s="400"/>
      <c r="L794" s="415"/>
      <c r="M794" s="416"/>
      <c r="N794" s="415"/>
    </row>
    <row r="795" spans="1:14" s="399" customFormat="1">
      <c r="A795" s="397"/>
      <c r="B795" s="451" t="s">
        <v>1801</v>
      </c>
      <c r="C795" s="452">
        <v>250000000</v>
      </c>
      <c r="D795" s="452">
        <v>250000000</v>
      </c>
      <c r="E795" s="452">
        <v>250000000</v>
      </c>
      <c r="F795" s="452">
        <f t="shared" si="13"/>
        <v>250000000</v>
      </c>
      <c r="G795" s="454"/>
      <c r="I795" s="400"/>
      <c r="L795" s="415"/>
      <c r="M795" s="416"/>
      <c r="N795" s="415"/>
    </row>
    <row r="796" spans="1:14" s="399" customFormat="1">
      <c r="A796" s="397"/>
      <c r="B796" s="451" t="s">
        <v>1801</v>
      </c>
      <c r="C796" s="452">
        <v>250000000</v>
      </c>
      <c r="D796" s="452">
        <v>250000000</v>
      </c>
      <c r="E796" s="452">
        <v>250000000</v>
      </c>
      <c r="F796" s="452">
        <f t="shared" si="13"/>
        <v>250000000</v>
      </c>
      <c r="G796" s="454"/>
      <c r="I796" s="400"/>
      <c r="L796" s="415"/>
      <c r="M796" s="416"/>
      <c r="N796" s="415"/>
    </row>
    <row r="797" spans="1:14" s="399" customFormat="1">
      <c r="A797" s="397"/>
      <c r="B797" s="451" t="s">
        <v>1801</v>
      </c>
      <c r="C797" s="452">
        <v>250000000</v>
      </c>
      <c r="D797" s="452">
        <v>250000000</v>
      </c>
      <c r="E797" s="452">
        <v>250000000</v>
      </c>
      <c r="F797" s="452">
        <f t="shared" si="13"/>
        <v>250000000</v>
      </c>
      <c r="G797" s="454"/>
      <c r="I797" s="400"/>
      <c r="L797" s="415"/>
      <c r="M797" s="416"/>
      <c r="N797" s="415"/>
    </row>
    <row r="798" spans="1:14" s="399" customFormat="1">
      <c r="A798" s="397"/>
      <c r="B798" s="451" t="s">
        <v>1801</v>
      </c>
      <c r="C798" s="452">
        <v>250000000</v>
      </c>
      <c r="D798" s="452">
        <v>250000000</v>
      </c>
      <c r="E798" s="452">
        <v>250000000</v>
      </c>
      <c r="F798" s="452">
        <f t="shared" si="13"/>
        <v>250000000</v>
      </c>
      <c r="G798" s="454"/>
      <c r="I798" s="400"/>
      <c r="L798" s="415"/>
      <c r="M798" s="416"/>
      <c r="N798" s="415"/>
    </row>
    <row r="799" spans="1:14" s="399" customFormat="1">
      <c r="A799" s="397"/>
      <c r="B799" s="451" t="s">
        <v>1801</v>
      </c>
      <c r="C799" s="452">
        <v>250000000</v>
      </c>
      <c r="D799" s="452">
        <v>250000000</v>
      </c>
      <c r="E799" s="452">
        <v>250000000</v>
      </c>
      <c r="F799" s="452">
        <f t="shared" si="13"/>
        <v>250000000</v>
      </c>
      <c r="G799" s="454"/>
      <c r="I799" s="400"/>
      <c r="L799" s="415"/>
      <c r="M799" s="416"/>
      <c r="N799" s="415"/>
    </row>
    <row r="800" spans="1:14" s="399" customFormat="1">
      <c r="A800" s="397"/>
      <c r="B800" s="451" t="s">
        <v>1801</v>
      </c>
      <c r="C800" s="452">
        <v>250000000</v>
      </c>
      <c r="D800" s="452">
        <v>250000000</v>
      </c>
      <c r="E800" s="452">
        <v>250000000</v>
      </c>
      <c r="F800" s="452">
        <f t="shared" si="13"/>
        <v>250000000</v>
      </c>
      <c r="G800" s="454"/>
      <c r="I800" s="400"/>
      <c r="L800" s="415"/>
      <c r="M800" s="416"/>
      <c r="N800" s="415"/>
    </row>
    <row r="801" spans="1:14" s="399" customFormat="1">
      <c r="A801" s="397"/>
      <c r="B801" s="451" t="s">
        <v>1801</v>
      </c>
      <c r="C801" s="452">
        <v>250000000</v>
      </c>
      <c r="D801" s="452">
        <v>250000000</v>
      </c>
      <c r="E801" s="452">
        <v>250000000</v>
      </c>
      <c r="F801" s="452">
        <f t="shared" si="13"/>
        <v>250000000</v>
      </c>
      <c r="G801" s="454"/>
      <c r="I801" s="400"/>
      <c r="L801" s="415"/>
      <c r="M801" s="416"/>
      <c r="N801" s="415"/>
    </row>
    <row r="802" spans="1:14" s="399" customFormat="1">
      <c r="A802" s="397"/>
      <c r="B802" s="451" t="s">
        <v>1801</v>
      </c>
      <c r="C802" s="452">
        <v>250000000</v>
      </c>
      <c r="D802" s="452">
        <v>250000000</v>
      </c>
      <c r="E802" s="452">
        <v>250000000</v>
      </c>
      <c r="F802" s="452">
        <f t="shared" si="13"/>
        <v>250000000</v>
      </c>
      <c r="G802" s="454"/>
      <c r="I802" s="400"/>
      <c r="L802" s="415"/>
      <c r="M802" s="416"/>
      <c r="N802" s="415"/>
    </row>
    <row r="803" spans="1:14" s="399" customFormat="1">
      <c r="A803" s="397"/>
      <c r="B803" s="451" t="s">
        <v>1801</v>
      </c>
      <c r="C803" s="452">
        <v>250000000</v>
      </c>
      <c r="D803" s="452">
        <v>250000000</v>
      </c>
      <c r="E803" s="452">
        <v>250000000</v>
      </c>
      <c r="F803" s="452">
        <f t="shared" si="13"/>
        <v>250000000</v>
      </c>
      <c r="G803" s="454"/>
      <c r="I803" s="400"/>
      <c r="L803" s="415"/>
      <c r="M803" s="416"/>
      <c r="N803" s="415"/>
    </row>
    <row r="804" spans="1:14" s="399" customFormat="1">
      <c r="A804" s="397"/>
      <c r="B804" s="451" t="s">
        <v>1801</v>
      </c>
      <c r="C804" s="452">
        <v>250000000</v>
      </c>
      <c r="D804" s="452">
        <v>250000000</v>
      </c>
      <c r="E804" s="452">
        <v>250000000</v>
      </c>
      <c r="F804" s="452">
        <f t="shared" si="13"/>
        <v>250000000</v>
      </c>
      <c r="G804" s="454"/>
      <c r="I804" s="400"/>
      <c r="L804" s="415"/>
      <c r="M804" s="416"/>
      <c r="N804" s="415"/>
    </row>
    <row r="805" spans="1:14" s="399" customFormat="1">
      <c r="A805" s="397"/>
      <c r="B805" s="451" t="s">
        <v>1801</v>
      </c>
      <c r="C805" s="452">
        <v>250000000</v>
      </c>
      <c r="D805" s="452">
        <v>250000000</v>
      </c>
      <c r="E805" s="452">
        <v>250000000</v>
      </c>
      <c r="F805" s="452">
        <f t="shared" si="13"/>
        <v>250000000</v>
      </c>
      <c r="G805" s="454"/>
      <c r="I805" s="400"/>
      <c r="L805" s="415"/>
      <c r="M805" s="416"/>
      <c r="N805" s="415"/>
    </row>
    <row r="806" spans="1:14" s="399" customFormat="1">
      <c r="A806" s="397"/>
      <c r="B806" s="451" t="s">
        <v>1801</v>
      </c>
      <c r="C806" s="452">
        <v>250000000</v>
      </c>
      <c r="D806" s="452">
        <v>250000000</v>
      </c>
      <c r="E806" s="452">
        <v>250000000</v>
      </c>
      <c r="F806" s="452">
        <f t="shared" si="13"/>
        <v>250000000</v>
      </c>
      <c r="G806" s="454"/>
      <c r="I806" s="400"/>
      <c r="L806" s="415"/>
      <c r="M806" s="416"/>
      <c r="N806" s="415"/>
    </row>
    <row r="807" spans="1:14" s="399" customFormat="1">
      <c r="A807" s="397"/>
      <c r="B807" s="451" t="s">
        <v>1801</v>
      </c>
      <c r="C807" s="452">
        <v>250000000</v>
      </c>
      <c r="D807" s="452">
        <v>250000000</v>
      </c>
      <c r="E807" s="452">
        <v>250000000</v>
      </c>
      <c r="F807" s="452">
        <f t="shared" si="13"/>
        <v>250000000</v>
      </c>
      <c r="G807" s="454"/>
      <c r="I807" s="400"/>
      <c r="L807" s="415"/>
      <c r="M807" s="416"/>
      <c r="N807" s="415"/>
    </row>
    <row r="808" spans="1:14" s="399" customFormat="1">
      <c r="A808" s="397"/>
      <c r="B808" s="451" t="s">
        <v>1801</v>
      </c>
      <c r="C808" s="452">
        <v>250000000</v>
      </c>
      <c r="D808" s="452">
        <v>250000000</v>
      </c>
      <c r="E808" s="452">
        <v>250000000</v>
      </c>
      <c r="F808" s="452">
        <f t="shared" si="13"/>
        <v>250000000</v>
      </c>
      <c r="G808" s="454"/>
      <c r="I808" s="400"/>
      <c r="L808" s="415"/>
      <c r="M808" s="416"/>
      <c r="N808" s="415"/>
    </row>
    <row r="809" spans="1:14" s="399" customFormat="1">
      <c r="A809" s="397"/>
      <c r="B809" s="451" t="s">
        <v>1801</v>
      </c>
      <c r="C809" s="452">
        <v>250000000</v>
      </c>
      <c r="D809" s="452">
        <v>250000000</v>
      </c>
      <c r="E809" s="452">
        <v>250000000</v>
      </c>
      <c r="F809" s="452">
        <f t="shared" si="13"/>
        <v>250000000</v>
      </c>
      <c r="G809" s="454"/>
      <c r="I809" s="400"/>
      <c r="L809" s="415"/>
      <c r="M809" s="416"/>
      <c r="N809" s="415"/>
    </row>
    <row r="810" spans="1:14" s="399" customFormat="1">
      <c r="A810" s="397"/>
      <c r="B810" s="451" t="s">
        <v>1801</v>
      </c>
      <c r="C810" s="452">
        <v>250000000</v>
      </c>
      <c r="D810" s="452">
        <v>250000000</v>
      </c>
      <c r="E810" s="452">
        <v>250000000</v>
      </c>
      <c r="F810" s="452">
        <f t="shared" si="13"/>
        <v>250000000</v>
      </c>
      <c r="G810" s="454"/>
      <c r="I810" s="400"/>
      <c r="L810" s="415"/>
      <c r="M810" s="416"/>
      <c r="N810" s="415"/>
    </row>
    <row r="811" spans="1:14" s="399" customFormat="1">
      <c r="A811" s="397"/>
      <c r="B811" s="451" t="s">
        <v>1801</v>
      </c>
      <c r="C811" s="452">
        <v>250000000</v>
      </c>
      <c r="D811" s="452">
        <v>250000000</v>
      </c>
      <c r="E811" s="452">
        <v>250000000</v>
      </c>
      <c r="F811" s="452">
        <f t="shared" si="13"/>
        <v>250000000</v>
      </c>
      <c r="G811" s="454"/>
      <c r="I811" s="400"/>
      <c r="L811" s="415"/>
      <c r="M811" s="416"/>
      <c r="N811" s="415"/>
    </row>
    <row r="812" spans="1:14" s="399" customFormat="1">
      <c r="A812" s="397"/>
      <c r="B812" s="451" t="s">
        <v>1801</v>
      </c>
      <c r="C812" s="452">
        <v>250000000</v>
      </c>
      <c r="D812" s="452">
        <v>250000000</v>
      </c>
      <c r="E812" s="452">
        <v>250000000</v>
      </c>
      <c r="F812" s="452">
        <f t="shared" si="13"/>
        <v>250000000</v>
      </c>
      <c r="G812" s="454"/>
      <c r="I812" s="400"/>
      <c r="L812" s="415"/>
      <c r="M812" s="416"/>
      <c r="N812" s="415"/>
    </row>
    <row r="813" spans="1:14" s="399" customFormat="1">
      <c r="A813" s="397"/>
      <c r="B813" s="451" t="s">
        <v>1801</v>
      </c>
      <c r="C813" s="452">
        <v>250000000</v>
      </c>
      <c r="D813" s="452">
        <v>250000000</v>
      </c>
      <c r="E813" s="452">
        <v>250000000</v>
      </c>
      <c r="F813" s="452">
        <f t="shared" si="13"/>
        <v>250000000</v>
      </c>
      <c r="G813" s="454"/>
      <c r="I813" s="400"/>
      <c r="L813" s="415"/>
      <c r="M813" s="416"/>
      <c r="N813" s="415"/>
    </row>
    <row r="814" spans="1:14" s="399" customFormat="1">
      <c r="A814" s="397"/>
      <c r="B814" s="451" t="s">
        <v>1801</v>
      </c>
      <c r="C814" s="452">
        <v>250000000</v>
      </c>
      <c r="D814" s="452">
        <v>250000000</v>
      </c>
      <c r="E814" s="452">
        <v>250000000</v>
      </c>
      <c r="F814" s="452">
        <f t="shared" si="13"/>
        <v>250000000</v>
      </c>
      <c r="G814" s="454"/>
      <c r="I814" s="400"/>
      <c r="L814" s="415"/>
      <c r="M814" s="416"/>
      <c r="N814" s="415"/>
    </row>
    <row r="815" spans="1:14" s="399" customFormat="1">
      <c r="A815" s="397"/>
      <c r="B815" s="451" t="s">
        <v>1801</v>
      </c>
      <c r="C815" s="452">
        <v>250000000</v>
      </c>
      <c r="D815" s="452">
        <v>250000000</v>
      </c>
      <c r="E815" s="452">
        <v>250000000</v>
      </c>
      <c r="F815" s="452">
        <f t="shared" si="13"/>
        <v>250000000</v>
      </c>
      <c r="G815" s="454"/>
      <c r="I815" s="400"/>
      <c r="L815" s="415"/>
      <c r="M815" s="416"/>
      <c r="N815" s="415"/>
    </row>
    <row r="816" spans="1:14" s="399" customFormat="1">
      <c r="A816" s="397"/>
      <c r="B816" s="451" t="s">
        <v>1801</v>
      </c>
      <c r="C816" s="452">
        <v>250000000</v>
      </c>
      <c r="D816" s="452">
        <v>250000000</v>
      </c>
      <c r="E816" s="452">
        <v>250000000</v>
      </c>
      <c r="F816" s="452">
        <f t="shared" si="13"/>
        <v>250000000</v>
      </c>
      <c r="G816" s="454"/>
      <c r="I816" s="400"/>
      <c r="L816" s="415"/>
      <c r="M816" s="416"/>
      <c r="N816" s="415"/>
    </row>
    <row r="817" spans="1:14" s="399" customFormat="1">
      <c r="A817" s="397"/>
      <c r="B817" s="451" t="s">
        <v>1801</v>
      </c>
      <c r="C817" s="452">
        <v>250000000</v>
      </c>
      <c r="D817" s="452">
        <v>250000000</v>
      </c>
      <c r="E817" s="452">
        <v>250000000</v>
      </c>
      <c r="F817" s="452">
        <f t="shared" si="13"/>
        <v>250000000</v>
      </c>
      <c r="G817" s="454"/>
      <c r="I817" s="400"/>
      <c r="L817" s="415"/>
      <c r="M817" s="416"/>
      <c r="N817" s="415"/>
    </row>
    <row r="818" spans="1:14" s="399" customFormat="1">
      <c r="A818" s="397"/>
      <c r="B818" s="451" t="s">
        <v>1801</v>
      </c>
      <c r="C818" s="452">
        <v>250000000</v>
      </c>
      <c r="D818" s="452">
        <v>250000000</v>
      </c>
      <c r="E818" s="452">
        <v>250000000</v>
      </c>
      <c r="F818" s="452">
        <f t="shared" si="13"/>
        <v>250000000</v>
      </c>
      <c r="G818" s="454"/>
      <c r="I818" s="400"/>
      <c r="L818" s="415"/>
      <c r="M818" s="416"/>
      <c r="N818" s="415"/>
    </row>
    <row r="819" spans="1:14" s="399" customFormat="1">
      <c r="A819" s="397"/>
      <c r="B819" s="451" t="s">
        <v>1801</v>
      </c>
      <c r="C819" s="452">
        <v>250000000</v>
      </c>
      <c r="D819" s="452">
        <v>250000000</v>
      </c>
      <c r="E819" s="452">
        <v>250000000</v>
      </c>
      <c r="F819" s="452">
        <f t="shared" si="13"/>
        <v>250000000</v>
      </c>
      <c r="G819" s="454"/>
      <c r="I819" s="400"/>
      <c r="L819" s="415"/>
      <c r="M819" s="416"/>
      <c r="N819" s="415"/>
    </row>
    <row r="820" spans="1:14" s="399" customFormat="1">
      <c r="A820" s="397"/>
      <c r="B820" s="451" t="s">
        <v>1801</v>
      </c>
      <c r="C820" s="452">
        <v>250000000</v>
      </c>
      <c r="D820" s="452">
        <v>250000000</v>
      </c>
      <c r="E820" s="452">
        <v>250000000</v>
      </c>
      <c r="F820" s="452">
        <f t="shared" si="13"/>
        <v>250000000</v>
      </c>
      <c r="G820" s="454"/>
      <c r="I820" s="400"/>
      <c r="L820" s="415"/>
      <c r="M820" s="416"/>
      <c r="N820" s="415"/>
    </row>
    <row r="821" spans="1:14" s="399" customFormat="1">
      <c r="A821" s="397"/>
      <c r="B821" s="451" t="s">
        <v>1801</v>
      </c>
      <c r="C821" s="452">
        <v>250000000</v>
      </c>
      <c r="D821" s="452">
        <v>250000000</v>
      </c>
      <c r="E821" s="452">
        <v>250000000</v>
      </c>
      <c r="F821" s="452">
        <f t="shared" si="13"/>
        <v>250000000</v>
      </c>
      <c r="G821" s="454"/>
      <c r="I821" s="400"/>
      <c r="L821" s="415"/>
      <c r="M821" s="416"/>
      <c r="N821" s="415"/>
    </row>
    <row r="822" spans="1:14" s="399" customFormat="1">
      <c r="A822" s="397"/>
      <c r="B822" s="451" t="s">
        <v>1801</v>
      </c>
      <c r="C822" s="452">
        <v>250000000</v>
      </c>
      <c r="D822" s="452">
        <v>250000000</v>
      </c>
      <c r="E822" s="452">
        <v>250000000</v>
      </c>
      <c r="F822" s="452">
        <f t="shared" si="13"/>
        <v>250000000</v>
      </c>
      <c r="G822" s="454"/>
      <c r="I822" s="400"/>
      <c r="L822" s="415"/>
      <c r="M822" s="416"/>
      <c r="N822" s="415"/>
    </row>
    <row r="823" spans="1:14" s="399" customFormat="1">
      <c r="A823" s="397"/>
      <c r="B823" s="451" t="s">
        <v>1801</v>
      </c>
      <c r="C823" s="452">
        <v>250000000</v>
      </c>
      <c r="D823" s="452">
        <v>250000000</v>
      </c>
      <c r="E823" s="452">
        <v>250000000</v>
      </c>
      <c r="F823" s="452">
        <f t="shared" si="13"/>
        <v>250000000</v>
      </c>
      <c r="G823" s="454"/>
      <c r="I823" s="400"/>
      <c r="L823" s="415"/>
      <c r="M823" s="416"/>
      <c r="N823" s="415"/>
    </row>
    <row r="824" spans="1:14" s="399" customFormat="1">
      <c r="A824" s="397"/>
      <c r="B824" s="451" t="s">
        <v>1801</v>
      </c>
      <c r="C824" s="452">
        <v>500000000</v>
      </c>
      <c r="D824" s="452">
        <v>500000000</v>
      </c>
      <c r="E824" s="452">
        <v>500000000</v>
      </c>
      <c r="F824" s="452">
        <f t="shared" ref="F824:F887" si="14">+C824</f>
        <v>500000000</v>
      </c>
      <c r="G824" s="454"/>
      <c r="I824" s="400"/>
      <c r="L824" s="415"/>
      <c r="M824" s="416"/>
      <c r="N824" s="415"/>
    </row>
    <row r="825" spans="1:14" s="399" customFormat="1">
      <c r="A825" s="397"/>
      <c r="B825" s="451" t="s">
        <v>1801</v>
      </c>
      <c r="C825" s="452">
        <v>250000000</v>
      </c>
      <c r="D825" s="452">
        <v>250000000</v>
      </c>
      <c r="E825" s="452">
        <v>250000000</v>
      </c>
      <c r="F825" s="452">
        <f t="shared" si="14"/>
        <v>250000000</v>
      </c>
      <c r="G825" s="454"/>
      <c r="I825" s="400"/>
      <c r="L825" s="415"/>
      <c r="M825" s="416"/>
      <c r="N825" s="415"/>
    </row>
    <row r="826" spans="1:14" s="399" customFormat="1">
      <c r="A826" s="397"/>
      <c r="B826" s="451" t="s">
        <v>1801</v>
      </c>
      <c r="C826" s="452">
        <v>100000000</v>
      </c>
      <c r="D826" s="452">
        <v>100000000</v>
      </c>
      <c r="E826" s="452">
        <v>100000000</v>
      </c>
      <c r="F826" s="452">
        <f t="shared" si="14"/>
        <v>100000000</v>
      </c>
      <c r="G826" s="454"/>
      <c r="I826" s="400"/>
      <c r="L826" s="415"/>
      <c r="M826" s="416"/>
      <c r="N826" s="415"/>
    </row>
    <row r="827" spans="1:14" s="399" customFormat="1">
      <c r="A827" s="397"/>
      <c r="B827" s="451" t="s">
        <v>1520</v>
      </c>
      <c r="C827" s="452">
        <v>10338904800</v>
      </c>
      <c r="D827" s="452">
        <v>10338904800</v>
      </c>
      <c r="E827" s="452">
        <v>6837900</v>
      </c>
      <c r="F827" s="452">
        <f t="shared" si="14"/>
        <v>10338904800</v>
      </c>
      <c r="G827" s="454"/>
      <c r="I827" s="400"/>
      <c r="L827" s="415"/>
      <c r="M827" s="416"/>
      <c r="N827" s="415"/>
    </row>
    <row r="828" spans="1:14" s="399" customFormat="1">
      <c r="A828" s="397"/>
      <c r="B828" s="451" t="s">
        <v>1804</v>
      </c>
      <c r="C828" s="452">
        <v>2789863200</v>
      </c>
      <c r="D828" s="452">
        <v>2789863200</v>
      </c>
      <c r="E828" s="452">
        <v>6837900</v>
      </c>
      <c r="F828" s="452">
        <f t="shared" si="14"/>
        <v>2789863200</v>
      </c>
      <c r="G828" s="454"/>
      <c r="I828" s="400"/>
      <c r="L828" s="415"/>
      <c r="M828" s="416"/>
      <c r="N828" s="415"/>
    </row>
    <row r="829" spans="1:14" s="399" customFormat="1">
      <c r="A829" s="397"/>
      <c r="B829" s="451" t="s">
        <v>1805</v>
      </c>
      <c r="C829" s="452">
        <v>888927000</v>
      </c>
      <c r="D829" s="452">
        <v>888927000</v>
      </c>
      <c r="E829" s="452">
        <v>6837900</v>
      </c>
      <c r="F829" s="452">
        <f t="shared" si="14"/>
        <v>888927000</v>
      </c>
      <c r="G829" s="454"/>
      <c r="I829" s="400"/>
      <c r="L829" s="415"/>
      <c r="M829" s="416"/>
      <c r="N829" s="415"/>
    </row>
    <row r="830" spans="1:14" s="399" customFormat="1">
      <c r="A830" s="397"/>
      <c r="B830" s="451" t="s">
        <v>1805</v>
      </c>
      <c r="C830" s="452">
        <v>1777854000</v>
      </c>
      <c r="D830" s="452">
        <v>1777854000</v>
      </c>
      <c r="E830" s="452">
        <v>6837900</v>
      </c>
      <c r="F830" s="452">
        <f t="shared" si="14"/>
        <v>1777854000</v>
      </c>
      <c r="G830" s="454"/>
      <c r="I830" s="400"/>
      <c r="L830" s="415"/>
      <c r="M830" s="416"/>
      <c r="N830" s="415"/>
    </row>
    <row r="831" spans="1:14" s="399" customFormat="1">
      <c r="A831" s="397"/>
      <c r="B831" s="451" t="s">
        <v>1521</v>
      </c>
      <c r="C831" s="452">
        <v>1504338000</v>
      </c>
      <c r="D831" s="452">
        <v>1504338000</v>
      </c>
      <c r="E831" s="452">
        <v>6837900</v>
      </c>
      <c r="F831" s="452">
        <f t="shared" si="14"/>
        <v>1504338000</v>
      </c>
      <c r="G831" s="454"/>
      <c r="I831" s="400"/>
      <c r="L831" s="415"/>
      <c r="M831" s="416"/>
      <c r="N831" s="415"/>
    </row>
    <row r="832" spans="1:14" s="399" customFormat="1">
      <c r="A832" s="397"/>
      <c r="B832" s="451" t="s">
        <v>1821</v>
      </c>
      <c r="C832" s="452">
        <v>683790000</v>
      </c>
      <c r="D832" s="452">
        <v>683790000</v>
      </c>
      <c r="E832" s="452">
        <v>683790000</v>
      </c>
      <c r="F832" s="452">
        <f t="shared" si="14"/>
        <v>683790000</v>
      </c>
      <c r="G832" s="454"/>
      <c r="I832" s="400"/>
      <c r="L832" s="415"/>
      <c r="M832" s="416"/>
      <c r="N832" s="415"/>
    </row>
    <row r="833" spans="1:14" s="399" customFormat="1">
      <c r="A833" s="397"/>
      <c r="B833" s="451" t="s">
        <v>1821</v>
      </c>
      <c r="C833" s="452">
        <v>683790000</v>
      </c>
      <c r="D833" s="452">
        <v>683790000</v>
      </c>
      <c r="E833" s="452">
        <v>683790000</v>
      </c>
      <c r="F833" s="452">
        <f t="shared" si="14"/>
        <v>683790000</v>
      </c>
      <c r="G833" s="454"/>
      <c r="I833" s="400"/>
      <c r="L833" s="415"/>
      <c r="M833" s="416"/>
      <c r="N833" s="415"/>
    </row>
    <row r="834" spans="1:14" s="399" customFormat="1">
      <c r="A834" s="397"/>
      <c r="B834" s="451" t="s">
        <v>1821</v>
      </c>
      <c r="C834" s="452">
        <v>683790000</v>
      </c>
      <c r="D834" s="452">
        <v>683790000</v>
      </c>
      <c r="E834" s="452">
        <v>683790000</v>
      </c>
      <c r="F834" s="452">
        <f t="shared" si="14"/>
        <v>683790000</v>
      </c>
      <c r="G834" s="454"/>
      <c r="I834" s="400"/>
      <c r="L834" s="415"/>
      <c r="M834" s="416"/>
      <c r="N834" s="415"/>
    </row>
    <row r="835" spans="1:14" s="399" customFormat="1">
      <c r="A835" s="397"/>
      <c r="B835" s="451" t="s">
        <v>1821</v>
      </c>
      <c r="C835" s="452">
        <v>683790000</v>
      </c>
      <c r="D835" s="452">
        <v>683790000</v>
      </c>
      <c r="E835" s="452">
        <v>683790000</v>
      </c>
      <c r="F835" s="452">
        <f t="shared" si="14"/>
        <v>683790000</v>
      </c>
      <c r="G835" s="454"/>
      <c r="I835" s="400"/>
      <c r="L835" s="415"/>
      <c r="M835" s="416"/>
      <c r="N835" s="415"/>
    </row>
    <row r="836" spans="1:14" s="399" customFormat="1">
      <c r="A836" s="397"/>
      <c r="B836" s="451" t="s">
        <v>1821</v>
      </c>
      <c r="C836" s="452">
        <v>683790000</v>
      </c>
      <c r="D836" s="452">
        <v>683790000</v>
      </c>
      <c r="E836" s="452">
        <v>683790000</v>
      </c>
      <c r="F836" s="452">
        <f t="shared" si="14"/>
        <v>683790000</v>
      </c>
      <c r="G836" s="454"/>
      <c r="I836" s="400"/>
      <c r="L836" s="415"/>
      <c r="M836" s="416"/>
      <c r="N836" s="415"/>
    </row>
    <row r="837" spans="1:14" s="399" customFormat="1">
      <c r="A837" s="397"/>
      <c r="B837" s="451" t="s">
        <v>1822</v>
      </c>
      <c r="C837" s="452">
        <v>1367580000</v>
      </c>
      <c r="D837" s="452">
        <v>1367580000</v>
      </c>
      <c r="E837" s="452">
        <v>1367580000</v>
      </c>
      <c r="F837" s="452">
        <f t="shared" si="14"/>
        <v>1367580000</v>
      </c>
      <c r="G837" s="454"/>
      <c r="I837" s="400"/>
      <c r="L837" s="415"/>
      <c r="M837" s="416"/>
      <c r="N837" s="415"/>
    </row>
    <row r="838" spans="1:14" s="399" customFormat="1">
      <c r="A838" s="397"/>
      <c r="B838" s="451" t="s">
        <v>1822</v>
      </c>
      <c r="C838" s="452">
        <v>1367580000</v>
      </c>
      <c r="D838" s="452">
        <v>1367580000</v>
      </c>
      <c r="E838" s="452">
        <v>1367580000</v>
      </c>
      <c r="F838" s="452">
        <f t="shared" si="14"/>
        <v>1367580000</v>
      </c>
      <c r="G838" s="454"/>
      <c r="I838" s="400"/>
      <c r="L838" s="415"/>
      <c r="M838" s="416"/>
      <c r="N838" s="415"/>
    </row>
    <row r="839" spans="1:14" s="399" customFormat="1">
      <c r="A839" s="397"/>
      <c r="B839" s="451" t="s">
        <v>1822</v>
      </c>
      <c r="C839" s="452">
        <v>1367580000</v>
      </c>
      <c r="D839" s="452">
        <v>1367580000</v>
      </c>
      <c r="E839" s="452">
        <v>1367580000</v>
      </c>
      <c r="F839" s="452">
        <f t="shared" si="14"/>
        <v>1367580000</v>
      </c>
      <c r="G839" s="454"/>
      <c r="I839" s="400"/>
      <c r="L839" s="415"/>
      <c r="M839" s="416"/>
      <c r="N839" s="415"/>
    </row>
    <row r="840" spans="1:14" s="723" customFormat="1">
      <c r="B840" s="451" t="s">
        <v>1822</v>
      </c>
      <c r="C840" s="452">
        <v>1367580000</v>
      </c>
      <c r="D840" s="452">
        <v>1367580000</v>
      </c>
      <c r="E840" s="452">
        <v>1367580000</v>
      </c>
      <c r="F840" s="452">
        <f t="shared" si="14"/>
        <v>1367580000</v>
      </c>
      <c r="G840" s="399"/>
      <c r="I840" s="777"/>
      <c r="M840" s="778"/>
    </row>
    <row r="841" spans="1:14" s="723" customFormat="1">
      <c r="B841" s="779" t="s">
        <v>1822</v>
      </c>
      <c r="C841" s="452">
        <v>1367580000</v>
      </c>
      <c r="D841" s="452">
        <v>1367580000</v>
      </c>
      <c r="E841" s="452">
        <v>1367580000</v>
      </c>
      <c r="F841" s="452">
        <f t="shared" si="14"/>
        <v>1367580000</v>
      </c>
      <c r="G841" s="399"/>
      <c r="I841" s="777"/>
      <c r="M841" s="778"/>
    </row>
    <row r="842" spans="1:14" s="723" customFormat="1">
      <c r="B842" s="779" t="s">
        <v>1797</v>
      </c>
      <c r="C842" s="452">
        <v>683790000</v>
      </c>
      <c r="D842" s="452">
        <v>683790000</v>
      </c>
      <c r="E842" s="452">
        <v>683790000</v>
      </c>
      <c r="F842" s="452">
        <f t="shared" si="14"/>
        <v>683790000</v>
      </c>
      <c r="G842" s="399"/>
      <c r="I842" s="777"/>
      <c r="M842" s="778"/>
    </row>
    <row r="843" spans="1:14" s="723" customFormat="1">
      <c r="B843" s="779" t="s">
        <v>1797</v>
      </c>
      <c r="C843" s="452">
        <v>683790000</v>
      </c>
      <c r="D843" s="452">
        <v>683790000</v>
      </c>
      <c r="E843" s="452">
        <v>683790000</v>
      </c>
      <c r="F843" s="452">
        <f t="shared" si="14"/>
        <v>683790000</v>
      </c>
      <c r="G843" s="399"/>
      <c r="I843" s="777"/>
      <c r="M843" s="778"/>
    </row>
    <row r="844" spans="1:14" s="723" customFormat="1">
      <c r="B844" s="779" t="s">
        <v>1797</v>
      </c>
      <c r="C844" s="452">
        <v>683790000</v>
      </c>
      <c r="D844" s="452">
        <v>683790000</v>
      </c>
      <c r="E844" s="452">
        <v>683790000</v>
      </c>
      <c r="F844" s="452">
        <f t="shared" si="14"/>
        <v>683790000</v>
      </c>
      <c r="G844" s="399"/>
      <c r="I844" s="777"/>
      <c r="M844" s="778"/>
    </row>
    <row r="845" spans="1:14" s="723" customFormat="1">
      <c r="B845" s="779" t="s">
        <v>1797</v>
      </c>
      <c r="C845" s="452">
        <v>683790000</v>
      </c>
      <c r="D845" s="452">
        <v>683790000</v>
      </c>
      <c r="E845" s="452">
        <v>683790000</v>
      </c>
      <c r="F845" s="452">
        <f t="shared" si="14"/>
        <v>683790000</v>
      </c>
      <c r="G845" s="399"/>
      <c r="I845" s="777"/>
      <c r="M845" s="778"/>
    </row>
    <row r="846" spans="1:14" s="723" customFormat="1">
      <c r="B846" s="779" t="s">
        <v>1797</v>
      </c>
      <c r="C846" s="452">
        <v>683790000</v>
      </c>
      <c r="D846" s="452">
        <v>683790000</v>
      </c>
      <c r="E846" s="452">
        <v>683790000</v>
      </c>
      <c r="F846" s="452">
        <f t="shared" si="14"/>
        <v>683790000</v>
      </c>
      <c r="G846" s="399"/>
      <c r="I846" s="777"/>
      <c r="M846" s="778"/>
    </row>
    <row r="847" spans="1:14" s="723" customFormat="1">
      <c r="B847" s="779" t="s">
        <v>1797</v>
      </c>
      <c r="C847" s="452">
        <v>683790000</v>
      </c>
      <c r="D847" s="452">
        <v>683790000</v>
      </c>
      <c r="E847" s="452">
        <v>683790000</v>
      </c>
      <c r="F847" s="452">
        <f t="shared" si="14"/>
        <v>683790000</v>
      </c>
      <c r="G847" s="399"/>
      <c r="I847" s="777"/>
      <c r="M847" s="778"/>
    </row>
    <row r="848" spans="1:14" s="723" customFormat="1">
      <c r="B848" s="779" t="s">
        <v>1797</v>
      </c>
      <c r="C848" s="452">
        <v>683790000</v>
      </c>
      <c r="D848" s="452">
        <v>683790000</v>
      </c>
      <c r="E848" s="452">
        <v>683790000</v>
      </c>
      <c r="F848" s="452">
        <f t="shared" si="14"/>
        <v>683790000</v>
      </c>
      <c r="G848" s="399"/>
      <c r="I848" s="777"/>
      <c r="M848" s="778"/>
    </row>
    <row r="849" spans="2:13" s="723" customFormat="1">
      <c r="B849" s="779" t="s">
        <v>1797</v>
      </c>
      <c r="C849" s="452">
        <v>683790000</v>
      </c>
      <c r="D849" s="452">
        <v>683790000</v>
      </c>
      <c r="E849" s="452">
        <v>683790000</v>
      </c>
      <c r="F849" s="452">
        <f t="shared" si="14"/>
        <v>683790000</v>
      </c>
      <c r="G849" s="399"/>
      <c r="I849" s="777"/>
      <c r="M849" s="778"/>
    </row>
    <row r="850" spans="2:13" s="723" customFormat="1">
      <c r="B850" s="779" t="s">
        <v>1797</v>
      </c>
      <c r="C850" s="452">
        <v>170947500</v>
      </c>
      <c r="D850" s="452">
        <v>170947500</v>
      </c>
      <c r="E850" s="452">
        <v>170947500</v>
      </c>
      <c r="F850" s="452">
        <f t="shared" si="14"/>
        <v>170947500</v>
      </c>
      <c r="G850" s="399"/>
      <c r="I850" s="777"/>
      <c r="M850" s="778"/>
    </row>
    <row r="851" spans="2:13" s="723" customFormat="1">
      <c r="B851" s="779" t="s">
        <v>1797</v>
      </c>
      <c r="C851" s="452">
        <v>170947500</v>
      </c>
      <c r="D851" s="452">
        <v>170947500</v>
      </c>
      <c r="E851" s="452">
        <v>170947500</v>
      </c>
      <c r="F851" s="452">
        <f t="shared" si="14"/>
        <v>170947500</v>
      </c>
      <c r="G851" s="399"/>
      <c r="I851" s="777"/>
      <c r="M851" s="778"/>
    </row>
    <row r="852" spans="2:13" s="723" customFormat="1">
      <c r="B852" s="779" t="s">
        <v>1823</v>
      </c>
      <c r="C852" s="452">
        <v>341895000</v>
      </c>
      <c r="D852" s="452">
        <v>341895000</v>
      </c>
      <c r="E852" s="452">
        <v>341895000</v>
      </c>
      <c r="F852" s="452">
        <f t="shared" si="14"/>
        <v>341895000</v>
      </c>
      <c r="G852" s="399"/>
      <c r="I852" s="777"/>
      <c r="M852" s="778"/>
    </row>
    <row r="853" spans="2:13" s="723" customFormat="1">
      <c r="B853" s="779" t="s">
        <v>1823</v>
      </c>
      <c r="C853" s="452">
        <v>300867600</v>
      </c>
      <c r="D853" s="452">
        <v>300867600</v>
      </c>
      <c r="E853" s="452">
        <v>300867600</v>
      </c>
      <c r="F853" s="452">
        <f t="shared" si="14"/>
        <v>300867600</v>
      </c>
      <c r="G853" s="399"/>
      <c r="I853" s="777"/>
      <c r="M853" s="778"/>
    </row>
    <row r="854" spans="2:13" s="723" customFormat="1">
      <c r="B854" s="779" t="s">
        <v>1339</v>
      </c>
      <c r="C854" s="452">
        <v>341895000</v>
      </c>
      <c r="D854" s="452">
        <v>341895000</v>
      </c>
      <c r="E854" s="452">
        <v>341895000</v>
      </c>
      <c r="F854" s="452">
        <f t="shared" si="14"/>
        <v>341895000</v>
      </c>
      <c r="G854" s="399"/>
      <c r="I854" s="777"/>
      <c r="M854" s="778"/>
    </row>
    <row r="855" spans="2:13" s="723" customFormat="1">
      <c r="B855" s="779" t="s">
        <v>1339</v>
      </c>
      <c r="C855" s="452">
        <v>341895000</v>
      </c>
      <c r="D855" s="452">
        <v>341895000</v>
      </c>
      <c r="E855" s="452">
        <v>341895000</v>
      </c>
      <c r="F855" s="452">
        <f t="shared" si="14"/>
        <v>341895000</v>
      </c>
      <c r="G855" s="399"/>
      <c r="I855" s="777"/>
      <c r="M855" s="778"/>
    </row>
    <row r="856" spans="2:13" s="723" customFormat="1">
      <c r="B856" s="779" t="s">
        <v>1339</v>
      </c>
      <c r="C856" s="452">
        <v>341895000</v>
      </c>
      <c r="D856" s="452">
        <v>341895000</v>
      </c>
      <c r="E856" s="452">
        <v>341895000</v>
      </c>
      <c r="F856" s="452">
        <f t="shared" si="14"/>
        <v>341895000</v>
      </c>
      <c r="G856" s="399"/>
      <c r="I856" s="777"/>
      <c r="M856" s="778"/>
    </row>
    <row r="857" spans="2:13" s="723" customFormat="1">
      <c r="B857" s="779" t="s">
        <v>1339</v>
      </c>
      <c r="C857" s="452">
        <v>341895000</v>
      </c>
      <c r="D857" s="452">
        <v>341895000</v>
      </c>
      <c r="E857" s="452">
        <v>341895000</v>
      </c>
      <c r="F857" s="452">
        <f t="shared" si="14"/>
        <v>341895000</v>
      </c>
      <c r="G857" s="399"/>
      <c r="I857" s="777"/>
      <c r="M857" s="778"/>
    </row>
    <row r="858" spans="2:13" s="723" customFormat="1">
      <c r="B858" s="779" t="s">
        <v>1339</v>
      </c>
      <c r="C858" s="452">
        <v>341895000</v>
      </c>
      <c r="D858" s="452">
        <v>341895000</v>
      </c>
      <c r="E858" s="452">
        <v>341895000</v>
      </c>
      <c r="F858" s="452">
        <f t="shared" si="14"/>
        <v>341895000</v>
      </c>
      <c r="G858" s="399"/>
      <c r="I858" s="777"/>
      <c r="M858" s="778"/>
    </row>
    <row r="859" spans="2:13" s="723" customFormat="1">
      <c r="B859" s="779" t="s">
        <v>1339</v>
      </c>
      <c r="C859" s="452">
        <v>170947500</v>
      </c>
      <c r="D859" s="452">
        <v>170947500</v>
      </c>
      <c r="E859" s="452">
        <v>170947500</v>
      </c>
      <c r="F859" s="452">
        <f t="shared" si="14"/>
        <v>170947500</v>
      </c>
      <c r="G859" s="399"/>
      <c r="I859" s="777"/>
      <c r="M859" s="778"/>
    </row>
    <row r="860" spans="2:13" s="723" customFormat="1">
      <c r="B860" s="779" t="s">
        <v>1339</v>
      </c>
      <c r="C860" s="452">
        <v>170947500</v>
      </c>
      <c r="D860" s="452">
        <v>170947500</v>
      </c>
      <c r="E860" s="452">
        <v>170947500</v>
      </c>
      <c r="F860" s="452">
        <f t="shared" si="14"/>
        <v>170947500</v>
      </c>
      <c r="G860" s="399"/>
      <c r="I860" s="777"/>
      <c r="M860" s="778"/>
    </row>
    <row r="861" spans="2:13" s="723" customFormat="1">
      <c r="B861" s="779" t="s">
        <v>1339</v>
      </c>
      <c r="C861" s="452">
        <v>170947500</v>
      </c>
      <c r="D861" s="452">
        <v>170947500</v>
      </c>
      <c r="E861" s="452">
        <v>170947500</v>
      </c>
      <c r="F861" s="452">
        <f t="shared" si="14"/>
        <v>170947500</v>
      </c>
      <c r="G861" s="399"/>
      <c r="I861" s="777"/>
      <c r="M861" s="778"/>
    </row>
    <row r="862" spans="2:13" s="723" customFormat="1">
      <c r="B862" s="779" t="s">
        <v>1339</v>
      </c>
      <c r="C862" s="452">
        <v>170947500</v>
      </c>
      <c r="D862" s="452">
        <v>170947500</v>
      </c>
      <c r="E862" s="452">
        <v>170947500</v>
      </c>
      <c r="F862" s="452">
        <f t="shared" si="14"/>
        <v>170947500</v>
      </c>
      <c r="G862" s="399"/>
      <c r="I862" s="777"/>
      <c r="M862" s="778"/>
    </row>
    <row r="863" spans="2:13" s="723" customFormat="1">
      <c r="B863" s="779" t="s">
        <v>1339</v>
      </c>
      <c r="C863" s="452">
        <v>170947500</v>
      </c>
      <c r="D863" s="452">
        <v>170947500</v>
      </c>
      <c r="E863" s="452">
        <v>170947500</v>
      </c>
      <c r="F863" s="452">
        <f t="shared" si="14"/>
        <v>170947500</v>
      </c>
      <c r="G863" s="399"/>
      <c r="I863" s="777"/>
      <c r="M863" s="778"/>
    </row>
    <row r="864" spans="2:13" s="723" customFormat="1">
      <c r="B864" s="779" t="s">
        <v>1339</v>
      </c>
      <c r="C864" s="452">
        <v>170947500</v>
      </c>
      <c r="D864" s="452">
        <v>170947500</v>
      </c>
      <c r="E864" s="452">
        <v>170947500</v>
      </c>
      <c r="F864" s="452">
        <f t="shared" si="14"/>
        <v>170947500</v>
      </c>
      <c r="G864" s="399"/>
      <c r="I864" s="777"/>
      <c r="M864" s="778"/>
    </row>
    <row r="865" spans="2:13" s="723" customFormat="1">
      <c r="B865" s="779" t="s">
        <v>1339</v>
      </c>
      <c r="C865" s="452">
        <v>170947500</v>
      </c>
      <c r="D865" s="452">
        <v>170947500</v>
      </c>
      <c r="E865" s="452">
        <v>170947500</v>
      </c>
      <c r="F865" s="452">
        <f t="shared" si="14"/>
        <v>170947500</v>
      </c>
      <c r="G865" s="399"/>
      <c r="I865" s="777"/>
      <c r="M865" s="778"/>
    </row>
    <row r="866" spans="2:13" s="723" customFormat="1">
      <c r="B866" s="779" t="s">
        <v>1349</v>
      </c>
      <c r="C866" s="452">
        <v>68379000</v>
      </c>
      <c r="D866" s="452">
        <v>68379000</v>
      </c>
      <c r="E866" s="452">
        <v>68379000</v>
      </c>
      <c r="F866" s="452">
        <f t="shared" si="14"/>
        <v>68379000</v>
      </c>
      <c r="G866" s="399"/>
      <c r="I866" s="777"/>
      <c r="M866" s="778"/>
    </row>
    <row r="867" spans="2:13" s="723" customFormat="1">
      <c r="B867" s="779" t="s">
        <v>1349</v>
      </c>
      <c r="C867" s="452">
        <v>68379000</v>
      </c>
      <c r="D867" s="452">
        <v>68379000</v>
      </c>
      <c r="E867" s="452">
        <v>68379000</v>
      </c>
      <c r="F867" s="452">
        <f t="shared" si="14"/>
        <v>68379000</v>
      </c>
      <c r="G867" s="399"/>
      <c r="I867" s="777"/>
      <c r="M867" s="778"/>
    </row>
    <row r="868" spans="2:13" s="723" customFormat="1">
      <c r="B868" s="779" t="s">
        <v>1349</v>
      </c>
      <c r="C868" s="452">
        <v>68379000</v>
      </c>
      <c r="D868" s="452">
        <v>68379000</v>
      </c>
      <c r="E868" s="452">
        <v>68379000</v>
      </c>
      <c r="F868" s="452">
        <f t="shared" si="14"/>
        <v>68379000</v>
      </c>
      <c r="G868" s="399"/>
      <c r="I868" s="777"/>
      <c r="M868" s="778"/>
    </row>
    <row r="869" spans="2:13" s="723" customFormat="1">
      <c r="B869" s="779" t="s">
        <v>1349</v>
      </c>
      <c r="C869" s="452">
        <v>68379000</v>
      </c>
      <c r="D869" s="452">
        <v>68379000</v>
      </c>
      <c r="E869" s="452">
        <v>68379000</v>
      </c>
      <c r="F869" s="452">
        <f t="shared" si="14"/>
        <v>68379000</v>
      </c>
      <c r="G869" s="399"/>
      <c r="I869" s="777"/>
      <c r="M869" s="778"/>
    </row>
    <row r="870" spans="2:13" s="723" customFormat="1">
      <c r="B870" s="779" t="s">
        <v>1349</v>
      </c>
      <c r="C870" s="452">
        <v>68379000</v>
      </c>
      <c r="D870" s="452">
        <v>68379000</v>
      </c>
      <c r="E870" s="452">
        <v>68379000</v>
      </c>
      <c r="F870" s="452">
        <f t="shared" si="14"/>
        <v>68379000</v>
      </c>
      <c r="G870" s="399"/>
      <c r="I870" s="777"/>
      <c r="M870" s="778"/>
    </row>
    <row r="871" spans="2:13" s="723" customFormat="1">
      <c r="B871" s="779" t="s">
        <v>1349</v>
      </c>
      <c r="C871" s="452">
        <v>68379000</v>
      </c>
      <c r="D871" s="452">
        <v>68379000</v>
      </c>
      <c r="E871" s="452">
        <v>68379000</v>
      </c>
      <c r="F871" s="452">
        <f t="shared" si="14"/>
        <v>68379000</v>
      </c>
      <c r="G871" s="399"/>
      <c r="I871" s="777"/>
      <c r="M871" s="778"/>
    </row>
    <row r="872" spans="2:13" s="723" customFormat="1">
      <c r="B872" s="779" t="s">
        <v>1349</v>
      </c>
      <c r="C872" s="452">
        <v>68379000</v>
      </c>
      <c r="D872" s="452">
        <v>68379000</v>
      </c>
      <c r="E872" s="452">
        <v>68379000</v>
      </c>
      <c r="F872" s="452">
        <f t="shared" si="14"/>
        <v>68379000</v>
      </c>
      <c r="G872" s="399"/>
      <c r="I872" s="777"/>
      <c r="M872" s="778"/>
    </row>
    <row r="873" spans="2:13" s="723" customFormat="1">
      <c r="B873" s="779" t="s">
        <v>1349</v>
      </c>
      <c r="C873" s="452">
        <v>68379000</v>
      </c>
      <c r="D873" s="452">
        <v>68379000</v>
      </c>
      <c r="E873" s="452">
        <v>68379000</v>
      </c>
      <c r="F873" s="452">
        <f t="shared" si="14"/>
        <v>68379000</v>
      </c>
      <c r="G873" s="399"/>
      <c r="I873" s="777"/>
      <c r="M873" s="778"/>
    </row>
    <row r="874" spans="2:13" s="723" customFormat="1">
      <c r="B874" s="779" t="s">
        <v>1349</v>
      </c>
      <c r="C874" s="452">
        <v>68379000</v>
      </c>
      <c r="D874" s="452">
        <v>68379000</v>
      </c>
      <c r="E874" s="452">
        <v>68379000</v>
      </c>
      <c r="F874" s="452">
        <f t="shared" si="14"/>
        <v>68379000</v>
      </c>
      <c r="G874" s="399"/>
      <c r="I874" s="777"/>
      <c r="M874" s="778"/>
    </row>
    <row r="875" spans="2:13" s="723" customFormat="1">
      <c r="B875" s="779" t="s">
        <v>1349</v>
      </c>
      <c r="C875" s="452">
        <v>102568500</v>
      </c>
      <c r="D875" s="452">
        <v>102568500</v>
      </c>
      <c r="E875" s="452">
        <v>102568500</v>
      </c>
      <c r="F875" s="452">
        <f t="shared" si="14"/>
        <v>102568500</v>
      </c>
      <c r="G875" s="399"/>
      <c r="I875" s="777"/>
      <c r="M875" s="778"/>
    </row>
    <row r="876" spans="2:13" s="723" customFormat="1">
      <c r="B876" s="779" t="s">
        <v>1349</v>
      </c>
      <c r="C876" s="452">
        <v>102568500</v>
      </c>
      <c r="D876" s="452">
        <v>102568500</v>
      </c>
      <c r="E876" s="452">
        <v>102568500</v>
      </c>
      <c r="F876" s="452">
        <f t="shared" si="14"/>
        <v>102568500</v>
      </c>
      <c r="G876" s="399"/>
      <c r="I876" s="777"/>
      <c r="M876" s="778"/>
    </row>
    <row r="877" spans="2:13" s="723" customFormat="1">
      <c r="B877" s="779" t="s">
        <v>1349</v>
      </c>
      <c r="C877" s="452">
        <v>102568500</v>
      </c>
      <c r="D877" s="452">
        <v>102568500</v>
      </c>
      <c r="E877" s="452">
        <v>102568500</v>
      </c>
      <c r="F877" s="452">
        <f t="shared" si="14"/>
        <v>102568500</v>
      </c>
      <c r="G877" s="399"/>
      <c r="I877" s="777"/>
      <c r="M877" s="778"/>
    </row>
    <row r="878" spans="2:13" s="723" customFormat="1">
      <c r="B878" s="779" t="s">
        <v>1349</v>
      </c>
      <c r="C878" s="452">
        <v>102568500</v>
      </c>
      <c r="D878" s="452">
        <v>102568500</v>
      </c>
      <c r="E878" s="452">
        <v>102568500</v>
      </c>
      <c r="F878" s="452">
        <f t="shared" si="14"/>
        <v>102568500</v>
      </c>
      <c r="G878" s="399"/>
      <c r="I878" s="777"/>
      <c r="M878" s="778"/>
    </row>
    <row r="879" spans="2:13" s="723" customFormat="1">
      <c r="B879" s="779" t="s">
        <v>1349</v>
      </c>
      <c r="C879" s="452">
        <v>170947500</v>
      </c>
      <c r="D879" s="452">
        <v>170947500</v>
      </c>
      <c r="E879" s="452">
        <v>170947500</v>
      </c>
      <c r="F879" s="452">
        <f t="shared" si="14"/>
        <v>170947500</v>
      </c>
      <c r="G879" s="399"/>
      <c r="I879" s="777"/>
      <c r="M879" s="778"/>
    </row>
    <row r="880" spans="2:13" s="723" customFormat="1">
      <c r="B880" s="779" t="s">
        <v>1349</v>
      </c>
      <c r="C880" s="452">
        <v>170947500</v>
      </c>
      <c r="D880" s="452">
        <v>170947500</v>
      </c>
      <c r="E880" s="452">
        <v>170947500</v>
      </c>
      <c r="F880" s="452">
        <f t="shared" si="14"/>
        <v>170947500</v>
      </c>
      <c r="G880" s="399"/>
      <c r="I880" s="777"/>
      <c r="M880" s="778"/>
    </row>
    <row r="881" spans="2:13" s="723" customFormat="1">
      <c r="B881" s="779" t="s">
        <v>1349</v>
      </c>
      <c r="C881" s="452">
        <v>170947500</v>
      </c>
      <c r="D881" s="452">
        <v>170947500</v>
      </c>
      <c r="E881" s="452">
        <v>170947500</v>
      </c>
      <c r="F881" s="452">
        <f t="shared" si="14"/>
        <v>170947500</v>
      </c>
      <c r="G881" s="399"/>
      <c r="I881" s="777"/>
      <c r="M881" s="778"/>
    </row>
    <row r="882" spans="2:13" s="723" customFormat="1">
      <c r="B882" s="779" t="s">
        <v>1349</v>
      </c>
      <c r="C882" s="452">
        <v>170947500</v>
      </c>
      <c r="D882" s="452">
        <v>170947500</v>
      </c>
      <c r="E882" s="452">
        <v>170947500</v>
      </c>
      <c r="F882" s="452">
        <f t="shared" si="14"/>
        <v>170947500</v>
      </c>
      <c r="G882" s="399"/>
      <c r="I882" s="777"/>
      <c r="M882" s="778"/>
    </row>
    <row r="883" spans="2:13" s="723" customFormat="1">
      <c r="B883" s="779" t="s">
        <v>1349</v>
      </c>
      <c r="C883" s="452">
        <v>170947500</v>
      </c>
      <c r="D883" s="452">
        <v>170947500</v>
      </c>
      <c r="E883" s="452">
        <v>170947500</v>
      </c>
      <c r="F883" s="452">
        <f t="shared" si="14"/>
        <v>170947500</v>
      </c>
      <c r="G883" s="399"/>
      <c r="I883" s="777"/>
      <c r="M883" s="778"/>
    </row>
    <row r="884" spans="2:13" s="723" customFormat="1">
      <c r="B884" s="779" t="s">
        <v>1349</v>
      </c>
      <c r="C884" s="452">
        <v>68379000</v>
      </c>
      <c r="D884" s="452">
        <v>68379000</v>
      </c>
      <c r="E884" s="452">
        <v>68379000</v>
      </c>
      <c r="F884" s="452">
        <f t="shared" si="14"/>
        <v>68379000</v>
      </c>
      <c r="G884" s="399"/>
      <c r="I884" s="777"/>
      <c r="M884" s="778"/>
    </row>
    <row r="885" spans="2:13" s="723" customFormat="1">
      <c r="B885" s="779" t="s">
        <v>1349</v>
      </c>
      <c r="C885" s="452">
        <v>68379000</v>
      </c>
      <c r="D885" s="452">
        <v>68379000</v>
      </c>
      <c r="E885" s="452">
        <v>68379000</v>
      </c>
      <c r="F885" s="452">
        <f t="shared" si="14"/>
        <v>68379000</v>
      </c>
      <c r="G885" s="399"/>
      <c r="I885" s="777"/>
      <c r="M885" s="778"/>
    </row>
    <row r="886" spans="2:13" s="723" customFormat="1">
      <c r="B886" s="779" t="s">
        <v>1349</v>
      </c>
      <c r="C886" s="452">
        <v>68379000</v>
      </c>
      <c r="D886" s="452">
        <v>68379000</v>
      </c>
      <c r="E886" s="452">
        <v>68379000</v>
      </c>
      <c r="F886" s="452">
        <f t="shared" si="14"/>
        <v>68379000</v>
      </c>
      <c r="G886" s="399"/>
      <c r="I886" s="777"/>
      <c r="M886" s="778"/>
    </row>
    <row r="887" spans="2:13" s="723" customFormat="1">
      <c r="B887" s="779" t="s">
        <v>1349</v>
      </c>
      <c r="C887" s="452">
        <v>68379000</v>
      </c>
      <c r="D887" s="452">
        <v>68379000</v>
      </c>
      <c r="E887" s="452">
        <v>68379000</v>
      </c>
      <c r="F887" s="452">
        <f t="shared" si="14"/>
        <v>68379000</v>
      </c>
      <c r="G887" s="399"/>
      <c r="I887" s="777"/>
      <c r="M887" s="778"/>
    </row>
    <row r="888" spans="2:13" s="723" customFormat="1">
      <c r="B888" s="779" t="s">
        <v>1349</v>
      </c>
      <c r="C888" s="452">
        <v>68379000</v>
      </c>
      <c r="D888" s="452">
        <v>68379000</v>
      </c>
      <c r="E888" s="452">
        <v>68379000</v>
      </c>
      <c r="F888" s="452">
        <f t="shared" ref="F888:F912" si="15">+C888</f>
        <v>68379000</v>
      </c>
      <c r="G888" s="399"/>
      <c r="I888" s="777"/>
      <c r="M888" s="778"/>
    </row>
    <row r="889" spans="2:13" s="723" customFormat="1">
      <c r="B889" s="779" t="s">
        <v>1349</v>
      </c>
      <c r="C889" s="452">
        <v>68379000</v>
      </c>
      <c r="D889" s="452">
        <v>68379000</v>
      </c>
      <c r="E889" s="452">
        <v>68379000</v>
      </c>
      <c r="F889" s="452">
        <f t="shared" si="15"/>
        <v>68379000</v>
      </c>
      <c r="G889" s="399"/>
      <c r="I889" s="777"/>
      <c r="M889" s="778"/>
    </row>
    <row r="890" spans="2:13" s="723" customFormat="1">
      <c r="B890" s="779" t="s">
        <v>1349</v>
      </c>
      <c r="C890" s="452">
        <v>68379000</v>
      </c>
      <c r="D890" s="452">
        <v>68379000</v>
      </c>
      <c r="E890" s="452">
        <v>68379000</v>
      </c>
      <c r="F890" s="452">
        <f t="shared" si="15"/>
        <v>68379000</v>
      </c>
      <c r="G890" s="399"/>
      <c r="I890" s="777"/>
      <c r="M890" s="778"/>
    </row>
    <row r="891" spans="2:13" s="723" customFormat="1">
      <c r="B891" s="779" t="s">
        <v>1349</v>
      </c>
      <c r="C891" s="452">
        <v>68379000</v>
      </c>
      <c r="D891" s="452">
        <v>68379000</v>
      </c>
      <c r="E891" s="452">
        <v>68379000</v>
      </c>
      <c r="F891" s="452">
        <f t="shared" si="15"/>
        <v>68379000</v>
      </c>
      <c r="G891" s="399"/>
      <c r="I891" s="777"/>
      <c r="M891" s="778"/>
    </row>
    <row r="892" spans="2:13" s="723" customFormat="1">
      <c r="B892" s="779" t="s">
        <v>1349</v>
      </c>
      <c r="C892" s="452">
        <v>68379000</v>
      </c>
      <c r="D892" s="452">
        <v>68379000</v>
      </c>
      <c r="E892" s="452">
        <v>68379000</v>
      </c>
      <c r="F892" s="452">
        <f t="shared" si="15"/>
        <v>68379000</v>
      </c>
      <c r="G892" s="399"/>
      <c r="I892" s="777"/>
      <c r="M892" s="778"/>
    </row>
    <row r="893" spans="2:13" s="723" customFormat="1">
      <c r="B893" s="779" t="s">
        <v>1349</v>
      </c>
      <c r="C893" s="452">
        <v>68379000</v>
      </c>
      <c r="D893" s="452">
        <v>68379000</v>
      </c>
      <c r="E893" s="452">
        <v>68379000</v>
      </c>
      <c r="F893" s="452">
        <f t="shared" si="15"/>
        <v>68379000</v>
      </c>
      <c r="G893" s="399"/>
      <c r="I893" s="777"/>
      <c r="M893" s="778"/>
    </row>
    <row r="894" spans="2:13" s="723" customFormat="1">
      <c r="B894" s="779" t="s">
        <v>1349</v>
      </c>
      <c r="C894" s="452">
        <v>170947500</v>
      </c>
      <c r="D894" s="452">
        <v>170947500</v>
      </c>
      <c r="E894" s="452">
        <v>170947500</v>
      </c>
      <c r="F894" s="452">
        <f t="shared" si="15"/>
        <v>170947500</v>
      </c>
      <c r="G894" s="399"/>
      <c r="I894" s="777"/>
      <c r="M894" s="778"/>
    </row>
    <row r="895" spans="2:13" s="723" customFormat="1">
      <c r="B895" s="779" t="s">
        <v>1349</v>
      </c>
      <c r="C895" s="452">
        <v>136758000</v>
      </c>
      <c r="D895" s="452">
        <v>136758000</v>
      </c>
      <c r="E895" s="452">
        <v>136758000</v>
      </c>
      <c r="F895" s="452">
        <f t="shared" si="15"/>
        <v>136758000</v>
      </c>
      <c r="G895" s="399"/>
      <c r="I895" s="777"/>
      <c r="M895" s="778"/>
    </row>
    <row r="896" spans="2:13" s="723" customFormat="1">
      <c r="B896" s="779" t="s">
        <v>472</v>
      </c>
      <c r="C896" s="452">
        <v>5128425000</v>
      </c>
      <c r="D896" s="452">
        <v>5128425000</v>
      </c>
      <c r="E896" s="452">
        <v>5128425000</v>
      </c>
      <c r="F896" s="452">
        <f t="shared" si="15"/>
        <v>5128425000</v>
      </c>
      <c r="G896" s="399"/>
      <c r="I896" s="777"/>
      <c r="M896" s="778"/>
    </row>
    <row r="897" spans="2:13" s="723" customFormat="1">
      <c r="B897" s="779" t="s">
        <v>472</v>
      </c>
      <c r="C897" s="452">
        <v>5128425000</v>
      </c>
      <c r="D897" s="452">
        <v>5128425000</v>
      </c>
      <c r="E897" s="452">
        <v>5128425000</v>
      </c>
      <c r="F897" s="452">
        <f t="shared" si="15"/>
        <v>5128425000</v>
      </c>
      <c r="G897" s="399"/>
      <c r="I897" s="777"/>
      <c r="M897" s="778"/>
    </row>
    <row r="898" spans="2:13" s="723" customFormat="1">
      <c r="B898" s="779" t="s">
        <v>472</v>
      </c>
      <c r="C898" s="452">
        <v>5128425000</v>
      </c>
      <c r="D898" s="452">
        <v>5128425000</v>
      </c>
      <c r="E898" s="452">
        <v>5128425000</v>
      </c>
      <c r="F898" s="452">
        <f t="shared" si="15"/>
        <v>5128425000</v>
      </c>
      <c r="G898" s="399"/>
      <c r="I898" s="777"/>
      <c r="M898" s="778"/>
    </row>
    <row r="899" spans="2:13" s="723" customFormat="1">
      <c r="B899" s="779" t="s">
        <v>472</v>
      </c>
      <c r="C899" s="452">
        <v>16707287234.4</v>
      </c>
      <c r="D899" s="452">
        <v>16707287234.4</v>
      </c>
      <c r="E899" s="452">
        <v>16707287234.4</v>
      </c>
      <c r="F899" s="452">
        <f t="shared" si="15"/>
        <v>16707287234.4</v>
      </c>
      <c r="G899" s="399"/>
      <c r="I899" s="777"/>
      <c r="M899" s="778"/>
    </row>
    <row r="900" spans="2:13" s="723" customFormat="1">
      <c r="B900" s="779" t="s">
        <v>472</v>
      </c>
      <c r="C900" s="452">
        <v>5128425000</v>
      </c>
      <c r="D900" s="452">
        <v>5128425000</v>
      </c>
      <c r="E900" s="452">
        <v>5128425000</v>
      </c>
      <c r="F900" s="452">
        <f t="shared" si="15"/>
        <v>5128425000</v>
      </c>
      <c r="G900" s="399"/>
      <c r="I900" s="777"/>
      <c r="M900" s="778"/>
    </row>
    <row r="901" spans="2:13" s="723" customFormat="1">
      <c r="B901" s="779" t="s">
        <v>1796</v>
      </c>
      <c r="C901" s="452">
        <v>3419633790</v>
      </c>
      <c r="D901" s="452">
        <v>3419633790</v>
      </c>
      <c r="E901" s="452">
        <v>3419633790</v>
      </c>
      <c r="F901" s="452">
        <f t="shared" si="15"/>
        <v>3419633790</v>
      </c>
      <c r="G901" s="399"/>
      <c r="I901" s="777"/>
      <c r="M901" s="778"/>
    </row>
    <row r="902" spans="2:13" s="723" customFormat="1">
      <c r="B902" s="779" t="s">
        <v>1796</v>
      </c>
      <c r="C902" s="452">
        <v>3419633790</v>
      </c>
      <c r="D902" s="452">
        <v>3419633790</v>
      </c>
      <c r="E902" s="452">
        <v>3419633790</v>
      </c>
      <c r="F902" s="452">
        <f t="shared" si="15"/>
        <v>3419633790</v>
      </c>
      <c r="G902" s="399"/>
      <c r="I902" s="777"/>
      <c r="M902" s="778"/>
    </row>
    <row r="903" spans="2:13" s="723" customFormat="1">
      <c r="B903" s="779" t="s">
        <v>1796</v>
      </c>
      <c r="C903" s="452">
        <v>3419633790</v>
      </c>
      <c r="D903" s="452">
        <v>3419633790</v>
      </c>
      <c r="E903" s="452">
        <v>3419633790</v>
      </c>
      <c r="F903" s="452">
        <f t="shared" si="15"/>
        <v>3419633790</v>
      </c>
      <c r="G903" s="399"/>
      <c r="I903" s="777"/>
      <c r="M903" s="778"/>
    </row>
    <row r="904" spans="2:13" s="723" customFormat="1">
      <c r="B904" s="779" t="s">
        <v>1796</v>
      </c>
      <c r="C904" s="452">
        <v>3419633790</v>
      </c>
      <c r="D904" s="452">
        <v>3419633790</v>
      </c>
      <c r="E904" s="452">
        <v>3419633790</v>
      </c>
      <c r="F904" s="452">
        <f t="shared" si="15"/>
        <v>3419633790</v>
      </c>
      <c r="G904" s="399"/>
      <c r="I904" s="777"/>
      <c r="M904" s="778"/>
    </row>
    <row r="905" spans="2:13" s="723" customFormat="1">
      <c r="B905" s="779" t="s">
        <v>1796</v>
      </c>
      <c r="C905" s="452">
        <v>3419633790</v>
      </c>
      <c r="D905" s="452">
        <v>3419633790</v>
      </c>
      <c r="E905" s="452">
        <v>3419633790</v>
      </c>
      <c r="F905" s="452">
        <f t="shared" si="15"/>
        <v>3419633790</v>
      </c>
      <c r="G905" s="399"/>
      <c r="I905" s="777"/>
      <c r="M905" s="778"/>
    </row>
    <row r="906" spans="2:13" s="723" customFormat="1">
      <c r="B906" s="779" t="s">
        <v>1796</v>
      </c>
      <c r="C906" s="452">
        <v>3419633790</v>
      </c>
      <c r="D906" s="452">
        <v>3419633790</v>
      </c>
      <c r="E906" s="452">
        <v>3419633790</v>
      </c>
      <c r="F906" s="452">
        <f t="shared" si="15"/>
        <v>3419633790</v>
      </c>
      <c r="G906" s="399"/>
      <c r="I906" s="777"/>
      <c r="M906" s="778"/>
    </row>
    <row r="907" spans="2:13" s="723" customFormat="1">
      <c r="B907" s="779" t="s">
        <v>1796</v>
      </c>
      <c r="C907" s="452">
        <v>3419633790</v>
      </c>
      <c r="D907" s="452">
        <v>3419633790</v>
      </c>
      <c r="E907" s="452">
        <v>3419633790</v>
      </c>
      <c r="F907" s="452">
        <f t="shared" si="15"/>
        <v>3419633790</v>
      </c>
      <c r="G907" s="399"/>
      <c r="I907" s="777"/>
      <c r="M907" s="778"/>
    </row>
    <row r="908" spans="2:13" s="723" customFormat="1">
      <c r="B908" s="779" t="s">
        <v>1796</v>
      </c>
      <c r="C908" s="452">
        <v>3419633790</v>
      </c>
      <c r="D908" s="452">
        <v>3419633790</v>
      </c>
      <c r="E908" s="452">
        <v>3419633790</v>
      </c>
      <c r="F908" s="452">
        <f t="shared" si="15"/>
        <v>3419633790</v>
      </c>
      <c r="G908" s="399"/>
      <c r="I908" s="777"/>
      <c r="M908" s="778"/>
    </row>
    <row r="909" spans="2:13" s="723" customFormat="1">
      <c r="B909" s="779" t="s">
        <v>1824</v>
      </c>
      <c r="C909" s="452">
        <v>683790000</v>
      </c>
      <c r="D909" s="452">
        <v>683790000</v>
      </c>
      <c r="E909" s="452">
        <v>683790000</v>
      </c>
      <c r="F909" s="452">
        <f t="shared" si="15"/>
        <v>683790000</v>
      </c>
      <c r="G909" s="399"/>
      <c r="I909" s="777"/>
      <c r="M909" s="778"/>
    </row>
    <row r="910" spans="2:13" s="723" customFormat="1">
      <c r="B910" s="779" t="s">
        <v>472</v>
      </c>
      <c r="C910" s="452">
        <v>25019520.547945205</v>
      </c>
      <c r="D910" s="452">
        <v>25019520.547945205</v>
      </c>
      <c r="E910" s="452">
        <v>25000000</v>
      </c>
      <c r="F910" s="452">
        <f t="shared" si="15"/>
        <v>25019520.547945205</v>
      </c>
      <c r="G910" s="399"/>
      <c r="I910" s="777"/>
      <c r="M910" s="778"/>
    </row>
    <row r="911" spans="2:13" s="723" customFormat="1">
      <c r="B911" s="779" t="s">
        <v>1523</v>
      </c>
      <c r="C911" s="452">
        <v>320881153.03846771</v>
      </c>
      <c r="D911" s="452">
        <v>320881153.03846771</v>
      </c>
      <c r="E911" s="452">
        <v>6837900</v>
      </c>
      <c r="F911" s="452">
        <f t="shared" si="15"/>
        <v>320881153.03846771</v>
      </c>
      <c r="G911" s="399"/>
      <c r="I911" s="777"/>
      <c r="M911" s="778"/>
    </row>
    <row r="912" spans="2:13" s="723" customFormat="1">
      <c r="B912" s="779" t="s">
        <v>1819</v>
      </c>
      <c r="C912" s="452">
        <v>634645461.3943125</v>
      </c>
      <c r="D912" s="452">
        <v>634645461.3943125</v>
      </c>
      <c r="E912" s="452">
        <v>6837900</v>
      </c>
      <c r="F912" s="452">
        <f t="shared" si="15"/>
        <v>634645461.3943125</v>
      </c>
      <c r="G912" s="399"/>
      <c r="I912" s="777"/>
      <c r="M912" s="778"/>
    </row>
    <row r="913" spans="1:14" s="723" customFormat="1">
      <c r="B913" s="779"/>
      <c r="C913" s="452"/>
      <c r="D913" s="452"/>
      <c r="E913" s="452"/>
      <c r="F913" s="452"/>
      <c r="G913" s="399"/>
      <c r="I913" s="777"/>
      <c r="M913" s="778"/>
    </row>
    <row r="914" spans="1:14" s="399" customFormat="1">
      <c r="A914" s="397"/>
      <c r="B914" s="354" t="s">
        <v>1538</v>
      </c>
      <c r="C914" s="455"/>
      <c r="D914" s="456">
        <f>+SUM(D533:D913)</f>
        <v>187761109352.52939</v>
      </c>
      <c r="E914" s="456"/>
      <c r="F914" s="456">
        <f>+SUM(F533:F913)</f>
        <v>187650718329.97205</v>
      </c>
      <c r="G914" s="429">
        <f>+D914-BG!D23+553</f>
        <v>-0.470611572265625</v>
      </c>
      <c r="H914" s="429"/>
      <c r="I914" s="400"/>
      <c r="L914" s="415"/>
      <c r="M914" s="415"/>
      <c r="N914" s="415"/>
    </row>
    <row r="915" spans="1:14" s="399" customFormat="1">
      <c r="A915" s="397"/>
      <c r="B915" s="354" t="s">
        <v>1274</v>
      </c>
      <c r="C915" s="451"/>
      <c r="D915" s="456">
        <v>87224765300.84375</v>
      </c>
      <c r="E915" s="456"/>
      <c r="F915" s="456">
        <v>87241474956.813599</v>
      </c>
      <c r="H915" s="429"/>
      <c r="I915" s="400"/>
      <c r="L915" s="415"/>
      <c r="M915" s="415"/>
      <c r="N915" s="415"/>
    </row>
    <row r="916" spans="1:14" s="399" customFormat="1">
      <c r="A916" s="397"/>
      <c r="B916" s="1045" t="s">
        <v>1371</v>
      </c>
      <c r="C916" s="1045"/>
      <c r="D916" s="1045"/>
      <c r="E916" s="1045"/>
      <c r="F916" s="1045"/>
      <c r="I916" s="400"/>
      <c r="L916" s="415"/>
      <c r="M916" s="415"/>
      <c r="N916" s="415"/>
    </row>
    <row r="917" spans="1:14" s="399" customFormat="1">
      <c r="A917" s="397"/>
      <c r="B917" s="457" t="s">
        <v>550</v>
      </c>
      <c r="C917" s="458">
        <v>200000000</v>
      </c>
      <c r="D917" s="458">
        <v>900000000</v>
      </c>
      <c r="E917" s="458">
        <v>200000000</v>
      </c>
      <c r="F917" s="458">
        <v>900000000</v>
      </c>
      <c r="I917" s="400"/>
      <c r="L917" s="415"/>
      <c r="M917" s="415"/>
      <c r="N917" s="415"/>
    </row>
    <row r="918" spans="1:14" s="399" customFormat="1">
      <c r="A918" s="397"/>
      <c r="B918" s="457" t="s">
        <v>382</v>
      </c>
      <c r="C918" s="458">
        <v>4999000000</v>
      </c>
      <c r="D918" s="458">
        <f>+G524</f>
        <v>8453158107</v>
      </c>
      <c r="E918" s="458">
        <v>4999000000</v>
      </c>
      <c r="F918" s="458">
        <f>+D918</f>
        <v>8453158107</v>
      </c>
      <c r="I918" s="400"/>
      <c r="L918" s="415"/>
      <c r="M918" s="415"/>
      <c r="N918" s="415"/>
    </row>
    <row r="919" spans="1:14" s="399" customFormat="1">
      <c r="A919" s="397"/>
      <c r="B919" s="354" t="s">
        <v>1538</v>
      </c>
      <c r="C919" s="459"/>
      <c r="D919" s="459">
        <f>+SUM(D917:D918)</f>
        <v>9353158107</v>
      </c>
      <c r="E919" s="456"/>
      <c r="F919" s="459">
        <f>+SUM(F917:F918)</f>
        <v>9353158107</v>
      </c>
      <c r="G919" s="429">
        <f>+D919-BG!D49</f>
        <v>0</v>
      </c>
      <c r="I919" s="400"/>
      <c r="L919" s="415"/>
      <c r="M919" s="415"/>
      <c r="N919" s="415"/>
    </row>
    <row r="920" spans="1:14" s="399" customFormat="1">
      <c r="A920" s="397"/>
      <c r="B920" s="354" t="s">
        <v>1274</v>
      </c>
      <c r="C920" s="460"/>
      <c r="D920" s="456">
        <v>7946406868</v>
      </c>
      <c r="E920" s="452"/>
      <c r="F920" s="456">
        <v>7946406868</v>
      </c>
      <c r="I920" s="400"/>
      <c r="L920" s="415"/>
      <c r="M920" s="415"/>
      <c r="N920" s="415"/>
    </row>
    <row r="921" spans="1:14" s="399" customFormat="1">
      <c r="A921" s="397"/>
      <c r="I921" s="400"/>
      <c r="L921" s="415"/>
      <c r="M921" s="415"/>
      <c r="N921" s="415"/>
    </row>
    <row r="922" spans="1:14" s="399" customFormat="1">
      <c r="A922" s="397"/>
      <c r="B922" s="339" t="s">
        <v>354</v>
      </c>
      <c r="I922" s="400"/>
      <c r="L922" s="415"/>
      <c r="M922" s="415"/>
      <c r="N922" s="415"/>
    </row>
    <row r="923" spans="1:14" s="399" customFormat="1" ht="55.2" customHeight="1">
      <c r="A923" s="397"/>
      <c r="B923" s="1046" t="s">
        <v>530</v>
      </c>
      <c r="C923" s="1046"/>
      <c r="D923" s="1046"/>
      <c r="E923" s="1046"/>
      <c r="F923" s="1046"/>
      <c r="I923" s="400"/>
      <c r="L923" s="415"/>
      <c r="M923" s="415"/>
      <c r="N923" s="415"/>
    </row>
    <row r="924" spans="1:14" s="399" customFormat="1">
      <c r="A924" s="397"/>
      <c r="B924" s="339"/>
      <c r="I924" s="400"/>
      <c r="L924" s="415"/>
      <c r="M924" s="415"/>
      <c r="N924" s="415"/>
    </row>
    <row r="925" spans="1:14" s="399" customFormat="1">
      <c r="A925" s="397"/>
      <c r="B925" s="461" t="s">
        <v>1829</v>
      </c>
      <c r="I925" s="400"/>
      <c r="L925" s="415"/>
      <c r="M925" s="415"/>
      <c r="N925" s="415"/>
    </row>
    <row r="926" spans="1:14" s="399" customFormat="1">
      <c r="A926" s="397"/>
      <c r="I926" s="400"/>
      <c r="L926" s="415"/>
      <c r="M926" s="415"/>
      <c r="N926" s="415"/>
    </row>
    <row r="927" spans="1:14" s="399" customFormat="1" ht="24.6" customHeight="1">
      <c r="A927" s="397"/>
      <c r="B927" s="389" t="s">
        <v>70</v>
      </c>
      <c r="C927" s="462">
        <v>44742</v>
      </c>
      <c r="D927" s="463">
        <v>44561</v>
      </c>
      <c r="I927" s="400"/>
      <c r="L927" s="415"/>
      <c r="M927" s="415"/>
      <c r="N927" s="415"/>
    </row>
    <row r="928" spans="1:14" s="399" customFormat="1">
      <c r="A928" s="397"/>
      <c r="B928" s="464" t="s">
        <v>355</v>
      </c>
      <c r="C928" s="465"/>
      <c r="D928" s="465"/>
      <c r="I928" s="400"/>
      <c r="L928" s="415"/>
      <c r="M928" s="415"/>
      <c r="N928" s="415"/>
    </row>
    <row r="929" spans="1:14" s="399" customFormat="1">
      <c r="A929" s="397"/>
      <c r="B929" s="466" t="s">
        <v>356</v>
      </c>
      <c r="C929" s="444">
        <f>SUM(Clasificaciones!G217:G246)</f>
        <v>159170979640</v>
      </c>
      <c r="D929" s="444">
        <v>71252567832</v>
      </c>
      <c r="I929" s="400"/>
      <c r="L929" s="415"/>
      <c r="M929" s="415"/>
      <c r="N929" s="415"/>
    </row>
    <row r="930" spans="1:14" s="399" customFormat="1">
      <c r="A930" s="397"/>
      <c r="B930" s="466" t="s">
        <v>357</v>
      </c>
      <c r="C930" s="444">
        <f>SUM(Clasificaciones!G247:G252)</f>
        <v>2154245</v>
      </c>
      <c r="D930" s="444">
        <v>174519</v>
      </c>
      <c r="I930" s="400"/>
      <c r="L930" s="415"/>
      <c r="M930" s="415"/>
      <c r="N930" s="415"/>
    </row>
    <row r="931" spans="1:14" s="399" customFormat="1" ht="33.6">
      <c r="A931" s="397"/>
      <c r="B931" s="467" t="s">
        <v>358</v>
      </c>
      <c r="C931" s="468">
        <f>+SUM(C929:C930)</f>
        <v>159173133885</v>
      </c>
      <c r="D931" s="468">
        <v>71252742351</v>
      </c>
      <c r="E931" s="469"/>
      <c r="F931" s="470"/>
      <c r="G931" s="446"/>
      <c r="I931" s="400"/>
      <c r="L931" s="415"/>
      <c r="M931" s="415"/>
      <c r="N931" s="415"/>
    </row>
    <row r="932" spans="1:14" s="399" customFormat="1">
      <c r="A932" s="397"/>
      <c r="B932" s="466" t="s">
        <v>571</v>
      </c>
      <c r="C932" s="679">
        <f>SUM(Clasificaciones!G474:G477)</f>
        <v>-153957929931</v>
      </c>
      <c r="D932" s="679">
        <v>-67832485056</v>
      </c>
      <c r="I932" s="400"/>
      <c r="L932" s="415"/>
      <c r="M932" s="415"/>
      <c r="N932" s="415"/>
    </row>
    <row r="933" spans="1:14" s="399" customFormat="1">
      <c r="A933" s="397"/>
      <c r="B933" s="466" t="s">
        <v>1212</v>
      </c>
      <c r="C933" s="679">
        <f>SUM(Clasificaciones!G466:G473)</f>
        <v>-582316592</v>
      </c>
      <c r="D933" s="679">
        <v>-271950997</v>
      </c>
      <c r="I933" s="400"/>
      <c r="L933" s="415"/>
      <c r="M933" s="415"/>
      <c r="N933" s="415"/>
    </row>
    <row r="934" spans="1:14" s="399" customFormat="1" ht="33.6">
      <c r="A934" s="397"/>
      <c r="B934" s="467" t="s">
        <v>359</v>
      </c>
      <c r="C934" s="680">
        <f>+C932+C933</f>
        <v>-154540246523</v>
      </c>
      <c r="D934" s="680">
        <v>-68104436053</v>
      </c>
      <c r="E934" s="472"/>
      <c r="F934" s="446"/>
      <c r="G934" s="446"/>
      <c r="I934" s="400"/>
      <c r="L934" s="415"/>
      <c r="M934" s="415"/>
      <c r="N934" s="415"/>
    </row>
    <row r="935" spans="1:14" s="399" customFormat="1">
      <c r="A935" s="397"/>
      <c r="B935" s="467" t="s">
        <v>1373</v>
      </c>
      <c r="C935" s="471">
        <f>+C931+C934</f>
        <v>4632887362</v>
      </c>
      <c r="D935" s="471">
        <v>3148306298</v>
      </c>
      <c r="E935" s="472"/>
      <c r="F935" s="446"/>
      <c r="G935" s="446"/>
      <c r="I935" s="400"/>
      <c r="L935" s="415"/>
      <c r="M935" s="415"/>
      <c r="N935" s="415"/>
    </row>
    <row r="936" spans="1:14" s="399" customFormat="1">
      <c r="A936" s="397"/>
      <c r="I936" s="400"/>
      <c r="L936" s="415"/>
      <c r="M936" s="415"/>
      <c r="N936" s="415"/>
    </row>
    <row r="937" spans="1:14">
      <c r="B937" s="339" t="s">
        <v>208</v>
      </c>
      <c r="C937" s="276"/>
      <c r="D937" s="276"/>
      <c r="E937" s="276"/>
    </row>
    <row r="938" spans="1:14">
      <c r="B938" s="276"/>
      <c r="C938" s="276"/>
      <c r="D938" s="276"/>
      <c r="E938" s="276"/>
    </row>
    <row r="939" spans="1:14">
      <c r="B939" s="473" t="s">
        <v>360</v>
      </c>
      <c r="C939" s="347"/>
      <c r="D939" s="276"/>
      <c r="E939" s="276"/>
    </row>
    <row r="940" spans="1:14">
      <c r="B940" s="276"/>
      <c r="C940" s="276"/>
      <c r="D940" s="276"/>
      <c r="E940" s="276"/>
    </row>
    <row r="941" spans="1:14">
      <c r="B941" s="276" t="s">
        <v>361</v>
      </c>
      <c r="C941" s="276"/>
      <c r="D941" s="276"/>
      <c r="E941" s="276"/>
    </row>
    <row r="942" spans="1:14">
      <c r="B942" s="276"/>
      <c r="C942" s="276"/>
      <c r="D942" s="276"/>
      <c r="E942" s="276"/>
    </row>
    <row r="943" spans="1:14" ht="29.4" customHeight="1">
      <c r="B943" s="326" t="s">
        <v>70</v>
      </c>
      <c r="C943" s="462">
        <v>44742</v>
      </c>
      <c r="D943" s="463">
        <v>44561</v>
      </c>
      <c r="E943" s="276"/>
    </row>
    <row r="944" spans="1:14">
      <c r="B944" s="466" t="s">
        <v>1153</v>
      </c>
      <c r="C944" s="474">
        <f>+Clasificaciones!G256</f>
        <v>7317954</v>
      </c>
      <c r="D944" s="474">
        <v>61105608</v>
      </c>
      <c r="E944" s="276"/>
    </row>
    <row r="945" spans="2:6">
      <c r="B945" s="466" t="s">
        <v>1152</v>
      </c>
      <c r="C945" s="474">
        <f>+Clasificaciones!G257</f>
        <v>4085508</v>
      </c>
      <c r="D945" s="474">
        <v>11910755</v>
      </c>
      <c r="E945" s="276"/>
    </row>
    <row r="946" spans="2:6">
      <c r="B946" s="475" t="s">
        <v>71</v>
      </c>
      <c r="C946" s="476">
        <f>SUM(C944:C945)</f>
        <v>11403462</v>
      </c>
      <c r="D946" s="476">
        <v>73016363</v>
      </c>
      <c r="E946" s="277">
        <f>+C946-BG!D32</f>
        <v>0</v>
      </c>
      <c r="F946" s="395">
        <f>+D946-BG!F32</f>
        <v>0</v>
      </c>
    </row>
    <row r="947" spans="2:6">
      <c r="B947" s="477"/>
      <c r="D947" s="478"/>
      <c r="E947" s="276"/>
    </row>
    <row r="948" spans="2:6">
      <c r="B948" s="473" t="s">
        <v>362</v>
      </c>
      <c r="D948" s="478"/>
      <c r="E948" s="276"/>
    </row>
    <row r="949" spans="2:6" ht="9.6" customHeight="1">
      <c r="B949" s="479"/>
      <c r="C949" s="276"/>
      <c r="D949" s="276"/>
      <c r="E949" s="276"/>
    </row>
    <row r="950" spans="2:6">
      <c r="B950" s="1047" t="s">
        <v>616</v>
      </c>
      <c r="C950" s="1047"/>
      <c r="D950" s="1047"/>
      <c r="E950" s="276"/>
    </row>
    <row r="951" spans="2:6">
      <c r="B951" s="480"/>
      <c r="C951" s="480"/>
      <c r="D951" s="480"/>
      <c r="E951" s="276"/>
    </row>
    <row r="952" spans="2:6" ht="27.6" customHeight="1">
      <c r="B952" s="326" t="s">
        <v>70</v>
      </c>
      <c r="C952" s="462">
        <v>44742</v>
      </c>
      <c r="D952" s="463">
        <v>44561</v>
      </c>
      <c r="E952" s="276"/>
    </row>
    <row r="953" spans="2:6">
      <c r="B953" s="466" t="s">
        <v>1185</v>
      </c>
      <c r="C953" s="474">
        <f>+VLOOKUP(B953,Clasificaciones!D4:G272,4,FALSE)</f>
        <v>307876</v>
      </c>
      <c r="D953" s="474">
        <f>+VLOOKUP(B953,Clasificaciones!D4:K272,8,FALSE)</f>
        <v>3975686</v>
      </c>
      <c r="E953" s="276"/>
    </row>
    <row r="954" spans="2:6">
      <c r="B954" s="466" t="s">
        <v>1186</v>
      </c>
      <c r="C954" s="474">
        <f>+VLOOKUP(B954,Clasificaciones!D5:G273,4,FALSE)</f>
        <v>2266969</v>
      </c>
      <c r="D954" s="474">
        <f>+VLOOKUP(B954,Clasificaciones!D5:K273,8,FALSE)</f>
        <v>2997734</v>
      </c>
      <c r="E954" s="276"/>
    </row>
    <row r="955" spans="2:6">
      <c r="B955" s="466" t="s">
        <v>952</v>
      </c>
      <c r="C955" s="474">
        <f>+VLOOKUP(B955,Clasificaciones!D6:G274,4,FALSE)</f>
        <v>3300000</v>
      </c>
      <c r="D955" s="474">
        <f>+VLOOKUP(B955,Clasificaciones!D6:K274,8,FALSE)</f>
        <v>3300000</v>
      </c>
      <c r="E955" s="276"/>
    </row>
    <row r="956" spans="2:6">
      <c r="B956" s="466" t="s">
        <v>691</v>
      </c>
      <c r="C956" s="474">
        <f>+VLOOKUP(B956,Clasificaciones!D7:G275,4,FALSE)</f>
        <v>2264174</v>
      </c>
      <c r="D956" s="474">
        <f>+VLOOKUP(B956,Clasificaciones!D7:K275,8,FALSE)</f>
        <v>51047566</v>
      </c>
      <c r="E956" s="276"/>
    </row>
    <row r="957" spans="2:6">
      <c r="B957" s="466" t="s">
        <v>1401</v>
      </c>
      <c r="C957" s="474">
        <f>+VLOOKUP(B957,Clasificaciones!D8:G276,4,FALSE)</f>
        <v>0</v>
      </c>
      <c r="D957" s="474">
        <f>+VLOOKUP(B957,Clasificaciones!D8:K276,8,FALSE)</f>
        <v>1448246165</v>
      </c>
      <c r="E957" s="276"/>
    </row>
    <row r="958" spans="2:6">
      <c r="B958" s="475" t="s">
        <v>71</v>
      </c>
      <c r="C958" s="476">
        <f>+SUM(C953:C957)</f>
        <v>8139019</v>
      </c>
      <c r="D958" s="476">
        <f>+SUM(D953:D957)</f>
        <v>1509567151</v>
      </c>
      <c r="E958" s="277">
        <f>+C958-BG!D33</f>
        <v>0</v>
      </c>
      <c r="F958" s="395">
        <f>+D958-BG!F33</f>
        <v>0</v>
      </c>
    </row>
    <row r="959" spans="2:6">
      <c r="B959" s="477"/>
      <c r="D959" s="478"/>
      <c r="E959" s="276"/>
    </row>
    <row r="960" spans="2:6">
      <c r="B960" s="481" t="s">
        <v>363</v>
      </c>
      <c r="D960" s="478"/>
      <c r="E960" s="276"/>
    </row>
    <row r="961" spans="1:14" ht="19.95" customHeight="1">
      <c r="B961" s="482" t="s">
        <v>1830</v>
      </c>
      <c r="D961" s="478"/>
      <c r="E961" s="276"/>
    </row>
    <row r="962" spans="1:14">
      <c r="B962" s="477"/>
      <c r="D962" s="478"/>
      <c r="E962" s="276"/>
    </row>
    <row r="963" spans="1:14" ht="33.6">
      <c r="B963" s="473" t="s">
        <v>364</v>
      </c>
      <c r="D963" s="478"/>
      <c r="E963" s="276"/>
    </row>
    <row r="964" spans="1:14">
      <c r="B964" s="480" t="s">
        <v>1831</v>
      </c>
      <c r="D964" s="478"/>
      <c r="E964" s="276"/>
    </row>
    <row r="965" spans="1:14" ht="21.6" customHeight="1">
      <c r="B965" s="480"/>
      <c r="D965" s="478"/>
      <c r="E965" s="276"/>
    </row>
    <row r="966" spans="1:14" ht="14.4" customHeight="1">
      <c r="B966" s="1048" t="s">
        <v>365</v>
      </c>
      <c r="C966" s="1048"/>
      <c r="D966" s="1048"/>
      <c r="E966" s="276"/>
    </row>
    <row r="967" spans="1:14">
      <c r="B967" s="480"/>
      <c r="D967" s="478"/>
      <c r="E967" s="276"/>
    </row>
    <row r="968" spans="1:14" ht="27.6" customHeight="1">
      <c r="B968" s="326" t="s">
        <v>70</v>
      </c>
      <c r="C968" s="462">
        <v>44742</v>
      </c>
      <c r="D968" s="462">
        <v>44561</v>
      </c>
      <c r="E968" s="276"/>
    </row>
    <row r="969" spans="1:14">
      <c r="B969" s="466" t="s">
        <v>1524</v>
      </c>
      <c r="C969" s="483">
        <f>+Clasificaciones!G278+Clasificaciones!G279</f>
        <v>13236930</v>
      </c>
      <c r="D969" s="444">
        <v>0</v>
      </c>
      <c r="E969" s="276"/>
    </row>
    <row r="970" spans="1:14">
      <c r="B970" s="466" t="s">
        <v>507</v>
      </c>
      <c r="C970" s="483">
        <f>+Clasificaciones!G302</f>
        <v>0</v>
      </c>
      <c r="D970" s="444">
        <v>2276740</v>
      </c>
      <c r="E970" s="276"/>
    </row>
    <row r="971" spans="1:14">
      <c r="B971" s="475" t="s">
        <v>71</v>
      </c>
      <c r="C971" s="484">
        <f>+SUM(C969:C970)</f>
        <v>13236930</v>
      </c>
      <c r="D971" s="484">
        <f>+SUM(D970:D970)</f>
        <v>2276740</v>
      </c>
      <c r="E971" s="277">
        <f>+C971-BG!D36</f>
        <v>0</v>
      </c>
      <c r="F971" s="277">
        <f>+D971-BG!F36</f>
        <v>0</v>
      </c>
    </row>
    <row r="972" spans="1:14">
      <c r="B972" s="485"/>
      <c r="C972" s="486"/>
      <c r="D972" s="486"/>
      <c r="E972" s="277"/>
    </row>
    <row r="973" spans="1:14">
      <c r="B973" s="339" t="s">
        <v>366</v>
      </c>
    </row>
    <row r="974" spans="1:14">
      <c r="B974" s="479" t="s">
        <v>367</v>
      </c>
    </row>
    <row r="975" spans="1:14">
      <c r="B975" s="479"/>
    </row>
    <row r="976" spans="1:14" s="488" customFormat="1" ht="20.399999999999999" customHeight="1">
      <c r="A976" s="487"/>
      <c r="B976" s="1034" t="s">
        <v>1151</v>
      </c>
      <c r="C976" s="1034" t="s">
        <v>287</v>
      </c>
      <c r="D976" s="1034"/>
      <c r="E976" s="1034"/>
      <c r="F976" s="1034"/>
      <c r="G976" s="1034"/>
      <c r="H976" s="1049" t="s">
        <v>288</v>
      </c>
      <c r="I976" s="1050"/>
      <c r="J976" s="1050"/>
      <c r="K976" s="1050"/>
      <c r="L976" s="1050"/>
      <c r="M976" s="1050"/>
      <c r="N976" s="612"/>
    </row>
    <row r="977" spans="1:14" s="350" customFormat="1" ht="36.6" customHeight="1">
      <c r="A977" s="348"/>
      <c r="B977" s="1034"/>
      <c r="C977" s="326" t="s">
        <v>283</v>
      </c>
      <c r="D977" s="326" t="s">
        <v>284</v>
      </c>
      <c r="E977" s="326" t="s">
        <v>285</v>
      </c>
      <c r="F977" s="326" t="s">
        <v>368</v>
      </c>
      <c r="G977" s="326" t="s">
        <v>369</v>
      </c>
      <c r="H977" s="326" t="s">
        <v>286</v>
      </c>
      <c r="I977" s="351" t="s">
        <v>284</v>
      </c>
      <c r="J977" s="351" t="s">
        <v>285</v>
      </c>
      <c r="K977" s="351" t="s">
        <v>368</v>
      </c>
      <c r="L977" s="351" t="s">
        <v>1375</v>
      </c>
      <c r="M977" s="351" t="s">
        <v>1376</v>
      </c>
      <c r="N977" s="610"/>
    </row>
    <row r="978" spans="1:14" s="493" customFormat="1">
      <c r="A978" s="489"/>
      <c r="B978" s="490" t="s">
        <v>1154</v>
      </c>
      <c r="C978" s="491">
        <v>249008778</v>
      </c>
      <c r="D978" s="491">
        <v>1618213</v>
      </c>
      <c r="E978" s="491">
        <v>0</v>
      </c>
      <c r="F978" s="491" t="s">
        <v>353</v>
      </c>
      <c r="G978" s="492">
        <f>SUM(C978:F978)</f>
        <v>250626991</v>
      </c>
      <c r="H978" s="491">
        <v>-588477</v>
      </c>
      <c r="I978" s="491">
        <f>-Clasificaciones!G808</f>
        <v>-37302276</v>
      </c>
      <c r="J978" s="491">
        <v>0</v>
      </c>
      <c r="K978" s="491">
        <v>0</v>
      </c>
      <c r="L978" s="501">
        <f>+SUM(H978:K978)</f>
        <v>-37890753</v>
      </c>
      <c r="M978" s="501">
        <f>+G978+L978</f>
        <v>212736238</v>
      </c>
      <c r="N978" s="613"/>
    </row>
    <row r="979" spans="1:14" s="493" customFormat="1">
      <c r="A979" s="489"/>
      <c r="B979" s="490" t="s">
        <v>577</v>
      </c>
      <c r="C979" s="491">
        <v>357508232</v>
      </c>
      <c r="D979" s="491">
        <v>110766190</v>
      </c>
      <c r="E979" s="491">
        <v>0</v>
      </c>
      <c r="F979" s="491">
        <v>0</v>
      </c>
      <c r="G979" s="492">
        <f>SUM(C979:F979)</f>
        <v>468274422</v>
      </c>
      <c r="H979" s="491">
        <v>-9953111</v>
      </c>
      <c r="I979" s="492">
        <f>-Clasificaciones!G810</f>
        <v>-32175738</v>
      </c>
      <c r="J979" s="492">
        <v>0</v>
      </c>
      <c r="K979" s="492">
        <v>0</v>
      </c>
      <c r="L979" s="501">
        <f>+SUM(H979:K979)</f>
        <v>-42128849</v>
      </c>
      <c r="M979" s="501">
        <f>+G979+L979</f>
        <v>426145573</v>
      </c>
      <c r="N979" s="613"/>
    </row>
    <row r="980" spans="1:14" s="493" customFormat="1">
      <c r="A980" s="489"/>
      <c r="B980" s="490" t="s">
        <v>153</v>
      </c>
      <c r="C980" s="491">
        <v>122540485</v>
      </c>
      <c r="D980" s="491">
        <v>0</v>
      </c>
      <c r="E980" s="491">
        <v>0</v>
      </c>
      <c r="F980" s="491">
        <v>0</v>
      </c>
      <c r="G980" s="492">
        <f>SUM(C980:F980)</f>
        <v>122540485</v>
      </c>
      <c r="H980" s="491">
        <v>0</v>
      </c>
      <c r="I980" s="491">
        <f>-Clasificaciones!G816</f>
        <v>-5514324</v>
      </c>
      <c r="J980" s="491">
        <v>0</v>
      </c>
      <c r="K980" s="491">
        <v>0</v>
      </c>
      <c r="L980" s="501">
        <f>+SUM(H980:K980)</f>
        <v>-5514324</v>
      </c>
      <c r="M980" s="501">
        <f>+G980+L980</f>
        <v>117026161</v>
      </c>
      <c r="N980" s="613"/>
    </row>
    <row r="981" spans="1:14" s="493" customFormat="1">
      <c r="A981" s="489"/>
      <c r="B981" s="490" t="s">
        <v>997</v>
      </c>
      <c r="C981" s="491">
        <v>316522493</v>
      </c>
      <c r="D981" s="491">
        <v>0</v>
      </c>
      <c r="E981" s="491">
        <v>0</v>
      </c>
      <c r="F981" s="491">
        <v>0</v>
      </c>
      <c r="G981" s="492">
        <f>SUM(C981:F981)</f>
        <v>316522493</v>
      </c>
      <c r="H981" s="491">
        <v>0</v>
      </c>
      <c r="I981" s="491">
        <f>-Clasificaciones!G817</f>
        <v>-14243514</v>
      </c>
      <c r="J981" s="491">
        <v>0</v>
      </c>
      <c r="K981" s="491">
        <v>0</v>
      </c>
      <c r="L981" s="501">
        <f>+SUM(H981:K981)</f>
        <v>-14243514</v>
      </c>
      <c r="M981" s="501">
        <f>+G981+L981</f>
        <v>302278979</v>
      </c>
      <c r="N981" s="613"/>
    </row>
    <row r="982" spans="1:14" s="496" customFormat="1">
      <c r="A982" s="495"/>
      <c r="B982" s="475" t="s">
        <v>1832</v>
      </c>
      <c r="C982" s="494">
        <f>+SUM(C978:C981)</f>
        <v>1045579988</v>
      </c>
      <c r="D982" s="494">
        <f>+SUM(D978:D981)</f>
        <v>112384403</v>
      </c>
      <c r="E982" s="494" t="s">
        <v>370</v>
      </c>
      <c r="F982" s="494" t="s">
        <v>327</v>
      </c>
      <c r="G982" s="494">
        <f>+SUM(G978:G981)</f>
        <v>1157964391</v>
      </c>
      <c r="H982" s="494">
        <f>+SUM(H978:H981)</f>
        <v>-10541588</v>
      </c>
      <c r="I982" s="494">
        <f>+SUM(I978:I981)</f>
        <v>-89235852</v>
      </c>
      <c r="J982" s="494">
        <f t="shared" ref="J982:K982" si="16">+SUM(J978:J981)</f>
        <v>0</v>
      </c>
      <c r="K982" s="494">
        <f t="shared" si="16"/>
        <v>0</v>
      </c>
      <c r="L982" s="583">
        <f>+SUM(L978:L981)</f>
        <v>-99777440</v>
      </c>
      <c r="M982" s="583">
        <f>+SUM(M978:M981)</f>
        <v>1058186951</v>
      </c>
      <c r="N982" s="424">
        <f>+M982-BG!D65-BG!D66</f>
        <v>0</v>
      </c>
    </row>
    <row r="983" spans="1:14" s="496" customFormat="1">
      <c r="A983" s="495"/>
      <c r="B983" s="475" t="s">
        <v>1282</v>
      </c>
      <c r="C983" s="494">
        <v>17546645</v>
      </c>
      <c r="D983" s="494">
        <v>1028033343</v>
      </c>
      <c r="E983" s="494" t="s">
        <v>370</v>
      </c>
      <c r="F983" s="494" t="s">
        <v>327</v>
      </c>
      <c r="G983" s="494">
        <v>1045579988</v>
      </c>
      <c r="H983" s="497">
        <v>-2839598</v>
      </c>
      <c r="I983" s="497">
        <v>-7701990</v>
      </c>
      <c r="J983" s="497">
        <v>0</v>
      </c>
      <c r="K983" s="497">
        <v>0</v>
      </c>
      <c r="L983" s="614">
        <v>-10541588</v>
      </c>
      <c r="M983" s="583">
        <v>1035038400</v>
      </c>
      <c r="N983" s="424">
        <f>+M983-BG!F65-BG!F66</f>
        <v>0</v>
      </c>
    </row>
    <row r="984" spans="1:14">
      <c r="B984" s="339"/>
      <c r="G984" s="382">
        <f>+G982-BG!D65</f>
        <v>0</v>
      </c>
      <c r="L984" s="382">
        <f>+L982-BG!D66</f>
        <v>0</v>
      </c>
    </row>
    <row r="985" spans="1:14">
      <c r="B985" s="339"/>
    </row>
    <row r="986" spans="1:14">
      <c r="B986" s="498" t="s">
        <v>371</v>
      </c>
      <c r="C986" s="499"/>
    </row>
    <row r="987" spans="1:14">
      <c r="B987" s="480" t="s">
        <v>372</v>
      </c>
    </row>
    <row r="988" spans="1:14">
      <c r="B988" s="479"/>
    </row>
    <row r="989" spans="1:14">
      <c r="B989" s="326" t="s">
        <v>228</v>
      </c>
    </row>
    <row r="990" spans="1:14" ht="28.95" customHeight="1">
      <c r="B990" s="326" t="s">
        <v>70</v>
      </c>
      <c r="C990" s="326" t="s">
        <v>578</v>
      </c>
      <c r="D990" s="326" t="s">
        <v>579</v>
      </c>
      <c r="E990" s="326" t="s">
        <v>580</v>
      </c>
      <c r="F990" s="326" t="s">
        <v>1377</v>
      </c>
      <c r="G990" s="395"/>
    </row>
    <row r="991" spans="1:14">
      <c r="B991" s="500" t="s">
        <v>373</v>
      </c>
      <c r="C991" s="501">
        <v>306141017</v>
      </c>
      <c r="D991" s="501">
        <v>79079236</v>
      </c>
      <c r="E991" s="501">
        <f>-Clasificaciones!G821</f>
        <v>-34517394</v>
      </c>
      <c r="F991" s="501">
        <f>SUM(C991:E991)</f>
        <v>350702859</v>
      </c>
      <c r="G991" s="395"/>
      <c r="H991" s="382"/>
    </row>
    <row r="992" spans="1:14">
      <c r="B992" s="500" t="s">
        <v>95</v>
      </c>
      <c r="C992" s="501">
        <v>4799989</v>
      </c>
      <c r="D992" s="501">
        <v>0</v>
      </c>
      <c r="E992" s="501">
        <f>-Clasificaciones!G822</f>
        <v>-799998</v>
      </c>
      <c r="F992" s="501">
        <f t="shared" ref="F992" si="17">SUM(C992:E992)</f>
        <v>3999991</v>
      </c>
      <c r="G992" s="395"/>
      <c r="H992" s="382"/>
    </row>
    <row r="993" spans="2:8">
      <c r="B993" s="500" t="s">
        <v>721</v>
      </c>
      <c r="C993" s="501">
        <v>481484500</v>
      </c>
      <c r="D993" s="501">
        <v>111534317</v>
      </c>
      <c r="E993" s="501">
        <f>-Clasificaciones!G820</f>
        <v>-69061152</v>
      </c>
      <c r="F993" s="501">
        <f>SUM(C993:E993)</f>
        <v>523957665</v>
      </c>
      <c r="G993" s="395"/>
      <c r="H993" s="382"/>
    </row>
    <row r="994" spans="2:8">
      <c r="B994" s="475" t="s">
        <v>1832</v>
      </c>
      <c r="C994" s="494">
        <f>+SUM(C991:C993)</f>
        <v>792425506</v>
      </c>
      <c r="D994" s="494">
        <f t="shared" ref="D994:E994" si="18">+SUM(D991:D993)</f>
        <v>190613553</v>
      </c>
      <c r="E994" s="494">
        <f t="shared" si="18"/>
        <v>-104378544</v>
      </c>
      <c r="F994" s="494">
        <f>+SUM(F991:F993)</f>
        <v>878660515</v>
      </c>
      <c r="G994" s="395"/>
      <c r="H994" s="395"/>
    </row>
    <row r="995" spans="2:8">
      <c r="B995" s="475" t="s">
        <v>1282</v>
      </c>
      <c r="C995" s="494">
        <v>734298735</v>
      </c>
      <c r="D995" s="494">
        <v>227910178</v>
      </c>
      <c r="E995" s="494">
        <v>-169783407</v>
      </c>
      <c r="F995" s="494">
        <v>792425506</v>
      </c>
      <c r="G995" s="395"/>
    </row>
    <row r="996" spans="2:8">
      <c r="B996" s="329"/>
      <c r="C996" s="502"/>
      <c r="D996" s="502"/>
      <c r="E996" s="502"/>
      <c r="F996" s="502"/>
      <c r="G996" s="395"/>
    </row>
    <row r="997" spans="2:8">
      <c r="B997" s="326" t="s">
        <v>154</v>
      </c>
      <c r="C997" s="502"/>
      <c r="D997" s="502"/>
      <c r="E997" s="502"/>
      <c r="F997" s="502"/>
      <c r="G997" s="395"/>
    </row>
    <row r="998" spans="2:8" ht="28.95" customHeight="1">
      <c r="B998" s="326" t="s">
        <v>70</v>
      </c>
      <c r="C998" s="326" t="s">
        <v>578</v>
      </c>
      <c r="D998" s="326" t="s">
        <v>579</v>
      </c>
      <c r="E998" s="326" t="s">
        <v>580</v>
      </c>
      <c r="F998" s="326" t="s">
        <v>581</v>
      </c>
      <c r="G998" s="395"/>
    </row>
    <row r="999" spans="2:8">
      <c r="B999" s="503" t="s">
        <v>328</v>
      </c>
      <c r="C999" s="501">
        <v>50528563</v>
      </c>
      <c r="D999" s="501">
        <v>0</v>
      </c>
      <c r="E999" s="501">
        <f>-Clasificaciones!G819</f>
        <v>-3617928</v>
      </c>
      <c r="F999" s="501">
        <f>+C999+D999+E999</f>
        <v>46910635</v>
      </c>
      <c r="G999" s="395"/>
    </row>
    <row r="1000" spans="2:8">
      <c r="B1000" s="503" t="s">
        <v>374</v>
      </c>
      <c r="C1000" s="501">
        <v>-36056876</v>
      </c>
      <c r="D1000" s="501">
        <v>0</v>
      </c>
      <c r="E1000" s="501">
        <v>0</v>
      </c>
      <c r="F1000" s="501">
        <f>+C1000+D1000+E1000</f>
        <v>-36056876</v>
      </c>
    </row>
    <row r="1001" spans="2:8">
      <c r="B1001" s="475" t="s">
        <v>1832</v>
      </c>
      <c r="C1001" s="504">
        <f>+SUM(C999:C1000)</f>
        <v>14471687</v>
      </c>
      <c r="D1001" s="504">
        <f t="shared" ref="D1001" si="19">+SUM(D999:D1000)</f>
        <v>0</v>
      </c>
      <c r="E1001" s="504">
        <f>+SUM(E999:E1000)</f>
        <v>-3617928</v>
      </c>
      <c r="F1001" s="504">
        <f>+SUM(F999:F1000)</f>
        <v>10853759</v>
      </c>
      <c r="G1001" s="382">
        <f>+F1001+F994-BG!D68</f>
        <v>0</v>
      </c>
    </row>
    <row r="1002" spans="2:8">
      <c r="B1002" s="475" t="s">
        <v>1282</v>
      </c>
      <c r="C1002" s="504">
        <v>21707543</v>
      </c>
      <c r="D1002" s="504">
        <v>0</v>
      </c>
      <c r="E1002" s="504">
        <v>-7235861</v>
      </c>
      <c r="F1002" s="504">
        <v>14471687</v>
      </c>
      <c r="G1002" s="382">
        <f>+F1002+F995-BG!F68</f>
        <v>0</v>
      </c>
    </row>
    <row r="1003" spans="2:8">
      <c r="B1003" s="505"/>
      <c r="C1003" s="506"/>
      <c r="D1003" s="505"/>
      <c r="F1003" s="395"/>
    </row>
    <row r="1004" spans="2:8">
      <c r="B1004" s="505"/>
      <c r="C1004" s="506"/>
      <c r="D1004" s="505"/>
      <c r="F1004" s="395"/>
    </row>
    <row r="1005" spans="2:8">
      <c r="B1005" s="339" t="s">
        <v>1374</v>
      </c>
      <c r="C1005" s="347"/>
      <c r="D1005" s="507"/>
      <c r="F1005" s="508"/>
    </row>
    <row r="1006" spans="2:8" ht="16.2" customHeight="1">
      <c r="B1006" s="479" t="s">
        <v>584</v>
      </c>
      <c r="D1006" s="507"/>
    </row>
    <row r="1007" spans="2:8" ht="12.45" customHeight="1">
      <c r="B1007" s="479"/>
      <c r="D1007" s="507"/>
    </row>
    <row r="1008" spans="2:8" ht="27.6" customHeight="1">
      <c r="B1008" s="326" t="s">
        <v>70</v>
      </c>
      <c r="C1008" s="462">
        <v>44742</v>
      </c>
      <c r="D1008" s="462">
        <v>44561</v>
      </c>
      <c r="E1008" s="276"/>
    </row>
    <row r="1009" spans="2:6">
      <c r="B1009" s="466" t="s">
        <v>697</v>
      </c>
      <c r="C1009" s="483">
        <f>+SUMIF(Clasificaciones!D:D,'Nota 5'!B1009,Clasificaciones!G:G)</f>
        <v>121527025</v>
      </c>
      <c r="D1009" s="444">
        <v>263473908</v>
      </c>
    </row>
    <row r="1010" spans="2:6">
      <c r="B1010" s="466" t="s">
        <v>585</v>
      </c>
      <c r="C1010" s="483">
        <f>+SUMIF(Clasificaciones!D:D,'Nota 5'!B1010,Clasificaciones!G:G)</f>
        <v>43548</v>
      </c>
      <c r="D1010" s="444">
        <v>0</v>
      </c>
    </row>
    <row r="1011" spans="2:6">
      <c r="B1011" s="466" t="s">
        <v>698</v>
      </c>
      <c r="C1011" s="483">
        <f>+SUMIF(Clasificaciones!D:D,'Nota 5'!B1011,Clasificaciones!G:G)</f>
        <v>0</v>
      </c>
      <c r="D1011" s="444">
        <v>129477</v>
      </c>
    </row>
    <row r="1012" spans="2:6">
      <c r="B1012" s="466" t="s">
        <v>1216</v>
      </c>
      <c r="C1012" s="483">
        <f>+SUMIF(Clasificaciones!D:D,'Nota 5'!B1012,Clasificaciones!G:G)</f>
        <v>2776611</v>
      </c>
      <c r="D1012" s="444">
        <v>6444980</v>
      </c>
    </row>
    <row r="1013" spans="2:6">
      <c r="B1013" s="466" t="s">
        <v>1378</v>
      </c>
      <c r="C1013" s="483">
        <f>+SUMIF(Clasificaciones!D:D,'Nota 5'!B1013,Clasificaciones!G:G)</f>
        <v>0</v>
      </c>
      <c r="D1013" s="444">
        <v>5866855</v>
      </c>
    </row>
    <row r="1014" spans="2:6">
      <c r="B1014" s="466" t="s">
        <v>971</v>
      </c>
      <c r="C1014" s="483">
        <f>+SUMIF(Clasificaciones!D:D,'Nota 5'!B1014,Clasificaciones!G:G)</f>
        <v>4355833</v>
      </c>
      <c r="D1014" s="444">
        <v>2472234</v>
      </c>
    </row>
    <row r="1015" spans="2:6">
      <c r="B1015" s="466" t="s">
        <v>1231</v>
      </c>
      <c r="C1015" s="483">
        <f>+SUMIF(Clasificaciones!D:D,'Nota 5'!B1015,Clasificaciones!G:G)</f>
        <v>1801930</v>
      </c>
      <c r="D1015" s="444">
        <v>12613510</v>
      </c>
    </row>
    <row r="1016" spans="2:6">
      <c r="B1016" s="466" t="s">
        <v>1232</v>
      </c>
      <c r="C1016" s="483">
        <f>+SUMIF(Clasificaciones!D:D,'Nota 5'!B1016,Clasificaciones!G:G)</f>
        <v>1366824</v>
      </c>
      <c r="D1016" s="444">
        <v>1360304</v>
      </c>
    </row>
    <row r="1017" spans="2:6">
      <c r="B1017" s="466" t="s">
        <v>1188</v>
      </c>
      <c r="C1017" s="483">
        <f>+SUMIF(Clasificaciones!D:D,'Nota 5'!B1017,Clasificaciones!G:G)</f>
        <v>12374918</v>
      </c>
      <c r="D1017" s="444">
        <v>12374918</v>
      </c>
    </row>
    <row r="1018" spans="2:6">
      <c r="B1018" s="466" t="s">
        <v>170</v>
      </c>
      <c r="C1018" s="483">
        <f>+SUMIF(Clasificaciones!D:D,'Nota 5'!B1018,Clasificaciones!G:G)</f>
        <v>41324400</v>
      </c>
      <c r="D1018" s="444">
        <v>0</v>
      </c>
    </row>
    <row r="1019" spans="2:6">
      <c r="B1019" s="466" t="s">
        <v>703</v>
      </c>
      <c r="C1019" s="483">
        <f>+SUMIF(Clasificaciones!D:D,'Nota 5'!B1019,Clasificaciones!G:G)</f>
        <v>52333572</v>
      </c>
      <c r="D1019" s="444">
        <v>0</v>
      </c>
    </row>
    <row r="1020" spans="2:6">
      <c r="B1020" s="466" t="s">
        <v>1560</v>
      </c>
      <c r="C1020" s="483">
        <f>+Clasificaciones!G296</f>
        <v>99961674</v>
      </c>
      <c r="D1020" s="444">
        <v>0</v>
      </c>
    </row>
    <row r="1021" spans="2:6">
      <c r="B1021" s="475" t="s">
        <v>71</v>
      </c>
      <c r="C1021" s="484">
        <f>SUM(C1009:C1020)</f>
        <v>337866335</v>
      </c>
      <c r="D1021" s="484">
        <f>SUM(D1009:D1020)</f>
        <v>304736186</v>
      </c>
      <c r="E1021" s="395">
        <f>+C1021-BG!D42-BG!D75</f>
        <v>0</v>
      </c>
      <c r="F1021" s="509">
        <f>+D1021-BG!F42-BG!F75</f>
        <v>0</v>
      </c>
    </row>
    <row r="1022" spans="2:6">
      <c r="B1022" s="339"/>
      <c r="D1022" s="507"/>
    </row>
    <row r="1023" spans="2:6">
      <c r="B1023" s="339"/>
      <c r="D1023" s="507"/>
    </row>
    <row r="1024" spans="2:6">
      <c r="B1024" s="510" t="s">
        <v>531</v>
      </c>
      <c r="C1024" s="385"/>
      <c r="D1024" s="507"/>
    </row>
    <row r="1025" spans="2:8">
      <c r="B1025" s="338" t="s">
        <v>587</v>
      </c>
      <c r="D1025" s="507"/>
    </row>
    <row r="1026" spans="2:8">
      <c r="D1026" s="507"/>
    </row>
    <row r="1027" spans="2:8" ht="16.95" customHeight="1">
      <c r="B1027" s="1034" t="s">
        <v>1156</v>
      </c>
      <c r="C1027" s="1042" t="s">
        <v>1155</v>
      </c>
      <c r="D1027" s="1034" t="s">
        <v>375</v>
      </c>
    </row>
    <row r="1028" spans="2:8">
      <c r="B1028" s="1034"/>
      <c r="C1028" s="1043"/>
      <c r="D1028" s="1034"/>
      <c r="E1028" s="353"/>
    </row>
    <row r="1029" spans="2:8">
      <c r="B1029" s="511" t="s">
        <v>337</v>
      </c>
      <c r="C1029" s="512"/>
      <c r="D1029" s="513"/>
    </row>
    <row r="1030" spans="2:8">
      <c r="B1030" s="514" t="s">
        <v>291</v>
      </c>
      <c r="C1030" s="515">
        <f>-Clasificaciones!G453-Clasificaciones!G456</f>
        <v>13436558606</v>
      </c>
      <c r="D1030" s="515">
        <v>0</v>
      </c>
    </row>
    <row r="1031" spans="2:8">
      <c r="B1031" s="475" t="s">
        <v>1538</v>
      </c>
      <c r="C1031" s="484">
        <f>SUM(C1030)</f>
        <v>13436558606</v>
      </c>
      <c r="D1031" s="483">
        <v>0</v>
      </c>
      <c r="E1031" s="516">
        <f>+C1031-BG!J27</f>
        <v>0</v>
      </c>
      <c r="F1031" s="516"/>
    </row>
    <row r="1032" spans="2:8">
      <c r="B1032" s="475" t="s">
        <v>1274</v>
      </c>
      <c r="C1032" s="484">
        <v>1848050034</v>
      </c>
      <c r="D1032" s="483">
        <v>0</v>
      </c>
      <c r="E1032" s="516">
        <f>+C1032-BG!L26</f>
        <v>0</v>
      </c>
      <c r="F1032" s="516"/>
    </row>
    <row r="1033" spans="2:8">
      <c r="B1033" s="485"/>
      <c r="C1033" s="517"/>
      <c r="D1033" s="517"/>
    </row>
    <row r="1034" spans="2:8">
      <c r="B1034" s="485"/>
      <c r="C1034" s="517"/>
      <c r="D1034" s="517"/>
    </row>
    <row r="1035" spans="2:8">
      <c r="B1035" s="339" t="s">
        <v>533</v>
      </c>
      <c r="C1035" s="347"/>
      <c r="D1035" s="507"/>
    </row>
    <row r="1036" spans="2:8">
      <c r="B1036" s="338" t="s">
        <v>587</v>
      </c>
      <c r="D1036" s="507"/>
    </row>
    <row r="1037" spans="2:8">
      <c r="D1037" s="507"/>
    </row>
    <row r="1038" spans="2:8" ht="16.95" customHeight="1">
      <c r="B1038" s="1034" t="s">
        <v>70</v>
      </c>
      <c r="C1038" s="1042" t="s">
        <v>1155</v>
      </c>
      <c r="D1038" s="1034" t="s">
        <v>375</v>
      </c>
    </row>
    <row r="1039" spans="2:8">
      <c r="B1039" s="1034"/>
      <c r="C1039" s="1043"/>
      <c r="D1039" s="1034"/>
      <c r="E1039" s="353"/>
    </row>
    <row r="1040" spans="2:8">
      <c r="B1040" s="490" t="s">
        <v>1381</v>
      </c>
      <c r="C1040" s="483">
        <f>-SUMIF(Clasificaciones!D:D,'Nota 5'!B1040,Clasificaciones!G:G)</f>
        <v>3771166</v>
      </c>
      <c r="D1040" s="483" t="s">
        <v>370</v>
      </c>
      <c r="E1040" s="353"/>
      <c r="G1040" s="518"/>
      <c r="H1040" s="518"/>
    </row>
    <row r="1041" spans="2:8">
      <c r="B1041" s="490" t="s">
        <v>1403</v>
      </c>
      <c r="C1041" s="483">
        <f>-SUMIF(Clasificaciones!D:D,'Nota 5'!B1041,Clasificaciones!G:G)-Clasificaciones!G424</f>
        <v>584417016</v>
      </c>
      <c r="D1041" s="483"/>
      <c r="E1041" s="353"/>
      <c r="G1041" s="518"/>
      <c r="H1041" s="518"/>
    </row>
    <row r="1042" spans="2:8">
      <c r="B1042" s="490" t="s">
        <v>1189</v>
      </c>
      <c r="C1042" s="483">
        <f>-SUMIF(Clasificaciones!D:D,'Nota 5'!B1042,Clasificaciones!G:G)</f>
        <v>951232</v>
      </c>
      <c r="D1042" s="483" t="s">
        <v>370</v>
      </c>
      <c r="E1042" s="353"/>
      <c r="G1042" s="518"/>
      <c r="H1042" s="518"/>
    </row>
    <row r="1043" spans="2:8">
      <c r="B1043" s="490" t="s">
        <v>1384</v>
      </c>
      <c r="C1043" s="483">
        <f>-SUMIF(Clasificaciones!D:D,'Nota 5'!B1043,Clasificaciones!G:G)</f>
        <v>4483084</v>
      </c>
      <c r="D1043" s="483"/>
      <c r="E1043" s="353"/>
      <c r="G1043" s="518"/>
      <c r="H1043" s="518"/>
    </row>
    <row r="1044" spans="2:8">
      <c r="B1044" s="490" t="s">
        <v>1380</v>
      </c>
      <c r="C1044" s="483">
        <f>-SUMIF(Clasificaciones!D:D,'Nota 5'!B1044,Clasificaciones!G:G)</f>
        <v>2895175</v>
      </c>
      <c r="D1044" s="483">
        <v>0</v>
      </c>
      <c r="G1044" s="380"/>
    </row>
    <row r="1045" spans="2:8">
      <c r="B1045" s="475" t="s">
        <v>1538</v>
      </c>
      <c r="C1045" s="484">
        <f>SUM(C1040:C1044)</f>
        <v>596517673</v>
      </c>
      <c r="D1045" s="483" t="s">
        <v>370</v>
      </c>
      <c r="E1045" s="395">
        <f>+C1045-BG!J19</f>
        <v>0</v>
      </c>
      <c r="F1045" s="380"/>
      <c r="G1045" s="380"/>
      <c r="H1045" s="380"/>
    </row>
    <row r="1046" spans="2:8">
      <c r="B1046" s="475" t="s">
        <v>1274</v>
      </c>
      <c r="C1046" s="484">
        <v>147957960</v>
      </c>
      <c r="D1046" s="484" t="s">
        <v>370</v>
      </c>
      <c r="E1046" s="395">
        <f>+C1046-BG!L19</f>
        <v>0</v>
      </c>
      <c r="F1046" s="395"/>
      <c r="G1046" s="380"/>
    </row>
    <row r="1047" spans="2:8">
      <c r="B1047" s="485"/>
      <c r="C1047" s="517"/>
      <c r="D1047" s="517"/>
      <c r="H1047" s="380"/>
    </row>
    <row r="1048" spans="2:8">
      <c r="B1048" s="485"/>
      <c r="C1048" s="517"/>
      <c r="D1048" s="517"/>
      <c r="H1048" s="380"/>
    </row>
    <row r="1049" spans="2:8">
      <c r="B1049" s="339" t="s">
        <v>534</v>
      </c>
      <c r="C1049" s="347"/>
      <c r="D1049" s="507"/>
    </row>
    <row r="1050" spans="2:8">
      <c r="B1050" s="338" t="s">
        <v>587</v>
      </c>
      <c r="D1050" s="507"/>
    </row>
    <row r="1051" spans="2:8">
      <c r="D1051" s="507"/>
    </row>
    <row r="1052" spans="2:8" ht="16.95" customHeight="1">
      <c r="B1052" s="1034" t="s">
        <v>70</v>
      </c>
      <c r="C1052" s="1042" t="s">
        <v>1155</v>
      </c>
      <c r="D1052" s="1034" t="s">
        <v>375</v>
      </c>
    </row>
    <row r="1053" spans="2:8">
      <c r="B1053" s="1034"/>
      <c r="C1053" s="1043"/>
      <c r="D1053" s="1034"/>
      <c r="E1053" s="353"/>
    </row>
    <row r="1054" spans="2:8">
      <c r="B1054" s="391" t="s">
        <v>1157</v>
      </c>
      <c r="C1054" s="483">
        <f>-SUMIF(Clasificaciones!D:D,'Nota 5'!B1054,Clasificaciones!G:G)</f>
        <v>56527969</v>
      </c>
      <c r="D1054" s="519">
        <v>0</v>
      </c>
    </row>
    <row r="1055" spans="2:8">
      <c r="B1055" s="391" t="s">
        <v>1383</v>
      </c>
      <c r="C1055" s="483">
        <f>-SUMIF(Clasificaciones!D:D,'Nota 5'!B1055,Clasificaciones!G:G)</f>
        <v>46613152</v>
      </c>
      <c r="D1055" s="519">
        <v>0</v>
      </c>
      <c r="G1055" s="518"/>
      <c r="H1055" s="518"/>
    </row>
    <row r="1056" spans="2:8">
      <c r="B1056" s="391" t="s">
        <v>1382</v>
      </c>
      <c r="C1056" s="483">
        <f>-SUMIF(Clasificaciones!D:D,'Nota 5'!B1056,Clasificaciones!G:G)</f>
        <v>99325725</v>
      </c>
      <c r="D1056" s="519">
        <v>0</v>
      </c>
      <c r="G1056" s="518"/>
      <c r="H1056" s="518"/>
    </row>
    <row r="1057" spans="2:7">
      <c r="B1057" s="475" t="s">
        <v>1538</v>
      </c>
      <c r="C1057" s="520">
        <f>SUM(C1054:C1056)</f>
        <v>202466846</v>
      </c>
      <c r="D1057" s="521">
        <v>0</v>
      </c>
      <c r="E1057" s="395">
        <f>+C1057-BG!J20</f>
        <v>0</v>
      </c>
      <c r="F1057" s="516"/>
      <c r="G1057" s="380"/>
    </row>
    <row r="1058" spans="2:7">
      <c r="B1058" s="475" t="s">
        <v>1274</v>
      </c>
      <c r="C1058" s="520">
        <v>248478737</v>
      </c>
      <c r="D1058" s="521">
        <v>0</v>
      </c>
      <c r="E1058" s="395">
        <f>+C1058-BG!L20</f>
        <v>0</v>
      </c>
    </row>
    <row r="1059" spans="2:7">
      <c r="C1059" s="522"/>
      <c r="D1059" s="507"/>
    </row>
    <row r="1060" spans="2:7">
      <c r="B1060" s="339" t="s">
        <v>376</v>
      </c>
      <c r="C1060" s="347"/>
      <c r="D1060" s="276"/>
    </row>
    <row r="1061" spans="2:7">
      <c r="B1061" s="510"/>
      <c r="C1061" s="276"/>
      <c r="D1061" s="276"/>
    </row>
    <row r="1062" spans="2:7">
      <c r="B1062" s="1034" t="s">
        <v>70</v>
      </c>
      <c r="C1062" s="1042" t="s">
        <v>1155</v>
      </c>
      <c r="D1062" s="1034" t="s">
        <v>375</v>
      </c>
    </row>
    <row r="1063" spans="2:7">
      <c r="B1063" s="1034"/>
      <c r="C1063" s="1043"/>
      <c r="D1063" s="1034"/>
      <c r="E1063" s="353"/>
    </row>
    <row r="1064" spans="2:7">
      <c r="B1064" s="391" t="s">
        <v>84</v>
      </c>
      <c r="C1064" s="483">
        <f>-SUMIF(Clasificaciones!D:D,'Nota 5'!B1064,Clasificaciones!G:G)</f>
        <v>135316207</v>
      </c>
      <c r="D1064" s="523">
        <v>0</v>
      </c>
    </row>
    <row r="1065" spans="2:7">
      <c r="B1065" s="391" t="s">
        <v>745</v>
      </c>
      <c r="C1065" s="483">
        <f>-SUMIF(Clasificaciones!D:D,'Nota 5'!B1065,Clasificaciones!G:G)</f>
        <v>5061518</v>
      </c>
      <c r="D1065" s="523">
        <v>0</v>
      </c>
    </row>
    <row r="1066" spans="2:7">
      <c r="B1066" s="391" t="s">
        <v>156</v>
      </c>
      <c r="C1066" s="483">
        <f>-SUMIF(Clasificaciones!D:D,'Nota 5'!B1066,Clasificaciones!G:G)</f>
        <v>72413264</v>
      </c>
      <c r="D1066" s="523">
        <v>0</v>
      </c>
    </row>
    <row r="1067" spans="2:7">
      <c r="B1067" s="391" t="s">
        <v>746</v>
      </c>
      <c r="C1067" s="483">
        <f>-Clasificaciones!G503</f>
        <v>6</v>
      </c>
      <c r="D1067" s="523"/>
    </row>
    <row r="1068" spans="2:7">
      <c r="B1068" s="475" t="s">
        <v>1538</v>
      </c>
      <c r="C1068" s="520">
        <f>SUM(C1064:C1067)</f>
        <v>212790995</v>
      </c>
      <c r="D1068" s="523">
        <v>0</v>
      </c>
      <c r="E1068" s="395">
        <f>+C1068-BG!J30</f>
        <v>0</v>
      </c>
    </row>
    <row r="1069" spans="2:7">
      <c r="B1069" s="475" t="s">
        <v>1274</v>
      </c>
      <c r="C1069" s="520">
        <v>241513713</v>
      </c>
      <c r="D1069" s="524">
        <v>0</v>
      </c>
      <c r="E1069" s="395">
        <f>+C1069-BG!L30</f>
        <v>0</v>
      </c>
    </row>
    <row r="1070" spans="2:7">
      <c r="B1070" s="339"/>
      <c r="D1070" s="507"/>
    </row>
    <row r="1071" spans="2:7">
      <c r="B1071" s="339"/>
      <c r="D1071" s="507"/>
    </row>
    <row r="1072" spans="2:7">
      <c r="B1072" s="339" t="s">
        <v>596</v>
      </c>
      <c r="D1072" s="507"/>
    </row>
    <row r="1073" spans="2:9" ht="10.199999999999999" customHeight="1">
      <c r="B1073" s="510"/>
      <c r="D1073" s="507"/>
    </row>
    <row r="1074" spans="2:9">
      <c r="B1074" s="260" t="s">
        <v>1836</v>
      </c>
      <c r="C1074" s="260"/>
      <c r="D1074" s="260"/>
    </row>
    <row r="1075" spans="2:9">
      <c r="B1075" s="339"/>
      <c r="D1075" s="507"/>
    </row>
    <row r="1076" spans="2:9">
      <c r="B1076" s="339"/>
      <c r="D1076" s="507"/>
    </row>
    <row r="1077" spans="2:9">
      <c r="B1077" s="339" t="s">
        <v>377</v>
      </c>
      <c r="C1077" s="385"/>
      <c r="D1077" s="507"/>
    </row>
    <row r="1078" spans="2:9">
      <c r="B1078" s="339"/>
      <c r="D1078" s="507"/>
    </row>
    <row r="1079" spans="2:9" ht="38.4" customHeight="1">
      <c r="B1079" s="326" t="s">
        <v>490</v>
      </c>
      <c r="C1079" s="326" t="s">
        <v>592</v>
      </c>
      <c r="D1079" s="326" t="s">
        <v>1417</v>
      </c>
      <c r="E1079" s="326" t="s">
        <v>594</v>
      </c>
      <c r="F1079" s="326" t="s">
        <v>595</v>
      </c>
      <c r="G1079" s="462">
        <v>44742</v>
      </c>
      <c r="H1079" s="462">
        <v>44561</v>
      </c>
      <c r="I1079" s="364"/>
    </row>
    <row r="1080" spans="2:9" ht="36" customHeight="1">
      <c r="B1080" s="327" t="s">
        <v>291</v>
      </c>
      <c r="C1080" s="327" t="s">
        <v>289</v>
      </c>
      <c r="D1080" s="327" t="s">
        <v>378</v>
      </c>
      <c r="E1080" s="327" t="s">
        <v>379</v>
      </c>
      <c r="F1080" s="327" t="s">
        <v>327</v>
      </c>
      <c r="G1080" s="525">
        <f>+BG!J27</f>
        <v>13436558606</v>
      </c>
      <c r="H1080" s="525">
        <v>1848050034</v>
      </c>
      <c r="I1080" s="526"/>
    </row>
    <row r="1081" spans="2:9" ht="22.2" customHeight="1">
      <c r="B1081" s="955" t="s">
        <v>291</v>
      </c>
      <c r="C1081" s="955" t="s">
        <v>289</v>
      </c>
      <c r="D1081" s="955" t="s">
        <v>1218</v>
      </c>
      <c r="E1081" s="955" t="s">
        <v>327</v>
      </c>
      <c r="F1081" s="883" t="s">
        <v>327</v>
      </c>
      <c r="G1081" s="956">
        <f>-(+Clasificaciones!G477+Clasificaciones!G473+Clasificaciones!G469)</f>
        <v>9022713587</v>
      </c>
      <c r="H1081" s="956">
        <v>3377697668</v>
      </c>
      <c r="I1081" s="526"/>
    </row>
    <row r="1082" spans="2:9" ht="36" customHeight="1">
      <c r="B1082" s="768" t="s">
        <v>291</v>
      </c>
      <c r="C1082" s="327" t="s">
        <v>289</v>
      </c>
      <c r="D1082" s="327" t="s">
        <v>1418</v>
      </c>
      <c r="E1082" s="327" t="s">
        <v>327</v>
      </c>
      <c r="F1082" s="327" t="s">
        <v>327</v>
      </c>
      <c r="G1082" s="525">
        <f>-Clasificaciones!G432</f>
        <v>11379548</v>
      </c>
      <c r="H1082" s="525">
        <v>4059103</v>
      </c>
      <c r="I1082" s="526"/>
    </row>
    <row r="1083" spans="2:9" ht="36" customHeight="1">
      <c r="B1083" s="327" t="s">
        <v>291</v>
      </c>
      <c r="C1083" s="327" t="s">
        <v>289</v>
      </c>
      <c r="D1083" s="327" t="s">
        <v>1470</v>
      </c>
      <c r="E1083" s="327" t="s">
        <v>327</v>
      </c>
      <c r="F1083" s="327" t="s">
        <v>327</v>
      </c>
      <c r="G1083" s="525">
        <v>66925000</v>
      </c>
      <c r="H1083" s="525">
        <v>66925000</v>
      </c>
      <c r="I1083" s="526"/>
    </row>
    <row r="1084" spans="2:9" ht="36" customHeight="1">
      <c r="B1084" s="327" t="s">
        <v>291</v>
      </c>
      <c r="C1084" s="327" t="s">
        <v>289</v>
      </c>
      <c r="D1084" s="327" t="s">
        <v>1419</v>
      </c>
      <c r="E1084" s="327" t="s">
        <v>327</v>
      </c>
      <c r="F1084" s="327" t="s">
        <v>327</v>
      </c>
      <c r="G1084" s="525">
        <v>31738636</v>
      </c>
      <c r="H1084" s="525">
        <v>31738636</v>
      </c>
      <c r="I1084" s="526"/>
    </row>
    <row r="1085" spans="2:9" ht="36" customHeight="1">
      <c r="B1085" s="883" t="s">
        <v>291</v>
      </c>
      <c r="C1085" s="883" t="s">
        <v>289</v>
      </c>
      <c r="D1085" s="883" t="s">
        <v>1833</v>
      </c>
      <c r="E1085" s="883" t="s">
        <v>327</v>
      </c>
      <c r="F1085" s="883" t="s">
        <v>327</v>
      </c>
      <c r="G1085" s="525">
        <v>4534091</v>
      </c>
      <c r="H1085" s="525">
        <v>0</v>
      </c>
      <c r="I1085" s="526"/>
    </row>
    <row r="1086" spans="2:9" ht="36" customHeight="1">
      <c r="B1086" s="883" t="s">
        <v>291</v>
      </c>
      <c r="C1086" s="883" t="s">
        <v>289</v>
      </c>
      <c r="D1086" s="883" t="s">
        <v>1834</v>
      </c>
      <c r="E1086" s="883" t="s">
        <v>327</v>
      </c>
      <c r="F1086" s="883" t="s">
        <v>327</v>
      </c>
      <c r="G1086" s="525">
        <v>4534091</v>
      </c>
      <c r="H1086" s="525">
        <v>0</v>
      </c>
      <c r="I1086" s="526"/>
    </row>
    <row r="1087" spans="2:9" ht="36" customHeight="1">
      <c r="B1087" s="327" t="s">
        <v>511</v>
      </c>
      <c r="C1087" s="327" t="s">
        <v>289</v>
      </c>
      <c r="D1087" s="327" t="s">
        <v>1420</v>
      </c>
      <c r="E1087" s="327" t="s">
        <v>327</v>
      </c>
      <c r="F1087" s="327" t="s">
        <v>327</v>
      </c>
      <c r="G1087" s="525">
        <v>0</v>
      </c>
      <c r="H1087" s="525">
        <v>17359589</v>
      </c>
      <c r="I1087" s="526"/>
    </row>
    <row r="1088" spans="2:9" ht="36" customHeight="1">
      <c r="B1088" s="768" t="s">
        <v>446</v>
      </c>
      <c r="C1088" s="798" t="s">
        <v>1210</v>
      </c>
      <c r="D1088" s="768" t="s">
        <v>1525</v>
      </c>
      <c r="E1088" s="883" t="s">
        <v>327</v>
      </c>
      <c r="F1088" s="768" t="s">
        <v>327</v>
      </c>
      <c r="G1088" s="525">
        <v>428171</v>
      </c>
      <c r="H1088" s="525">
        <v>0</v>
      </c>
      <c r="I1088" s="526"/>
    </row>
    <row r="1089" spans="2:9" ht="36" customHeight="1">
      <c r="B1089" s="768" t="s">
        <v>438</v>
      </c>
      <c r="C1089" s="768" t="s">
        <v>466</v>
      </c>
      <c r="D1089" s="798" t="s">
        <v>1525</v>
      </c>
      <c r="E1089" s="768" t="s">
        <v>327</v>
      </c>
      <c r="F1089" s="768" t="s">
        <v>327</v>
      </c>
      <c r="G1089" s="525">
        <v>402000</v>
      </c>
      <c r="H1089" s="525">
        <v>0</v>
      </c>
      <c r="I1089" s="526"/>
    </row>
    <row r="1090" spans="2:9">
      <c r="B1090" s="475" t="s">
        <v>290</v>
      </c>
      <c r="C1090" s="527"/>
      <c r="D1090" s="527"/>
      <c r="E1090" s="527"/>
      <c r="F1090" s="527"/>
      <c r="G1090" s="528">
        <f>+SUM(G1080:G1089)</f>
        <v>22579213730</v>
      </c>
      <c r="H1090" s="528">
        <f>+SUM(H1080:H1089)</f>
        <v>5345830030</v>
      </c>
    </row>
    <row r="1091" spans="2:9">
      <c r="B1091" s="529"/>
      <c r="C1091" s="522"/>
      <c r="D1091" s="507"/>
    </row>
    <row r="1092" spans="2:9">
      <c r="B1092" s="529"/>
      <c r="C1092" s="522"/>
      <c r="D1092" s="507"/>
    </row>
    <row r="1093" spans="2:9">
      <c r="B1093" s="529"/>
      <c r="C1093" s="522"/>
      <c r="D1093" s="507"/>
    </row>
    <row r="1094" spans="2:9">
      <c r="B1094" s="339" t="s">
        <v>380</v>
      </c>
      <c r="D1094" s="507"/>
    </row>
    <row r="1095" spans="2:9" ht="9" customHeight="1">
      <c r="B1095" s="510"/>
      <c r="D1095" s="507"/>
    </row>
    <row r="1096" spans="2:9">
      <c r="B1096" s="276" t="s">
        <v>1835</v>
      </c>
      <c r="D1096" s="507"/>
    </row>
    <row r="1097" spans="2:9">
      <c r="B1097" s="339"/>
      <c r="D1097" s="507"/>
    </row>
    <row r="1098" spans="2:9">
      <c r="B1098" s="339"/>
      <c r="D1098" s="507"/>
    </row>
    <row r="1099" spans="2:9">
      <c r="B1099" s="339" t="s">
        <v>381</v>
      </c>
      <c r="C1099" s="347"/>
      <c r="D1099" s="507"/>
    </row>
    <row r="1100" spans="2:9">
      <c r="B1100" s="339"/>
      <c r="D1100" s="507"/>
    </row>
    <row r="1101" spans="2:9" ht="19.2" customHeight="1">
      <c r="B1101" s="1052" t="s">
        <v>70</v>
      </c>
      <c r="C1101" s="1042" t="s">
        <v>1421</v>
      </c>
      <c r="D1101" s="1034" t="s">
        <v>1422</v>
      </c>
      <c r="E1101" s="353"/>
    </row>
    <row r="1102" spans="2:9" ht="16.95" customHeight="1">
      <c r="B1102" s="1052"/>
      <c r="C1102" s="1043"/>
      <c r="D1102" s="1034"/>
    </row>
    <row r="1103" spans="2:9">
      <c r="B1103" s="490" t="s">
        <v>518</v>
      </c>
      <c r="C1103" s="483">
        <f>-SUMIF(Clasificaciones!D:D,'Nota 5'!B1103,Clasificaciones!G:G)</f>
        <v>227338096</v>
      </c>
      <c r="D1103" s="530">
        <v>0</v>
      </c>
    </row>
    <row r="1104" spans="2:9">
      <c r="B1104" s="490" t="s">
        <v>742</v>
      </c>
      <c r="C1104" s="483">
        <f>-SUMIF(Clasificaciones!D:D,'Nota 5'!B1104,Clasificaciones!G:G)</f>
        <v>135733657</v>
      </c>
      <c r="D1104" s="530">
        <v>0</v>
      </c>
    </row>
    <row r="1105" spans="2:6">
      <c r="B1105" s="490" t="s">
        <v>1251</v>
      </c>
      <c r="C1105" s="483">
        <f>-SUMIF(Clasificaciones!D:D,'Nota 5'!B1105,Clasificaciones!G:G)</f>
        <v>80750000</v>
      </c>
      <c r="D1105" s="530">
        <v>0</v>
      </c>
    </row>
    <row r="1106" spans="2:6">
      <c r="B1106" s="490" t="s">
        <v>160</v>
      </c>
      <c r="C1106" s="483">
        <f>-SUMIF(Clasificaciones!D:D,'Nota 5'!B1106,Clasificaciones!G:G)</f>
        <v>82041644</v>
      </c>
      <c r="D1106" s="530">
        <v>0</v>
      </c>
    </row>
    <row r="1107" spans="2:6">
      <c r="B1107" s="490" t="s">
        <v>1423</v>
      </c>
      <c r="C1107" s="483">
        <f>-SUMIF(Clasificaciones!D:D,'Nota 5'!B1107,Clasificaciones!G:G)</f>
        <v>1024520</v>
      </c>
      <c r="D1107" s="530">
        <v>0</v>
      </c>
    </row>
    <row r="1108" spans="2:6">
      <c r="B1108" s="490" t="s">
        <v>1424</v>
      </c>
      <c r="C1108" s="483">
        <f>-SUMIF(Clasificaciones!D:D,'Nota 5'!B1108,Clasificaciones!G:G)</f>
        <v>170635</v>
      </c>
      <c r="D1108" s="530">
        <v>0</v>
      </c>
    </row>
    <row r="1109" spans="2:6">
      <c r="B1109" s="490" t="s">
        <v>1235</v>
      </c>
      <c r="C1109" s="483">
        <f>-SUMIF(Clasificaciones!D:D,'Nota 5'!B1109,Clasificaciones!G:G)</f>
        <v>50000000</v>
      </c>
      <c r="D1109" s="530">
        <v>0</v>
      </c>
    </row>
    <row r="1110" spans="2:6">
      <c r="B1110" s="490" t="s">
        <v>293</v>
      </c>
      <c r="C1110" s="483">
        <f>-SUMIF(Clasificaciones!D:D,'Nota 5'!B1110,Clasificaciones!G:G)</f>
        <v>100635995</v>
      </c>
      <c r="D1110" s="530">
        <v>0</v>
      </c>
    </row>
    <row r="1111" spans="2:6">
      <c r="B1111" s="490" t="s">
        <v>296</v>
      </c>
      <c r="C1111" s="483">
        <f>-SUMIF(Clasificaciones!D:D,'Nota 5'!B1111,Clasificaciones!G:G)</f>
        <v>2500000</v>
      </c>
      <c r="D1111" s="530">
        <v>0</v>
      </c>
    </row>
    <row r="1112" spans="2:6">
      <c r="B1112" s="490" t="s">
        <v>294</v>
      </c>
      <c r="C1112" s="483">
        <f>-SUMIF(Clasificaciones!D:D,'Nota 5'!B1112,Clasificaciones!G:G)</f>
        <v>4056686</v>
      </c>
      <c r="D1112" s="530">
        <v>0</v>
      </c>
    </row>
    <row r="1113" spans="2:6">
      <c r="B1113" s="490" t="s">
        <v>1426</v>
      </c>
      <c r="C1113" s="483">
        <f>-SUMIF(Clasificaciones!D:D,'Nota 5'!B1113,Clasificaciones!G:G)</f>
        <v>61635560</v>
      </c>
      <c r="D1113" s="530">
        <v>0</v>
      </c>
    </row>
    <row r="1114" spans="2:6">
      <c r="B1114" s="490" t="s">
        <v>297</v>
      </c>
      <c r="C1114" s="483">
        <f>-SUMIF(Clasificaciones!D:D,'Nota 5'!B1114,Clasificaciones!G:G)</f>
        <v>6363636</v>
      </c>
      <c r="D1114" s="530">
        <v>0</v>
      </c>
    </row>
    <row r="1115" spans="2:6">
      <c r="B1115" s="490" t="s">
        <v>295</v>
      </c>
      <c r="C1115" s="483">
        <f>-SUMIF(Clasificaciones!D:D,'Nota 5'!B1115,Clasificaciones!G:G)</f>
        <v>41666665</v>
      </c>
      <c r="D1115" s="530">
        <v>0</v>
      </c>
    </row>
    <row r="1116" spans="2:6">
      <c r="B1116" s="490" t="s">
        <v>159</v>
      </c>
      <c r="C1116" s="483">
        <f>-SUMIF(Clasificaciones!D:D,'Nota 5'!B1116,Clasificaciones!G:G)</f>
        <v>24539897</v>
      </c>
      <c r="D1116" s="530">
        <v>0</v>
      </c>
    </row>
    <row r="1117" spans="2:6">
      <c r="B1117" s="475" t="s">
        <v>1538</v>
      </c>
      <c r="C1117" s="484">
        <f>+SUM(C1103:C1116)</f>
        <v>818456991</v>
      </c>
      <c r="D1117" s="531">
        <v>0</v>
      </c>
      <c r="F1117" s="395">
        <f>+C1117-BG!J39+1</f>
        <v>0</v>
      </c>
    </row>
    <row r="1118" spans="2:6">
      <c r="B1118" s="475" t="s">
        <v>1274</v>
      </c>
      <c r="C1118" s="484">
        <v>854597575</v>
      </c>
      <c r="D1118" s="531">
        <v>0</v>
      </c>
      <c r="F1118" s="395">
        <f>+C1118-BG!L39</f>
        <v>0</v>
      </c>
    </row>
    <row r="1119" spans="2:6">
      <c r="B1119" s="477"/>
      <c r="C1119" s="532"/>
    </row>
    <row r="1120" spans="2:6">
      <c r="B1120" s="477"/>
      <c r="C1120" s="532"/>
    </row>
    <row r="1121" spans="1:14">
      <c r="B1121" s="339" t="s">
        <v>1427</v>
      </c>
      <c r="C1121" s="533"/>
    </row>
    <row r="1122" spans="1:14">
      <c r="B1122" s="338" t="s">
        <v>598</v>
      </c>
      <c r="C1122" s="533"/>
    </row>
    <row r="1124" spans="1:14" ht="17.399999999999999" customHeight="1">
      <c r="B1124" s="1034" t="s">
        <v>490</v>
      </c>
      <c r="C1124" s="1034" t="s">
        <v>592</v>
      </c>
      <c r="D1124" s="1034" t="s">
        <v>593</v>
      </c>
      <c r="E1124" s="1052" t="s">
        <v>599</v>
      </c>
      <c r="F1124" s="1052"/>
      <c r="G1124" s="353"/>
    </row>
    <row r="1125" spans="1:14" ht="19.2" customHeight="1">
      <c r="B1125" s="1034"/>
      <c r="C1125" s="1034"/>
      <c r="D1125" s="1034"/>
      <c r="E1125" s="462">
        <v>44742</v>
      </c>
      <c r="F1125" s="463">
        <v>44561</v>
      </c>
    </row>
    <row r="1126" spans="1:14" s="627" customFormat="1" ht="16.95" customHeight="1">
      <c r="A1126" s="626"/>
      <c r="B1126" s="375" t="s">
        <v>352</v>
      </c>
      <c r="C1126" s="327" t="s">
        <v>289</v>
      </c>
      <c r="D1126" s="327" t="s">
        <v>535</v>
      </c>
      <c r="E1126" s="536">
        <f>+Clasificaciones!$G$16+Clasificaciones!$G$17+Clasificaciones!$G$41+Clasificaciones!$G$40</f>
        <v>581314589</v>
      </c>
      <c r="F1126" s="534">
        <v>1993772737</v>
      </c>
      <c r="G1126" s="681"/>
      <c r="H1126" s="884"/>
      <c r="I1126" s="682"/>
      <c r="L1126" s="631"/>
      <c r="M1126" s="631"/>
      <c r="N1126" s="631"/>
    </row>
    <row r="1127" spans="1:14" s="627" customFormat="1" ht="16.95" customHeight="1">
      <c r="A1127" s="626"/>
      <c r="B1127" s="375" t="s">
        <v>352</v>
      </c>
      <c r="C1127" s="327" t="s">
        <v>289</v>
      </c>
      <c r="D1127" s="327" t="s">
        <v>525</v>
      </c>
      <c r="E1127" s="958">
        <f>Clasificaciones!G96+Clasificaciones!$G$99+Clasificaciones!$G$101+Clasificaciones!$G$102+Clasificaciones!$G$139+Clasificaciones!$G$140+Clasificaciones!$G$154+Clasificaciones!G169+Clasificaciones!$G$172+Clasificaciones!$G$173+Clasificaciones!$G$187</f>
        <v>3650228359</v>
      </c>
      <c r="F1127" s="534">
        <v>9986890201</v>
      </c>
      <c r="G1127" s="683"/>
      <c r="I1127" s="682"/>
      <c r="L1127" s="631"/>
      <c r="M1127" s="631"/>
      <c r="N1127" s="631"/>
    </row>
    <row r="1128" spans="1:14" s="627" customFormat="1" ht="33" customHeight="1">
      <c r="A1128" s="626"/>
      <c r="B1128" s="375" t="s">
        <v>352</v>
      </c>
      <c r="C1128" s="327" t="s">
        <v>289</v>
      </c>
      <c r="D1128" s="327" t="s">
        <v>853</v>
      </c>
      <c r="E1128" s="536">
        <f>+Clasificaciones!G219+Clasificaciones!G239+Clasificaciones!G469+Clasificaciones!G473+Clasificaciones!G477</f>
        <v>852286413</v>
      </c>
      <c r="F1128" s="534">
        <v>17473245904</v>
      </c>
      <c r="G1128" s="685"/>
      <c r="I1128" s="682"/>
      <c r="L1128" s="631"/>
      <c r="M1128" s="631"/>
      <c r="N1128" s="631"/>
    </row>
    <row r="1129" spans="1:14" s="627" customFormat="1" ht="16.95" customHeight="1">
      <c r="A1129" s="626"/>
      <c r="B1129" s="375" t="s">
        <v>382</v>
      </c>
      <c r="C1129" s="327" t="s">
        <v>289</v>
      </c>
      <c r="D1129" s="327" t="s">
        <v>526</v>
      </c>
      <c r="E1129" s="536">
        <f>+Clasificaciones!$G$332</f>
        <v>4999000000</v>
      </c>
      <c r="F1129" s="534">
        <v>4999000000</v>
      </c>
      <c r="G1129" s="684"/>
      <c r="I1129" s="682"/>
      <c r="J1129" s="682"/>
      <c r="K1129" s="682"/>
      <c r="L1129" s="631"/>
      <c r="M1129" s="631"/>
      <c r="N1129" s="631"/>
    </row>
    <row r="1130" spans="1:14" s="627" customFormat="1" ht="33" customHeight="1">
      <c r="A1130" s="626"/>
      <c r="B1130" s="375" t="s">
        <v>382</v>
      </c>
      <c r="C1130" s="327" t="s">
        <v>289</v>
      </c>
      <c r="D1130" s="327" t="s">
        <v>527</v>
      </c>
      <c r="E1130" s="536">
        <f>+Clasificaciones!$G$338</f>
        <v>3454158107</v>
      </c>
      <c r="F1130" s="534">
        <v>2047406868</v>
      </c>
      <c r="G1130" s="685"/>
      <c r="I1130" s="682"/>
      <c r="L1130" s="631"/>
      <c r="M1130" s="631"/>
      <c r="N1130" s="631"/>
    </row>
    <row r="1131" spans="1:14" s="627" customFormat="1" ht="35.4" customHeight="1">
      <c r="A1131" s="626"/>
      <c r="B1131" s="375" t="s">
        <v>352</v>
      </c>
      <c r="C1131" s="327" t="s">
        <v>289</v>
      </c>
      <c r="D1131" s="327" t="s">
        <v>536</v>
      </c>
      <c r="E1131" s="536">
        <f>+Clasificaciones!G453+Clasificaciones!G456</f>
        <v>-13436558606</v>
      </c>
      <c r="F1131" s="534">
        <v>-1848050034</v>
      </c>
      <c r="G1131" s="685"/>
      <c r="I1131" s="682"/>
      <c r="J1131" s="682"/>
      <c r="K1131" s="682"/>
      <c r="L1131" s="631"/>
      <c r="M1131" s="631"/>
      <c r="N1131" s="631"/>
    </row>
    <row r="1132" spans="1:14" s="627" customFormat="1" ht="36.6" customHeight="1">
      <c r="A1132" s="626"/>
      <c r="B1132" s="375" t="s">
        <v>352</v>
      </c>
      <c r="C1132" s="327" t="s">
        <v>289</v>
      </c>
      <c r="D1132" s="327" t="s">
        <v>1418</v>
      </c>
      <c r="E1132" s="536">
        <f>+Clasificaciones!G432</f>
        <v>-11379548</v>
      </c>
      <c r="F1132" s="534">
        <v>-4059103</v>
      </c>
      <c r="G1132" s="685"/>
      <c r="I1132" s="682"/>
      <c r="L1132" s="631"/>
      <c r="M1132" s="631"/>
      <c r="N1132" s="631"/>
    </row>
    <row r="1133" spans="1:14" s="627" customFormat="1" ht="36.6" customHeight="1">
      <c r="A1133" s="626"/>
      <c r="B1133" s="375" t="s">
        <v>352</v>
      </c>
      <c r="C1133" s="327" t="s">
        <v>289</v>
      </c>
      <c r="D1133" s="327" t="s">
        <v>1470</v>
      </c>
      <c r="E1133" s="536">
        <f t="shared" ref="E1133:E1139" si="20">-G1083</f>
        <v>-66925000</v>
      </c>
      <c r="F1133" s="534">
        <v>-66925000</v>
      </c>
      <c r="G1133" s="685"/>
      <c r="I1133" s="682"/>
      <c r="J1133" s="682"/>
      <c r="K1133" s="682"/>
      <c r="L1133" s="631"/>
      <c r="M1133" s="631"/>
      <c r="N1133" s="631"/>
    </row>
    <row r="1134" spans="1:14" s="627" customFormat="1" ht="36.6" customHeight="1">
      <c r="A1134" s="626"/>
      <c r="B1134" s="375" t="s">
        <v>352</v>
      </c>
      <c r="C1134" s="327" t="s">
        <v>289</v>
      </c>
      <c r="D1134" s="327" t="s">
        <v>1471</v>
      </c>
      <c r="E1134" s="536">
        <f t="shared" si="20"/>
        <v>-31738636</v>
      </c>
      <c r="F1134" s="534">
        <v>-31738636</v>
      </c>
      <c r="G1134" s="685"/>
      <c r="I1134" s="682"/>
      <c r="L1134" s="631"/>
      <c r="M1134" s="631"/>
      <c r="N1134" s="631"/>
    </row>
    <row r="1135" spans="1:14" s="627" customFormat="1" ht="36.6" customHeight="1">
      <c r="A1135" s="626"/>
      <c r="B1135" s="375" t="s">
        <v>352</v>
      </c>
      <c r="C1135" s="883" t="s">
        <v>289</v>
      </c>
      <c r="D1135" s="883" t="s">
        <v>1833</v>
      </c>
      <c r="E1135" s="536">
        <f t="shared" si="20"/>
        <v>-4534091</v>
      </c>
      <c r="F1135" s="534">
        <v>0</v>
      </c>
      <c r="G1135" s="685"/>
      <c r="I1135" s="682"/>
      <c r="L1135" s="631"/>
      <c r="M1135" s="631"/>
      <c r="N1135" s="631"/>
    </row>
    <row r="1136" spans="1:14" s="627" customFormat="1" ht="36.6" customHeight="1">
      <c r="A1136" s="626"/>
      <c r="B1136" s="375" t="s">
        <v>352</v>
      </c>
      <c r="C1136" s="883" t="s">
        <v>289</v>
      </c>
      <c r="D1136" s="883" t="s">
        <v>1834</v>
      </c>
      <c r="E1136" s="536">
        <f t="shared" si="20"/>
        <v>-4534091</v>
      </c>
      <c r="F1136" s="534">
        <v>0</v>
      </c>
      <c r="G1136" s="685"/>
      <c r="I1136" s="682"/>
      <c r="L1136" s="631"/>
      <c r="M1136" s="631"/>
      <c r="N1136" s="631"/>
    </row>
    <row r="1137" spans="1:14" s="627" customFormat="1" ht="36.6" customHeight="1">
      <c r="A1137" s="626"/>
      <c r="B1137" s="375" t="s">
        <v>382</v>
      </c>
      <c r="C1137" s="327" t="s">
        <v>289</v>
      </c>
      <c r="D1137" s="327" t="s">
        <v>1472</v>
      </c>
      <c r="E1137" s="536">
        <f t="shared" si="20"/>
        <v>0</v>
      </c>
      <c r="F1137" s="534">
        <v>-17359589</v>
      </c>
      <c r="G1137" s="685"/>
      <c r="I1137" s="682"/>
      <c r="J1137" s="682"/>
      <c r="K1137" s="682"/>
      <c r="L1137" s="631"/>
      <c r="M1137" s="631"/>
      <c r="N1137" s="631"/>
    </row>
    <row r="1138" spans="1:14" s="627" customFormat="1" ht="36.6" customHeight="1">
      <c r="A1138" s="626"/>
      <c r="B1138" s="375" t="s">
        <v>446</v>
      </c>
      <c r="C1138" s="798" t="s">
        <v>1210</v>
      </c>
      <c r="D1138" s="798" t="s">
        <v>1525</v>
      </c>
      <c r="E1138" s="536">
        <f t="shared" si="20"/>
        <v>-428171</v>
      </c>
      <c r="F1138" s="534">
        <v>0</v>
      </c>
      <c r="G1138" s="685"/>
      <c r="I1138" s="682"/>
      <c r="J1138" s="682"/>
      <c r="K1138" s="682"/>
      <c r="L1138" s="631"/>
      <c r="M1138" s="631"/>
      <c r="N1138" s="631"/>
    </row>
    <row r="1139" spans="1:14" s="627" customFormat="1" ht="36.6" customHeight="1">
      <c r="A1139" s="626"/>
      <c r="B1139" s="375" t="s">
        <v>438</v>
      </c>
      <c r="C1139" s="798" t="s">
        <v>466</v>
      </c>
      <c r="D1139" s="798" t="s">
        <v>1525</v>
      </c>
      <c r="E1139" s="536">
        <f t="shared" si="20"/>
        <v>-402000</v>
      </c>
      <c r="F1139" s="534">
        <v>0</v>
      </c>
      <c r="G1139" s="685"/>
      <c r="I1139" s="682"/>
      <c r="J1139" s="682"/>
      <c r="K1139" s="682"/>
      <c r="L1139" s="631"/>
      <c r="M1139" s="631"/>
      <c r="N1139" s="631"/>
    </row>
    <row r="1140" spans="1:14">
      <c r="B1140" s="538" t="s">
        <v>290</v>
      </c>
      <c r="C1140" s="539"/>
      <c r="D1140" s="539"/>
      <c r="E1140" s="494">
        <f>SUM(E1126:E1139)</f>
        <v>-19512675</v>
      </c>
      <c r="F1140" s="494">
        <f>SUM(F1126:F1139)</f>
        <v>34532183348</v>
      </c>
      <c r="G1140" s="386"/>
      <c r="I1140" s="682"/>
      <c r="J1140" s="682"/>
      <c r="K1140" s="682"/>
    </row>
    <row r="1141" spans="1:14">
      <c r="B1141" s="540"/>
      <c r="C1141" s="541"/>
      <c r="D1141" s="541"/>
      <c r="I1141" s="682"/>
      <c r="J1141" s="627"/>
      <c r="K1141" s="627"/>
    </row>
    <row r="1142" spans="1:14">
      <c r="B1142" s="540"/>
      <c r="C1142" s="541"/>
      <c r="D1142" s="541"/>
      <c r="I1142" s="682"/>
      <c r="J1142" s="682"/>
      <c r="K1142" s="682"/>
    </row>
    <row r="1143" spans="1:14">
      <c r="B1143" s="339" t="s">
        <v>1162</v>
      </c>
      <c r="C1143" s="533"/>
      <c r="D1143" s="541"/>
      <c r="I1143" s="682"/>
      <c r="J1143" s="627"/>
      <c r="K1143" s="627"/>
    </row>
    <row r="1144" spans="1:14" s="353" customFormat="1">
      <c r="A1144" s="352"/>
      <c r="B1144" s="542" t="s">
        <v>1837</v>
      </c>
      <c r="C1144" s="543"/>
      <c r="D1144" s="543"/>
      <c r="I1144" s="682"/>
      <c r="J1144" s="682"/>
      <c r="K1144" s="682"/>
    </row>
    <row r="1145" spans="1:14">
      <c r="B1145" s="482"/>
      <c r="C1145" s="541"/>
      <c r="D1145" s="541"/>
      <c r="F1145" s="544"/>
      <c r="G1145" s="544"/>
      <c r="H1145" s="545"/>
      <c r="I1145" s="546"/>
    </row>
    <row r="1146" spans="1:14" ht="30" customHeight="1">
      <c r="B1146" s="326" t="s">
        <v>1158</v>
      </c>
      <c r="C1146" s="326" t="s">
        <v>1159</v>
      </c>
      <c r="D1146" s="326" t="s">
        <v>1160</v>
      </c>
      <c r="E1146" s="537"/>
      <c r="F1146" s="547"/>
      <c r="G1146" s="547"/>
      <c r="H1146" s="548"/>
      <c r="I1146" s="549"/>
    </row>
    <row r="1147" spans="1:14" ht="17.399999999999999" customHeight="1">
      <c r="B1147" s="550" t="s">
        <v>352</v>
      </c>
      <c r="C1147" s="687"/>
      <c r="D1147" s="687"/>
      <c r="E1147" s="526"/>
      <c r="F1147" s="547"/>
      <c r="G1147" s="547"/>
      <c r="H1147" s="548"/>
      <c r="I1147" s="549"/>
    </row>
    <row r="1148" spans="1:14" ht="33.6">
      <c r="B1148" s="551" t="s">
        <v>1179</v>
      </c>
      <c r="C1148" s="687">
        <f>-Clasificaciones!G600-Clasificaciones!G602</f>
        <v>14116976</v>
      </c>
      <c r="D1148" s="687">
        <v>0</v>
      </c>
      <c r="E1148" s="526"/>
      <c r="F1148" s="547"/>
      <c r="G1148" s="547"/>
      <c r="H1148" s="548"/>
      <c r="I1148" s="549"/>
    </row>
    <row r="1149" spans="1:14" ht="33.6">
      <c r="B1149" s="551" t="s">
        <v>1180</v>
      </c>
      <c r="C1149" s="687">
        <f>-Clasificaciones!G603-Clasificaciones!G604</f>
        <v>1180066105</v>
      </c>
      <c r="D1149" s="687">
        <v>0</v>
      </c>
      <c r="E1149" s="526"/>
      <c r="F1149" s="547"/>
      <c r="G1149" s="547"/>
      <c r="H1149" s="548"/>
      <c r="I1149" s="549"/>
    </row>
    <row r="1150" spans="1:14" ht="16.95" customHeight="1">
      <c r="B1150" s="551" t="s">
        <v>1219</v>
      </c>
      <c r="C1150" s="687">
        <f>-Clasificaciones!G640</f>
        <v>6399</v>
      </c>
      <c r="D1150" s="687">
        <f>+Clasificaciones!G748</f>
        <v>1096</v>
      </c>
      <c r="E1150" s="959"/>
      <c r="F1150" s="547"/>
      <c r="G1150" s="547"/>
      <c r="H1150" s="548"/>
      <c r="I1150" s="549"/>
    </row>
    <row r="1151" spans="1:14" ht="16.95" customHeight="1">
      <c r="B1151" s="551" t="s">
        <v>1220</v>
      </c>
      <c r="C1151" s="687">
        <f>-Clasificaciones!G638</f>
        <v>46852026</v>
      </c>
      <c r="D1151" s="687">
        <f>+Clasificaciones!G724+Clasificaciones!G746</f>
        <v>350178491</v>
      </c>
      <c r="E1151" s="526"/>
      <c r="F1151" s="547"/>
      <c r="G1151" s="547"/>
      <c r="H1151" s="548"/>
      <c r="I1151" s="549"/>
    </row>
    <row r="1152" spans="1:14" ht="16.95" customHeight="1">
      <c r="B1152" s="551" t="s">
        <v>1428</v>
      </c>
      <c r="C1152" s="687">
        <v>315558</v>
      </c>
      <c r="D1152" s="687">
        <v>0</v>
      </c>
      <c r="E1152" s="526"/>
      <c r="F1152" s="547"/>
      <c r="G1152" s="547"/>
      <c r="H1152" s="548"/>
      <c r="I1152" s="549"/>
    </row>
    <row r="1153" spans="2:13">
      <c r="B1153" s="552" t="s">
        <v>181</v>
      </c>
      <c r="C1153" s="687">
        <v>0</v>
      </c>
      <c r="D1153" s="687">
        <f>+Clasificaciones!G867</f>
        <v>250540859</v>
      </c>
      <c r="E1153" s="880"/>
      <c r="F1153" s="547"/>
      <c r="G1153" s="547"/>
      <c r="H1153" s="548"/>
      <c r="I1153" s="549"/>
    </row>
    <row r="1154" spans="2:13">
      <c r="B1154" s="552" t="s">
        <v>78</v>
      </c>
      <c r="C1154" s="687">
        <v>0</v>
      </c>
      <c r="D1154" s="687">
        <f>+Clasificaciones!G869</f>
        <v>25318166</v>
      </c>
      <c r="E1154" s="880"/>
      <c r="F1154" s="547"/>
      <c r="G1154" s="547"/>
      <c r="H1154" s="548"/>
      <c r="I1154" s="549"/>
    </row>
    <row r="1155" spans="2:13" ht="18.600000000000001" customHeight="1">
      <c r="B1155" s="550" t="s">
        <v>511</v>
      </c>
      <c r="C1155" s="687"/>
      <c r="D1155" s="687"/>
      <c r="E1155" s="526"/>
      <c r="F1155" s="547"/>
      <c r="G1155" s="547"/>
      <c r="H1155" s="548"/>
      <c r="I1155" s="549"/>
    </row>
    <row r="1156" spans="2:13">
      <c r="B1156" s="793" t="s">
        <v>1259</v>
      </c>
      <c r="C1156" s="687">
        <f>-Clasificaciones!G663</f>
        <v>10364092</v>
      </c>
      <c r="D1156" s="687"/>
      <c r="E1156" s="526"/>
      <c r="F1156" s="547"/>
      <c r="G1156" s="547"/>
      <c r="H1156" s="548"/>
      <c r="I1156" s="549"/>
    </row>
    <row r="1157" spans="2:13">
      <c r="B1157" s="793" t="s">
        <v>1528</v>
      </c>
      <c r="C1157" s="687">
        <f>-Clasificaciones!G664</f>
        <v>13830023</v>
      </c>
      <c r="D1157" s="687"/>
      <c r="E1157" s="526"/>
      <c r="F1157" s="547"/>
      <c r="G1157" s="547"/>
      <c r="H1157" s="548"/>
      <c r="I1157" s="549"/>
    </row>
    <row r="1158" spans="2:13">
      <c r="B1158" s="793" t="s">
        <v>1261</v>
      </c>
      <c r="C1158" s="687">
        <f>-Clasificaciones!G665</f>
        <v>68981610</v>
      </c>
      <c r="D1158" s="687"/>
      <c r="E1158" s="526"/>
      <c r="F1158" s="547"/>
      <c r="G1158" s="547"/>
      <c r="H1158" s="548"/>
      <c r="I1158" s="549"/>
    </row>
    <row r="1159" spans="2:13">
      <c r="B1159" s="793" t="s">
        <v>1527</v>
      </c>
      <c r="C1159" s="687">
        <v>3807479</v>
      </c>
      <c r="D1159" s="687"/>
      <c r="E1159" s="526"/>
      <c r="F1159" s="547"/>
      <c r="G1159" s="547"/>
      <c r="H1159" s="548"/>
      <c r="I1159" s="549"/>
    </row>
    <row r="1160" spans="2:13">
      <c r="B1160" s="551" t="s">
        <v>1161</v>
      </c>
      <c r="C1160" s="687">
        <f>-Clasificaciones!G699</f>
        <v>1406751239</v>
      </c>
      <c r="D1160" s="687"/>
      <c r="E1160" s="526"/>
      <c r="F1160" s="547"/>
      <c r="G1160" s="547"/>
      <c r="H1160" s="548"/>
      <c r="I1160" s="549"/>
    </row>
    <row r="1161" spans="2:13" ht="18.600000000000001" customHeight="1">
      <c r="B1161" s="550" t="s">
        <v>434</v>
      </c>
      <c r="C1161" s="687"/>
      <c r="D1161" s="687"/>
      <c r="E1161" s="526"/>
      <c r="F1161" s="547"/>
      <c r="G1161" s="553"/>
      <c r="H1161" s="553"/>
      <c r="I1161" s="549"/>
    </row>
    <row r="1162" spans="2:13">
      <c r="B1162" s="793" t="s">
        <v>1163</v>
      </c>
      <c r="C1162" s="687">
        <v>0</v>
      </c>
      <c r="D1162" s="687">
        <v>229004875</v>
      </c>
      <c r="E1162" s="526"/>
      <c r="F1162" s="547"/>
      <c r="G1162" s="553"/>
      <c r="H1162" s="553"/>
      <c r="I1162" s="549"/>
    </row>
    <row r="1163" spans="2:13" ht="18.600000000000001" customHeight="1">
      <c r="B1163" s="550" t="s">
        <v>438</v>
      </c>
      <c r="C1163" s="687"/>
      <c r="D1163" s="687"/>
      <c r="E1163" s="526"/>
      <c r="F1163" s="547"/>
      <c r="G1163" s="553"/>
      <c r="H1163" s="553"/>
      <c r="I1163" s="549"/>
    </row>
    <row r="1164" spans="2:13">
      <c r="B1164" s="793" t="s">
        <v>1526</v>
      </c>
      <c r="C1164" s="687">
        <v>0</v>
      </c>
      <c r="D1164" s="687">
        <f>103921975</f>
        <v>103921975</v>
      </c>
      <c r="E1164" s="526"/>
      <c r="F1164" s="547"/>
      <c r="G1164" s="553"/>
      <c r="H1164" s="553"/>
      <c r="I1164" s="549"/>
    </row>
    <row r="1165" spans="2:13" ht="19.2" customHeight="1">
      <c r="B1165" s="550" t="s">
        <v>435</v>
      </c>
      <c r="C1165" s="687"/>
      <c r="D1165" s="687"/>
      <c r="E1165" s="526"/>
      <c r="F1165" s="547"/>
      <c r="G1165" s="553"/>
      <c r="H1165" s="553"/>
      <c r="I1165" s="553"/>
      <c r="J1165" s="553"/>
      <c r="K1165" s="553"/>
    </row>
    <row r="1166" spans="2:13">
      <c r="B1166" s="793" t="s">
        <v>1164</v>
      </c>
      <c r="C1166" s="687">
        <v>0</v>
      </c>
      <c r="D1166" s="687"/>
      <c r="E1166" s="526"/>
      <c r="F1166" s="547"/>
      <c r="G1166" s="553"/>
      <c r="H1166" s="553"/>
      <c r="I1166" s="553"/>
      <c r="J1166" s="553"/>
      <c r="K1166" s="553"/>
      <c r="L1166" s="553"/>
      <c r="M1166" s="553"/>
    </row>
    <row r="1167" spans="2:13" ht="19.2" customHeight="1">
      <c r="B1167" s="550" t="s">
        <v>1165</v>
      </c>
      <c r="C1167" s="687"/>
      <c r="D1167" s="687"/>
      <c r="E1167" s="526"/>
      <c r="F1167" s="554"/>
      <c r="G1167" s="553"/>
      <c r="H1167" s="553"/>
      <c r="I1167" s="553"/>
      <c r="J1167" s="553"/>
      <c r="K1167" s="553"/>
      <c r="L1167" s="553"/>
      <c r="M1167" s="553"/>
    </row>
    <row r="1168" spans="2:13">
      <c r="B1168" s="793" t="s">
        <v>1166</v>
      </c>
      <c r="C1168" s="687">
        <v>0</v>
      </c>
      <c r="D1168" s="687">
        <f>+Clasificaciones!G796</f>
        <v>20822440</v>
      </c>
      <c r="E1168" s="526"/>
      <c r="F1168" s="547"/>
      <c r="G1168" s="553"/>
      <c r="H1168" s="553"/>
      <c r="I1168" s="553"/>
      <c r="J1168" s="553"/>
      <c r="K1168" s="553"/>
      <c r="L1168" s="553"/>
      <c r="M1168" s="553"/>
    </row>
    <row r="1169" spans="2:13">
      <c r="B1169" s="550" t="s">
        <v>1494</v>
      </c>
      <c r="C1169" s="687"/>
      <c r="D1169" s="687"/>
      <c r="E1169" s="526"/>
      <c r="F1169" s="547"/>
      <c r="G1169" s="553"/>
      <c r="H1169" s="553"/>
      <c r="I1169" s="553"/>
      <c r="J1169" s="553"/>
      <c r="K1169" s="553"/>
      <c r="L1169" s="553"/>
      <c r="M1169" s="553"/>
    </row>
    <row r="1170" spans="2:13">
      <c r="B1170" s="793" t="s">
        <v>1429</v>
      </c>
      <c r="C1170" s="687">
        <v>0</v>
      </c>
      <c r="D1170" s="687"/>
      <c r="E1170" s="526"/>
      <c r="F1170" s="547"/>
      <c r="G1170" s="553"/>
      <c r="H1170" s="553"/>
      <c r="I1170" s="553"/>
      <c r="J1170" s="553"/>
      <c r="K1170" s="553"/>
      <c r="L1170" s="553"/>
      <c r="M1170" s="553"/>
    </row>
    <row r="1171" spans="2:13">
      <c r="B1171" s="550" t="s">
        <v>1207</v>
      </c>
      <c r="C1171" s="687"/>
      <c r="D1171" s="687"/>
      <c r="E1171" s="526"/>
      <c r="F1171" s="547"/>
      <c r="G1171" s="553"/>
      <c r="H1171" s="553"/>
      <c r="I1171" s="553"/>
      <c r="J1171" s="553"/>
      <c r="K1171" s="553"/>
      <c r="L1171" s="553"/>
      <c r="M1171" s="553"/>
    </row>
    <row r="1172" spans="2:13">
      <c r="B1172" s="793" t="s">
        <v>1430</v>
      </c>
      <c r="C1172" s="687">
        <v>0</v>
      </c>
      <c r="D1172" s="687"/>
      <c r="E1172" s="526"/>
      <c r="F1172" s="881"/>
      <c r="G1172" s="553"/>
      <c r="H1172" s="553"/>
      <c r="I1172" s="553"/>
      <c r="J1172" s="553"/>
      <c r="K1172" s="553"/>
      <c r="L1172" s="553"/>
      <c r="M1172" s="553"/>
    </row>
    <row r="1173" spans="2:13">
      <c r="B1173" s="550" t="s">
        <v>1209</v>
      </c>
      <c r="C1173" s="687"/>
      <c r="D1173" s="687"/>
      <c r="E1173" s="526"/>
      <c r="F1173" s="881"/>
      <c r="G1173" s="553"/>
      <c r="H1173" s="553"/>
      <c r="I1173" s="553"/>
      <c r="J1173" s="553"/>
      <c r="K1173" s="553"/>
      <c r="L1173" s="553"/>
      <c r="M1173" s="553"/>
    </row>
    <row r="1174" spans="2:13">
      <c r="B1174" s="793" t="s">
        <v>1433</v>
      </c>
      <c r="C1174" s="687">
        <v>0</v>
      </c>
      <c r="D1174" s="687"/>
      <c r="E1174" s="526"/>
      <c r="F1174" s="547"/>
      <c r="G1174" s="553"/>
      <c r="H1174" s="553"/>
      <c r="I1174" s="553"/>
      <c r="J1174" s="553"/>
      <c r="K1174" s="553"/>
      <c r="L1174" s="553"/>
      <c r="M1174" s="553"/>
    </row>
    <row r="1175" spans="2:13">
      <c r="B1175" s="550" t="s">
        <v>446</v>
      </c>
      <c r="C1175" s="687"/>
      <c r="D1175" s="687"/>
      <c r="E1175" s="526"/>
      <c r="F1175" s="547"/>
      <c r="G1175" s="553"/>
      <c r="H1175" s="553"/>
      <c r="I1175" s="553"/>
      <c r="J1175" s="553"/>
      <c r="K1175" s="553"/>
      <c r="L1175" s="553"/>
      <c r="M1175" s="553"/>
    </row>
    <row r="1176" spans="2:13">
      <c r="B1176" s="793" t="s">
        <v>1432</v>
      </c>
      <c r="C1176" s="687">
        <v>0</v>
      </c>
      <c r="D1176" s="687"/>
      <c r="E1176" s="526"/>
      <c r="F1176" s="547"/>
      <c r="G1176" s="553"/>
      <c r="H1176" s="553"/>
      <c r="I1176" s="553"/>
      <c r="J1176" s="553"/>
      <c r="K1176" s="553"/>
      <c r="L1176" s="553"/>
      <c r="M1176" s="553"/>
    </row>
    <row r="1177" spans="2:13">
      <c r="B1177" s="550" t="s">
        <v>448</v>
      </c>
      <c r="C1177" s="687"/>
      <c r="D1177" s="687"/>
      <c r="E1177" s="526"/>
      <c r="F1177" s="547"/>
      <c r="G1177" s="547"/>
      <c r="H1177" s="553"/>
      <c r="I1177" s="553"/>
      <c r="J1177" s="553"/>
      <c r="K1177" s="553"/>
      <c r="L1177" s="553"/>
      <c r="M1177" s="553"/>
    </row>
    <row r="1178" spans="2:13">
      <c r="B1178" s="793" t="s">
        <v>1431</v>
      </c>
      <c r="C1178" s="687">
        <v>0</v>
      </c>
      <c r="D1178" s="687"/>
      <c r="E1178" s="526"/>
      <c r="F1178" s="547"/>
      <c r="G1178" s="547"/>
      <c r="H1178" s="553"/>
      <c r="I1178" s="553"/>
      <c r="J1178" s="553"/>
      <c r="K1178" s="553"/>
      <c r="L1178" s="553"/>
      <c r="M1178" s="553"/>
    </row>
    <row r="1179" spans="2:13">
      <c r="B1179" s="551"/>
      <c r="C1179" s="687"/>
      <c r="D1179" s="687"/>
      <c r="E1179" s="526"/>
      <c r="F1179" s="547"/>
      <c r="G1179" s="547"/>
      <c r="H1179" s="553"/>
      <c r="I1179" s="553"/>
      <c r="J1179" s="553"/>
      <c r="K1179" s="553"/>
      <c r="L1179" s="553"/>
      <c r="M1179" s="553"/>
    </row>
    <row r="1180" spans="2:13">
      <c r="B1180" s="383" t="s">
        <v>1538</v>
      </c>
      <c r="C1180" s="366">
        <f>SUM(C1147:C1179)</f>
        <v>2745091507</v>
      </c>
      <c r="D1180" s="366">
        <f>SUM(D1147:D1179)</f>
        <v>979787902</v>
      </c>
      <c r="E1180" s="535"/>
      <c r="F1180" s="554"/>
      <c r="G1180" s="547"/>
      <c r="H1180" s="553"/>
      <c r="I1180" s="553"/>
      <c r="J1180" s="553"/>
      <c r="K1180" s="553"/>
      <c r="L1180" s="553"/>
      <c r="M1180" s="553"/>
    </row>
    <row r="1181" spans="2:13">
      <c r="B1181" s="383" t="s">
        <v>1537</v>
      </c>
      <c r="C1181" s="366">
        <v>2887625255</v>
      </c>
      <c r="D1181" s="366">
        <v>1406358426.8199999</v>
      </c>
      <c r="F1181" s="554"/>
      <c r="G1181" s="547"/>
      <c r="H1181" s="553"/>
      <c r="I1181" s="553"/>
      <c r="J1181" s="553"/>
      <c r="K1181" s="553"/>
      <c r="L1181" s="553"/>
      <c r="M1181" s="553"/>
    </row>
    <row r="1182" spans="2:13">
      <c r="B1182" s="482"/>
      <c r="C1182" s="541"/>
      <c r="D1182" s="540"/>
      <c r="F1182" s="547"/>
      <c r="G1182" s="547"/>
      <c r="H1182" s="553"/>
      <c r="I1182" s="553"/>
      <c r="J1182" s="553"/>
      <c r="K1182" s="553"/>
      <c r="L1182" s="553"/>
      <c r="M1182" s="553"/>
    </row>
    <row r="1183" spans="2:13" ht="13.5" customHeight="1">
      <c r="C1183" s="555"/>
      <c r="F1183" s="395"/>
      <c r="H1183" s="553"/>
      <c r="I1183" s="553"/>
      <c r="J1183" s="553"/>
      <c r="K1183" s="553"/>
      <c r="L1183" s="553"/>
      <c r="M1183" s="553"/>
    </row>
    <row r="1184" spans="2:13" ht="13.5" customHeight="1">
      <c r="B1184" s="339" t="s">
        <v>1436</v>
      </c>
      <c r="C1184" s="555"/>
      <c r="F1184" s="395"/>
      <c r="H1184" s="553"/>
      <c r="I1184" s="553"/>
      <c r="J1184" s="553"/>
      <c r="K1184" s="553"/>
      <c r="L1184" s="553"/>
      <c r="M1184" s="553"/>
    </row>
    <row r="1185" spans="2:13" ht="13.5" customHeight="1">
      <c r="B1185" s="338" t="s">
        <v>1437</v>
      </c>
      <c r="C1185" s="555"/>
      <c r="F1185" s="395"/>
      <c r="H1185" s="553"/>
      <c r="I1185" s="553"/>
      <c r="J1185" s="553"/>
      <c r="K1185" s="553"/>
      <c r="L1185" s="553"/>
      <c r="M1185" s="553"/>
    </row>
    <row r="1186" spans="2:13" ht="13.5" customHeight="1">
      <c r="B1186" s="339"/>
      <c r="C1186" s="555"/>
      <c r="F1186" s="395"/>
      <c r="H1186" s="553"/>
      <c r="I1186" s="553"/>
      <c r="J1186" s="553"/>
      <c r="K1186" s="553"/>
      <c r="L1186" s="553"/>
      <c r="M1186" s="553"/>
    </row>
    <row r="1187" spans="2:13" ht="33.6" customHeight="1">
      <c r="B1187" s="557" t="s">
        <v>70</v>
      </c>
      <c r="C1187" s="343" t="s">
        <v>1448</v>
      </c>
      <c r="D1187" s="343" t="s">
        <v>579</v>
      </c>
      <c r="E1187" s="343" t="s">
        <v>1449</v>
      </c>
      <c r="F1187" s="343" t="s">
        <v>1450</v>
      </c>
      <c r="H1187" s="553"/>
      <c r="I1187" s="553"/>
      <c r="J1187" s="553"/>
      <c r="K1187" s="553"/>
      <c r="L1187" s="553"/>
      <c r="M1187" s="553"/>
    </row>
    <row r="1188" spans="2:13" ht="16.95" customHeight="1">
      <c r="B1188" s="551" t="s">
        <v>164</v>
      </c>
      <c r="C1188" s="687">
        <v>27560000000</v>
      </c>
      <c r="D1188" s="687">
        <f>VPN!E20</f>
        <v>2372000000</v>
      </c>
      <c r="E1188" s="687">
        <v>0</v>
      </c>
      <c r="F1188" s="687">
        <f t="shared" ref="F1188:F1192" si="21">+SUM(C1188:E1188)</f>
        <v>29932000000</v>
      </c>
      <c r="H1188" s="553"/>
      <c r="I1188" s="553"/>
      <c r="J1188" s="553"/>
      <c r="K1188" s="553"/>
      <c r="L1188" s="553"/>
      <c r="M1188" s="553"/>
    </row>
    <row r="1189" spans="2:13" ht="16.95" customHeight="1">
      <c r="B1189" s="551" t="s">
        <v>1446</v>
      </c>
      <c r="C1189" s="687">
        <v>0</v>
      </c>
      <c r="D1189" s="687">
        <v>0</v>
      </c>
      <c r="E1189" s="687">
        <v>0</v>
      </c>
      <c r="F1189" s="687">
        <f t="shared" si="21"/>
        <v>0</v>
      </c>
      <c r="H1189" s="553"/>
      <c r="I1189" s="553"/>
      <c r="J1189" s="553"/>
      <c r="K1189" s="553"/>
      <c r="L1189" s="553"/>
      <c r="M1189" s="553"/>
    </row>
    <row r="1190" spans="2:13" ht="16.95" customHeight="1">
      <c r="B1190" s="551" t="s">
        <v>1475</v>
      </c>
      <c r="C1190" s="687">
        <v>150000000</v>
      </c>
      <c r="D1190" s="687">
        <v>0</v>
      </c>
      <c r="E1190" s="687"/>
      <c r="F1190" s="687">
        <f t="shared" si="21"/>
        <v>150000000</v>
      </c>
      <c r="H1190" s="553"/>
      <c r="I1190" s="553"/>
      <c r="J1190" s="553"/>
      <c r="K1190" s="553"/>
      <c r="L1190" s="553"/>
      <c r="M1190" s="553"/>
    </row>
    <row r="1191" spans="2:13" ht="16.95" customHeight="1">
      <c r="B1191" s="551" t="s">
        <v>1447</v>
      </c>
      <c r="C1191" s="687">
        <v>135909126</v>
      </c>
      <c r="D1191" s="687">
        <f>+VPN!G20+VPN!H20</f>
        <v>125475898</v>
      </c>
      <c r="E1191" s="687">
        <v>0</v>
      </c>
      <c r="F1191" s="687">
        <f>+SUM(C1191:E1191)</f>
        <v>261385024</v>
      </c>
      <c r="H1191" s="553"/>
      <c r="I1191" s="553"/>
      <c r="J1191" s="553"/>
      <c r="K1191" s="553"/>
      <c r="L1191" s="553"/>
      <c r="M1191" s="553"/>
    </row>
    <row r="1192" spans="2:13" ht="16.95" customHeight="1">
      <c r="B1192" s="551" t="s">
        <v>167</v>
      </c>
      <c r="C1192" s="687">
        <v>0</v>
      </c>
      <c r="D1192" s="687">
        <v>0</v>
      </c>
      <c r="E1192" s="687">
        <v>0</v>
      </c>
      <c r="F1192" s="687">
        <f t="shared" si="21"/>
        <v>0</v>
      </c>
      <c r="H1192" s="553"/>
      <c r="I1192" s="553"/>
      <c r="J1192" s="553"/>
      <c r="K1192" s="553"/>
      <c r="L1192" s="553"/>
      <c r="M1192" s="553"/>
    </row>
    <row r="1193" spans="2:13" ht="16.95" customHeight="1">
      <c r="B1193" s="551" t="s">
        <v>168</v>
      </c>
      <c r="C1193" s="687">
        <v>2497475898</v>
      </c>
      <c r="D1193" s="687">
        <f>-Clasificaciones!G554</f>
        <v>619971576</v>
      </c>
      <c r="E1193" s="689">
        <f>-C1193</f>
        <v>-2497475898</v>
      </c>
      <c r="F1193" s="687">
        <f>+SUM(C1193:E1193)</f>
        <v>619971576</v>
      </c>
      <c r="H1193" s="553"/>
      <c r="I1193" s="553"/>
      <c r="J1193" s="553"/>
      <c r="K1193" s="553"/>
      <c r="L1193" s="553"/>
      <c r="M1193" s="553"/>
    </row>
    <row r="1194" spans="2:13" ht="16.95" customHeight="1">
      <c r="B1194" s="686" t="s">
        <v>46</v>
      </c>
      <c r="C1194" s="688">
        <f>+SUM(C1188:C1193)</f>
        <v>30343385024</v>
      </c>
      <c r="D1194" s="688">
        <f>+SUM(D1188:D1193)</f>
        <v>3117447474</v>
      </c>
      <c r="E1194" s="688">
        <f>+SUM(E1188:E1193)</f>
        <v>-2497475898</v>
      </c>
      <c r="F1194" s="688">
        <f>+SUM(F1188:F1193)</f>
        <v>30963356600</v>
      </c>
      <c r="G1194" s="516">
        <f>+F1194-VPN!L22</f>
        <v>0</v>
      </c>
      <c r="H1194" s="553"/>
      <c r="I1194" s="553"/>
      <c r="J1194" s="553"/>
      <c r="K1194" s="553"/>
      <c r="L1194" s="553"/>
      <c r="M1194" s="553"/>
    </row>
    <row r="1195" spans="2:13" ht="13.5" customHeight="1">
      <c r="B1195" s="339"/>
      <c r="C1195" s="555"/>
      <c r="F1195" s="395"/>
      <c r="H1195" s="553"/>
      <c r="I1195" s="553"/>
      <c r="J1195" s="553"/>
      <c r="K1195" s="553"/>
      <c r="L1195" s="553"/>
      <c r="M1195" s="553"/>
    </row>
    <row r="1196" spans="2:13" ht="13.5" customHeight="1">
      <c r="B1196" s="339"/>
      <c r="C1196" s="555"/>
      <c r="F1196" s="395"/>
      <c r="H1196" s="553"/>
      <c r="I1196" s="553"/>
      <c r="J1196" s="553"/>
      <c r="K1196" s="553"/>
      <c r="L1196" s="553"/>
      <c r="M1196" s="553"/>
    </row>
    <row r="1197" spans="2:13">
      <c r="B1197" s="339" t="s">
        <v>1438</v>
      </c>
      <c r="C1197" s="555"/>
      <c r="J1197" s="395"/>
    </row>
    <row r="1198" spans="2:13">
      <c r="B1198" s="542" t="s">
        <v>384</v>
      </c>
      <c r="C1198" s="555"/>
    </row>
    <row r="1199" spans="2:13">
      <c r="C1199" s="386"/>
    </row>
    <row r="1200" spans="2:13">
      <c r="B1200" s="339"/>
      <c r="C1200" s="386"/>
    </row>
    <row r="1201" spans="1:7">
      <c r="A1201" s="556"/>
      <c r="B1201" s="498" t="s">
        <v>1439</v>
      </c>
      <c r="C1201" s="386"/>
    </row>
    <row r="1202" spans="1:7">
      <c r="A1202" s="556"/>
      <c r="B1202" s="339"/>
      <c r="C1202" s="386"/>
    </row>
    <row r="1203" spans="1:7">
      <c r="B1203" s="498" t="s">
        <v>1440</v>
      </c>
      <c r="C1203" s="347"/>
    </row>
    <row r="1205" spans="1:7" ht="21.6" customHeight="1">
      <c r="B1205" s="557" t="s">
        <v>70</v>
      </c>
      <c r="C1205" s="343">
        <v>44742</v>
      </c>
      <c r="D1205" s="343">
        <v>44377</v>
      </c>
      <c r="E1205" s="353"/>
    </row>
    <row r="1206" spans="1:7">
      <c r="B1206" s="391" t="s">
        <v>1221</v>
      </c>
      <c r="C1206" s="558">
        <f>-Clasificaciones!G626-Clasificaciones!G627</f>
        <v>2583432056</v>
      </c>
      <c r="D1206" s="558">
        <f>-Clasificaciones!O626-Clasificaciones!O627</f>
        <v>2128991488</v>
      </c>
    </row>
    <row r="1207" spans="1:7">
      <c r="B1207" s="559" t="s">
        <v>75</v>
      </c>
      <c r="C1207" s="560">
        <f>SUM(C1206:C1206)</f>
        <v>2583432056</v>
      </c>
      <c r="D1207" s="560">
        <f>SUM(D1206:D1206)</f>
        <v>2128991488</v>
      </c>
      <c r="E1207" s="561">
        <f>+C1207-EERR!F38</f>
        <v>0</v>
      </c>
      <c r="F1207" s="561">
        <f>+D1207-EERR!G38</f>
        <v>0</v>
      </c>
      <c r="G1207" s="561"/>
    </row>
    <row r="1208" spans="1:7">
      <c r="B1208" s="562"/>
      <c r="C1208" s="563"/>
      <c r="D1208" s="563"/>
      <c r="E1208" s="561"/>
      <c r="F1208" s="561"/>
      <c r="G1208" s="561"/>
    </row>
    <row r="1209" spans="1:7">
      <c r="B1209" s="339"/>
      <c r="C1209" s="353"/>
      <c r="F1209" s="395"/>
    </row>
    <row r="1210" spans="1:7">
      <c r="B1210" s="498" t="s">
        <v>1441</v>
      </c>
      <c r="C1210" s="347"/>
    </row>
    <row r="1211" spans="1:7">
      <c r="B1211" s="339"/>
      <c r="C1211" s="353"/>
    </row>
    <row r="1212" spans="1:7" ht="21.6" customHeight="1">
      <c r="B1212" s="557" t="s">
        <v>70</v>
      </c>
      <c r="C1212" s="343">
        <v>44742</v>
      </c>
      <c r="D1212" s="343">
        <v>44377</v>
      </c>
      <c r="E1212" s="353"/>
    </row>
    <row r="1213" spans="1:7">
      <c r="B1213" s="564" t="s">
        <v>1063</v>
      </c>
      <c r="C1213" s="483">
        <f>-Clasificaciones!G657-Clasificaciones!G658-Clasificaciones!G659-Clasificaciones!G660</f>
        <v>10760296</v>
      </c>
      <c r="D1213" s="558">
        <f>-SUMIF(Clasificaciones!D:D,'Nota 5'!B1213,Clasificaciones!O:O)</f>
        <v>0</v>
      </c>
      <c r="E1213" s="353"/>
    </row>
    <row r="1214" spans="1:7">
      <c r="B1214" s="564" t="s">
        <v>1067</v>
      </c>
      <c r="C1214" s="483">
        <f>-SUMIF(Clasificaciones!D:D,'Nota 5'!B1214,Clasificaciones!G:G)</f>
        <v>6000000</v>
      </c>
      <c r="D1214" s="558">
        <f>-SUMIF(Clasificaciones!D:D,'Nota 5'!B1214,Clasificaciones!O:O)</f>
        <v>3000000</v>
      </c>
      <c r="E1214" s="353"/>
    </row>
    <row r="1215" spans="1:7">
      <c r="B1215" s="564" t="s">
        <v>787</v>
      </c>
      <c r="C1215" s="483">
        <f>-SUMIF(Clasificaciones!D:D,'Nota 5'!B1215,Clasificaciones!G:G)</f>
        <v>14430803</v>
      </c>
      <c r="D1215" s="558">
        <f>-SUMIF(Clasificaciones!D:D,'Nota 5'!B1215,Clasificaciones!O:O)</f>
        <v>38742703</v>
      </c>
      <c r="E1215" s="353"/>
    </row>
    <row r="1216" spans="1:7">
      <c r="B1216" s="564" t="s">
        <v>1411</v>
      </c>
      <c r="C1216" s="483">
        <f>-SUMIF(Clasificaciones!D:D,'Nota 5'!B1216,Clasificaciones!G:G)</f>
        <v>16419272</v>
      </c>
      <c r="D1216" s="558">
        <f>-SUMIF(Clasificaciones!D:D,'Nota 5'!B1216,Clasificaciones!O:O)</f>
        <v>4448968</v>
      </c>
      <c r="E1216" s="353"/>
    </row>
    <row r="1217" spans="2:6">
      <c r="B1217" s="564" t="s">
        <v>1434</v>
      </c>
      <c r="C1217" s="483">
        <f>-SUMIF(Clasificaciones!D:D,'Nota 5'!B1217,Clasificaciones!G:G)</f>
        <v>2680381</v>
      </c>
      <c r="D1217" s="558">
        <f>-SUMIF(Clasificaciones!D:D,'Nota 5'!B1217,Clasificaciones!O:O)</f>
        <v>9579732</v>
      </c>
      <c r="E1217" s="353"/>
    </row>
    <row r="1218" spans="2:6">
      <c r="B1218" s="564" t="s">
        <v>1435</v>
      </c>
      <c r="C1218" s="483">
        <f>-SUMIF(Clasificaciones!D:D,'Nota 5'!B1218,Clasificaciones!G:G)</f>
        <v>2890368</v>
      </c>
      <c r="D1218" s="558">
        <f>-SUMIF(Clasificaciones!D:D,'Nota 5'!B1218,Clasificaciones!O:O)</f>
        <v>1107671</v>
      </c>
      <c r="E1218" s="353"/>
    </row>
    <row r="1219" spans="2:6">
      <c r="B1219" s="564" t="s">
        <v>791</v>
      </c>
      <c r="C1219" s="483">
        <f>-SUMIF(Clasificaciones!D:D,'Nota 5'!B1219,Clasificaciones!G:G)</f>
        <v>1465821</v>
      </c>
      <c r="D1219" s="558">
        <f>-SUMIF(Clasificaciones!D:D,'Nota 5'!B1219,Clasificaciones!O:O)</f>
        <v>235150</v>
      </c>
      <c r="E1219" s="353"/>
    </row>
    <row r="1220" spans="2:6">
      <c r="B1220" s="564" t="s">
        <v>1413</v>
      </c>
      <c r="C1220" s="483">
        <f>-SUMIF(Clasificaciones!D:D,'Nota 5'!B1220,Clasificaciones!G:G)</f>
        <v>6940526</v>
      </c>
      <c r="D1220" s="558">
        <v>0</v>
      </c>
      <c r="E1220" s="353"/>
    </row>
    <row r="1221" spans="2:6">
      <c r="B1221" s="564" t="s">
        <v>1069</v>
      </c>
      <c r="C1221" s="483">
        <f>-SUMIF(Clasificaciones!D:D,'Nota 5'!B1221,Clasificaciones!G:G)</f>
        <v>272728</v>
      </c>
      <c r="D1221" s="558">
        <f>-SUMIF(Clasificaciones!D:D,'Nota 5'!B1221,Clasificaciones!O:O)</f>
        <v>0</v>
      </c>
      <c r="E1221" s="353"/>
    </row>
    <row r="1222" spans="2:6">
      <c r="B1222" s="559" t="s">
        <v>75</v>
      </c>
      <c r="C1222" s="560">
        <f>+SUM(C1213:C1221)</f>
        <v>61860195</v>
      </c>
      <c r="D1222" s="560">
        <f>+SUM(D1213:D1221)</f>
        <v>57114224</v>
      </c>
      <c r="E1222" s="565">
        <f>+C1222-EERR!F39</f>
        <v>0</v>
      </c>
      <c r="F1222" s="516">
        <f>+D1222-EERR!G39</f>
        <v>0</v>
      </c>
    </row>
    <row r="1225" spans="2:6">
      <c r="B1225" s="339" t="s">
        <v>1442</v>
      </c>
      <c r="C1225" s="347"/>
      <c r="D1225" s="339"/>
    </row>
    <row r="1227" spans="2:6" ht="21.6" customHeight="1">
      <c r="B1227" s="557" t="s">
        <v>70</v>
      </c>
      <c r="C1227" s="343">
        <v>44742</v>
      </c>
      <c r="D1227" s="343">
        <v>44377</v>
      </c>
      <c r="E1227" s="353"/>
    </row>
    <row r="1228" spans="2:6">
      <c r="B1228" s="566" t="s">
        <v>217</v>
      </c>
      <c r="C1228" s="567"/>
      <c r="D1228" s="568"/>
      <c r="E1228" s="353"/>
    </row>
    <row r="1229" spans="2:6">
      <c r="B1229" s="569" t="s">
        <v>232</v>
      </c>
      <c r="C1229" s="690">
        <f>SUMIF(Clasificaciones!D:D,'Nota 5'!B1229,Clasificaciones!G:G)</f>
        <v>0</v>
      </c>
      <c r="D1229" s="414">
        <f>SUMIF(Clasificaciones!D:D,'Nota 5'!B1229,Clasificaciones!O:O)</f>
        <v>1313100</v>
      </c>
      <c r="E1229" s="353"/>
    </row>
    <row r="1230" spans="2:6">
      <c r="B1230" s="569" t="s">
        <v>1063</v>
      </c>
      <c r="C1230" s="690">
        <f>+Clasificaciones!G722+Clasificaciones!G723+Clasificaciones!G724+Clasificaciones!G725+Clasificaciones!G726+Clasificaciones!G727+Clasificaciones!G728</f>
        <v>2493215458</v>
      </c>
      <c r="D1230" s="414">
        <f>+Clasificaciones!O722+Clasificaciones!O723+Clasificaciones!O724+Clasificaciones!O725+Clasificaciones!O726+Clasificaciones!O727+Clasificaciones!O728</f>
        <v>65944461</v>
      </c>
      <c r="E1230" s="353"/>
    </row>
    <row r="1231" spans="2:6">
      <c r="B1231" s="569" t="s">
        <v>1453</v>
      </c>
      <c r="C1231" s="690">
        <f>+Clasificaciones!G730+Clasificaciones!G731+Clasificaciones!G733+Clasificaciones!G736+Clasificaciones!G737+Clasificaciones!G738+Clasificaciones!G742+Clasificaciones!G748+Clasificaciones!G758+Clasificaciones!G761</f>
        <v>477001706</v>
      </c>
      <c r="D1231" s="414">
        <f>+Clasificaciones!O730+Clasificaciones!O731+Clasificaciones!O733+Clasificaciones!O736+Clasificaciones!O737+Clasificaciones!O738+Clasificaciones!O742+Clasificaciones!O748+Clasificaciones!O758+Clasificaciones!O761</f>
        <v>2281546783</v>
      </c>
      <c r="E1231" s="353"/>
    </row>
    <row r="1232" spans="2:6">
      <c r="B1232" s="569" t="s">
        <v>1454</v>
      </c>
      <c r="C1232" s="690">
        <f>+Clasificaciones!G734+Clasificaciones!G735+Clasificaciones!G746+Clasificaciones!G747</f>
        <v>1027500139</v>
      </c>
      <c r="D1232" s="414">
        <f>+Clasificaciones!O734+Clasificaciones!O735+Clasificaciones!O746+Clasificaciones!O747</f>
        <v>5383611248</v>
      </c>
      <c r="E1232" s="353"/>
    </row>
    <row r="1233" spans="2:7">
      <c r="B1233" s="569" t="s">
        <v>1199</v>
      </c>
      <c r="C1233" s="690">
        <v>0</v>
      </c>
      <c r="D1233" s="414">
        <v>170000000</v>
      </c>
      <c r="E1233" s="353"/>
    </row>
    <row r="1234" spans="2:7">
      <c r="B1234" s="570" t="s">
        <v>805</v>
      </c>
      <c r="C1234" s="690">
        <f>SUMIF(Clasificaciones!D:D,'Nota 5'!B1234,Clasificaciones!G:G)</f>
        <v>3641710</v>
      </c>
      <c r="D1234" s="414">
        <f>+Clasificaciones!O766</f>
        <v>3409841</v>
      </c>
      <c r="E1234" s="353"/>
    </row>
    <row r="1235" spans="2:7">
      <c r="B1235" s="571" t="s">
        <v>71</v>
      </c>
      <c r="C1235" s="560">
        <f>SUM(C1229:C1234)</f>
        <v>4001359013</v>
      </c>
      <c r="D1235" s="560">
        <f>SUM(D1229:D1234)</f>
        <v>7905825433</v>
      </c>
      <c r="E1235" s="572">
        <f>+C1235+EERR!F44</f>
        <v>0</v>
      </c>
      <c r="F1235" s="572">
        <f>+D1235+EERR!G44</f>
        <v>0</v>
      </c>
      <c r="G1235" s="516"/>
    </row>
    <row r="1236" spans="2:7">
      <c r="B1236" s="573" t="s">
        <v>43</v>
      </c>
      <c r="C1236" s="574"/>
      <c r="D1236" s="575"/>
    </row>
    <row r="1237" spans="2:7">
      <c r="B1237" s="569" t="s">
        <v>177</v>
      </c>
      <c r="C1237" s="414">
        <f>SUMIF(Clasificaciones!D:D,'Nota 5'!B1237,Clasificaciones!G:G)</f>
        <v>45608034</v>
      </c>
      <c r="D1237" s="576">
        <f>SUMIF(Clasificaciones!D:D,'Nota 5'!B1237,Clasificaciones!O:O)</f>
        <v>0</v>
      </c>
    </row>
    <row r="1238" spans="2:7">
      <c r="B1238" s="569" t="s">
        <v>807</v>
      </c>
      <c r="C1238" s="414">
        <f>SUMIF(Clasificaciones!D:D,'Nota 5'!B1238,Clasificaciones!G:G)</f>
        <v>49788329</v>
      </c>
      <c r="D1238" s="576">
        <f>SUMIF(Clasificaciones!D:D,'Nota 5'!B1238,Clasificaciones!O:O)</f>
        <v>36000000</v>
      </c>
    </row>
    <row r="1239" spans="2:7">
      <c r="B1239" s="569" t="s">
        <v>234</v>
      </c>
      <c r="C1239" s="414">
        <f>SUMIF(Clasificaciones!D:D,'Nota 5'!B1239,Clasificaciones!G:G)</f>
        <v>200000000</v>
      </c>
      <c r="D1239" s="576">
        <f>SUMIF(Clasificaciones!D:D,'Nota 5'!B1239,Clasificaciones!O:O)</f>
        <v>20000000</v>
      </c>
    </row>
    <row r="1240" spans="2:7">
      <c r="B1240" s="569" t="s">
        <v>298</v>
      </c>
      <c r="C1240" s="414">
        <f>SUMIF(Clasificaciones!D:D,'Nota 5'!B1240,Clasificaciones!G:G)</f>
        <v>41666665</v>
      </c>
      <c r="D1240" s="576">
        <v>330000000</v>
      </c>
    </row>
    <row r="1241" spans="2:7">
      <c r="B1241" s="571" t="s">
        <v>71</v>
      </c>
      <c r="C1241" s="560">
        <f>SUM(C1236:C1240)</f>
        <v>337063028</v>
      </c>
      <c r="D1241" s="560">
        <f>SUM(D1236:D1240)</f>
        <v>386000000</v>
      </c>
      <c r="E1241" s="395">
        <f>+C1241+EERR!F51</f>
        <v>0</v>
      </c>
      <c r="F1241" s="395">
        <f>+D1241+EERR!G51</f>
        <v>0</v>
      </c>
      <c r="G1241" s="516"/>
    </row>
    <row r="1242" spans="2:7">
      <c r="B1242" s="573" t="s">
        <v>385</v>
      </c>
      <c r="C1242" s="574"/>
      <c r="D1242" s="575"/>
    </row>
    <row r="1243" spans="2:7">
      <c r="B1243" s="569" t="s">
        <v>809</v>
      </c>
      <c r="C1243" s="414">
        <f>SUMIF(Clasificaciones!D:D,'Nota 5'!B1243,Clasificaciones!G:G)</f>
        <v>272275272</v>
      </c>
      <c r="D1243" s="414">
        <f>SUMIF(Clasificaciones!D:D,'Nota 5'!B1243,Clasificaciones!O:O)</f>
        <v>203246750</v>
      </c>
      <c r="E1243" s="570"/>
    </row>
    <row r="1244" spans="2:7">
      <c r="B1244" s="569" t="s">
        <v>520</v>
      </c>
      <c r="C1244" s="414">
        <f>SUMIF(Clasificaciones!D:D,'Nota 5'!B1244,Clasificaciones!G:G)</f>
        <v>45583335</v>
      </c>
      <c r="D1244" s="414">
        <f>SUMIF(Clasificaciones!D:D,'Nota 5'!B1244,Clasificaciones!O:O)</f>
        <v>18000000</v>
      </c>
      <c r="E1244" s="570"/>
    </row>
    <row r="1245" spans="2:7">
      <c r="B1245" s="569" t="s">
        <v>1088</v>
      </c>
      <c r="C1245" s="414">
        <f>SUMIF(Clasificaciones!D:D,'Nota 5'!B1245,Clasificaciones!G:G)</f>
        <v>4120908</v>
      </c>
      <c r="D1245" s="414">
        <f>SUMIF(Clasificaciones!D:D,'Nota 5'!B1245,Clasificaciones!O:O)</f>
        <v>0</v>
      </c>
      <c r="E1245" s="570"/>
    </row>
    <row r="1246" spans="2:7">
      <c r="B1246" s="569" t="s">
        <v>811</v>
      </c>
      <c r="C1246" s="414">
        <f>SUMIF(Clasificaciones!D:D,'Nota 5'!B1246,Clasificaciones!G:G)</f>
        <v>93253333</v>
      </c>
      <c r="D1246" s="414">
        <f>SUMIF(Clasificaciones!D:D,'Nota 5'!B1246,Clasificaciones!O:O)</f>
        <v>51950776</v>
      </c>
      <c r="E1246" s="570"/>
    </row>
    <row r="1247" spans="2:7">
      <c r="B1247" s="569" t="s">
        <v>407</v>
      </c>
      <c r="C1247" s="414">
        <f>SUMIF(Clasificaciones!D:D,'Nota 5'!B1247,Clasificaciones!G:G)</f>
        <v>101957334</v>
      </c>
      <c r="D1247" s="414">
        <f>SUMIF(Clasificaciones!D:D,'Nota 5'!B1247,Clasificaciones!O:O)</f>
        <v>74331818</v>
      </c>
      <c r="E1247" s="570"/>
    </row>
    <row r="1248" spans="2:7">
      <c r="B1248" s="569" t="s">
        <v>1104</v>
      </c>
      <c r="C1248" s="414">
        <f>SUMIF(Clasificaciones!D:D,'Nota 5'!B1248,Clasificaciones!G:G)</f>
        <v>299092</v>
      </c>
      <c r="D1248" s="414">
        <f>SUMIF(Clasificaciones!D:D,'Nota 5'!B1248,Clasificaciones!O:O)</f>
        <v>0</v>
      </c>
      <c r="E1248" s="570"/>
    </row>
    <row r="1249" spans="2:5">
      <c r="B1249" s="569" t="s">
        <v>1101</v>
      </c>
      <c r="C1249" s="414">
        <f>SUMIF(Clasificaciones!D:D,'Nota 5'!B1249,Clasificaciones!G:G)</f>
        <v>7848438</v>
      </c>
      <c r="D1249" s="414">
        <f>SUMIF(Clasificaciones!D:D,'Nota 5'!B1249,Clasificaciones!O:O)</f>
        <v>0</v>
      </c>
      <c r="E1249" s="570"/>
    </row>
    <row r="1250" spans="2:5">
      <c r="B1250" s="569" t="s">
        <v>829</v>
      </c>
      <c r="C1250" s="414">
        <f>SUMIF(Clasificaciones!D:D,'Nota 5'!B1250,Clasificaciones!G:G)</f>
        <v>25905866</v>
      </c>
      <c r="D1250" s="414">
        <f>SUMIF(Clasificaciones!D:D,'Nota 5'!B1250,Clasificaciones!O:O)</f>
        <v>9000000</v>
      </c>
      <c r="E1250" s="570"/>
    </row>
    <row r="1251" spans="2:5">
      <c r="B1251" s="569" t="s">
        <v>830</v>
      </c>
      <c r="C1251" s="414">
        <f>SUMIF(Clasificaciones!D:D,'Nota 5'!B1251,Clasificaciones!G:G)</f>
        <v>10330123</v>
      </c>
      <c r="D1251" s="414">
        <f>SUMIF(Clasificaciones!D:D,'Nota 5'!B1251,Clasificaciones!O:O)</f>
        <v>10957817</v>
      </c>
      <c r="E1251" s="570"/>
    </row>
    <row r="1252" spans="2:5">
      <c r="B1252" s="569" t="s">
        <v>1379</v>
      </c>
      <c r="C1252" s="414">
        <f>SUMIF(Clasificaciones!D:D,'Nota 5'!B1252,Clasificaciones!G:G)</f>
        <v>4478763</v>
      </c>
      <c r="D1252" s="414">
        <f>SUMIF(Clasificaciones!D:D,'Nota 5'!B1252,Clasificaciones!O:O)</f>
        <v>1631744</v>
      </c>
      <c r="E1252" s="570"/>
    </row>
    <row r="1253" spans="2:5">
      <c r="B1253" s="569" t="s">
        <v>179</v>
      </c>
      <c r="C1253" s="414">
        <f>SUMIF(Clasificaciones!D:D,'Nota 5'!B1253,Clasificaciones!G:G)</f>
        <v>34589688</v>
      </c>
      <c r="D1253" s="414">
        <f>SUMIF(Clasificaciones!D:D,'Nota 5'!B1253,Clasificaciones!O:O)</f>
        <v>1412530</v>
      </c>
      <c r="E1253" s="570"/>
    </row>
    <row r="1254" spans="2:5">
      <c r="B1254" s="569" t="s">
        <v>236</v>
      </c>
      <c r="C1254" s="414">
        <f>SUMIF(Clasificaciones!D:D,'Nota 5'!B1254,Clasificaciones!G:G)</f>
        <v>17719364</v>
      </c>
      <c r="D1254" s="414">
        <f>SUMIF(Clasificaciones!D:D,'Nota 5'!B1254,Clasificaciones!O:O)</f>
        <v>10403182</v>
      </c>
      <c r="E1254" s="570"/>
    </row>
    <row r="1255" spans="2:5">
      <c r="B1255" s="569" t="s">
        <v>833</v>
      </c>
      <c r="C1255" s="414">
        <f>SUMIF(Clasificaciones!D:D,'Nota 5'!B1255,Clasificaciones!G:G)</f>
        <v>2500000</v>
      </c>
      <c r="D1255" s="414">
        <f>SUMIF(Clasificaciones!D:D,'Nota 5'!B1255,Clasificaciones!O:O)</f>
        <v>90000000</v>
      </c>
      <c r="E1255" s="570"/>
    </row>
    <row r="1256" spans="2:5">
      <c r="B1256" s="569" t="s">
        <v>398</v>
      </c>
      <c r="C1256" s="414">
        <f>SUMIF(Clasificaciones!D:D,'Nota 5'!B1256,Clasificaciones!G:G)</f>
        <v>0</v>
      </c>
      <c r="D1256" s="414">
        <f>SUMIF(Clasificaciones!D:D,'Nota 5'!B1256,Clasificaciones!O:O)</f>
        <v>2399999</v>
      </c>
      <c r="E1256" s="570"/>
    </row>
    <row r="1257" spans="2:5">
      <c r="B1257" s="569" t="s">
        <v>1242</v>
      </c>
      <c r="C1257" s="414">
        <f>SUMIF(Clasificaciones!D:D,'Nota 5'!B1257,Clasificaciones!G:G)</f>
        <v>0</v>
      </c>
      <c r="D1257" s="414">
        <f>SUMIF(Clasificaciones!D:D,'Nota 5'!B1257,Clasificaciones!O:O)</f>
        <v>0</v>
      </c>
      <c r="E1257" s="570"/>
    </row>
    <row r="1258" spans="2:5">
      <c r="B1258" s="569" t="s">
        <v>1266</v>
      </c>
      <c r="C1258" s="414">
        <f>SUMIF(Clasificaciones!D:D,'Nota 5'!B1258,Clasificaciones!G:G)</f>
        <v>833340</v>
      </c>
      <c r="D1258" s="414">
        <f>SUMIF(Clasificaciones!D:D,'Nota 5'!B1258,Clasificaciones!O:O)</f>
        <v>0</v>
      </c>
      <c r="E1258" s="570"/>
    </row>
    <row r="1259" spans="2:5">
      <c r="B1259" s="569" t="s">
        <v>1109</v>
      </c>
      <c r="C1259" s="414">
        <f>SUMIF(Clasificaciones!D:D,'Nota 5'!B1259,Clasificaciones!G:G)</f>
        <v>4618081</v>
      </c>
      <c r="D1259" s="414">
        <f>SUMIF(Clasificaciones!D:D,'Nota 5'!B1259,Clasificaciones!O:O)</f>
        <v>550251</v>
      </c>
      <c r="E1259" s="570"/>
    </row>
    <row r="1260" spans="2:5">
      <c r="B1260" s="569" t="s">
        <v>78</v>
      </c>
      <c r="C1260" s="414">
        <f>SUMIF(Clasificaciones!D:D,'Nota 5'!B1260,Clasificaciones!G:G)</f>
        <v>5456147</v>
      </c>
      <c r="D1260" s="414">
        <f>SUMIF(Clasificaciones!D:D,'Nota 5'!B1260,Clasificaciones!O:O)</f>
        <v>7681264</v>
      </c>
      <c r="E1260" s="570"/>
    </row>
    <row r="1261" spans="2:5">
      <c r="B1261" s="569" t="s">
        <v>836</v>
      </c>
      <c r="C1261" s="414">
        <f>SUMIF(Clasificaciones!D:D,'Nota 5'!B1261,Clasificaciones!G:G)</f>
        <v>25318166</v>
      </c>
      <c r="D1261" s="414">
        <f>SUMIF(Clasificaciones!D:D,'Nota 5'!B1261,Clasificaciones!O:O)</f>
        <v>7291384</v>
      </c>
      <c r="E1261" s="570"/>
    </row>
    <row r="1262" spans="2:5">
      <c r="B1262" s="569" t="s">
        <v>840</v>
      </c>
      <c r="C1262" s="414">
        <f>SUMIF(Clasificaciones!D:D,'Nota 5'!B1262,Clasificaciones!G:G)</f>
        <v>14367279</v>
      </c>
      <c r="D1262" s="414">
        <f>SUMIF(Clasificaciones!D:D,'Nota 5'!B1262,Clasificaciones!O:O)</f>
        <v>25524855</v>
      </c>
      <c r="E1262" s="570"/>
    </row>
    <row r="1263" spans="2:5">
      <c r="B1263" s="569" t="s">
        <v>1415</v>
      </c>
      <c r="C1263" s="414">
        <f>SUMIF(Clasificaciones!D:D,'Nota 5'!B1263,Clasificaciones!G:G)</f>
        <v>578358</v>
      </c>
      <c r="D1263" s="414">
        <f>SUMIF(Clasificaciones!D:D,'Nota 5'!B1263,Clasificaciones!O:O)</f>
        <v>0</v>
      </c>
      <c r="E1263" s="570"/>
    </row>
    <row r="1264" spans="2:5">
      <c r="B1264" s="569" t="s">
        <v>841</v>
      </c>
      <c r="C1264" s="414">
        <f>SUMIF(Clasificaciones!D:D,'Nota 5'!B1264,Clasificaciones!G:G)</f>
        <v>181590510</v>
      </c>
      <c r="D1264" s="414">
        <f>SUMIF(Clasificaciones!D:D,'Nota 5'!B1264,Clasificaciones!O:O)</f>
        <v>216528286</v>
      </c>
      <c r="E1264" s="570"/>
    </row>
    <row r="1265" spans="2:7">
      <c r="B1265" s="569" t="s">
        <v>238</v>
      </c>
      <c r="C1265" s="414">
        <f>SUMIF(Clasificaciones!D:D,'Nota 5'!B1265,Clasificaciones!G:G)</f>
        <v>600000</v>
      </c>
      <c r="D1265" s="414">
        <v>872727</v>
      </c>
      <c r="E1265" s="570"/>
    </row>
    <row r="1266" spans="2:7">
      <c r="B1266" s="571" t="s">
        <v>71</v>
      </c>
      <c r="C1266" s="560">
        <f>+SUM(C1243:C1265)</f>
        <v>854223397</v>
      </c>
      <c r="D1266" s="560">
        <f>+SUM(D1243:D1265)</f>
        <v>731783383</v>
      </c>
      <c r="E1266" s="577">
        <f>+C1266+EERR!F62</f>
        <v>0</v>
      </c>
      <c r="F1266" s="395">
        <f>+D1266+EERR!G62</f>
        <v>0</v>
      </c>
      <c r="G1266" s="516"/>
    </row>
    <row r="1267" spans="2:7">
      <c r="B1267" s="578"/>
      <c r="C1267" s="563"/>
      <c r="D1267" s="563"/>
      <c r="E1267" s="579"/>
      <c r="F1267" s="395"/>
      <c r="G1267" s="516"/>
    </row>
    <row r="1268" spans="2:7">
      <c r="B1268" s="555"/>
      <c r="C1268" s="555"/>
      <c r="D1268" s="555"/>
    </row>
    <row r="1269" spans="2:7">
      <c r="B1269" s="555"/>
      <c r="C1269" s="555"/>
      <c r="D1269" s="555"/>
    </row>
    <row r="1270" spans="2:7">
      <c r="B1270" s="339" t="s">
        <v>1443</v>
      </c>
      <c r="C1270" s="347"/>
    </row>
    <row r="1272" spans="2:7" ht="21.6" customHeight="1">
      <c r="B1272" s="557" t="s">
        <v>70</v>
      </c>
      <c r="C1272" s="343">
        <v>44742</v>
      </c>
      <c r="D1272" s="343">
        <v>44377</v>
      </c>
      <c r="E1272" s="353"/>
    </row>
    <row r="1273" spans="2:7">
      <c r="B1273" s="580" t="s">
        <v>386</v>
      </c>
      <c r="C1273" s="581"/>
      <c r="D1273" s="490"/>
    </row>
    <row r="1274" spans="2:7">
      <c r="B1274" s="440" t="s">
        <v>1075</v>
      </c>
      <c r="C1274" s="582">
        <f>-Clasificaciones!G692</f>
        <v>5666190</v>
      </c>
      <c r="D1274" s="414">
        <f>SUMIF(Clasificaciones!D:D,'Nota 5'!B1274,Clasificaciones!O:O)</f>
        <v>0</v>
      </c>
    </row>
    <row r="1275" spans="2:7">
      <c r="B1275" s="440" t="s">
        <v>508</v>
      </c>
      <c r="C1275" s="582">
        <f>-Clasificaciones!G699</f>
        <v>1406751239</v>
      </c>
      <c r="D1275" s="501">
        <f>-Clasificaciones!O699</f>
        <v>843609264</v>
      </c>
    </row>
    <row r="1276" spans="2:7">
      <c r="B1276" s="440" t="s">
        <v>1222</v>
      </c>
      <c r="C1276" s="582">
        <f>-Clasificaciones!$G$701-Clasificaciones!$G$702</f>
        <v>7538594</v>
      </c>
      <c r="D1276" s="501">
        <f>Clasificaciones!$O$701+Clasificaciones!$O$702</f>
        <v>27671219</v>
      </c>
    </row>
    <row r="1277" spans="2:7">
      <c r="B1277" s="440" t="s">
        <v>796</v>
      </c>
      <c r="C1277" s="501">
        <f>-Clasificaciones!G693</f>
        <v>2322</v>
      </c>
      <c r="D1277" s="501">
        <f>-Clasificaciones!O693</f>
        <v>6390</v>
      </c>
    </row>
    <row r="1278" spans="2:7">
      <c r="B1278" s="580" t="s">
        <v>71</v>
      </c>
      <c r="C1278" s="583">
        <f>SUM(C1274:C1277)</f>
        <v>1419958345</v>
      </c>
      <c r="D1278" s="583">
        <f>SUM(D1274:D1277)</f>
        <v>871286873</v>
      </c>
      <c r="E1278" s="382">
        <f>+C1278-EERR!F67</f>
        <v>0</v>
      </c>
      <c r="F1278" s="382">
        <f>+D1278-EERR!G67</f>
        <v>0</v>
      </c>
    </row>
    <row r="1279" spans="2:7">
      <c r="B1279" s="580" t="s">
        <v>387</v>
      </c>
      <c r="C1279" s="584"/>
      <c r="D1279" s="585"/>
      <c r="F1279" s="380"/>
    </row>
    <row r="1280" spans="2:7">
      <c r="B1280" s="440" t="s">
        <v>842</v>
      </c>
      <c r="C1280" s="360">
        <f>-Clasificaciones!G885</f>
        <v>-10145</v>
      </c>
      <c r="D1280" s="381">
        <f>-Clasificaciones!O885</f>
        <v>-5798</v>
      </c>
    </row>
    <row r="1281" spans="2:8">
      <c r="B1281" s="580" t="s">
        <v>71</v>
      </c>
      <c r="C1281" s="504">
        <f>SUM(C1280)</f>
        <v>-10145</v>
      </c>
      <c r="D1281" s="504">
        <f>SUM(D1280)</f>
        <v>-5798</v>
      </c>
      <c r="E1281" s="382">
        <f>+C1281-EERR!F68</f>
        <v>0</v>
      </c>
      <c r="F1281" s="382">
        <f>+D1281-EERR!G68</f>
        <v>0</v>
      </c>
    </row>
    <row r="1282" spans="2:8">
      <c r="B1282" s="578"/>
      <c r="C1282" s="586"/>
      <c r="D1282" s="586"/>
    </row>
    <row r="1283" spans="2:8">
      <c r="B1283" s="578"/>
      <c r="C1283" s="586"/>
      <c r="D1283" s="586"/>
    </row>
    <row r="1284" spans="2:8">
      <c r="B1284" s="339" t="s">
        <v>1444</v>
      </c>
      <c r="C1284" s="347"/>
      <c r="D1284" s="586"/>
    </row>
    <row r="1285" spans="2:8">
      <c r="B1285" s="587"/>
      <c r="C1285" s="586"/>
      <c r="D1285" s="586"/>
    </row>
    <row r="1286" spans="2:8" ht="21.6" customHeight="1">
      <c r="B1286" s="557" t="s">
        <v>1167</v>
      </c>
      <c r="C1286" s="343">
        <v>44742</v>
      </c>
      <c r="D1286" s="343">
        <v>44377</v>
      </c>
      <c r="E1286" s="353"/>
    </row>
    <row r="1287" spans="2:8">
      <c r="B1287" s="588" t="s">
        <v>231</v>
      </c>
      <c r="C1287" s="589">
        <f>-Clasificaciones!G687</f>
        <v>612814</v>
      </c>
      <c r="D1287" s="590">
        <f>-Clasificaciones!O687</f>
        <v>2985129</v>
      </c>
    </row>
    <row r="1288" spans="2:8">
      <c r="B1288" s="588" t="s">
        <v>197</v>
      </c>
      <c r="C1288" s="589">
        <f>-Clasificaciones!G689-Clasificaciones!G871</f>
        <v>-2160390762</v>
      </c>
      <c r="D1288" s="589">
        <f>-Clasificaciones!O689-Clasificaciones!O871</f>
        <v>-288034571</v>
      </c>
    </row>
    <row r="1289" spans="2:8">
      <c r="B1289" s="591" t="s">
        <v>75</v>
      </c>
      <c r="C1289" s="592">
        <f>SUM(C1287:C1288)</f>
        <v>-2159777948</v>
      </c>
      <c r="D1289" s="592">
        <f>SUM(D1287:D1288)</f>
        <v>-285049442</v>
      </c>
    </row>
    <row r="1290" spans="2:8" ht="12.75" customHeight="1">
      <c r="B1290" s="571"/>
      <c r="C1290" s="593"/>
      <c r="D1290" s="594"/>
    </row>
    <row r="1291" spans="2:8" ht="21.6" customHeight="1">
      <c r="B1291" s="557" t="s">
        <v>1168</v>
      </c>
      <c r="C1291" s="343">
        <v>44742</v>
      </c>
      <c r="D1291" s="343">
        <v>44377</v>
      </c>
      <c r="E1291" s="353"/>
    </row>
    <row r="1292" spans="2:8">
      <c r="B1292" s="588" t="s">
        <v>388</v>
      </c>
      <c r="C1292" s="589">
        <f>-Clasificaciones!G867-Clasificaciones!G866</f>
        <v>-254263541</v>
      </c>
      <c r="D1292" s="589">
        <f>-Clasificaciones!O867</f>
        <v>-148301269</v>
      </c>
    </row>
    <row r="1293" spans="2:8">
      <c r="B1293" s="588" t="s">
        <v>122</v>
      </c>
      <c r="C1293" s="589">
        <f>-Clasificaciones!G690-Clasificaciones!G872</f>
        <v>1991618597</v>
      </c>
      <c r="D1293" s="589">
        <f>-Clasificaciones!O690-Clasificaciones!O872</f>
        <v>251371295</v>
      </c>
    </row>
    <row r="1294" spans="2:8">
      <c r="B1294" s="591" t="s">
        <v>75</v>
      </c>
      <c r="C1294" s="592">
        <f>SUM(C1292:C1293)</f>
        <v>1737355056</v>
      </c>
      <c r="D1294" s="592">
        <f>SUM(D1292:D1293)</f>
        <v>103070026</v>
      </c>
      <c r="F1294" s="386"/>
      <c r="G1294" s="386"/>
      <c r="H1294" s="386"/>
    </row>
    <row r="1295" spans="2:8">
      <c r="B1295" s="591" t="s">
        <v>389</v>
      </c>
      <c r="C1295" s="592">
        <f>+C1289+C1294</f>
        <v>-422422892</v>
      </c>
      <c r="D1295" s="592">
        <f>+D1289+D1294</f>
        <v>-181979416</v>
      </c>
      <c r="E1295" s="382">
        <f>+C1295-EERR!F70</f>
        <v>0</v>
      </c>
      <c r="F1295" s="382">
        <f>+D1295-EERR!G70</f>
        <v>0</v>
      </c>
    </row>
    <row r="1296" spans="2:8">
      <c r="B1296" s="587"/>
      <c r="C1296" s="586"/>
      <c r="D1296" s="586"/>
    </row>
    <row r="1297" spans="1:6">
      <c r="B1297" s="339" t="s">
        <v>1445</v>
      </c>
      <c r="C1297" s="347"/>
      <c r="D1297" s="586"/>
    </row>
    <row r="1299" spans="1:6" ht="21.6" customHeight="1">
      <c r="B1299" s="557" t="s">
        <v>171</v>
      </c>
      <c r="C1299" s="343">
        <v>44742</v>
      </c>
      <c r="D1299" s="343">
        <v>44377</v>
      </c>
      <c r="E1299" s="353"/>
    </row>
    <row r="1300" spans="1:6">
      <c r="B1300" s="595" t="s">
        <v>390</v>
      </c>
      <c r="C1300" s="558">
        <f>-Clasificaciones!G694</f>
        <v>6473750</v>
      </c>
      <c r="D1300" s="590">
        <f>-Clasificaciones!O694</f>
        <v>441566</v>
      </c>
    </row>
    <row r="1301" spans="1:6">
      <c r="B1301" s="596" t="s">
        <v>75</v>
      </c>
      <c r="C1301" s="560">
        <f>SUM(C1300)</f>
        <v>6473750</v>
      </c>
      <c r="D1301" s="560">
        <f>SUM(D1300)</f>
        <v>441566</v>
      </c>
      <c r="E1301" s="395">
        <f>+C1301-EERR!F79</f>
        <v>0</v>
      </c>
      <c r="F1301" s="395">
        <f>+D1301-EERR!G79</f>
        <v>0</v>
      </c>
    </row>
    <row r="1302" spans="1:6">
      <c r="B1302" s="339"/>
      <c r="C1302" s="597"/>
      <c r="D1302" s="598"/>
    </row>
    <row r="1303" spans="1:6">
      <c r="A1303" s="599"/>
      <c r="B1303" s="600"/>
      <c r="C1303" s="601"/>
      <c r="D1303" s="602"/>
      <c r="E1303" s="352"/>
      <c r="F1303" s="603"/>
    </row>
    <row r="1304" spans="1:6">
      <c r="A1304" s="599"/>
      <c r="B1304" s="352"/>
      <c r="C1304" s="601"/>
      <c r="D1304" s="602"/>
      <c r="E1304" s="603"/>
      <c r="F1304" s="603"/>
    </row>
    <row r="1308" spans="1:6">
      <c r="B1308" s="696"/>
    </row>
    <row r="1309" spans="1:6">
      <c r="B1309" s="795"/>
    </row>
    <row r="1310" spans="1:6">
      <c r="B1310" s="796"/>
    </row>
    <row r="1311" spans="1:6">
      <c r="B1311" s="797"/>
    </row>
    <row r="1312" spans="1:6">
      <c r="B1312" s="696"/>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5">
    <mergeCell ref="C1027:C1028"/>
    <mergeCell ref="C1038:C1039"/>
    <mergeCell ref="D1038:D1039"/>
    <mergeCell ref="B1027:B1028"/>
    <mergeCell ref="D1027:D1028"/>
    <mergeCell ref="E1124:F1124"/>
    <mergeCell ref="B1124:B1125"/>
    <mergeCell ref="C1124:C1125"/>
    <mergeCell ref="D1124:D1125"/>
    <mergeCell ref="B1038:B1039"/>
    <mergeCell ref="B1062:B1063"/>
    <mergeCell ref="B1101:B1102"/>
    <mergeCell ref="C1062:C1063"/>
    <mergeCell ref="D1062:D1063"/>
    <mergeCell ref="B1052:B1053"/>
    <mergeCell ref="C1052:C1053"/>
    <mergeCell ref="D1052:D1053"/>
    <mergeCell ref="B57:B58"/>
    <mergeCell ref="B137:G137"/>
    <mergeCell ref="H137:J137"/>
    <mergeCell ref="B23:B24"/>
    <mergeCell ref="I138:I139"/>
    <mergeCell ref="J138:J139"/>
    <mergeCell ref="G138:G139"/>
    <mergeCell ref="B138:B139"/>
    <mergeCell ref="C138:C139"/>
    <mergeCell ref="H138:H139"/>
    <mergeCell ref="D138:D139"/>
    <mergeCell ref="E138:F138"/>
    <mergeCell ref="C23:C24"/>
    <mergeCell ref="D23:D24"/>
    <mergeCell ref="E23:E24"/>
    <mergeCell ref="F23:F24"/>
    <mergeCell ref="B3:M3"/>
    <mergeCell ref="B4:M4"/>
    <mergeCell ref="B5:M5"/>
    <mergeCell ref="B6:M6"/>
    <mergeCell ref="B20:H20"/>
    <mergeCell ref="B12:K12"/>
    <mergeCell ref="C57:C58"/>
    <mergeCell ref="E57:E58"/>
    <mergeCell ref="C1101:C1102"/>
    <mergeCell ref="D1101:D1102"/>
    <mergeCell ref="H23:H24"/>
    <mergeCell ref="G23:G24"/>
    <mergeCell ref="D57:D58"/>
    <mergeCell ref="F57:F58"/>
    <mergeCell ref="B531:F531"/>
    <mergeCell ref="B916:F916"/>
    <mergeCell ref="B923:F923"/>
    <mergeCell ref="B976:B977"/>
    <mergeCell ref="C976:G976"/>
    <mergeCell ref="B950:D950"/>
    <mergeCell ref="B966:D966"/>
    <mergeCell ref="H976:M976"/>
  </mergeCells>
  <hyperlinks>
    <hyperlink ref="K8" location="INDICE!A1" display="Índice" xr:uid="{60B6D0E1-4133-43B3-8E10-41476050FAB0}"/>
  </hyperlinks>
  <pageMargins left="0.23622047244094491" right="0.23622047244094491" top="0.74803149606299213" bottom="0.74803149606299213" header="0.31496062992125984" footer="0.31496062992125984"/>
  <pageSetup paperSize="9" scale="10" orientation="landscape" r:id="rId4"/>
  <ignoredErrors>
    <ignoredError sqref="E129 D1021 F1140" formulaRange="1"/>
  </ignoredErrors>
  <drawing r:id="rId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TnL6IEByqo0Ynr4y6HPyWDYlTp0ppdFkpl2R5TteAV0=</DigestValue>
    </Reference>
    <Reference Type="http://www.w3.org/2000/09/xmldsig#Object" URI="#idOfficeObject">
      <DigestMethod Algorithm="http://www.w3.org/2001/04/xmlenc#sha256"/>
      <DigestValue>jSxc6hDaAXxLT0ayL02OcaWc7b/fMSM7RNjRiblEf+s=</DigestValue>
    </Reference>
    <Reference Type="http://uri.etsi.org/01903#SignedProperties" URI="#idSignedProperties">
      <Transforms>
        <Transform Algorithm="http://www.w3.org/TR/2001/REC-xml-c14n-20010315"/>
      </Transforms>
      <DigestMethod Algorithm="http://www.w3.org/2001/04/xmlenc#sha256"/>
      <DigestValue>yJyY0waUO67I8onZmishmbXrw6c4z4p421A3xcnP2co=</DigestValue>
    </Reference>
    <Reference Type="http://www.w3.org/2000/09/xmldsig#Object" URI="#idValidSigLnImg">
      <DigestMethod Algorithm="http://www.w3.org/2001/04/xmlenc#sha256"/>
      <DigestValue>+UJwtIY2o8MLtGkvnEciLwmF5Y2FWtGcoQ/zVwEQ5ho=</DigestValue>
    </Reference>
    <Reference Type="http://www.w3.org/2000/09/xmldsig#Object" URI="#idInvalidSigLnImg">
      <DigestMethod Algorithm="http://www.w3.org/2001/04/xmlenc#sha256"/>
      <DigestValue>BhKuPegPYpmWU/jblqepphH/S+VIa+RrcT43OjHlJxE=</DigestValue>
    </Reference>
  </SignedInfo>
  <SignatureValue>i9sv5ErXIQrNM5yGrFWvYEPwQkqbHCDsBMEpZPOTOyk6x9XZLGCYGNkAQbWYrVAOg5O8kA0tHvKZ
ujBNEASKmFcaR89npAl9wKN/BrGVd+lyE/8e1FiTA+B2FYo1cvCQW4V+qGIPqNGbxu7oaVmPlEo0
UnYqTPvoMg+erwKE5Imc0+Ez2U6r7kPAvzNDfbC9JhOm4a0HuSqebgCurPOLCFvhi9py1lrdcjAJ
G0I7qRT0IF3hx6I7aSFDOCFvqU9h5KBRCN/p2hXbIoG0ax/vMbrHv1r6NKm8AiSJ2dxEkfigdQor
m7jeOMO2jpI6dRGW1c5MqgvloOqjbKO8+ckwTA==</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/Pm6oS2i1ok+MJBZN+7ghsbbxIK4uNn+DrX8vuww7wY=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nlXF4DOB/deIujSIINCvRYTDcZ0bhPetDGsTyeMpV3E=</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/f7nxy7LbcIuG5hWelrg5Xt0BO+KBb/Ow8qZmhxXZXo=</DigestValue>
      </Reference>
      <Reference URI="/xl/drawings/drawing6.xml?ContentType=application/vnd.openxmlformats-officedocument.drawing+xml">
        <DigestMethod Algorithm="http://www.w3.org/2001/04/xmlenc#sha256"/>
        <DigestValue>AonHowbn8UYOlvxpgcAiZJMJiWwOVlRBl6DWLuUtOc0=</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PfF0qooLpFhsQ5W5+FAyNjdZuVIkdkcIdGR6pwzNvoY=</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FcLNZgOqRGHSI5/hpfgNSZ8nZCSaSP80wrIqBG4n0Rc=</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knC6NamXOpwNzmUFr9zq6YHw4LmykZ22Oh74ssmlKgg=</DigestValue>
      </Reference>
      <Reference URI="/xl/media/image4.emf?ContentType=image/x-emf">
        <DigestMethod Algorithm="http://www.w3.org/2001/04/xmlenc#sha256"/>
        <DigestValue>pigKRTNebVzTz+2eXVGGiYtIZzTDnviu9SRGF+yOnBw=</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TRrCOIAvgyay9+dOHANtMRhI4Mlj24DaFIyKQoKcdPw=</DigestValue>
      </Reference>
      <Reference URI="/xl/printerSettings/printerSettings11.bin?ContentType=application/vnd.openxmlformats-officedocument.spreadsheetml.printerSettings">
        <DigestMethod Algorithm="http://www.w3.org/2001/04/xmlenc#sha256"/>
        <DigestValue>aKO8XWThzgvGlTVSu23kX37OoqtKGS6PBUkmhsicI1Y=</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nrwW2aOzrJ6w3s+3W+h5IvHukzB/6FZNl1merJBqyjs=</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eagKw4vkJta//EAXFo8pt3rkLlJe7nsQidLS/ebqtjQ=</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4nr+D6DhqHn5BPmVkM2hzVl2/LW2sUgLw7y90mm5Pdw=</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AJzHPuZjWFngczH/xsUd62OVqmQdA8sSRt3Y8JhmUCw=</DigestValue>
      </Reference>
      <Reference URI="/xl/printerSettings/printerSettings23.bin?ContentType=application/vnd.openxmlformats-officedocument.spreadsheetml.printerSettings">
        <DigestMethod Algorithm="http://www.w3.org/2001/04/xmlenc#sha256"/>
        <DigestValue>nrwW2aOzrJ6w3s+3W+h5IvHukzB/6FZNl1merJBqyjs=</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HeMXh0BvJ5EJgLU/vDhAs8Wted+7ofJnylrfXHCWHDg=</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/uyoWTLXzUkkEvUZWtQdXYBZymMLTquzPFEjsb32RLQ=</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37.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hqnMLvZ6XBY2fH1KhK00vJXWuxlSZRWkoKrdKDrIF2Q=</DigestValue>
      </Reference>
      <Reference URI="/xl/sharedStrings.xml?ContentType=application/vnd.openxmlformats-officedocument.spreadsheetml.sharedStrings+xml">
        <DigestMethod Algorithm="http://www.w3.org/2001/04/xmlenc#sha256"/>
        <DigestValue>GVeJjb6PJYWpRh9twnqKTyx/oCflXNrAkVJJpIBa2Rs=</DigestValue>
      </Reference>
      <Reference URI="/xl/styles.xml?ContentType=application/vnd.openxmlformats-officedocument.spreadsheetml.styles+xml">
        <DigestMethod Algorithm="http://www.w3.org/2001/04/xmlenc#sha256"/>
        <DigestValue>ccX9RoDdwTc1TJWZm6MwiCucJMK+Qd1BjZYja3OIWps=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NQm+nHn5lmDpFEJHIYkBPUFYe+1JFso706/c/KACRxE=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f6kP2VqJ+fycc43LL1fljU/Wfi/8rNdsiIQKLv7EAVQ=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G+7170ibBkPobKUxosE4ZVCoFzWeNyG57udtJ5CPa0A=</DigestValue>
      </Reference>
      <Reference URI="/xl/worksheets/sheet1.xml?ContentType=application/vnd.openxmlformats-officedocument.spreadsheetml.worksheet+xml">
        <DigestMethod Algorithm="http://www.w3.org/2001/04/xmlenc#sha256"/>
        <DigestValue>gmuiKVujqqUYPXGGQe3Cr9ADw4TKSImDMrresOAcQiM=</DigestValue>
      </Reference>
      <Reference URI="/xl/worksheets/sheet10.xml?ContentType=application/vnd.openxmlformats-officedocument.spreadsheetml.worksheet+xml">
        <DigestMethod Algorithm="http://www.w3.org/2001/04/xmlenc#sha256"/>
        <DigestValue>nQiaAuO686BjzEep/5Jm3IWY1RlXvMOcNXcvLiZtsWI=</DigestValue>
      </Reference>
      <Reference URI="/xl/worksheets/sheet11.xml?ContentType=application/vnd.openxmlformats-officedocument.spreadsheetml.worksheet+xml">
        <DigestMethod Algorithm="http://www.w3.org/2001/04/xmlenc#sha256"/>
        <DigestValue>Cb57foJ+yhYSGrpD5UiY+NVMqBCt6da9UBE0UXtUsjQ=</DigestValue>
      </Reference>
      <Reference URI="/xl/worksheets/sheet12.xml?ContentType=application/vnd.openxmlformats-officedocument.spreadsheetml.worksheet+xml">
        <DigestMethod Algorithm="http://www.w3.org/2001/04/xmlenc#sha256"/>
        <DigestValue>muhtTxKMtdoPaKfupykjbJX/82lQToh9U7ogY2sEchE=</DigestValue>
      </Reference>
      <Reference URI="/xl/worksheets/sheet13.xml?ContentType=application/vnd.openxmlformats-officedocument.spreadsheetml.worksheet+xml">
        <DigestMethod Algorithm="http://www.w3.org/2001/04/xmlenc#sha256"/>
        <DigestValue>KBCBjXM4vYazs8slqQ/l2SXFcA+lyQhenESGZZRjq7Q=</DigestValue>
      </Reference>
      <Reference URI="/xl/worksheets/sheet14.xml?ContentType=application/vnd.openxmlformats-officedocument.spreadsheetml.worksheet+xml">
        <DigestMethod Algorithm="http://www.w3.org/2001/04/xmlenc#sha256"/>
        <DigestValue>AH9RawuNpD4CRDGCl7Lto1xRODCHyOsrW9sq2Ju8rMU=</DigestValue>
      </Reference>
      <Reference URI="/xl/worksheets/sheet15.xml?ContentType=application/vnd.openxmlformats-officedocument.spreadsheetml.worksheet+xml">
        <DigestMethod Algorithm="http://www.w3.org/2001/04/xmlenc#sha256"/>
        <DigestValue>LLeKuCEwvAMUaInY9XiDZ/3WcryeGNUIIzWNIz4n8n0=</DigestValue>
      </Reference>
      <Reference URI="/xl/worksheets/sheet2.xml?ContentType=application/vnd.openxmlformats-officedocument.spreadsheetml.worksheet+xml">
        <DigestMethod Algorithm="http://www.w3.org/2001/04/xmlenc#sha256"/>
        <DigestValue>f8qvJSVzeh0I0vXYsVTSf96fhx1lfs3yDFLf5xHX4LQ=</DigestValue>
      </Reference>
      <Reference URI="/xl/worksheets/sheet3.xml?ContentType=application/vnd.openxmlformats-officedocument.spreadsheetml.worksheet+xml">
        <DigestMethod Algorithm="http://www.w3.org/2001/04/xmlenc#sha256"/>
        <DigestValue>1pMRcuqtMs0ykY9lpvNcNugsw15btvURiIAd5yaXzCg=</DigestValue>
      </Reference>
      <Reference URI="/xl/worksheets/sheet4.xml?ContentType=application/vnd.openxmlformats-officedocument.spreadsheetml.worksheet+xml">
        <DigestMethod Algorithm="http://www.w3.org/2001/04/xmlenc#sha256"/>
        <DigestValue>C6CEpB0oSuOcIi4Jqy7B95A3Xj2I3hGldRRiMnt6zKs=</DigestValue>
      </Reference>
      <Reference URI="/xl/worksheets/sheet5.xml?ContentType=application/vnd.openxmlformats-officedocument.spreadsheetml.worksheet+xml">
        <DigestMethod Algorithm="http://www.w3.org/2001/04/xmlenc#sha256"/>
        <DigestValue>TrtsiqSJ1T8+nX5pPFJMubIwNP2azMJHrq++L4i8VmI=</DigestValue>
      </Reference>
      <Reference URI="/xl/worksheets/sheet6.xml?ContentType=application/vnd.openxmlformats-officedocument.spreadsheetml.worksheet+xml">
        <DigestMethod Algorithm="http://www.w3.org/2001/04/xmlenc#sha256"/>
        <DigestValue>XyBhBhQxxcM+VSIerdWSy7X0XL0d8tAKr4j38yuHjbc=</DigestValue>
      </Reference>
      <Reference URI="/xl/worksheets/sheet7.xml?ContentType=application/vnd.openxmlformats-officedocument.spreadsheetml.worksheet+xml">
        <DigestMethod Algorithm="http://www.w3.org/2001/04/xmlenc#sha256"/>
        <DigestValue>FDeAGX10UA2P8685z1I6NXiwpXwDed46RUjXD2hyNAI=</DigestValue>
      </Reference>
      <Reference URI="/xl/worksheets/sheet8.xml?ContentType=application/vnd.openxmlformats-officedocument.spreadsheetml.worksheet+xml">
        <DigestMethod Algorithm="http://www.w3.org/2001/04/xmlenc#sha256"/>
        <DigestValue>usQFLOeDxIIOeUD2h9uIX7v48z+EGfgVLjrety0qKAo=</DigestValue>
      </Reference>
      <Reference URI="/xl/worksheets/sheet9.xml?ContentType=application/vnd.openxmlformats-officedocument.spreadsheetml.worksheet+xml">
        <DigestMethod Algorithm="http://www.w3.org/2001/04/xmlenc#sha256"/>
        <DigestValue>8FBjMmLJAMOJP9mMkuOQh0/XS/XL3NqCZeN30OCeUH8=</DigestValue>
      </Reference>
    </Manifest>
    <SignatureProperties>
      <SignatureProperty Id="idSignatureTime" Target="#idPackageSignature">
        <mdssi:SignatureTime xmlns:mdssi="http://schemas.openxmlformats.org/package/2006/digital-signature">
          <mdssi:Format>YYYY-MM-DDThh:mm:ssTZD</mdssi:Format>
          <mdssi:Value>2022-08-12T19:46:27Z</mdssi:Value>
        </mdssi:SignatureTime>
      </SignatureProperty>
    </SignatureProperties>
  </Object>
  <Object Id="idOfficeObject">
    <SignatureProperties>
      <SignatureProperty Id="idOfficeV1Details" Target="#idPackageSignature">
        <SignatureInfoV1 xmlns="http://schemas.microsoft.com/office/2006/digsig">
          <SetupID>{BB4D2422-2C8E-4226-823B-A069B30925E1}</SetupID>
          <SignatureText>Shirley Vichini</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2022-08-12T19:46:27Z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gMvQ/38AAACAy9D/fwAAtBmu0P9/AAAAAPMK+H8AALHsHdD/fwAAMBbzCvh/AAC0Ga7Q/38AANgWAAAAAAAAQAAAwP9/AAAAAPMK+H8AAIHvHdD/fwAABAAAAAAAAAAwFvMK+H8AAPCz2s5XAAAAtBmu0AAAAABIAAAAAAAAALQZrtD/fwAAoIPL0P9/AAAAHq7Q/38AAAEAAAAAAAAAgEOu0P9/AAAAAPMK+H8AAAAAAAAAAAAAAAAAAFcAAABQuNrOVwAAAACNsWYCAgAAC6eICfh/AADQtNrOVwAAAGm12s5XAAAAAAAAAAAAAAAAAAAAZHYACAAAAAAlAAAADAAAAAEAAAAYAAAADAAAAAAAAAASAAAADAAAAAEAAAAeAAAAGAAAAO4AAAAFAAAAMgEAABYAAAAlAAAADAAAAAEAAABUAAAAiAAAAO8AAAAFAAAAMAEAABUAAAABAAAAVVWPQYX2jkHvAAAABQAAAAoAAABMAAAAAAAAAAAAAAAAAAAA//////////9gAAAAMQAyAC8AMAA4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JDTrFECAgAAAAAAAAAAAAABAAAAYs8AAIgOrAn4fwAAAAAAAAAAAACAP/MK+H8AAAkAAAABAAAACQAAAAAAAAAAAAAAAAAAAAAAAAAAAAAAqkpROF3GAAAAjbFmAgIAAAQAAAAAAAAAYLjmZgICAAAAjbFmAgIAAEAm2c4AAAAAAAAAAAAAAAAHAAAAAAAAAAAAAAAAAAAAfCXZzlcAAAC5JdnOVwAAANG3hAn4fwAAKKLD0P9/AAAAAAbQAAAAAIiDy9D/fwAAECXZzlcAAAAAjbFmAgIAAAuniAn4fwAAICXZzlcAAAC5JdnOVwAAADAytmwC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A6sCfh/AAAAAAAAAAAAANkj2c5XAAAAAwAAAAAAAADHs+0L+H8AAAAAAAAAAAAAAAAAAAAAAAAqSlE4XcYAAAAAAAD/fwAAsDoFbAICAADg////AAAAAACNsWYCAgAA2CXZzgAAAAAAAAAAAAAAAAYAAAAAAAAAAAAAAAAAAAD8JNnOVwAAADkl2c5XAAAA0beECfh/AAAAAAAA/38AAJDqrmwAAAAAAQAAAAAAAAAAAAAAAAAAAACNsWYCAgAAC6eICfh/AACgJNnOVwAAADkl2c5XAAAAwKC2aAIC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BA+K5sAgIAAAAAAAAAAAAAAAgAAAAAAACIDqwJ+H8AAAAAAAAAAAAA0EaVz/9/AABwQwVsAgIAAM0DCc//fwAAAAAAAAAAAAAAAAAAAAAAAIpKUThdxgAAaSTZzlcAAACoRpXP/38AAOz///8AAAAAAI2xZgICAAB4JtnOAAAAAAAAAAAAAAAACQAAAAAAAAAAAAAAAAAAAJwl2c5XAAAA2SXZzlcAAADRt4QJ+H8AAAABAQD/////CAAAAAAAAACoRpXP/38AAN2agtfi+wAAAI2xZgICAAALp4gJ+H8AAEAl2c5XAAAA2SXZzlcAAAAgIbZsAgIAAAAAAABkdgAIAAAAACUAAAAMAAAABAAAABgAAAAMAAAAAAAAABIAAAAMAAAAAQAAAB4AAAAYAAAAMAAAADsAAACsAAAAVwAAACUAAAAMAAAABAAAAFQAAACoAAAAMQAAADsAAACqAAAAVgAAAAEAAABVVY9BhfaO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Ay9D/fwAAAIDL0P9/AAC0Ga7Q/38AAAAA8wr4fwAAsewd0P9/AAAwFvMK+H8AALQZrtD/fwAA2BYAAAAAAABAAADA/38AAAAA8wr4fwAAge8d0P9/AAAEAAAAAAAAADAW8wr4fwAA8LPazlcAAAC0Ga7QAAAAAEgAAAAAAAAAtBmu0P9/AACgg8vQ/38AAAAertD/fwAAAQAAAAAAAACAQ67Q/38AAAAA8wr4fwAAAAAAAAAAAAAAAAAAVwAAAFC42s5XAAAAAI2xZgICAAALp4gJ+H8AANC02s5XAAAAabXazlc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Q06xRAgIAAAAAAAAAAAAAAQAAAGLPAACIDqwJ+H8AAAAAAAAAAAAAgD/zCvh/AAAJAAAAAQAAAAkAAAAAAAAAAAAAAAAAAAAAAAAAAAAAAKpKUThdxgAAAI2xZgICAAAEAAAAAAAAAGC45mYCAgAAAI2xZgICAABAJtnOAAAAAAAAAAAAAAAABwAAAAAAAAAAAAAAAAAAAHwl2c5XAAAAuSXZzlcAAADRt4QJ+H8AACiiw9D/fwAAAAAG0AAAAACIg8vQ/38AABAl2c5XAAAAAI2xZgICAAALp4gJ+H8AACAl2c5XAAAAuSXZzlcAAAAwMrZsA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OrAn4fwAAAAAAAAAAAADZI9nOVwAAAAMAAAAAAAAAx7PtC/h/AAAAAAAAAAAAAAAAAAAAAAAAKkpROF3GAAAAAAAA/38AALA6BWwCAgAA4P///wAAAAAAjbFmAgIAANgl2c4AAAAAAAAAAAAAAAAGAAAAAAAAAAAAAAAAAAAA/CTZzlcAAAA5JdnOVwAAANG3hAn4fwAAAAAAAP9/AACQ6q5sAAAAAAEAAAAAAAAAAAAAAAAAAAAAjbFmAgIAAAuniAn4fwAAoCTZzlcAAAA5JdnOVwAAAMCgtmgC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QPiubAICAAAAAAAAAAAAAAAIAAAAAAAAiA6sCfh/AAAAAAAAAAAAANBGlc//fwAAcEMFbAICAADNAwnP/38AAAAAAAAAAAAAAAAAAAAAAACKSlE4XcYAAGkk2c5XAAAAqEaVz/9/AADs////AAAAAACNsWYCAgAAeCbZzgAAAAAAAAAAAAAAAAkAAAAAAAAAAAAAAAAAAACcJdnOVwAAANkl2c5XAAAA0beECfh/AAAAAQEA/////wgAAAAAAAAAqEaVz/9/AADdmoLX4vsAAACNsWYCAgAAC6eICfh/AABAJdnOVwAAANkl2c5XAAAAICG2bAIC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K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vzX/i91Unw+WscWcvWB6S+TckpYXM/HUpeCVIM9oESg=</DigestValue>
    </Reference>
    <Reference Type="http://www.w3.org/2000/09/xmldsig#Object" URI="#idOfficeObject">
      <DigestMethod Algorithm="http://www.w3.org/2001/04/xmlenc#sha256"/>
      <DigestValue>4v8Jg2CTZMOeKavKiA6LX1Pi+kLd5vR6uYuVBp8boFA=</DigestValue>
    </Reference>
    <Reference Type="http://uri.etsi.org/01903#SignedProperties" URI="#idSignedProperties">
      <Transforms>
        <Transform Algorithm="http://www.w3.org/TR/2001/REC-xml-c14n-20010315"/>
      </Transforms>
      <DigestMethod Algorithm="http://www.w3.org/2001/04/xmlenc#sha256"/>
      <DigestValue>zVLiH9lpmAl0xFI6wyE4BqR7QHcvOsl2Grw6AfMQSm0=</DigestValue>
    </Reference>
    <Reference Type="http://www.w3.org/2000/09/xmldsig#Object" URI="#idValidSigLnImg">
      <DigestMethod Algorithm="http://www.w3.org/2001/04/xmlenc#sha256"/>
      <DigestValue>hd5XIO7/oGuCpiDXabJ5vZubR5snP0fUhW+Sc6FqL1w=</DigestValue>
    </Reference>
    <Reference Type="http://www.w3.org/2000/09/xmldsig#Object" URI="#idInvalidSigLnImg">
      <DigestMethod Algorithm="http://www.w3.org/2001/04/xmlenc#sha256"/>
      <DigestValue>/rH8QWoPO7SmJd29Sokz69a5IgQLoI5sm5nNjPpKiyM=</DigestValue>
    </Reference>
  </SignedInfo>
  <SignatureValue>TR3QPVsl6+Gvr6irNUEIYMYd4qG22giPsVVEJXj+FN/NnYbFzjNZBXOblsM4bVMC4VuGL7DgR3XR
3zxJcJdgPTOZd+w445RunBULBJECL3eSjtrRJzQdM+AHD7KJI8QbVpqwvYEzXJkGoZMEVbUa/b/O
BmfbOUo9dsc6tK1uSsMSffn/GhaSbCII1icSKN97iyMmBmWsEeE56MZYtJwth6xL7QYnVxVjwLqI
2r2yEj8mlD9ByzCY3jibEH4g6win7xWWhRSQb7MlX+RopTdotwPM6BRe3XTgKKuZRqHt2lzVtH+M
h3xGTCvTRZdV2Y8c/3WpVk9claICyKyqMRW9Pw==</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/Pm6oS2i1ok+MJBZN+7ghsbbxIK4uNn+DrX8vuww7wY=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nlXF4DOB/deIujSIINCvRYTDcZ0bhPetDGsTyeMpV3E=</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/f7nxy7LbcIuG5hWelrg5Xt0BO+KBb/Ow8qZmhxXZXo=</DigestValue>
      </Reference>
      <Reference URI="/xl/drawings/drawing6.xml?ContentType=application/vnd.openxmlformats-officedocument.drawing+xml">
        <DigestMethod Algorithm="http://www.w3.org/2001/04/xmlenc#sha256"/>
        <DigestValue>AonHowbn8UYOlvxpgcAiZJMJiWwOVlRBl6DWLuUtOc0=</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PfF0qooLpFhsQ5W5+FAyNjdZuVIkdkcIdGR6pwzNvoY=</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FcLNZgOqRGHSI5/hpfgNSZ8nZCSaSP80wrIqBG4n0Rc=</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knC6NamXOpwNzmUFr9zq6YHw4LmykZ22Oh74ssmlKgg=</DigestValue>
      </Reference>
      <Reference URI="/xl/media/image4.emf?ContentType=image/x-emf">
        <DigestMethod Algorithm="http://www.w3.org/2001/04/xmlenc#sha256"/>
        <DigestValue>pigKRTNebVzTz+2eXVGGiYtIZzTDnviu9SRGF+yOnBw=</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TRrCOIAvgyay9+dOHANtMRhI4Mlj24DaFIyKQoKcdPw=</DigestValue>
      </Reference>
      <Reference URI="/xl/printerSettings/printerSettings11.bin?ContentType=application/vnd.openxmlformats-officedocument.spreadsheetml.printerSettings">
        <DigestMethod Algorithm="http://www.w3.org/2001/04/xmlenc#sha256"/>
        <DigestValue>aKO8XWThzgvGlTVSu23kX37OoqtKGS6PBUkmhsicI1Y=</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nrwW2aOzrJ6w3s+3W+h5IvHukzB/6FZNl1merJBqyjs=</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eagKw4vkJta//EAXFo8pt3rkLlJe7nsQidLS/ebqtjQ=</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4nr+D6DhqHn5BPmVkM2hzVl2/LW2sUgLw7y90mm5Pdw=</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AJzHPuZjWFngczH/xsUd62OVqmQdA8sSRt3Y8JhmUCw=</DigestValue>
      </Reference>
      <Reference URI="/xl/printerSettings/printerSettings23.bin?ContentType=application/vnd.openxmlformats-officedocument.spreadsheetml.printerSettings">
        <DigestMethod Algorithm="http://www.w3.org/2001/04/xmlenc#sha256"/>
        <DigestValue>nrwW2aOzrJ6w3s+3W+h5IvHukzB/6FZNl1merJBqyjs=</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28.bin?ContentType=application/vnd.openxmlformats-officedocument.spreadsheetml.printerSettings">
        <DigestMethod Algorithm="http://www.w3.org/2001/04/xmlenc#sha256"/>
        <DigestValue>MXec2D+WMU8itUC5NxoyllqwEi3fXNlaIfg2JySEdZE=</DigestValue>
      </Reference>
      <Reference URI="/xl/printerSettings/printerSettings29.bin?ContentType=application/vnd.openxmlformats-officedocument.spreadsheetml.printerSettings">
        <DigestMethod Algorithm="http://www.w3.org/2001/04/xmlenc#sha256"/>
        <DigestValue>HeMXh0BvJ5EJgLU/vDhAs8Wted+7ofJnylrfXHCWHDg=</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8ULINyTSns7e3+F/twyhXb2p4OEI5M6paxloUp/0tKM=</DigestValue>
      </Reference>
      <Reference URI="/xl/printerSettings/printerSettings32.bin?ContentType=application/vnd.openxmlformats-officedocument.spreadsheetml.printerSettings">
        <DigestMethod Algorithm="http://www.w3.org/2001/04/xmlenc#sha256"/>
        <DigestValue>8ULINyTSns7e3+F/twyhXb2p4OEI5M6paxloUp/0tKM=</DigestValue>
      </Reference>
      <Reference URI="/xl/printerSettings/printerSettings33.bin?ContentType=application/vnd.openxmlformats-officedocument.spreadsheetml.printerSettings">
        <DigestMethod Algorithm="http://www.w3.org/2001/04/xmlenc#sha256"/>
        <DigestValue>8ULINyTSns7e3+F/twyhXb2p4OEI5M6paxloUp/0tKM=</DigestValue>
      </Reference>
      <Reference URI="/xl/printerSettings/printerSettings34.bin?ContentType=application/vnd.openxmlformats-officedocument.spreadsheetml.printerSettings">
        <DigestMethod Algorithm="http://www.w3.org/2001/04/xmlenc#sha256"/>
        <DigestValue>eagKw4vkJta//EAXFo8pt3rkLlJe7nsQidLS/ebqtjQ=</DigestValue>
      </Reference>
      <Reference URI="/xl/printerSettings/printerSettings35.bin?ContentType=application/vnd.openxmlformats-officedocument.spreadsheetml.printerSettings">
        <DigestMethod Algorithm="http://www.w3.org/2001/04/xmlenc#sha256"/>
        <DigestValue>/uyoWTLXzUkkEvUZWtQdXYBZymMLTquzPFEjsb32RLQ=</DigestValue>
      </Reference>
      <Reference URI="/xl/printerSettings/printerSettings36.bin?ContentType=application/vnd.openxmlformats-officedocument.spreadsheetml.printerSettings">
        <DigestMethod Algorithm="http://www.w3.org/2001/04/xmlenc#sha256"/>
        <DigestValue>nrwW2aOzrJ6w3s+3W+h5IvHukzB/6FZNl1merJBqyjs=</DigestValue>
      </Reference>
      <Reference URI="/xl/printerSettings/printerSettings37.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hqnMLvZ6XBY2fH1KhK00vJXWuxlSZRWkoKrdKDrIF2Q=</DigestValue>
      </Reference>
      <Reference URI="/xl/sharedStrings.xml?ContentType=application/vnd.openxmlformats-officedocument.spreadsheetml.sharedStrings+xml">
        <DigestMethod Algorithm="http://www.w3.org/2001/04/xmlenc#sha256"/>
        <DigestValue>GVeJjb6PJYWpRh9twnqKTyx/oCflXNrAkVJJpIBa2Rs=</DigestValue>
      </Reference>
      <Reference URI="/xl/styles.xml?ContentType=application/vnd.openxmlformats-officedocument.spreadsheetml.styles+xml">
        <DigestMethod Algorithm="http://www.w3.org/2001/04/xmlenc#sha256"/>
        <DigestValue>ccX9RoDdwTc1TJWZm6MwiCucJMK+Qd1BjZYja3OIWps=</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NQm+nHn5lmDpFEJHIYkBPUFYe+1JFso706/c/KACRxE=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f6kP2VqJ+fycc43LL1fljU/Wfi/8rNdsiIQKLv7EAVQ=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KZqL6rTLsCUXth8uQO5PSSHqKgaVCOSzYJQeqnfQDiE=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G+7170ibBkPobKUxosE4ZVCoFzWeNyG57udtJ5CPa0A=</DigestValue>
      </Reference>
      <Reference URI="/xl/worksheets/sheet1.xml?ContentType=application/vnd.openxmlformats-officedocument.spreadsheetml.worksheet+xml">
        <DigestMethod Algorithm="http://www.w3.org/2001/04/xmlenc#sha256"/>
        <DigestValue>gmuiKVujqqUYPXGGQe3Cr9ADw4TKSImDMrresOAcQiM=</DigestValue>
      </Reference>
      <Reference URI="/xl/worksheets/sheet10.xml?ContentType=application/vnd.openxmlformats-officedocument.spreadsheetml.worksheet+xml">
        <DigestMethod Algorithm="http://www.w3.org/2001/04/xmlenc#sha256"/>
        <DigestValue>nQiaAuO686BjzEep/5Jm3IWY1RlXvMOcNXcvLiZtsWI=</DigestValue>
      </Reference>
      <Reference URI="/xl/worksheets/sheet11.xml?ContentType=application/vnd.openxmlformats-officedocument.spreadsheetml.worksheet+xml">
        <DigestMethod Algorithm="http://www.w3.org/2001/04/xmlenc#sha256"/>
        <DigestValue>Cb57foJ+yhYSGrpD5UiY+NVMqBCt6da9UBE0UXtUsjQ=</DigestValue>
      </Reference>
      <Reference URI="/xl/worksheets/sheet12.xml?ContentType=application/vnd.openxmlformats-officedocument.spreadsheetml.worksheet+xml">
        <DigestMethod Algorithm="http://www.w3.org/2001/04/xmlenc#sha256"/>
        <DigestValue>muhtTxKMtdoPaKfupykjbJX/82lQToh9U7ogY2sEchE=</DigestValue>
      </Reference>
      <Reference URI="/xl/worksheets/sheet13.xml?ContentType=application/vnd.openxmlformats-officedocument.spreadsheetml.worksheet+xml">
        <DigestMethod Algorithm="http://www.w3.org/2001/04/xmlenc#sha256"/>
        <DigestValue>KBCBjXM4vYazs8slqQ/l2SXFcA+lyQhenESGZZRjq7Q=</DigestValue>
      </Reference>
      <Reference URI="/xl/worksheets/sheet14.xml?ContentType=application/vnd.openxmlformats-officedocument.spreadsheetml.worksheet+xml">
        <DigestMethod Algorithm="http://www.w3.org/2001/04/xmlenc#sha256"/>
        <DigestValue>AH9RawuNpD4CRDGCl7Lto1xRODCHyOsrW9sq2Ju8rMU=</DigestValue>
      </Reference>
      <Reference URI="/xl/worksheets/sheet15.xml?ContentType=application/vnd.openxmlformats-officedocument.spreadsheetml.worksheet+xml">
        <DigestMethod Algorithm="http://www.w3.org/2001/04/xmlenc#sha256"/>
        <DigestValue>LLeKuCEwvAMUaInY9XiDZ/3WcryeGNUIIzWNIz4n8n0=</DigestValue>
      </Reference>
      <Reference URI="/xl/worksheets/sheet2.xml?ContentType=application/vnd.openxmlformats-officedocument.spreadsheetml.worksheet+xml">
        <DigestMethod Algorithm="http://www.w3.org/2001/04/xmlenc#sha256"/>
        <DigestValue>f8qvJSVzeh0I0vXYsVTSf96fhx1lfs3yDFLf5xHX4LQ=</DigestValue>
      </Reference>
      <Reference URI="/xl/worksheets/sheet3.xml?ContentType=application/vnd.openxmlformats-officedocument.spreadsheetml.worksheet+xml">
        <DigestMethod Algorithm="http://www.w3.org/2001/04/xmlenc#sha256"/>
        <DigestValue>1pMRcuqtMs0ykY9lpvNcNugsw15btvURiIAd5yaXzCg=</DigestValue>
      </Reference>
      <Reference URI="/xl/worksheets/sheet4.xml?ContentType=application/vnd.openxmlformats-officedocument.spreadsheetml.worksheet+xml">
        <DigestMethod Algorithm="http://www.w3.org/2001/04/xmlenc#sha256"/>
        <DigestValue>C6CEpB0oSuOcIi4Jqy7B95A3Xj2I3hGldRRiMnt6zKs=</DigestValue>
      </Reference>
      <Reference URI="/xl/worksheets/sheet5.xml?ContentType=application/vnd.openxmlformats-officedocument.spreadsheetml.worksheet+xml">
        <DigestMethod Algorithm="http://www.w3.org/2001/04/xmlenc#sha256"/>
        <DigestValue>TrtsiqSJ1T8+nX5pPFJMubIwNP2azMJHrq++L4i8VmI=</DigestValue>
      </Reference>
      <Reference URI="/xl/worksheets/sheet6.xml?ContentType=application/vnd.openxmlformats-officedocument.spreadsheetml.worksheet+xml">
        <DigestMethod Algorithm="http://www.w3.org/2001/04/xmlenc#sha256"/>
        <DigestValue>XyBhBhQxxcM+VSIerdWSy7X0XL0d8tAKr4j38yuHjbc=</DigestValue>
      </Reference>
      <Reference URI="/xl/worksheets/sheet7.xml?ContentType=application/vnd.openxmlformats-officedocument.spreadsheetml.worksheet+xml">
        <DigestMethod Algorithm="http://www.w3.org/2001/04/xmlenc#sha256"/>
        <DigestValue>FDeAGX10UA2P8685z1I6NXiwpXwDed46RUjXD2hyNAI=</DigestValue>
      </Reference>
      <Reference URI="/xl/worksheets/sheet8.xml?ContentType=application/vnd.openxmlformats-officedocument.spreadsheetml.worksheet+xml">
        <DigestMethod Algorithm="http://www.w3.org/2001/04/xmlenc#sha256"/>
        <DigestValue>usQFLOeDxIIOeUD2h9uIX7v48z+EGfgVLjrety0qKAo=</DigestValue>
      </Reference>
      <Reference URI="/xl/worksheets/sheet9.xml?ContentType=application/vnd.openxmlformats-officedocument.spreadsheetml.worksheet+xml">
        <DigestMethod Algorithm="http://www.w3.org/2001/04/xmlenc#sha256"/>
        <DigestValue>8FBjMmLJAMOJP9mMkuOQh0/XS/XL3NqCZeN30OCeUH8=</DigestValue>
      </Reference>
    </Manifest>
    <SignatureProperties>
      <SignatureProperty Id="idSignatureTime" Target="#idPackageSignature">
        <mdssi:SignatureTime xmlns:mdssi="http://schemas.openxmlformats.org/package/2006/digital-signature">
          <mdssi:Format>YYYY-MM-DDThh:mm:ssTZD</mdssi:Format>
          <mdssi:Value>2022-08-12T20:41:16Z</mdssi:Value>
        </mdssi:SignatureTime>
      </SignatureProperty>
    </SignatureProperties>
  </Object>
  <Object Id="idOfficeObject">
    <SignatureProperties>
      <SignatureProperty Id="idOfficeV1Details" Target="#idPackageSignature">
        <SignatureInfoV1 xmlns="http://schemas.microsoft.com/office/2006/digsig">
          <SetupID>{A8ACB7C7-BE50-4B65-9291-9EBDD1F8404A}</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2022-08-12T20:41:16Z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2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M7yvh/AAAAAAAAAAAAAFASAAAAAAAAQAAAwPh/AAAgQt3J+H8AAB5sF1z4fwAABAAAAAAAAAAgQt3J+H8AAFm5z8GgAAAAAAAAAAAAAACAPPPod98AAFWFMVv4fwAASAAAAAAAAACcWnFc+H8AABhjjlz4fwAAsF1xXAAAAAABAAAAAAAAAPZ4cVz4fwAAAADdyfh/AAAAAAAAAAAAAAAAAACgAAAAkakyx/h/AAAAAAAAAAAAAHALAAAAAAAAUI4oGToCAACou8/BoAAAAAAAAAAAAAAAAAAAAAAAAAAAAAAAAAAAAAAAAAAAAAAACbvPwaAAAAD9WxdcZHYACAAAAAAlAAAADAAAAAEAAAAYAAAADAAAAAAAAAASAAAADAAAAAEAAAAeAAAAGAAAAL0AAAAEAAAA9wAAABEAAAAlAAAADAAAAAEAAABUAAAAiAAAAL4AAAAEAAAA9QAAABAAAAABAAAAYfe0QVU1tEG+AAAABAAAAAoAAABMAAAAAAAAAAAAAAAAAAAA//////////9gAAAAMQAyAC8AMAA4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OOFJx/h/AACg1AwoOgIAAEiuVcf4fwAAAAAAAAAAAAAAAAAAAAAAAEiuz8GgAAAAAAAAAAAAAAAAAAAAAAAAAAAAAAAAAAAAkCDz6HffAAAgAAAAAAAAACjXDCg6AgAA0NwmGToCAABQjigZOgIAAKCvz8EAAAAAAAAAAAAAAAAHAAAAAAAAAOCkMxk6AgAA3K7PwaAAAAAZr8/BoAAAAJGpMsf4fwAACgAAAAAAAAAWWzXHAAAAANLDR3OmWAAAKNcMKDoCAADcrs/BoAAAAAcAAAD4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44UnH+H8AANgqXS06AgAASK5Vx/h/AAAAAAAAAAAAAAAAAAAAAAAAMD8oGToCAAACsanixqbYAQAAAAAAAAAAAAAAAAAAAACQhvLod98AADgRnlv4fwAAMF24W/h/AADg////AAAAAFCOKBk6AgAAuBHOwQAAAAAAAAAAAAAAAAYAAAAAAAAAIAAAAAAAAADcEM7BoAAAABkRzsGgAAAAkakyx/h/AACIM55b+H8AABBhuFsAAAAAMF24W/h/AAAwXbhb+H8AANwQzsGgAAAABgAAADoCAAAAAAAAAAAAAAAAAAAAAAAAAAAAAAAAAADQoCkZZHYACAAAAAAlAAAADAAAAAMAAAAYAAAADAAAAAAAAAASAAAADAAAAAEAAAAWAAAADAAAAAgAAABUAAAAVAAAAAoAAAAnAAAAHgAAAEoAAAABAAAAYfe0QVU1tEEKAAAASwAAAAEAAABMAAAABAAAAAkAAAAnAAAAIAAAAEsAAABQAAAAWABnS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DjhScf4fwAAiCpdLToCAABIrlXH+H8AAAAAAAAAAAAAAAAAAAAAAAAIAAAAAAIAAOBoNig6AgAAAAAAAAAAAAAAAAAAAAAAAMCF8uh33wAA0BDOwQAAAAAAAAAAAAAAAPD///8AAAAAUI4oGToCAABoEs7BAAAAAAAAAAAAAAAACQAAAAAAAAAgAAAAAAAAAIwRzsGgAAAAyRHOwaAAAACRqTLH+H8AAAAAgD8AAIA/6Ly6WwAAAAAAAIA/oAAAANGnLVv4fwAAjBHOwaAAAAAJAAAAOgIAAAAAAAAAAAAAAAAAAAAAAAAAAAAAAAAAADChKRlkdgAIAAAAACUAAAAMAAAABAAAABgAAAAMAAAAAAAAABIAAAAMAAAAAQAAAB4AAAAYAAAAKQAAADMAAACRAAAASAAAACUAAAAMAAAABAAAAFQAAACcAAAAKgAAADMAAACPAAAARwAAAAEAAABh97RBVTW0QSoAAAAzAAAADQAAAEwAAAAAAAAAAAAAAAAAAAD//////////2gAAABNAGEAcgBjAGUAbABvACAAUAByAG8AbgBvADk5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G5z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MQAAAAKAAAAYAAAAHUAAABsAAAAAQAAAGH3tEFVNbRBCgAAAGAAAAAUAAAATAAAAAAAAAAAAAAAAAAAAP//////////dAAAAFIAZQBwAHIAZQBzAGUAbgB0AGEAbgB0AGUAIABMAGUAZwBhAGwAIAAHAAAABgAAAAcAAAAEAAAABgAAAAUAAAAGAAAABwAAAAQAAAAGAAAABwAAAAQAAAAGAAAAAwAAAAUAAAAGAAAABwAAAAYAAAADAAAAAw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R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M7yvh/AAAAAAAAAAAAAFASAAAAAAAAQAAAwPh/AAAgQt3J+H8AAB5sF1z4fwAABAAAAAAAAAAgQt3J+H8AAFm5z8GgAAAAAAAAAAAAAACAPPPod98AAFWFMVv4fwAASAAAAAAAAACcWnFc+H8AABhjjlz4fwAAsF1xXAAAAAABAAAAAAAAAPZ4cVz4fwAAAADdyfh/AAAAAAAAAAAAAAAAAACgAAAAkakyx/h/AAAAAAAAAAAAAHALAAAAAAAAUI4oGToCAACou8/BoAAAAAAAAAAAAAAAAAAAAAAAAAAAAAAAAAAAAAAAAAAAAAAACbvPwaAAAAD9Wxdc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A44UnH+H8AAKDUDCg6AgAASK5Vx/h/AAAAAAAAAAAAAAAAAAAAAAAASK7PwaAAAAAAAAAAAAAAAAAAAAAAAAAAAAAAAAAAAACQIPPod98AACAAAAAAAAAAKNcMKDoCAADQ3CYZOgIAAFCOKBk6AgAAoK/PwQAAAAAAAAAAAAAAAAcAAAAAAAAA4KQzGToCAADcrs/BoAAAABmvz8GgAAAAkakyx/h/AAAKAAAAAAAAABZbNccAAAAA0sNHc6ZYAAAo1wwoOgIAANyuz8GgAAAABwAAAPh/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jhScf4fwAA2CpdLToCAABIrlXH+H8AAAAAAAAAAAAAAAAAAAAAAAAwPygZOgIAAAKxqeLGptgBAAAAAAAAAAAAAAAAAAAAAJCG8uh33wAAOBGeW/h/AAAwXbhb+H8AAOD///8AAAAAUI4oGToCAAC4Ec7BAAAAAAAAAAAAAAAABgAAAAAAAAAgAAAAAAAAANwQzsGgAAAAGRHOwaAAAACRqTLH+H8AAIgznlv4fwAAEGG4WwAAAAAwXbhb+H8AADBduFv4fwAA3BDOwaAAAAAGAAAAOgIAAAAAAAAAAAAAAAAAAAAAAAAAAAAAAAAAANCgKRl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OOFJx/h/AACIKl0tOgIAAEiuVcf4fwAAAAAAAAAAAAAAAAAAAAAAAAgAAAAAAgAA4Gg2KDoCAAAAAAAAAAAAAAAAAAAAAAAAwIXy6HffAADQEM7BAAAAAAAAAAAAAAAA8P///wAAAABQjigZOgIAAGgSzsEAAAAAAAAAAAAAAAAJAAAAAAAAACAAAAAAAAAAjBHOwaAAAADJEc7BoAAAAJGpMsf4fwAAAACAPwAAgD/ovLpbAAAAAAAAgD+gAAAA0actW/h/AACMEc7BoAAAAAkAAAA6AgAAAAAAAAAAAAAAAAAAAAAAAAAAAAAAAAAAMKEpGW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xAAAAAoAAABgAAAAdQAAAGwAAAABAAAAYfe0QVU1tEEKAAAAYAAAABQAAABMAAAAAAAAAAAAAAAAAAAA//////////90AAAAUgBlAHAAcgBlAHMAZQBuAHQAYQBuAHQAZQAgAEwAZQBnAGEAbAAgAAcAAAAGAAAABwAAAAQAAAAGAAAABQAAAAYAAAAHAAAABAAAAAYAAAAHAAAABAAAAAYAAAADAAAABQAAAAYAAAAHAAAABgAAAAMAAAAD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5000006715</EngagementID>
  <LogicalEMSServerID>-109903338106937214</LogicalEMSServerID>
  <WorkingPaperID>3851766724900000821</WorkingPaperID>
</DAEMSEngagementItemInfo>
</file>

<file path=customXml/itemProps1.xml><?xml version="1.0" encoding="utf-8"?>
<ds:datastoreItem xmlns:ds="http://schemas.openxmlformats.org/officeDocument/2006/customXml" ds:itemID="{3BE64B72-DB74-4EE8-9C0E-F8DEB5B03877}">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Índice</vt:lpstr>
      <vt:lpstr>IG</vt:lpstr>
      <vt:lpstr>BG</vt:lpstr>
      <vt:lpstr>EERR</vt:lpstr>
      <vt:lpstr>EFE</vt:lpstr>
      <vt:lpstr>VPN</vt:lpstr>
      <vt:lpstr>Nota 1 a Nota 4</vt:lpstr>
      <vt:lpstr>BG 2021</vt:lpstr>
      <vt:lpstr>Nota 5</vt:lpstr>
      <vt:lpstr>Nota 6 a Nota 12</vt:lpstr>
      <vt:lpstr>BG 062021</vt:lpstr>
      <vt:lpstr>CA EFE</vt:lpstr>
      <vt:lpstr>BG 062022</vt:lpstr>
      <vt:lpstr>Clasificaciones</vt:lpstr>
      <vt:lpstr>Cartera Propia</vt:lpstr>
      <vt:lpstr>BG!Área_de_impresión</vt:lpstr>
      <vt:lpstr>EERR!Área_de_impresión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2022-03-11T21:51:15Z</cp:lastPrinted>
  <dcterms:created xsi:type="dcterms:W3CDTF">2016-08-27T16:35:25Z</dcterms:created>
  <dcterms:modified xsi:type="dcterms:W3CDTF">2022-08-12T19:46:20Z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2022-03-30T01:53:32Z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216ceaeb-752b-4373-b942-b7da27b430b1</vt:lpwstr>
  </property>
  <property fmtid="{D5CDD505-2E9C-101B-9397-08002B2CF9AE}" pid="8" name="MSIP_Label_ea60d57e-af5b-4752-ac57-3e4f28ca11dc_ContentBits">
    <vt:lpwstr>0</vt:lpwstr>
  </property>
</Properties>
</file>