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8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CIO-INV\Desktop\"/>
    </mc:Choice>
  </mc:AlternateContent>
  <xr:revisionPtr revIDLastSave="0" documentId="8_{EBF042AB-C1CC-4C9F-BC3C-7EEB68864C76}" xr6:coauthVersionLast="47" xr6:coauthVersionMax="47" xr10:uidLastSave="{00000000-0000-0000-0000-000000000000}"/>
  <workbookProtection workbookAlgorithmName="SHA-512" workbookHashValue="jRoYXnloFX0IKcvc6z2qM0uhKF0UlRnRcyS98/apU5ozUYKQlgG5Hg5bdnRsvt87WEvq6xCOYOzGOo3VqzGZRw==" workbookSaltValue="tsMkfitg4AgdfcUc7Dmyng==" workbookSpinCount="100000" lockStructure="1"/>
  <bookViews>
    <workbookView xWindow="-120" yWindow="-120" windowWidth="29040" windowHeight="15840" tabRatio="870" activeTab="2" xr2:uid="{00000000-000D-0000-FFFF-FFFF00000000}"/>
  </bookViews>
  <sheets>
    <sheet name="Indice" sheetId="33" r:id="rId1"/>
    <sheet name="I.Infomac Gral Emp" sheetId="38" r:id="rId2"/>
    <sheet name="Balance Gral. Resol. 30" sheetId="1" r:id="rId3"/>
    <sheet name="Estado de Resultado Resol. 30" sheetId="2" r:id="rId4"/>
    <sheet name="Flujo de Efectivo Resol. Res 30" sheetId="34" r:id="rId5"/>
    <sheet name="Estado de Variacion PN " sheetId="35" r:id="rId6"/>
    <sheet name=" Flujo de Fondos Calculo INVEST" sheetId="39" state="hidden" r:id="rId7"/>
    <sheet name="NOTA A LOS ESTADOS CONTA. 1-4" sheetId="36" r:id="rId8"/>
    <sheet name="NOTA 5 A-C CRITERIOS ESPECIF." sheetId="37" r:id="rId9"/>
    <sheet name="NOTA D - DISPONIBILIDADES" sheetId="7" r:id="rId10"/>
    <sheet name="NOTA E - INVERSIONES" sheetId="8" r:id="rId11"/>
    <sheet name="NOTA F - CREDITOS" sheetId="9" r:id="rId12"/>
    <sheet name="NOTA G BIENES DE USO" sheetId="11" r:id="rId13"/>
    <sheet name="NOTA H CARGOS DIFERIDOS" sheetId="13" r:id="rId14"/>
    <sheet name=" NOTA I INTANGIBLES" sheetId="14" r:id="rId15"/>
    <sheet name="NOTA J OTROS ACTIVOS CTES y NO " sheetId="15" r:id="rId16"/>
    <sheet name="NOTA K PRESTAMOS" sheetId="17" r:id="rId17"/>
    <sheet name="NOTA L DOCUM y CTAS A PAG" sheetId="18" r:id="rId18"/>
    <sheet name="NOTAS M-Q ACREED y CTAS A PAG" sheetId="16" r:id="rId19"/>
    <sheet name="NOTA R SALDOS Y TRANSACC" sheetId="19" r:id="rId20"/>
    <sheet name="NOTA S RESULTADOS CON PERS" sheetId="21" r:id="rId21"/>
    <sheet name=" NOTA T PATRIMONIO Y PREVIS" sheetId="22" r:id="rId22"/>
    <sheet name="NOTA V INGRESOS OPERATIVOS" sheetId="23" r:id="rId23"/>
    <sheet name="NOTA W OTROS GASTOS OPER" sheetId="24" r:id="rId24"/>
    <sheet name="NOTA X OTROS INGRESOS Y EGR" sheetId="25" r:id="rId25"/>
    <sheet name="NOTA Y RESULTADOS FINANC" sheetId="27" r:id="rId26"/>
    <sheet name="NOTA Z RESULT EXTRA" sheetId="28" r:id="rId27"/>
    <sheet name="NOTA 6 INFORMACION REFERENTE" sheetId="26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" hidden="1">'Balance Gral. Resol. 30'!$B$8:$K$8</definedName>
    <definedName name="_xlnm._FilterDatabase" localSheetId="3" hidden="1">'Estado de Resultado Resol. 30'!$B$50:$E$86</definedName>
    <definedName name="_xlnm._FilterDatabase" localSheetId="9" hidden="1">'NOTA D - DISPONIBILIDADES'!$B$8:$D$66</definedName>
    <definedName name="_xlnm._FilterDatabase" localSheetId="10" hidden="1">'NOTA E - INVERSIONES'!$B$9:$K$95</definedName>
    <definedName name="_xlnm._FilterDatabase" localSheetId="19" hidden="1">'NOTA R SALDOS Y TRANSACC'!$B$6:$H$21</definedName>
    <definedName name="_MON_1268749014" localSheetId="8">#N/A</definedName>
    <definedName name="a" localSheetId="6">#REF!</definedName>
    <definedName name="a" localSheetId="5">#N/A</definedName>
    <definedName name="a" localSheetId="4">#N/A</definedName>
    <definedName name="a" localSheetId="8">#N/A</definedName>
    <definedName name="a" localSheetId="7">#N/A</definedName>
    <definedName name="a">#N/A</definedName>
    <definedName name="aa" localSheetId="6">#REF!</definedName>
    <definedName name="aa" localSheetId="5">#N/A</definedName>
    <definedName name="aa" localSheetId="4">#N/A</definedName>
    <definedName name="aa" localSheetId="8">#N/A</definedName>
    <definedName name="aa" localSheetId="7">#N/A</definedName>
    <definedName name="aa">#N/A</definedName>
    <definedName name="_xlnm.Print_Area" localSheetId="6">' Flujo de Fondos Calculo INVEST'!$A$59:$E$91</definedName>
    <definedName name="_xlnm.Print_Area" localSheetId="2">#N/A</definedName>
    <definedName name="_xlnm.Print_Area" localSheetId="3">#N/A</definedName>
    <definedName name="_xlnm.Print_Area" localSheetId="23">#N/A</definedName>
    <definedName name="BuiltIn_Print_Area" localSheetId="6">[1]anexos!#REF!</definedName>
    <definedName name="BuiltIn_Print_Area">[2]anexos!#REF!</definedName>
    <definedName name="BuiltIn_Print_Area___0" localSheetId="6">'[1]Balance General Resol 950'!#REF!</definedName>
    <definedName name="BuiltIn_Print_Area___0">'[2]Balance General Resol 950'!#REF!</definedName>
    <definedName name="BuiltIn_Print_Area___0___0" localSheetId="6">#REF!</definedName>
    <definedName name="BuiltIn_Print_Area___0___0" localSheetId="5">#N/A</definedName>
    <definedName name="BuiltIn_Print_Area___0___0" localSheetId="4">#N/A</definedName>
    <definedName name="BuiltIn_Print_Area___0___0" localSheetId="8">#N/A</definedName>
    <definedName name="BuiltIn_Print_Area___0___0" localSheetId="7">#N/A</definedName>
    <definedName name="BuiltIn_Print_Area___0___0">#N/A</definedName>
    <definedName name="BuiltIn_Print_Area___0___0___0___0" localSheetId="6">'[3]Flujos de efectivo'!#REF!</definedName>
    <definedName name="BuiltIn_Print_Area___0___0___0___0">'[4]Flujos de efectivo'!#REF!</definedName>
    <definedName name="BuiltIn_Print_Area___0___0___0___0___0" localSheetId="6">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8">#N/A</definedName>
    <definedName name="BuiltIn_Print_Area___0___0___0___0___0" localSheetId="7">#N/A</definedName>
    <definedName name="BuiltIn_Print_Area___0___0___0___0___0">#N/A</definedName>
    <definedName name="Clientes" localSheetId="6">#REF!</definedName>
    <definedName name="Clientes" localSheetId="5">#N/A</definedName>
    <definedName name="Clientes" localSheetId="4">#N/A</definedName>
    <definedName name="Clientes" localSheetId="8">#N/A</definedName>
    <definedName name="Clientes" localSheetId="7">#N/A</definedName>
    <definedName name="Clientes">#N/A</definedName>
    <definedName name="DATA16" localSheetId="6">#REF!</definedName>
    <definedName name="DATA16" localSheetId="5">#N/A</definedName>
    <definedName name="DATA16" localSheetId="4">#N/A</definedName>
    <definedName name="DATA16" localSheetId="8">#N/A</definedName>
    <definedName name="DATA16" localSheetId="7">#N/A</definedName>
    <definedName name="DATA16">#N/A</definedName>
    <definedName name="DATA17" localSheetId="6">#REF!</definedName>
    <definedName name="DATA17" localSheetId="5">#N/A</definedName>
    <definedName name="DATA17" localSheetId="4">#N/A</definedName>
    <definedName name="DATA17" localSheetId="8">#N/A</definedName>
    <definedName name="DATA17" localSheetId="7">#N/A</definedName>
    <definedName name="DATA17">#N/A</definedName>
    <definedName name="DATA18" localSheetId="6">#REF!</definedName>
    <definedName name="DATA18" localSheetId="5">#N/A</definedName>
    <definedName name="DATA18" localSheetId="4">#N/A</definedName>
    <definedName name="DATA18" localSheetId="8">#N/A</definedName>
    <definedName name="DATA18" localSheetId="7">#N/A</definedName>
    <definedName name="DATA18">#N/A</definedName>
    <definedName name="DATA20" localSheetId="6">#REF!</definedName>
    <definedName name="DATA20" localSheetId="5">#N/A</definedName>
    <definedName name="DATA20" localSheetId="4">#N/A</definedName>
    <definedName name="DATA20" localSheetId="8">#N/A</definedName>
    <definedName name="DATA20" localSheetId="7">#N/A</definedName>
    <definedName name="DATA20">#N/A</definedName>
    <definedName name="datos" localSheetId="6">#REF!</definedName>
    <definedName name="datos" localSheetId="5">#N/A</definedName>
    <definedName name="datos" localSheetId="4">#N/A</definedName>
    <definedName name="datos" localSheetId="8">#N/A</definedName>
    <definedName name="datos" localSheetId="7">#N/A</definedName>
    <definedName name="datos">#N/A</definedName>
    <definedName name="k" localSheetId="6">#REF!</definedName>
    <definedName name="k" localSheetId="5">#N/A</definedName>
    <definedName name="k" localSheetId="4">#N/A</definedName>
    <definedName name="k" localSheetId="8">#N/A</definedName>
    <definedName name="k" localSheetId="7">#N/A</definedName>
    <definedName name="k">#N/A</definedName>
    <definedName name="klkl" localSheetId="6">#REF!</definedName>
    <definedName name="klkl" localSheetId="5">#N/A</definedName>
    <definedName name="klkl" localSheetId="4">#N/A</definedName>
    <definedName name="klkl" localSheetId="8">#N/A</definedName>
    <definedName name="klkl" localSheetId="7">#N/A</definedName>
    <definedName name="klkl">#N/A</definedName>
    <definedName name="klll" localSheetId="6">#REF!</definedName>
    <definedName name="klll" localSheetId="5">#N/A</definedName>
    <definedName name="klll" localSheetId="4">#N/A</definedName>
    <definedName name="klll" localSheetId="8">#N/A</definedName>
    <definedName name="klll" localSheetId="7">#N/A</definedName>
    <definedName name="klll">#N/A</definedName>
    <definedName name="ver" localSheetId="6">#REF!</definedName>
    <definedName name="ver" localSheetId="5">#N/A</definedName>
    <definedName name="ver" localSheetId="4">#N/A</definedName>
    <definedName name="ver" localSheetId="8">#N/A</definedName>
    <definedName name="ver" localSheetId="7">#N/A</definedName>
    <definedName name="ver">#N/A</definedName>
    <definedName name="verificar" localSheetId="6">#REF!</definedName>
    <definedName name="verificar" localSheetId="5">#N/A</definedName>
    <definedName name="verificar" localSheetId="4">#N/A</definedName>
    <definedName name="verificar" localSheetId="8">#N/A</definedName>
    <definedName name="verificar" localSheetId="7">#N/A</definedName>
    <definedName name="verificar">#N/A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9" i="8" l="1"/>
  <c r="K89" i="8"/>
  <c r="K87" i="8" l="1"/>
  <c r="J87" i="8"/>
  <c r="G15" i="22" l="1"/>
  <c r="G13" i="19"/>
  <c r="H23" i="19"/>
  <c r="H6" i="19"/>
  <c r="C37" i="16"/>
  <c r="F23" i="16"/>
  <c r="C12" i="16"/>
  <c r="F16" i="13"/>
  <c r="M26" i="11"/>
  <c r="C24" i="9"/>
  <c r="C40" i="9"/>
  <c r="D102" i="8"/>
  <c r="F93" i="8"/>
  <c r="F95" i="8" s="1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1" i="8"/>
  <c r="H101" i="37"/>
  <c r="H99" i="37"/>
  <c r="J11" i="35"/>
  <c r="J12" i="35"/>
  <c r="J13" i="35"/>
  <c r="J15" i="35"/>
  <c r="J17" i="35"/>
  <c r="J18" i="35"/>
  <c r="J19" i="35"/>
  <c r="J21" i="35"/>
  <c r="J22" i="35"/>
  <c r="J23" i="35"/>
  <c r="K32" i="35"/>
  <c r="K26" i="35"/>
  <c r="E58" i="34"/>
  <c r="D14" i="28" l="1"/>
  <c r="D15" i="28" s="1"/>
  <c r="D16" i="28" s="1"/>
  <c r="D14" i="27"/>
  <c r="D10" i="27"/>
  <c r="D13" i="25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22" i="24"/>
  <c r="D20" i="24"/>
  <c r="G20" i="24" s="1"/>
  <c r="D19" i="24"/>
  <c r="D18" i="24"/>
  <c r="D17" i="24"/>
  <c r="D16" i="24"/>
  <c r="D15" i="24"/>
  <c r="G14" i="24" s="1"/>
  <c r="D14" i="24"/>
  <c r="D13" i="24"/>
  <c r="D12" i="24"/>
  <c r="D11" i="24"/>
  <c r="D10" i="24"/>
  <c r="D9" i="24"/>
  <c r="G9" i="24" s="1"/>
  <c r="C10" i="24"/>
  <c r="C14" i="24"/>
  <c r="C15" i="24"/>
  <c r="F14" i="24" s="1"/>
  <c r="C16" i="24"/>
  <c r="C17" i="24"/>
  <c r="C18" i="24"/>
  <c r="C19" i="24"/>
  <c r="C20" i="24"/>
  <c r="F20" i="24" s="1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D16" i="23"/>
  <c r="H11" i="2"/>
  <c r="D15" i="27" l="1"/>
  <c r="D16" i="27" s="1"/>
  <c r="E115" i="2"/>
  <c r="B53" i="24" l="1"/>
  <c r="B52" i="24"/>
  <c r="B50" i="24"/>
  <c r="B51" i="24"/>
  <c r="B48" i="24"/>
  <c r="B49" i="24"/>
  <c r="B47" i="24"/>
  <c r="B45" i="24"/>
  <c r="B46" i="24"/>
  <c r="B42" i="24"/>
  <c r="B43" i="24"/>
  <c r="B44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21" i="24"/>
  <c r="D8" i="23"/>
  <c r="D8" i="24" s="1"/>
  <c r="C8" i="23"/>
  <c r="C8" i="24" s="1"/>
  <c r="C6" i="25" s="1"/>
  <c r="C6" i="27" s="1"/>
  <c r="C7" i="28" s="1"/>
  <c r="B15" i="23"/>
  <c r="C22" i="21"/>
  <c r="C20" i="21"/>
  <c r="C19" i="21"/>
  <c r="C18" i="21"/>
  <c r="C15" i="21"/>
  <c r="C14" i="21"/>
  <c r="C13" i="21"/>
  <c r="C11" i="21"/>
  <c r="C10" i="21"/>
  <c r="C9" i="21"/>
  <c r="C8" i="21"/>
  <c r="C7" i="21"/>
  <c r="C6" i="21"/>
  <c r="D23" i="21"/>
  <c r="D22" i="21"/>
  <c r="D21" i="21"/>
  <c r="D11" i="21"/>
  <c r="D17" i="21"/>
  <c r="D15" i="21"/>
  <c r="D14" i="21"/>
  <c r="D12" i="21"/>
  <c r="D8" i="21"/>
  <c r="D7" i="21"/>
  <c r="D6" i="21"/>
  <c r="F6" i="22"/>
  <c r="G6" i="19"/>
  <c r="G8" i="19"/>
  <c r="G9" i="19"/>
  <c r="G7" i="19"/>
  <c r="F18" i="16"/>
  <c r="C8" i="16"/>
  <c r="C7" i="16"/>
  <c r="C9" i="16" s="1"/>
  <c r="C53" i="17"/>
  <c r="C54" i="17" s="1"/>
  <c r="C43" i="17"/>
  <c r="C18" i="17" s="1"/>
  <c r="C17" i="17"/>
  <c r="C8" i="17" s="1"/>
  <c r="C44" i="17" l="1"/>
  <c r="D19" i="23"/>
  <c r="C19" i="23"/>
  <c r="C57" i="17"/>
  <c r="D25" i="21"/>
  <c r="C25" i="21"/>
  <c r="G20" i="19"/>
  <c r="D10" i="14" l="1"/>
  <c r="D12" i="14"/>
  <c r="D9" i="13"/>
  <c r="D8" i="13"/>
  <c r="E8" i="13"/>
  <c r="M20" i="11"/>
  <c r="M19" i="11"/>
  <c r="G19" i="11" l="1"/>
  <c r="F21" i="11"/>
  <c r="K21" i="11"/>
  <c r="E21" i="11"/>
  <c r="G18" i="11"/>
  <c r="D18" i="11" s="1"/>
  <c r="G17" i="11"/>
  <c r="D17" i="11" s="1"/>
  <c r="G16" i="11"/>
  <c r="D16" i="11" s="1"/>
  <c r="G15" i="11"/>
  <c r="D15" i="11" s="1"/>
  <c r="G14" i="11"/>
  <c r="D14" i="11" s="1"/>
  <c r="G13" i="11"/>
  <c r="L14" i="11"/>
  <c r="L15" i="11"/>
  <c r="L16" i="11"/>
  <c r="L17" i="11"/>
  <c r="L18" i="11"/>
  <c r="L19" i="11"/>
  <c r="L20" i="11"/>
  <c r="L13" i="11"/>
  <c r="H21" i="11"/>
  <c r="I21" i="11"/>
  <c r="J21" i="11"/>
  <c r="C21" i="11"/>
  <c r="D26" i="9"/>
  <c r="C25" i="9"/>
  <c r="B100" i="8"/>
  <c r="O100" i="8" s="1"/>
  <c r="E10" i="8"/>
  <c r="D84" i="8"/>
  <c r="E91" i="8"/>
  <c r="G91" i="8" s="1"/>
  <c r="E89" i="8"/>
  <c r="F89" i="8" s="1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68" i="8"/>
  <c r="F67" i="8"/>
  <c r="E67" i="8"/>
  <c r="D67" i="8"/>
  <c r="D10" i="8"/>
  <c r="G62" i="8"/>
  <c r="F62" i="8"/>
  <c r="H10" i="8"/>
  <c r="E61" i="8"/>
  <c r="G61" i="8" s="1"/>
  <c r="E60" i="8"/>
  <c r="G60" i="8" s="1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E24" i="8"/>
  <c r="F24" i="8" s="1"/>
  <c r="E23" i="8"/>
  <c r="F23" i="8" s="1"/>
  <c r="E22" i="8"/>
  <c r="F22" i="8" s="1"/>
  <c r="E21" i="8"/>
  <c r="F21" i="8" s="1"/>
  <c r="C57" i="7"/>
  <c r="C65" i="7"/>
  <c r="C64" i="7"/>
  <c r="C63" i="7"/>
  <c r="C48" i="7"/>
  <c r="C45" i="7"/>
  <c r="C55" i="7"/>
  <c r="C37" i="7"/>
  <c r="C53" i="7"/>
  <c r="C41" i="7"/>
  <c r="C30" i="7"/>
  <c r="C19" i="7"/>
  <c r="C43" i="7"/>
  <c r="C35" i="7"/>
  <c r="C22" i="7"/>
  <c r="C33" i="7"/>
  <c r="C10" i="7"/>
  <c r="C39" i="7"/>
  <c r="C12" i="7"/>
  <c r="C29" i="7"/>
  <c r="C20" i="7"/>
  <c r="C17" i="7"/>
  <c r="C24" i="7"/>
  <c r="C36" i="7"/>
  <c r="C56" i="7"/>
  <c r="C52" i="7"/>
  <c r="C40" i="7"/>
  <c r="C31" i="7"/>
  <c r="C18" i="7"/>
  <c r="C42" i="7"/>
  <c r="C34" i="7"/>
  <c r="C21" i="7"/>
  <c r="C32" i="7"/>
  <c r="C11" i="7"/>
  <c r="C38" i="7"/>
  <c r="C13" i="7"/>
  <c r="C28" i="7"/>
  <c r="C54" i="7"/>
  <c r="C58" i="7"/>
  <c r="C25" i="7"/>
  <c r="C16" i="7"/>
  <c r="C23" i="7"/>
  <c r="C26" i="7"/>
  <c r="C14" i="7"/>
  <c r="D8" i="7"/>
  <c r="D62" i="7" s="1"/>
  <c r="C8" i="7"/>
  <c r="C62" i="7" s="1"/>
  <c r="C8" i="33"/>
  <c r="G7" i="33"/>
  <c r="G5" i="33"/>
  <c r="F64" i="37"/>
  <c r="K73" i="37"/>
  <c r="K72" i="37"/>
  <c r="E24" i="37"/>
  <c r="E21" i="37"/>
  <c r="G89" i="8" l="1"/>
  <c r="D13" i="11"/>
  <c r="L21" i="11"/>
  <c r="D92" i="8"/>
  <c r="F91" i="8"/>
  <c r="F61" i="8"/>
  <c r="F60" i="8"/>
  <c r="G22" i="8"/>
  <c r="G21" i="8"/>
  <c r="G23" i="8"/>
  <c r="G24" i="8"/>
  <c r="E10" i="2"/>
  <c r="D10" i="2"/>
  <c r="H8" i="1"/>
  <c r="K8" i="35" s="1"/>
  <c r="G8" i="1"/>
  <c r="J27" i="35"/>
  <c r="I27" i="35"/>
  <c r="H27" i="35"/>
  <c r="G27" i="35"/>
  <c r="F27" i="35"/>
  <c r="E27" i="35"/>
  <c r="D27" i="35"/>
  <c r="C27" i="35"/>
  <c r="C10" i="35"/>
  <c r="D12" i="34"/>
  <c r="D26" i="34"/>
  <c r="C28" i="39"/>
  <c r="C24" i="39"/>
  <c r="B50" i="39"/>
  <c r="D50" i="39" s="1"/>
  <c r="F50" i="39" s="1"/>
  <c r="L50" i="39" s="1"/>
  <c r="B45" i="39"/>
  <c r="B53" i="39"/>
  <c r="F40" i="39"/>
  <c r="G40" i="39" s="1"/>
  <c r="F52" i="39"/>
  <c r="F44" i="39"/>
  <c r="G44" i="39" s="1"/>
  <c r="B35" i="39"/>
  <c r="F35" i="39" s="1"/>
  <c r="B34" i="39"/>
  <c r="F34" i="39" s="1"/>
  <c r="B33" i="39"/>
  <c r="F33" i="39" s="1"/>
  <c r="B12" i="39"/>
  <c r="F12" i="39" s="1"/>
  <c r="G12" i="39" s="1"/>
  <c r="I56" i="39"/>
  <c r="B63" i="39" s="1"/>
  <c r="F49" i="39"/>
  <c r="L49" i="39" s="1"/>
  <c r="F46" i="39"/>
  <c r="L46" i="39" s="1"/>
  <c r="M43" i="39"/>
  <c r="F43" i="39"/>
  <c r="F42" i="39"/>
  <c r="M42" i="39" s="1"/>
  <c r="F36" i="39"/>
  <c r="F32" i="39"/>
  <c r="C30" i="39"/>
  <c r="F29" i="39"/>
  <c r="L29" i="39" s="1"/>
  <c r="B27" i="39"/>
  <c r="F27" i="39" s="1"/>
  <c r="N27" i="39" s="1"/>
  <c r="B83" i="39" s="1"/>
  <c r="D46" i="34" s="1"/>
  <c r="Q26" i="39"/>
  <c r="P26" i="39"/>
  <c r="R25" i="39"/>
  <c r="C25" i="39"/>
  <c r="R24" i="39"/>
  <c r="R23" i="39"/>
  <c r="R22" i="39"/>
  <c r="R21" i="39"/>
  <c r="D16" i="39"/>
  <c r="F14" i="39"/>
  <c r="F11" i="39"/>
  <c r="J11" i="39" s="1"/>
  <c r="E9" i="39"/>
  <c r="C89" i="39" s="1"/>
  <c r="D53" i="39" l="1"/>
  <c r="F53" i="39" s="1"/>
  <c r="L53" i="39" s="1"/>
  <c r="F47" i="39"/>
  <c r="L47" i="39" s="1"/>
  <c r="F28" i="39"/>
  <c r="J28" i="39" s="1"/>
  <c r="J56" i="39" s="1"/>
  <c r="B66" i="39" s="1"/>
  <c r="R26" i="39"/>
  <c r="D51" i="39"/>
  <c r="C21" i="39" s="1"/>
  <c r="F41" i="39"/>
  <c r="H41" i="39" s="1"/>
  <c r="H56" i="39" s="1"/>
  <c r="B62" i="39" s="1"/>
  <c r="F51" i="39" l="1"/>
  <c r="N51" i="39" s="1"/>
  <c r="E7" i="34" l="1"/>
  <c r="B37" i="39" l="1"/>
  <c r="C50" i="7"/>
  <c r="C51" i="7"/>
  <c r="C47" i="7"/>
  <c r="C15" i="7"/>
  <c r="C12" i="27" l="1"/>
  <c r="C15" i="23"/>
  <c r="C12" i="24"/>
  <c r="C14" i="28"/>
  <c r="C10" i="25"/>
  <c r="C9" i="25" s="1"/>
  <c r="C8" i="25"/>
  <c r="C7" i="25" s="1"/>
  <c r="C13" i="27"/>
  <c r="C11" i="24"/>
  <c r="G23" i="19"/>
  <c r="C47" i="17"/>
  <c r="B18" i="39"/>
  <c r="F18" i="39" s="1"/>
  <c r="F63" i="8"/>
  <c r="M10" i="8"/>
  <c r="M67" i="8"/>
  <c r="H150" i="38"/>
  <c r="F145" i="38"/>
  <c r="F146" i="38"/>
  <c r="F147" i="38"/>
  <c r="F148" i="38"/>
  <c r="F144" i="38"/>
  <c r="G144" i="38" s="1"/>
  <c r="G148" i="38"/>
  <c r="G147" i="38"/>
  <c r="G146" i="38"/>
  <c r="G145" i="38"/>
  <c r="G149" i="38"/>
  <c r="F149" i="38"/>
  <c r="D150" i="38"/>
  <c r="J139" i="38"/>
  <c r="J137" i="38"/>
  <c r="J138" i="38"/>
  <c r="J136" i="38"/>
  <c r="I139" i="38"/>
  <c r="I137" i="38"/>
  <c r="I138" i="38"/>
  <c r="I136" i="38"/>
  <c r="H137" i="38"/>
  <c r="H138" i="38"/>
  <c r="H136" i="38"/>
  <c r="F138" i="38"/>
  <c r="F137" i="38"/>
  <c r="F136" i="38"/>
  <c r="F139" i="38"/>
  <c r="E139" i="38"/>
  <c r="B25" i="39" l="1"/>
  <c r="F25" i="39" s="1"/>
  <c r="G25" i="39" s="1"/>
  <c r="G56" i="39" s="1"/>
  <c r="B61" i="39" s="1"/>
  <c r="D10" i="34" s="1"/>
  <c r="C11" i="16"/>
  <c r="C11" i="25"/>
  <c r="M84" i="8"/>
  <c r="D16" i="14"/>
  <c r="D17" i="14" s="1"/>
  <c r="B20" i="39"/>
  <c r="F20" i="39" s="1"/>
  <c r="C26" i="39"/>
  <c r="B26" i="39"/>
  <c r="F26" i="39" s="1"/>
  <c r="L26" i="39" s="1"/>
  <c r="B31" i="39"/>
  <c r="F31" i="39" s="1"/>
  <c r="N31" i="39" s="1"/>
  <c r="B17" i="39"/>
  <c r="F17" i="39" s="1"/>
  <c r="M17" i="39" s="1"/>
  <c r="B15" i="39"/>
  <c r="F15" i="39" s="1"/>
  <c r="M15" i="39" s="1"/>
  <c r="B72" i="39" s="1"/>
  <c r="D36" i="34" s="1"/>
  <c r="G150" i="38"/>
  <c r="B16" i="39" l="1"/>
  <c r="F16" i="39" s="1"/>
  <c r="M16" i="39" s="1"/>
  <c r="B70" i="39" s="1"/>
  <c r="D32" i="34" s="1"/>
  <c r="C13" i="25"/>
  <c r="C26" i="35"/>
  <c r="C20" i="35" s="1"/>
  <c r="J20" i="35" s="1"/>
  <c r="F8" i="22"/>
  <c r="D8" i="22" s="1"/>
  <c r="D45" i="39"/>
  <c r="E14" i="33"/>
  <c r="E15" i="33"/>
  <c r="J86" i="8"/>
  <c r="K86" i="8" s="1"/>
  <c r="F45" i="39" l="1"/>
  <c r="K45" i="39" s="1"/>
  <c r="K56" i="39" s="1"/>
  <c r="B64" i="39" s="1"/>
  <c r="D11" i="34" s="1"/>
  <c r="G90" i="8"/>
  <c r="G12" i="8"/>
  <c r="G13" i="8"/>
  <c r="G14" i="8"/>
  <c r="G15" i="8"/>
  <c r="G16" i="8"/>
  <c r="G17" i="8"/>
  <c r="G18" i="8" s="1"/>
  <c r="G19" i="8"/>
  <c r="G20" i="8"/>
  <c r="G11" i="8"/>
  <c r="C39" i="16"/>
  <c r="C40" i="16" s="1"/>
  <c r="D23" i="23" l="1"/>
  <c r="D25" i="23" l="1"/>
  <c r="D26" i="23"/>
  <c r="C33" i="16"/>
  <c r="F20" i="16"/>
  <c r="F22" i="16" s="1"/>
  <c r="F8" i="13"/>
  <c r="E12" i="13"/>
  <c r="C12" i="13"/>
  <c r="C34" i="9"/>
  <c r="C36" i="9" s="1"/>
  <c r="B35" i="9"/>
  <c r="B34" i="9"/>
  <c r="D28" i="9"/>
  <c r="E93" i="8" l="1"/>
  <c r="D99" i="8"/>
  <c r="C99" i="8"/>
  <c r="E88" i="8"/>
  <c r="E87" i="8"/>
  <c r="E86" i="8"/>
  <c r="G88" i="8" l="1"/>
  <c r="F88" i="8"/>
  <c r="G86" i="8"/>
  <c r="F86" i="8"/>
  <c r="G87" i="8"/>
  <c r="F87" i="8"/>
  <c r="E85" i="8"/>
  <c r="F12" i="8"/>
  <c r="F13" i="8"/>
  <c r="F14" i="8"/>
  <c r="F15" i="8"/>
  <c r="F16" i="8"/>
  <c r="F17" i="8"/>
  <c r="F18" i="8"/>
  <c r="F19" i="8"/>
  <c r="F20" i="8"/>
  <c r="F11" i="8"/>
  <c r="D100" i="8"/>
  <c r="C100" i="8"/>
  <c r="C101" i="8" s="1"/>
  <c r="F10" i="8" l="1"/>
  <c r="F85" i="8"/>
  <c r="F84" i="8" s="1"/>
  <c r="N84" i="8" s="1"/>
  <c r="E84" i="8"/>
  <c r="E92" i="8" s="1"/>
  <c r="G85" i="8"/>
  <c r="M12" i="8" l="1"/>
  <c r="M13" i="8" s="1"/>
  <c r="F92" i="8"/>
  <c r="F94" i="8" s="1"/>
  <c r="C59" i="7"/>
  <c r="C66" i="7" l="1"/>
  <c r="C68" i="7" s="1"/>
  <c r="D66" i="7"/>
  <c r="D68" i="7" s="1"/>
  <c r="D70" i="7" s="1"/>
  <c r="D14" i="37"/>
  <c r="H14" i="37"/>
  <c r="E97" i="37"/>
  <c r="E95" i="37"/>
  <c r="D93" i="37"/>
  <c r="I24" i="37" l="1"/>
  <c r="I28" i="37"/>
  <c r="K60" i="37" l="1"/>
  <c r="G60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1" i="37"/>
  <c r="K70" i="37"/>
  <c r="K69" i="37"/>
  <c r="K68" i="37"/>
  <c r="K67" i="37"/>
  <c r="K66" i="37"/>
  <c r="K65" i="37"/>
  <c r="K64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20" i="37"/>
  <c r="B24" i="39" l="1"/>
  <c r="F24" i="39" s="1"/>
  <c r="N24" i="39" s="1"/>
  <c r="C36" i="16"/>
  <c r="B21" i="39"/>
  <c r="F21" i="39" s="1"/>
  <c r="M21" i="39" s="1"/>
  <c r="J8" i="35"/>
  <c r="C11" i="28"/>
  <c r="C15" i="28"/>
  <c r="F11" i="13"/>
  <c r="C70" i="7" l="1"/>
  <c r="B9" i="39"/>
  <c r="B82" i="39"/>
  <c r="B13" i="39"/>
  <c r="D7" i="34"/>
  <c r="D20" i="34"/>
  <c r="D15" i="34"/>
  <c r="F9" i="39" l="1"/>
  <c r="O9" i="39" s="1"/>
  <c r="D90" i="39"/>
  <c r="D45" i="34"/>
  <c r="C9" i="27"/>
  <c r="C8" i="27"/>
  <c r="C10" i="23"/>
  <c r="D11" i="22"/>
  <c r="F11" i="22"/>
  <c r="F10" i="22"/>
  <c r="C10" i="27" l="1"/>
  <c r="F10" i="13"/>
  <c r="D12" i="13"/>
  <c r="F20" i="37" l="1"/>
  <c r="F21" i="37" l="1"/>
  <c r="G20" i="37"/>
  <c r="I24" i="35"/>
  <c r="F24" i="35"/>
  <c r="I26" i="35"/>
  <c r="H26" i="35"/>
  <c r="H24" i="35" s="1"/>
  <c r="G26" i="35"/>
  <c r="F26" i="35"/>
  <c r="F25" i="35" s="1"/>
  <c r="I10" i="35"/>
  <c r="H10" i="35"/>
  <c r="F10" i="35"/>
  <c r="G10" i="35"/>
  <c r="E10" i="35"/>
  <c r="E26" i="35"/>
  <c r="D26" i="35"/>
  <c r="D24" i="35" s="1"/>
  <c r="D10" i="35"/>
  <c r="C14" i="23"/>
  <c r="C12" i="23"/>
  <c r="C13" i="23"/>
  <c r="C22" i="23"/>
  <c r="C11" i="23"/>
  <c r="J10" i="35" l="1"/>
  <c r="J34" i="35" s="1"/>
  <c r="B48" i="39"/>
  <c r="D48" i="39" s="1"/>
  <c r="F48" i="39" s="1"/>
  <c r="L48" i="39" s="1"/>
  <c r="C16" i="28"/>
  <c r="C16" i="23"/>
  <c r="F22" i="37"/>
  <c r="G21" i="37"/>
  <c r="J26" i="35"/>
  <c r="F29" i="35"/>
  <c r="F31" i="35" s="1"/>
  <c r="H29" i="35"/>
  <c r="H31" i="35" s="1"/>
  <c r="C31" i="35"/>
  <c r="G11" i="2"/>
  <c r="C14" i="27"/>
  <c r="C15" i="27" s="1"/>
  <c r="D29" i="35"/>
  <c r="D31" i="35" s="1"/>
  <c r="B54" i="39" l="1"/>
  <c r="D54" i="39" s="1"/>
  <c r="C16" i="27"/>
  <c r="C9" i="24"/>
  <c r="F9" i="24" s="1"/>
  <c r="F23" i="37"/>
  <c r="G22" i="37"/>
  <c r="B30" i="39"/>
  <c r="C37" i="39" l="1"/>
  <c r="C56" i="39" s="1"/>
  <c r="D56" i="39"/>
  <c r="F54" i="39"/>
  <c r="L54" i="39" s="1"/>
  <c r="C13" i="24"/>
  <c r="F30" i="39"/>
  <c r="N30" i="39" s="1"/>
  <c r="B38" i="39"/>
  <c r="F38" i="39" s="1"/>
  <c r="F7" i="22"/>
  <c r="J32" i="35"/>
  <c r="F24" i="37"/>
  <c r="G23" i="37"/>
  <c r="F56" i="39" l="1"/>
  <c r="F37" i="39"/>
  <c r="B84" i="39"/>
  <c r="N56" i="39"/>
  <c r="D115" i="2"/>
  <c r="B57" i="39"/>
  <c r="D57" i="39"/>
  <c r="F25" i="37"/>
  <c r="G24" i="37"/>
  <c r="D44" i="34" l="1"/>
  <c r="D49" i="34" s="1"/>
  <c r="C86" i="39"/>
  <c r="F26" i="37"/>
  <c r="G25" i="37"/>
  <c r="F27" i="37" l="1"/>
  <c r="G26" i="37"/>
  <c r="I25" i="35"/>
  <c r="J25" i="35" s="1"/>
  <c r="F28" i="37" l="1"/>
  <c r="G27" i="37"/>
  <c r="I29" i="35"/>
  <c r="I31" i="35" s="1"/>
  <c r="E14" i="35"/>
  <c r="J14" i="35" s="1"/>
  <c r="G24" i="35"/>
  <c r="J24" i="35" s="1"/>
  <c r="G28" i="37" l="1"/>
  <c r="F29" i="37"/>
  <c r="E29" i="35"/>
  <c r="E31" i="35" s="1"/>
  <c r="G16" i="35"/>
  <c r="J16" i="35" s="1"/>
  <c r="K34" i="35" s="1"/>
  <c r="F30" i="37" l="1"/>
  <c r="G29" i="37"/>
  <c r="J29" i="35"/>
  <c r="J31" i="35" s="1"/>
  <c r="G29" i="35"/>
  <c r="G31" i="35" s="1"/>
  <c r="M25" i="11"/>
  <c r="D20" i="14" l="1"/>
  <c r="B19" i="39"/>
  <c r="F19" i="39" s="1"/>
  <c r="M19" i="39" s="1"/>
  <c r="F31" i="37"/>
  <c r="G30" i="37"/>
  <c r="B71" i="39" l="1"/>
  <c r="D35" i="34" s="1"/>
  <c r="M56" i="39"/>
  <c r="F32" i="37"/>
  <c r="G31" i="37"/>
  <c r="E10" i="22"/>
  <c r="C12" i="22"/>
  <c r="D14" i="9"/>
  <c r="D58" i="9" s="1"/>
  <c r="C26" i="9"/>
  <c r="C28" i="9" s="1"/>
  <c r="D40" i="34" l="1"/>
  <c r="C78" i="39"/>
  <c r="D16" i="9"/>
  <c r="D59" i="9"/>
  <c r="F33" i="37"/>
  <c r="G32" i="37"/>
  <c r="B27" i="9"/>
  <c r="B44" i="9" s="1"/>
  <c r="B22" i="11" s="1"/>
  <c r="B13" i="13" s="1"/>
  <c r="F34" i="37" l="1"/>
  <c r="G33" i="37"/>
  <c r="B13" i="15"/>
  <c r="B18" i="14"/>
  <c r="E99" i="37"/>
  <c r="E101" i="37" s="1"/>
  <c r="B14" i="18" l="1"/>
  <c r="B10" i="16" s="1"/>
  <c r="B21" i="19" s="1"/>
  <c r="B26" i="21" s="1"/>
  <c r="B45" i="17"/>
  <c r="B55" i="17" s="1"/>
  <c r="F35" i="37"/>
  <c r="G34" i="37"/>
  <c r="J60" i="37"/>
  <c r="F60" i="37"/>
  <c r="B21" i="16" l="1"/>
  <c r="B34" i="16" s="1"/>
  <c r="B41" i="16" s="1"/>
  <c r="G35" i="37"/>
  <c r="F36" i="37"/>
  <c r="F65" i="37"/>
  <c r="G65" i="37" s="1"/>
  <c r="G64" i="37"/>
  <c r="F66" i="37" l="1"/>
  <c r="F67" i="37"/>
  <c r="G66" i="37"/>
  <c r="F37" i="37"/>
  <c r="G36" i="37"/>
  <c r="C21" i="23"/>
  <c r="C20" i="23"/>
  <c r="H21" i="19"/>
  <c r="F38" i="37" l="1"/>
  <c r="G37" i="37"/>
  <c r="F68" i="37"/>
  <c r="G67" i="37"/>
  <c r="C13" i="18"/>
  <c r="C16" i="18" s="1"/>
  <c r="C14" i="9"/>
  <c r="C16" i="9" s="1"/>
  <c r="F69" i="37" l="1"/>
  <c r="G68" i="37"/>
  <c r="F39" i="37"/>
  <c r="G38" i="37"/>
  <c r="F93" i="37"/>
  <c r="F70" i="37" l="1"/>
  <c r="G69" i="37"/>
  <c r="F40" i="37"/>
  <c r="G39" i="37"/>
  <c r="C23" i="23"/>
  <c r="F9" i="13"/>
  <c r="F12" i="13" s="1"/>
  <c r="F15" i="13" s="1"/>
  <c r="B26" i="9"/>
  <c r="D7" i="22"/>
  <c r="D12" i="22" s="1"/>
  <c r="B13" i="22"/>
  <c r="C43" i="9"/>
  <c r="C58" i="9" s="1"/>
  <c r="E8" i="22"/>
  <c r="E11" i="22"/>
  <c r="D95" i="37"/>
  <c r="D97" i="37" s="1"/>
  <c r="D96" i="37"/>
  <c r="D98" i="37" s="1"/>
  <c r="F8" i="15"/>
  <c r="F9" i="15"/>
  <c r="F10" i="15"/>
  <c r="F11" i="15"/>
  <c r="C12" i="15"/>
  <c r="E12" i="15"/>
  <c r="D12" i="15"/>
  <c r="F7" i="15"/>
  <c r="C25" i="23" l="1"/>
  <c r="C26" i="23"/>
  <c r="C45" i="9"/>
  <c r="C59" i="9"/>
  <c r="F41" i="37"/>
  <c r="G40" i="37"/>
  <c r="F71" i="37"/>
  <c r="F72" i="37" s="1"/>
  <c r="G70" i="37"/>
  <c r="B21" i="11"/>
  <c r="B12" i="13" s="1"/>
  <c r="E12" i="22"/>
  <c r="F12" i="15"/>
  <c r="B43" i="9"/>
  <c r="B17" i="14" l="1"/>
  <c r="B12" i="15" s="1"/>
  <c r="B44" i="17" s="1"/>
  <c r="B54" i="17" s="1"/>
  <c r="D8" i="14"/>
  <c r="G72" i="37"/>
  <c r="F73" i="37"/>
  <c r="G73" i="37" s="1"/>
  <c r="F74" i="37"/>
  <c r="G71" i="37"/>
  <c r="F42" i="37"/>
  <c r="G41" i="37"/>
  <c r="B13" i="18" l="1"/>
  <c r="B9" i="16" s="1"/>
  <c r="B20" i="16" s="1"/>
  <c r="B33" i="16" s="1"/>
  <c r="M21" i="11"/>
  <c r="F43" i="37"/>
  <c r="G42" i="37"/>
  <c r="F75" i="37"/>
  <c r="G74" i="37"/>
  <c r="B20" i="19" l="1"/>
  <c r="B25" i="21" s="1"/>
  <c r="B12" i="22" s="1"/>
  <c r="B40" i="16"/>
  <c r="F76" i="37"/>
  <c r="G75" i="37"/>
  <c r="F44" i="37"/>
  <c r="G43" i="37"/>
  <c r="F45" i="37" l="1"/>
  <c r="G44" i="37"/>
  <c r="F77" i="37"/>
  <c r="G76" i="37"/>
  <c r="F78" i="37" l="1"/>
  <c r="G77" i="37"/>
  <c r="F46" i="37"/>
  <c r="G45" i="37"/>
  <c r="F47" i="37" l="1"/>
  <c r="G46" i="37"/>
  <c r="F79" i="37"/>
  <c r="G78" i="37"/>
  <c r="F80" i="37" l="1"/>
  <c r="G79" i="37"/>
  <c r="F48" i="37"/>
  <c r="G47" i="37"/>
  <c r="F49" i="37" l="1"/>
  <c r="G48" i="37"/>
  <c r="F81" i="37"/>
  <c r="G80" i="37"/>
  <c r="F82" i="37" l="1"/>
  <c r="G81" i="37"/>
  <c r="F50" i="37"/>
  <c r="G49" i="37"/>
  <c r="F83" i="37" l="1"/>
  <c r="G82" i="37"/>
  <c r="F51" i="37"/>
  <c r="G50" i="37"/>
  <c r="F52" i="37" l="1"/>
  <c r="G51" i="37"/>
  <c r="F84" i="37"/>
  <c r="G83" i="37"/>
  <c r="F53" i="37" l="1"/>
  <c r="G52" i="37"/>
  <c r="F85" i="37"/>
  <c r="G84" i="37"/>
  <c r="F86" i="37" l="1"/>
  <c r="G85" i="37"/>
  <c r="F54" i="37"/>
  <c r="G53" i="37"/>
  <c r="F55" i="37" l="1"/>
  <c r="G54" i="37"/>
  <c r="F87" i="37"/>
  <c r="G86" i="37"/>
  <c r="F88" i="37" l="1"/>
  <c r="G88" i="37" s="1"/>
  <c r="G87" i="37"/>
  <c r="F56" i="37"/>
  <c r="G55" i="37"/>
  <c r="F57" i="37" l="1"/>
  <c r="G57" i="37" s="1"/>
  <c r="G56" i="37"/>
  <c r="F9" i="22"/>
  <c r="F12" i="22" s="1"/>
  <c r="K29" i="35"/>
  <c r="F15" i="22" l="1"/>
  <c r="D82" i="1"/>
  <c r="B22" i="39"/>
  <c r="B23" i="39" s="1"/>
  <c r="F13" i="39"/>
  <c r="L13" i="39" s="1"/>
  <c r="F23" i="39" l="1"/>
  <c r="B39" i="39"/>
  <c r="F10" i="39"/>
  <c r="L10" i="39" s="1"/>
  <c r="L56" i="39" s="1"/>
  <c r="O56" i="39" l="1"/>
  <c r="B65" i="39"/>
  <c r="C68" i="39" l="1"/>
  <c r="C88" i="39" s="1"/>
  <c r="C90" i="39" s="1"/>
  <c r="E90" i="39" s="1"/>
  <c r="D22" i="34"/>
  <c r="D24" i="34" s="1"/>
  <c r="D88" i="39"/>
  <c r="O57" i="39"/>
  <c r="D19" i="11"/>
  <c r="G20" i="11"/>
  <c r="E88" i="39" l="1"/>
  <c r="D28" i="34"/>
  <c r="D53" i="34"/>
  <c r="D55" i="34" s="1"/>
  <c r="G21" i="11"/>
  <c r="D20" i="11"/>
  <c r="D21" i="11" s="1"/>
  <c r="D58" i="34" l="1"/>
  <c r="D5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23CE0D7C-AE2C-4174-867B-7F0A5141DE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8D5F3EC5-8B98-44E9-B0BC-E706EFFB5ED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sharedStrings.xml><?xml version="1.0" encoding="utf-8"?>
<sst xmlns="http://schemas.openxmlformats.org/spreadsheetml/2006/main" count="1823" uniqueCount="1041">
  <si>
    <t>INVESTOR CASA DE BOLSA S.A.</t>
  </si>
  <si>
    <t>Fecha Presentación:</t>
  </si>
  <si>
    <t>INDICE</t>
  </si>
  <si>
    <t>REF.</t>
  </si>
  <si>
    <t>Balance General</t>
  </si>
  <si>
    <t>Cuadro de Resultados</t>
  </si>
  <si>
    <t>Flujo de Efectivo</t>
  </si>
  <si>
    <t>Calculo de IRACIS</t>
  </si>
  <si>
    <t>Balance del Sistema</t>
  </si>
  <si>
    <t>Informe del Sindico</t>
  </si>
  <si>
    <t>Informe del Auditor Externo</t>
  </si>
  <si>
    <t>Memoria del Directorio</t>
  </si>
  <si>
    <t>Nota 1- Consideraciones de EEFF</t>
  </si>
  <si>
    <t>e. Inversiones</t>
  </si>
  <si>
    <t>i. Bienes Intangibles</t>
  </si>
  <si>
    <t>j. Otros Activos</t>
  </si>
  <si>
    <t>n. Administración de Carteras</t>
  </si>
  <si>
    <t>s. Resultados con Relacionadas</t>
  </si>
  <si>
    <t>u. Previsiones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</si>
  <si>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</si>
  <si>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</si>
  <si>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</si>
  <si>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</si>
  <si>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</si>
  <si>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</si>
  <si>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</si>
  <si>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</si>
  <si>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</si>
  <si>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</si>
  <si>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</si>
  <si>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</si>
  <si>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</si>
  <si>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</si>
  <si>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</si>
  <si>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</si>
  <si>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ACTIVO CORRIENTE Nota 5 a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</si>
  <si>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</si>
  <si>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</si>
  <si>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</si>
  <si>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</si>
  <si>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</si>
  <si>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</si>
  <si>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</si>
  <si>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Obligaciones por Administracion de Carteras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</si>
  <si>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</si>
  <si>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</si>
  <si>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</si>
  <si>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</si>
  <si>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</si>
  <si>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</si>
  <si>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</si>
  <si>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</si>
  <si>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</si>
  <si>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</si>
  <si>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</si>
  <si>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</si>
  <si>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</si>
  <si>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</si>
  <si>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</si>
  <si>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</si>
  <si>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</si>
  <si>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</si>
  <si>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</si>
  <si>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</si>
  <si>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</si>
  <si>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</si>
  <si>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</si>
  <si>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</si>
  <si>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</si>
  <si>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</si>
  <si>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</si>
  <si>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</si>
  <si>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</si>
  <si>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</si>
  <si>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1 01 15 03</t>
  </si>
  <si>
    <t>Dividendos a Pagar</t>
  </si>
  <si>
    <t>2 01 15 03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</si>
  <si>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</si>
  <si>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</si>
  <si>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</si>
  <si>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</si>
  <si>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</si>
  <si>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</si>
  <si>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</si>
  <si>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</si>
  <si>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</si>
  <si>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</si>
  <si>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</si>
  <si>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</si>
  <si>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</si>
  <si>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</si>
  <si>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</si>
  <si>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</si>
  <si>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</si>
  <si>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</si>
  <si>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</si>
  <si>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</si>
  <si>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</si>
  <si>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</si>
  <si>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</si>
  <si>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</si>
  <si>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</si>
  <si>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</si>
  <si>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Total  Pasivo no Corriente</t>
  </si>
  <si>
    <t>1 02 02 02</t>
  </si>
  <si>
    <t>Total Pasivo</t>
  </si>
  <si>
    <t>1 02 02 03</t>
  </si>
  <si>
    <t>PATRIMONIO NETO  Nota 5 t</t>
  </si>
  <si>
    <t>Capital realizado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</si>
  <si>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</si>
  <si>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</si>
  <si>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</si>
  <si>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</si>
  <si>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</si>
  <si>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</si>
  <si>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</si>
  <si>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</si>
  <si>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</si>
  <si>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</si>
  <si>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</si>
  <si>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</si>
  <si>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</si>
  <si>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</si>
  <si>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</si>
  <si>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</si>
  <si>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</si>
  <si>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Total Patrimonio Neto</t>
  </si>
  <si>
    <t>1 02 10 02</t>
  </si>
  <si>
    <t>Total Pasivo y Patrimonio Neto</t>
  </si>
  <si>
    <t>1 02 20</t>
  </si>
  <si>
    <t>Gastos de Constitución</t>
  </si>
  <si>
    <t>1 02 20 01</t>
  </si>
  <si>
    <t>Seguros Pagados por Adelantado</t>
  </si>
  <si>
    <t>1 02 20 02</t>
  </si>
  <si>
    <t>1 02 20 03</t>
  </si>
  <si>
    <t>Total Activo no Corriente</t>
  </si>
  <si>
    <t>1 02 20 04</t>
  </si>
  <si>
    <t>Total de Activos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</si>
  <si>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</si>
  <si>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</si>
  <si>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</si>
  <si>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</si>
  <si>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</si>
  <si>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</si>
  <si>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</si>
  <si>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</si>
  <si>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</si>
  <si>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</si>
  <si>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</si>
  <si>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</si>
  <si>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</si>
  <si>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</si>
  <si>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</si>
  <si>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</si>
  <si>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</si>
  <si>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</si>
  <si>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</si>
  <si>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</si>
  <si>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</si>
  <si>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</si>
  <si>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</si>
  <si>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</si>
  <si>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</si>
  <si>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</si>
  <si>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</si>
  <si>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</si>
  <si>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</si>
  <si>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</si>
  <si>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</si>
  <si>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</si>
  <si>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</si>
  <si>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</si>
  <si>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</si>
  <si>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</si>
  <si>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</si>
  <si>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</si>
  <si>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</si>
  <si>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</si>
  <si>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</si>
  <si>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</si>
  <si>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</si>
  <si>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</si>
  <si>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</si>
  <si>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</si>
  <si>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</si>
  <si>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</si>
  <si>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</si>
  <si>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</si>
  <si>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</si>
  <si>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</si>
  <si>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</si>
  <si>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</si>
  <si>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</si>
  <si>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</si>
  <si>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</si>
  <si>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</si>
  <si>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</si>
  <si>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</si>
  <si>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</si>
  <si>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</si>
  <si>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</si>
  <si>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</si>
  <si>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</si>
  <si>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</si>
  <si>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</si>
  <si>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</si>
  <si>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</si>
  <si>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</si>
  <si>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</si>
  <si>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</si>
  <si>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</si>
  <si>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</si>
  <si>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</si>
  <si>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</si>
  <si>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</si>
  <si>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</si>
  <si>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</si>
  <si>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Ganancias (o pérdidas) netas a distribuir</t>
  </si>
  <si>
    <t>ESTADO DE FLUJO DE EFECTIVO</t>
  </si>
  <si>
    <t>Flujo de efectivo por las actividades operativas</t>
  </si>
  <si>
    <t>Importe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</si>
  <si>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</si>
  <si>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</si>
  <si>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</si>
  <si>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</si>
  <si>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</si>
  <si>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</si>
  <si>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</si>
  <si>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</si>
  <si>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</si>
  <si>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</si>
  <si>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</si>
  <si>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</si>
  <si>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</si>
  <si>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</si>
  <si>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</si>
  <si>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</si>
  <si>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</si>
  <si>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</si>
  <si>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</si>
  <si>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</si>
  <si>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Préstamos y Otras Deudas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</si>
  <si>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</si>
  <si>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</si>
  <si>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</si>
  <si>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</si>
  <si>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</si>
  <si>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</si>
  <si>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</si>
  <si>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</si>
  <si>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</si>
  <si>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</si>
  <si>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</si>
  <si>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</si>
  <si>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</si>
  <si>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</si>
  <si>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</si>
  <si>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</si>
  <si>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</si>
  <si>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</si>
  <si>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</si>
  <si>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</si>
  <si>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</si>
  <si>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</si>
  <si>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</si>
  <si>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</si>
  <si>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</si>
  <si>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</si>
  <si>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 xml:space="preserve">NOTA A LOS ESTADOS CONTABLES </t>
  </si>
  <si>
    <t>NOTA 1: CONSIDERACION DE LOS ESTADOS CONTABLES</t>
  </si>
  <si>
    <t>NOTA 2:  INFORMACIÓN BÁSICA DE LA EMPRESA</t>
  </si>
  <si>
    <t>Inscripta en la Comisión Nacional de Valores según Resolución 1275/10 de fecha 19 de mayo de 2010 y en la Bolsa de Valores y Productos de Asunción S.A. según resolución 915/10 de fecha 31 de mayo de 2010, bajo el número 021.</t>
  </si>
  <si>
    <t>La Sociedad tiene por objeto efectuar las siguientes operaciones: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</si>
  <si>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</si>
  <si>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</si>
  <si>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</si>
  <si>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</si>
  <si>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</si>
  <si>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</si>
  <si>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</si>
  <si>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</si>
  <si>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</si>
  <si>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</si>
  <si>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</si>
  <si>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</si>
  <si>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</si>
  <si>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</si>
  <si>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</si>
  <si>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</si>
  <si>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</si>
  <si>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</si>
  <si>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</si>
  <si>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</si>
  <si>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</si>
  <si>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</si>
  <si>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</si>
  <si>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</si>
  <si>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</si>
  <si>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</si>
  <si>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</si>
  <si>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</si>
  <si>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</si>
  <si>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</si>
  <si>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</si>
  <si>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</si>
  <si>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</si>
  <si>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</si>
  <si>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</si>
  <si>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</si>
  <si>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</si>
  <si>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</si>
  <si>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</si>
  <si>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</si>
  <si>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</si>
  <si>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</si>
  <si>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</si>
  <si>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</si>
  <si>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</si>
  <si>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</si>
  <si>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</si>
  <si>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</si>
  <si>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</si>
  <si>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</si>
  <si>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</si>
  <si>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</si>
  <si>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</si>
  <si>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</si>
  <si>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</si>
  <si>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</si>
  <si>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</si>
  <si>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</si>
  <si>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</si>
  <si>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</si>
  <si>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</si>
  <si>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</si>
  <si>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</si>
  <si>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</si>
  <si>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</si>
  <si>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</si>
  <si>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</si>
  <si>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</si>
  <si>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</si>
  <si>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</si>
  <si>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</si>
  <si>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</si>
  <si>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</si>
  <si>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</si>
  <si>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</si>
  <si>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</si>
  <si>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>Banco Familiar 22-02962092 Gs.</t>
  </si>
  <si>
    <t>Banco Familiar Comp. Usd</t>
  </si>
  <si>
    <t>Banco Gnb Gs 1-219468-002</t>
  </si>
  <si>
    <t>Banco Gnb Usd 1-219468-003</t>
  </si>
  <si>
    <t>Bancop Gs 0410022837</t>
  </si>
  <si>
    <t>Bancop Usd 0310024650</t>
  </si>
  <si>
    <t>Bbva Cta.Cte. U$S-11-1705507</t>
  </si>
  <si>
    <t>Broker Interactive U$S</t>
  </si>
  <si>
    <t>Crisol Y Encarnacion Financiera (Cefisa) U$S</t>
  </si>
  <si>
    <t>Crisol Y Encarnacion Financiera (Cefisa)Gs</t>
  </si>
  <si>
    <t>Fic De Finanzas Gs. 0131000778</t>
  </si>
  <si>
    <t>Fic De Finanzas U$D 0131000849</t>
  </si>
  <si>
    <t>Financiera El Comercio U$D 95704003</t>
  </si>
  <si>
    <t>Financiera Rio 100165400-0</t>
  </si>
  <si>
    <t>Finexpar Gs 155000841</t>
  </si>
  <si>
    <t>Finexpar Usd 0192356</t>
  </si>
  <si>
    <t>Interfisa Banco Gs 874</t>
  </si>
  <si>
    <t>Interfisa Banco U$D 10208646</t>
  </si>
  <si>
    <t>Itau Cta. Cte. Gs 741</t>
  </si>
  <si>
    <t>Itau Cta. Cte. U$S -75080051-6</t>
  </si>
  <si>
    <t>Itau Cta.Cte. Gs Nº 734</t>
  </si>
  <si>
    <t>Itau Cta.Cte. U$S Nº 75080052-3</t>
  </si>
  <si>
    <t>Itau Internacional Usd 75080363-6</t>
  </si>
  <si>
    <t>Sudameris Cta. Cte. Gs 1862952</t>
  </si>
  <si>
    <t>Sudameris Cta.Cte.U$S-186295/2</t>
  </si>
  <si>
    <t>Tu Financiera 5688382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</si>
  <si>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</si>
  <si>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</si>
  <si>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</si>
  <si>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</si>
  <si>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</si>
  <si>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</si>
  <si>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</si>
  <si>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</si>
  <si>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</si>
  <si>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</si>
  <si>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</si>
  <si>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</si>
  <si>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</si>
  <si>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</si>
  <si>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</si>
  <si>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CANTIDAD</t>
  </si>
  <si>
    <t>VALOR NOMINAL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</si>
  <si>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</si>
  <si>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</si>
  <si>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</si>
  <si>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</si>
  <si>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</si>
  <si>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</si>
  <si>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Deudores empresas relacionadas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</si>
  <si>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</si>
  <si>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</si>
  <si>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</si>
  <si>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</si>
  <si>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</si>
  <si>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</si>
  <si>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</si>
  <si>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</si>
  <si>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</si>
  <si>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</si>
  <si>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</si>
  <si>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</si>
  <si>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</si>
  <si>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</si>
  <si>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</si>
  <si>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</si>
  <si>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</si>
  <si>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</si>
  <si>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</si>
  <si>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</si>
  <si>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</si>
  <si>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</si>
  <si>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</si>
  <si>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SALDO INICIAL</t>
  </si>
  <si>
    <t>AUMENTOS</t>
  </si>
  <si>
    <t>AMORTIZACIONES</t>
  </si>
  <si>
    <t>SALDO NETO FINAL</t>
  </si>
  <si>
    <t>CUENTA</t>
  </si>
  <si>
    <t>Marcas y Licencias</t>
  </si>
  <si>
    <t>Marca Investor C.B. S.A.</t>
  </si>
  <si>
    <t>Licencias Informáticas</t>
  </si>
  <si>
    <t>Licencias para PCS</t>
  </si>
  <si>
    <t>Sistemas Informáticos</t>
  </si>
  <si>
    <t>Sistemas: Contable y Operativo</t>
  </si>
  <si>
    <t>Licencia Actividad Bursatil</t>
  </si>
  <si>
    <t>Deudores varios</t>
  </si>
  <si>
    <t>Cupones a cobrar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</si>
  <si>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</si>
  <si>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</si>
  <si>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</si>
  <si>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</si>
  <si>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</si>
  <si>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</si>
  <si>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CORRIENTE G.</t>
  </si>
  <si>
    <t>NO CORRIENTE G.</t>
  </si>
  <si>
    <t>A la fecha la entidad no registra administración de Cartera a Corto y Largo Plazo</t>
  </si>
  <si>
    <t xml:space="preserve"> No aplicable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</si>
  <si>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</si>
  <si>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</si>
  <si>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</si>
  <si>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</si>
  <si>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</si>
  <si>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</si>
  <si>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</si>
  <si>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Empresa Vinculada</t>
  </si>
  <si>
    <t>Cuentas a cobrar</t>
  </si>
  <si>
    <t>Director y Accionista</t>
  </si>
  <si>
    <t>Funcionaria</t>
  </si>
  <si>
    <t>ANTIGÜEDAD DE LA DEUDA</t>
  </si>
  <si>
    <t>PERSONA O EMPRESA RELACIONADA</t>
  </si>
  <si>
    <t>Total Ingresos</t>
  </si>
  <si>
    <t>Total Egresos</t>
  </si>
  <si>
    <t>Edge S.A.</t>
  </si>
  <si>
    <t>Codesarrollos S.A.</t>
  </si>
  <si>
    <t>Investor AFPI SA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</si>
  <si>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</si>
  <si>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</si>
  <si>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</si>
  <si>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</si>
  <si>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</si>
  <si>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</si>
  <si>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</si>
  <si>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</si>
  <si>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</si>
  <si>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</si>
  <si>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</si>
  <si>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Ingresos por intereses de Cartera propia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</si>
  <si>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</si>
  <si>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</si>
  <si>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</si>
  <si>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</si>
  <si>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</si>
  <si>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</si>
  <si>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</si>
  <si>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</si>
  <si>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</si>
  <si>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</si>
  <si>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</si>
  <si>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</si>
  <si>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</si>
  <si>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</si>
  <si>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</si>
  <si>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</si>
  <si>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</si>
  <si>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</si>
  <si>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</si>
  <si>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corresponde al presente periodo.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</si>
  <si>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</si>
  <si>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</si>
  <si>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</si>
  <si>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</si>
  <si>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</si>
  <si>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Rolando Natalizia</t>
  </si>
  <si>
    <t>Anibal Acosta</t>
  </si>
  <si>
    <t>Ingresos por Operaciones y Servicios Extrabursatiles</t>
  </si>
  <si>
    <t>BALANCE GENERAL</t>
  </si>
  <si>
    <t>REVALORIZAC</t>
  </si>
  <si>
    <t>Investor no ha reconocido en este Ejercicio los resultados de sus subsidiarias en sus Estados de Resultado Individual.</t>
  </si>
  <si>
    <t>Financiera El Comercio Caja De Ahorros Gs</t>
  </si>
  <si>
    <t>Banco Nacional de Fomento U$S</t>
  </si>
  <si>
    <t>Itau Cta Cte. Gs  571</t>
  </si>
  <si>
    <t>Total al 31/12/2020</t>
  </si>
  <si>
    <t>Market Data SA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</si>
  <si>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</si>
  <si>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</si>
  <si>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</si>
  <si>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</si>
  <si>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Balance Final 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</si>
  <si>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</si>
  <si>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</si>
  <si>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</si>
  <si>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j)</t>
    </r>
    <r>
      <rPr>
        <b/>
        <sz val="9"/>
        <color indexed="8"/>
        <rFont val="Calibri"/>
        <family val="2"/>
        <scheme val="minor"/>
      </rPr>
      <t>       Otros Activos Corrientes y No Corrientes</t>
    </r>
  </si>
  <si>
    <r>
      <t>k)</t>
    </r>
    <r>
      <rPr>
        <b/>
        <sz val="9"/>
        <color indexed="8"/>
        <rFont val="Calibri"/>
        <family val="2"/>
        <scheme val="minor"/>
      </rPr>
      <t>       Préstamos Financieros a corto y a largo plazo.</t>
    </r>
  </si>
  <si>
    <r>
      <t>l)</t>
    </r>
    <r>
      <rPr>
        <b/>
        <sz val="9"/>
        <color indexed="8"/>
        <rFont val="Calibri"/>
        <family val="2"/>
        <scheme val="minor"/>
      </rPr>
      <t>       Documentos y cuentas por pagar (Corto y largo plazo)</t>
    </r>
  </si>
  <si>
    <r>
      <t>m)</t>
    </r>
    <r>
      <rPr>
        <b/>
        <sz val="9"/>
        <color indexed="8"/>
        <rFont val="Calibri"/>
        <family val="2"/>
        <scheme val="minor"/>
      </rPr>
      <t>       Acreedores Corto y Largo Plazo. No aplicable.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</si>
  <si>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</si>
  <si>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  <scheme val="minor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</si>
  <si>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</si>
  <si>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  <scheme val="minor"/>
      </rPr>
      <t>       Otros Pasivos Corrientes y No Corrientes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</si>
  <si>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</si>
  <si>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Basa 139-5 Usd</t>
  </si>
  <si>
    <t>Obligaciones  por Contratos de Underwriting</t>
  </si>
  <si>
    <t>INVERSIONES TEMPORARIAS</t>
  </si>
  <si>
    <t>Ingresos por Administracion de Carteras</t>
  </si>
  <si>
    <t>Ingresos por Custodia de Valores</t>
  </si>
  <si>
    <t>Acciones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</si>
  <si>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</si>
  <si>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INVESTOR CASA DE BOLSA S.A</t>
    </r>
    <r>
      <rPr>
        <sz val="9"/>
        <color indexed="8"/>
        <rFont val="Calibri"/>
        <family val="2"/>
        <scheme val="minor"/>
      </rPr>
      <t>. fue constituida bajo la forma jurídica de Sociedad Anónima el 06 de Marzo de 2010 según escritura Pública Nº 205 e inscripta en el Registro Público de Comercio en el Libro Seccional respectivo y bajo en Nº 62 Y el folio Nº 696 y siguiente de fecha 23 de Marzo de 2010. La Sociedad se halla regida por las disposiciones de sus Estatutos, las Normas Legales y Reglamentarias relativas a la Sociedad y al Código Civil. La duración inicial de la Sociedad es de noventa y nueve años.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</si>
  <si>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</si>
  <si>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</si>
  <si>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</si>
  <si>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Procampo</t>
  </si>
  <si>
    <t>Acreedores por Intermediación. Nota 5 m</t>
  </si>
  <si>
    <t>Cuentas por Pagar a Personas y Emp. Relacionadas. Nota o</t>
  </si>
  <si>
    <t>PROVISIONES. Nota q</t>
  </si>
  <si>
    <t>Provisiones varias</t>
  </si>
  <si>
    <t>Investor Afpisa</t>
  </si>
  <si>
    <t>Incubate Sa</t>
  </si>
  <si>
    <t>Albaro Acosta</t>
  </si>
  <si>
    <t>Investor Real Estate S.A</t>
  </si>
  <si>
    <t>Federico Sebastian Oporto</t>
  </si>
  <si>
    <t>Fabio Zarza</t>
  </si>
  <si>
    <t>Adrian Aponte</t>
  </si>
  <si>
    <t>Federico Callizo Pecci</t>
  </si>
  <si>
    <t xml:space="preserve">Market Data 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</si>
  <si>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</si>
  <si>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</si>
  <si>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</si>
  <si>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t>Identificación</t>
  </si>
  <si>
    <t>INVESTOR CASA DE BOLSA S.A., R.U.C.: 80060213-7</t>
  </si>
  <si>
    <t>E-mail: aacosta@investor.com.py</t>
  </si>
  <si>
    <t>Antecedentes de la Constitución de la Sociedad y Reformas Estatutarias</t>
  </si>
  <si>
    <t>Administración</t>
  </si>
  <si>
    <t>Auditor Externo Independiente</t>
  </si>
  <si>
    <t>Personas Vinculadas</t>
  </si>
  <si>
    <t>Nombres y Apellidos</t>
  </si>
  <si>
    <t>Cargo</t>
  </si>
  <si>
    <t>Federico Sebastián Oporto Leiva</t>
  </si>
  <si>
    <t>Accionista/Presidente</t>
  </si>
  <si>
    <t>Accionista/Vice -Presidente</t>
  </si>
  <si>
    <t>Albaro José Acosta Ferreira</t>
  </si>
  <si>
    <t>Accionista/Director Titular</t>
  </si>
  <si>
    <t>Ana Cristina Neffa Persano</t>
  </si>
  <si>
    <t>Director Titular</t>
  </si>
  <si>
    <t>Fabio Daniel Zarza</t>
  </si>
  <si>
    <t>Juan José Talavera Saguier</t>
  </si>
  <si>
    <t>Síndico titular</t>
  </si>
  <si>
    <t>Oficial de cumplimiento</t>
  </si>
  <si>
    <t>Operador</t>
  </si>
  <si>
    <t>Auditor Interno</t>
  </si>
  <si>
    <t>Acciones en Empresas</t>
  </si>
  <si>
    <t>% Participación</t>
  </si>
  <si>
    <t>Investor AFPISA</t>
  </si>
  <si>
    <t>Market Data</t>
  </si>
  <si>
    <t>Capital y Propiedad:</t>
  </si>
  <si>
    <t>CUADRO DEL CAPITAL INTEGRADO</t>
  </si>
  <si>
    <r>
      <t>I.</t>
    </r>
    <r>
      <rPr>
        <sz val="7"/>
        <color rgb="FF2F5496"/>
        <rFont val="Calibri"/>
        <family val="2"/>
        <scheme val="minor"/>
      </rPr>
      <t xml:space="preserve">               </t>
    </r>
    <r>
      <rPr>
        <sz val="16"/>
        <color rgb="FF2F5496"/>
        <rFont val="Calibri"/>
        <family val="2"/>
        <scheme val="minor"/>
      </rPr>
      <t>INFORMACION GENERAL DE LA ENTIDAD</t>
    </r>
  </si>
  <si>
    <r>
      <t>Actividad Principal:</t>
    </r>
    <r>
      <rPr>
        <sz val="9"/>
        <color theme="1"/>
        <rFont val="Calibri"/>
        <family val="2"/>
        <scheme val="minor"/>
      </rPr>
      <t xml:space="preserve"> (Compra y Venta de Valores - Asesoría en Materia de Valores)</t>
    </r>
  </si>
  <si>
    <r>
      <t xml:space="preserve">Registro CNV: </t>
    </r>
    <r>
      <rPr>
        <sz val="9"/>
        <color theme="1"/>
        <rFont val="Calibri"/>
        <family val="2"/>
        <scheme val="minor"/>
      </rPr>
      <t>según resolución Nro.1275/10 de fecha 19 de mayo 2010</t>
    </r>
  </si>
  <si>
    <r>
      <t>Código de Bolsa:</t>
    </r>
    <r>
      <rPr>
        <sz val="9"/>
        <color theme="1"/>
        <rFont val="Calibri"/>
        <family val="2"/>
        <scheme val="minor"/>
      </rPr>
      <t xml:space="preserve"> 021 según resolución 915/10 de fecha 31 de mayo 2010</t>
    </r>
  </si>
  <si>
    <r>
      <t>Dirección Oficina Principal:</t>
    </r>
    <r>
      <rPr>
        <sz val="9"/>
        <color theme="1"/>
        <rFont val="Calibri"/>
        <family val="2"/>
        <scheme val="minor"/>
      </rPr>
      <t xml:space="preserve"> Avenida Brasilia N° 764</t>
    </r>
  </si>
  <si>
    <r>
      <t xml:space="preserve">Teléfono/Fax:  </t>
    </r>
    <r>
      <rPr>
        <sz val="9"/>
        <color theme="1"/>
        <rFont val="Calibri"/>
        <family val="2"/>
        <scheme val="minor"/>
      </rPr>
      <t>+595981- 666670</t>
    </r>
  </si>
  <si>
    <r>
      <t xml:space="preserve">Página Web: </t>
    </r>
    <r>
      <rPr>
        <sz val="9"/>
        <color theme="1"/>
        <rFont val="Calibri"/>
        <family val="2"/>
        <scheme val="minor"/>
      </rPr>
      <t>www.investor.com.py</t>
    </r>
  </si>
  <si>
    <r>
      <t>Domicilio Legal:</t>
    </r>
    <r>
      <rPr>
        <sz val="9"/>
        <color theme="1"/>
        <rFont val="Calibri"/>
        <family val="2"/>
        <scheme val="minor"/>
      </rPr>
      <t xml:space="preserve">  Asunción- Paraguay</t>
    </r>
  </si>
  <si>
    <r>
      <t>Inscripción en el Registro Público</t>
    </r>
    <r>
      <rPr>
        <sz val="9"/>
        <color theme="1"/>
        <rFont val="Calibri"/>
        <family val="2"/>
        <scheme val="minor"/>
      </rPr>
      <t>: 17 de setiembre 2018.</t>
    </r>
  </si>
  <si>
    <r>
      <t>Reforma de Estatuto:</t>
    </r>
    <r>
      <rPr>
        <sz val="9"/>
        <color theme="1"/>
        <rFont val="Calibri"/>
        <family val="2"/>
        <scheme val="minor"/>
      </rPr>
      <t xml:space="preserve"> Modificación del Art. N° 6 donde se fija el Capital Social de la Sociedad a Gs. 35.000.000.000 (Guaraníes Treinta y Cinco mil millones)</t>
    </r>
  </si>
  <si>
    <r>
      <t xml:space="preserve">Presidente: </t>
    </r>
    <r>
      <rPr>
        <sz val="9"/>
        <color theme="1"/>
        <rFont val="Calibri"/>
        <family val="2"/>
        <scheme val="minor"/>
      </rPr>
      <t>Federico Sebastian Oporto</t>
    </r>
  </si>
  <si>
    <r>
      <t>Vice-Presidente:</t>
    </r>
    <r>
      <rPr>
        <sz val="9"/>
        <color theme="1"/>
        <rFont val="Calibri"/>
        <family val="2"/>
        <scheme val="minor"/>
      </rPr>
      <t xml:space="preserve"> Federico Callizo Pecci</t>
    </r>
  </si>
  <si>
    <r>
      <t>Director Titular:</t>
    </r>
    <r>
      <rPr>
        <sz val="9"/>
        <color theme="1"/>
        <rFont val="Calibri"/>
        <family val="2"/>
        <scheme val="minor"/>
      </rPr>
      <t xml:space="preserve"> Albaro Jose Acosta </t>
    </r>
  </si>
  <si>
    <r>
      <t>Director Titular</t>
    </r>
    <r>
      <rPr>
        <sz val="9"/>
        <color theme="1"/>
        <rFont val="Calibri"/>
        <family val="2"/>
        <scheme val="minor"/>
      </rPr>
      <t>: Ana Cristina Neffa</t>
    </r>
  </si>
  <si>
    <r>
      <t>Director Titular:</t>
    </r>
    <r>
      <rPr>
        <sz val="9"/>
        <color rgb="FF000000"/>
        <rFont val="Calibri"/>
        <family val="2"/>
        <scheme val="minor"/>
      </rPr>
      <t xml:space="preserve"> Fabio Daniel Zarza</t>
    </r>
    <r>
      <rPr>
        <sz val="9"/>
        <color theme="1"/>
        <rFont val="Calibri"/>
        <family val="2"/>
        <scheme val="minor"/>
      </rPr>
      <t xml:space="preserve"> </t>
    </r>
  </si>
  <si>
    <r>
      <t>Síndico:</t>
    </r>
    <r>
      <rPr>
        <sz val="9"/>
        <color theme="1"/>
        <rFont val="Calibri"/>
        <family val="2"/>
        <scheme val="minor"/>
      </rPr>
      <t xml:space="preserve"> Juan José Talavera Saguier</t>
    </r>
  </si>
  <si>
    <r>
      <t>Auditor Externo Independiente Asignado:</t>
    </r>
    <r>
      <rPr>
        <sz val="9"/>
        <color theme="1"/>
        <rFont val="Calibri"/>
        <family val="2"/>
        <scheme val="minor"/>
      </rPr>
      <t xml:space="preserve"> MARTI &amp; ASOCIADOS</t>
    </r>
    <r>
      <rPr>
        <b/>
        <sz val="9"/>
        <color theme="1"/>
        <rFont val="Calibri"/>
        <family val="2"/>
        <scheme val="minor"/>
      </rPr>
      <t xml:space="preserve"> </t>
    </r>
  </si>
  <si>
    <r>
      <t>Número de Inscripción en el Registro de la CNV:</t>
    </r>
    <r>
      <rPr>
        <sz val="9"/>
        <color theme="1"/>
        <rFont val="Calibri"/>
        <family val="2"/>
        <scheme val="minor"/>
      </rPr>
      <t xml:space="preserve"> Código AE-042</t>
    </r>
  </si>
  <si>
    <r>
      <t xml:space="preserve">Capital Social de acuerdo al Artículo 6to. Del Estatuto Social es de Gs. 35.000.000.000.- (Guaraníes Treinta y cinco mil millones). Representado por 35.000.- (treinta y cinco mil) acciones nominativas ordinarias de </t>
    </r>
    <r>
      <rPr>
        <b/>
        <sz val="9"/>
        <color theme="1"/>
        <rFont val="Calibri"/>
        <family val="2"/>
        <scheme val="minor"/>
      </rPr>
      <t>valor nominal Gs. 1.000.000.- (Un millón) cada una.</t>
    </r>
  </si>
  <si>
    <t xml:space="preserve">Codesarrollos </t>
  </si>
  <si>
    <t>Otros Activos</t>
  </si>
  <si>
    <t>Otros Costos de Operaciones</t>
  </si>
  <si>
    <t>Los Bienes de Uso se expresan a su valor de adquisición. Ya no se revaluan a partir del Ejercicio 2020.</t>
  </si>
  <si>
    <t>Bco Regional Comp 729</t>
  </si>
  <si>
    <t>Corresponde a cuentas por cobrar a diversos clientes. Su composición al 30 de junio de 2021 comparativo con el ejercicio anterior, es como sigue:</t>
  </si>
  <si>
    <t>Seguros a Vencer M/L</t>
  </si>
  <si>
    <t>Intereses a Vencer M/L</t>
  </si>
  <si>
    <t>Intereses a Vencer M/E</t>
  </si>
  <si>
    <t>Albaro Acosta - Director</t>
  </si>
  <si>
    <t>Federico Sebastián Oporto Leiva Espínola - Director</t>
  </si>
  <si>
    <t>Federico Callizo-Director</t>
  </si>
  <si>
    <t>Procampo SA</t>
  </si>
  <si>
    <t>Fabio Zarza Director</t>
  </si>
  <si>
    <t>Ana Neffa - Director</t>
  </si>
  <si>
    <t>Ingresos por intereses de Cartera propia - Empresas y Personas Relacionadas</t>
  </si>
  <si>
    <t>Nro.</t>
  </si>
  <si>
    <t>Accionista</t>
  </si>
  <si>
    <t>Serie</t>
  </si>
  <si>
    <t>Del Número</t>
  </si>
  <si>
    <t>Al Número</t>
  </si>
  <si>
    <t>Cantidad de Acciones</t>
  </si>
  <si>
    <t>Clase</t>
  </si>
  <si>
    <t>Votos</t>
  </si>
  <si>
    <t>Monto</t>
  </si>
  <si>
    <t>Albaro Jose Acosta Ferreira</t>
  </si>
  <si>
    <t>Ordinaria Nominativa</t>
  </si>
  <si>
    <t>Anibal David Acosta Ferreira</t>
  </si>
  <si>
    <t>Rolando Jose Natalizia Nasser</t>
  </si>
  <si>
    <t>Federico Sebastian Oporto Leiva Espinola</t>
  </si>
  <si>
    <t>Voto</t>
  </si>
  <si>
    <t>La composición de los fondos disponibles en Bancos, es como sigue:</t>
  </si>
  <si>
    <t xml:space="preserve">Otros Activos </t>
  </si>
  <si>
    <t xml:space="preserve">Investor Casa de Bolsa. S.A. posee Acciones de la Empresa Market Data S.A., constituida en Asunción-Paraguay, por valor de Gs. 499.000.000 que representan el 99,80 % del Capital Social. </t>
  </si>
  <si>
    <t>Investor Casa de Bolsa. S.A. ha adquirido Acciones de la Empresa Codesarrollos S.A., constituida en Asunción-Paraguay, por precio pagado de Gs. 5.498.595.000 que representan una participación del 70% del Capital Social.  Valor Nominal de las Acciones adquiridas Gs. 1.050.000.000-</t>
  </si>
  <si>
    <t>Domicilio</t>
  </si>
  <si>
    <t>Actividad</t>
  </si>
  <si>
    <t>Brasilia 764-Asunción</t>
  </si>
  <si>
    <t>Comunicaciones</t>
  </si>
  <si>
    <t>Admin de Fondos</t>
  </si>
  <si>
    <t>Admin. Estab. Ganad</t>
  </si>
  <si>
    <t>Cuadro del Capital Suscripto</t>
  </si>
  <si>
    <t>DOCUMENTOS Y CUENTAS A PAGAR</t>
  </si>
  <si>
    <t>INVERSIONES TEMPORARIAS  NOTA 5 E</t>
  </si>
  <si>
    <t xml:space="preserve">RESULTADOS   </t>
  </si>
  <si>
    <t>Valor Llave Compra Acciones en Emp.</t>
  </si>
  <si>
    <t>Dividendos  Cobrados</t>
  </si>
  <si>
    <t>CAMBIO CIERRE PERIODO ACTUAL GUARANIES</t>
  </si>
  <si>
    <t>CAMBIO CIERRE PERIODO ANTERIOR GUARANIES</t>
  </si>
  <si>
    <t xml:space="preserve">CAMBIO CIERRE PERIODO ACTUAL </t>
  </si>
  <si>
    <t xml:space="preserve">CAMBIO CIERRE PERIODO ANTERIOR </t>
  </si>
  <si>
    <t>TOTAL BANCOS</t>
  </si>
  <si>
    <t xml:space="preserve">BANCOS </t>
  </si>
  <si>
    <t xml:space="preserve">Caja </t>
  </si>
  <si>
    <t>Fondo Fijo</t>
  </si>
  <si>
    <t>Banco Regional Cta Comp. Usd 369</t>
  </si>
  <si>
    <t>Vision Banco Cta.Cte Usd 123</t>
  </si>
  <si>
    <t>Continental Cta.Cte.U$S 306</t>
  </si>
  <si>
    <t>Atlas Cta Comp Usd 950</t>
  </si>
  <si>
    <t>Financiera Rio Saeca U$S 009</t>
  </si>
  <si>
    <t>Solar S.A. De Ahorro Y Prestamo U$D 353</t>
  </si>
  <si>
    <t>Financiera Paraguaya Japonesa U$S 065</t>
  </si>
  <si>
    <t>Bco. Familiar Comp. Gs-761</t>
  </si>
  <si>
    <t>Bbva Cta.Cte. Gs 493</t>
  </si>
  <si>
    <t>Vision Banco Cta.Cte.Gs 116</t>
  </si>
  <si>
    <t>Continental Cta.Cte.Gs 205</t>
  </si>
  <si>
    <t>Atlas Gs. 256</t>
  </si>
  <si>
    <t>Basa Gs 599</t>
  </si>
  <si>
    <t>Banco Nacional de Fomento Gs 626</t>
  </si>
  <si>
    <t>Solar S.A. De Ahorro Y Prestamo Gs. 352</t>
  </si>
  <si>
    <t>Financiera Paraguaya Japonesa Gs. 064</t>
  </si>
  <si>
    <t>La composición de los fondos disponibles en Caja y Recaudaciones a Depositar, es como sigue:</t>
  </si>
  <si>
    <t>TOTAL CAJA/RECAUDACIONES A DEPOSITAR</t>
  </si>
  <si>
    <r>
      <t>d)</t>
    </r>
    <r>
      <rPr>
        <b/>
        <sz val="12"/>
        <color indexed="8"/>
        <rFont val="Calibri"/>
        <family val="2"/>
        <scheme val="minor"/>
      </rPr>
      <t>       Disponibilidades</t>
    </r>
  </si>
  <si>
    <t>Accion</t>
  </si>
  <si>
    <t>VALOR DE MERCADO</t>
  </si>
  <si>
    <t>Banco Itaú Paraguay S.A.</t>
  </si>
  <si>
    <t>Banco Nacional De Fomento</t>
  </si>
  <si>
    <t>TITULOS DE RENTA VARIABLE</t>
  </si>
  <si>
    <t>Banco Rio S.A.E.C.A.</t>
  </si>
  <si>
    <t>Compañia Administradora De Riesgos Sa</t>
  </si>
  <si>
    <t xml:space="preserve">Lc Risk Management S.A.E.C.A. </t>
  </si>
  <si>
    <t>Patria Sa De Seguros Y Reaseguros</t>
  </si>
  <si>
    <t>Acciones en  Market Data SA</t>
  </si>
  <si>
    <t>Acciones en AFPISA</t>
  </si>
  <si>
    <t>Acciones en Procampo Gerenciamientos SA</t>
  </si>
  <si>
    <t>Acciones en  Codesarrollos SA</t>
  </si>
  <si>
    <t>Accion en BVPASA</t>
  </si>
  <si>
    <t xml:space="preserve"> UNITARIO</t>
  </si>
  <si>
    <t>VALOR DE</t>
  </si>
  <si>
    <t xml:space="preserve"> COTIZACION</t>
  </si>
  <si>
    <t xml:space="preserve">VALOR NOMINAL </t>
  </si>
  <si>
    <t xml:space="preserve">VALOR </t>
  </si>
  <si>
    <t>DE COTIZACION</t>
  </si>
  <si>
    <t>DOCUMENTOS Y  CUENTAS A COBRAR</t>
  </si>
  <si>
    <t>CUENTAS POR COBRAR A PERSONAS Y EMP. RELACIONADAS</t>
  </si>
  <si>
    <t>f)       Créditos</t>
  </si>
  <si>
    <t>Balance Gral. Resol. 6'!A1</t>
  </si>
  <si>
    <t>Balance Gral. Resol. 30'!A1</t>
  </si>
  <si>
    <t xml:space="preserve">Intereses a Vencer -  </t>
  </si>
  <si>
    <t>GASTOS NO DEVENGADOS - Nota 5 h</t>
  </si>
  <si>
    <t xml:space="preserve">Seguros a Vencer </t>
  </si>
  <si>
    <t xml:space="preserve">Garantía de Alquiler  </t>
  </si>
  <si>
    <t>GASTOS NO DEVENGADOS  - Nota 5 j</t>
  </si>
  <si>
    <r>
      <t>h)</t>
    </r>
    <r>
      <rPr>
        <b/>
        <sz val="12"/>
        <color indexed="8"/>
        <rFont val="Calibri"/>
        <family val="2"/>
        <scheme val="minor"/>
      </rPr>
      <t>       Cargos Diferidos</t>
    </r>
  </si>
  <si>
    <t>Se componen de la siguiente manera;</t>
  </si>
  <si>
    <t>Cuentas a cobrar a Directores y Accionistas</t>
  </si>
  <si>
    <t>DEUDORES VARIOS</t>
  </si>
  <si>
    <t>Garantia de Alquiler - Estacionamiento</t>
  </si>
  <si>
    <r>
      <t>g)</t>
    </r>
    <r>
      <rPr>
        <b/>
        <sz val="12"/>
        <color indexed="8"/>
        <rFont val="Calibri"/>
        <family val="2"/>
        <scheme val="minor"/>
      </rPr>
      <t>      Bienes de Uso</t>
    </r>
  </si>
  <si>
    <t>Los saldos de la cuentas estan compuestas como siguen;</t>
  </si>
  <si>
    <t>i)   Intangibles</t>
  </si>
  <si>
    <t>Las cuentas que la componen son las siguientes;</t>
  </si>
  <si>
    <t>Valor llave por compra Acciones Codesa</t>
  </si>
  <si>
    <t>Diferencia entre el Precio de Venta y el Valor nominal</t>
  </si>
  <si>
    <t>Licencia de windows</t>
  </si>
  <si>
    <t>Prestamos Bancarios</t>
  </si>
  <si>
    <t>Ministerio De Hacienda</t>
  </si>
  <si>
    <t>IPS a pagar</t>
  </si>
  <si>
    <t>S/Vcto</t>
  </si>
  <si>
    <t>Cattle SA</t>
  </si>
  <si>
    <t>Be Live SA</t>
  </si>
  <si>
    <r>
      <t>v)</t>
    </r>
    <r>
      <rPr>
        <b/>
        <sz val="12"/>
        <color indexed="8"/>
        <rFont val="Calibri"/>
        <family val="2"/>
        <scheme val="minor"/>
      </rPr>
      <t>       Ingresos Operativos</t>
    </r>
  </si>
  <si>
    <t>Estado de Resultado Resol. 30'!A1</t>
  </si>
  <si>
    <t>Ingresos Operativos - Nota v</t>
  </si>
  <si>
    <t>Gastos de Comercialización -Nota w</t>
  </si>
  <si>
    <t>Gastos de administración - Nota w</t>
  </si>
  <si>
    <t>Gastos Operativos - Nota W</t>
  </si>
  <si>
    <r>
      <t>x)</t>
    </r>
    <r>
      <rPr>
        <b/>
        <sz val="12"/>
        <color indexed="8"/>
        <rFont val="Calibri"/>
        <family val="2"/>
        <scheme val="minor"/>
      </rPr>
      <t>       Otros Ingresos y Egresos</t>
    </r>
  </si>
  <si>
    <t>Resultados financieros Nota y</t>
  </si>
  <si>
    <t>Otros ingresos y Egresos - Nota x</t>
  </si>
  <si>
    <r>
      <t>y)</t>
    </r>
    <r>
      <rPr>
        <b/>
        <sz val="12"/>
        <color indexed="8"/>
        <rFont val="Calibri"/>
        <family val="2"/>
        <scheme val="minor"/>
      </rPr>
      <t>       Resultados Financieros</t>
    </r>
  </si>
  <si>
    <r>
      <t xml:space="preserve">z)  </t>
    </r>
    <r>
      <rPr>
        <b/>
        <sz val="12"/>
        <color indexed="8"/>
        <rFont val="Calibri"/>
        <family val="2"/>
        <scheme val="minor"/>
      </rPr>
      <t xml:space="preserve">Resultados Extraordinarios </t>
    </r>
  </si>
  <si>
    <t>Resultados  extraordinarias -Nota z</t>
  </si>
  <si>
    <r>
      <t>S)</t>
    </r>
    <r>
      <rPr>
        <b/>
        <sz val="12"/>
        <color indexed="8"/>
        <rFont val="Calibri"/>
        <family val="2"/>
        <scheme val="minor"/>
      </rPr>
      <t>       Resultados con Personas y Empresas Vinculadas</t>
    </r>
  </si>
  <si>
    <t>Intereses Diferidos M/L</t>
  </si>
  <si>
    <t>Intereses a Devengar Prestamos Directores</t>
  </si>
  <si>
    <t>OTROS PASIVOS - Nota q</t>
  </si>
  <si>
    <t>Las 25 notas que se acompañan forman parte integrante de los Estados Financieros</t>
  </si>
  <si>
    <t>N/A</t>
  </si>
  <si>
    <r>
      <t>Escritura modificada Nro.:</t>
    </r>
    <r>
      <rPr>
        <sz val="9"/>
        <color theme="1"/>
        <rFont val="Calibri"/>
        <family val="2"/>
        <scheme val="minor"/>
      </rPr>
      <t xml:space="preserve"> 14 de fecha 30 de junio de 2020.</t>
    </r>
  </si>
  <si>
    <t>Maria Jose Araujo</t>
  </si>
  <si>
    <t>Constructora</t>
  </si>
  <si>
    <t>% De Participación del Capital Integrado</t>
  </si>
  <si>
    <t>N.º de Documento</t>
  </si>
  <si>
    <t>Estado de Variación Patrimonial</t>
  </si>
  <si>
    <t>Nota 2 - Información de la Empresa</t>
  </si>
  <si>
    <t>Nota 3 - Principales Políticas y Practicas Contables</t>
  </si>
  <si>
    <t>Nota 4 - Cambio de Políticas y Proceda. Contables</t>
  </si>
  <si>
    <t>Nota 5 - Criterios Específicos de Valuación</t>
  </si>
  <si>
    <t>a. Valuación Moneda Extranjera</t>
  </si>
  <si>
    <t>posición Moneda Extranjera</t>
  </si>
  <si>
    <t>diferencia de cambio</t>
  </si>
  <si>
    <t>d. Disponibilidades</t>
  </si>
  <si>
    <t>créditos</t>
  </si>
  <si>
    <t>g. Bienes de Cambio</t>
  </si>
  <si>
    <t>cargos Diferidos</t>
  </si>
  <si>
    <t xml:space="preserve">préstamos </t>
  </si>
  <si>
    <t>documentos y Ctas a Cobrar</t>
  </si>
  <si>
    <t>acreedores por Intermediación</t>
  </si>
  <si>
    <t>o. Cuentas a Pagar - Relacionadas -</t>
  </si>
  <si>
    <t>obligaciones Contrato de Underwriting</t>
  </si>
  <si>
    <t>otros Pasivos</t>
  </si>
  <si>
    <t>r. Saldos y Transacciones - Relacionadas -</t>
  </si>
  <si>
    <t>patrimonio</t>
  </si>
  <si>
    <t>ingresos Operativos</t>
  </si>
  <si>
    <t>w. Otros Gastos Operativos</t>
  </si>
  <si>
    <t>contingencias Legales</t>
  </si>
  <si>
    <t>garantías Constituidas</t>
  </si>
  <si>
    <t>ANEXO F DE LA RESOLUCION N.º 30/21</t>
  </si>
  <si>
    <t>Información Gral de la Empresa</t>
  </si>
  <si>
    <t>Nota A Los Estados Contables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</si>
  <si>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</si>
  <si>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</si>
  <si>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</si>
  <si>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</si>
  <si>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</si>
  <si>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</si>
  <si>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</si>
  <si>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</si>
  <si>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</si>
  <si>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</si>
  <si>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</si>
  <si>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</si>
  <si>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</si>
  <si>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</si>
  <si>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</si>
  <si>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</si>
  <si>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</si>
  <si>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</si>
  <si>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</si>
  <si>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</si>
  <si>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t xml:space="preserve">Calculo De Iracis </t>
  </si>
  <si>
    <t>I-Información General De Investor Casa De Bolsa Sa</t>
  </si>
  <si>
    <t>II-Estados Financieros Basicos</t>
  </si>
  <si>
    <t>III Notas a los Estados Contables</t>
  </si>
  <si>
    <t xml:space="preserve">Investor Casa de Bolsa. S.A. posee Acciones de la Empresa Procampo S.A., constituida en Asunción-Paraguay, por valor de Gs. 3.467.000.000 que representan el 70 % del Capital Social. </t>
  </si>
  <si>
    <t xml:space="preserve">Los estados Contables han sido preparados de acuerdo a la Resolución Nro. 30/21 de la Comisión Nacional de Valores y a Principios y Normas Contables Vigentes en Paraguay. </t>
  </si>
  <si>
    <t>Las inversiones son valuadas a su precio de realización.</t>
  </si>
  <si>
    <t xml:space="preserve">IN FI </t>
  </si>
  <si>
    <t>Asesoria Financiera</t>
  </si>
  <si>
    <r>
      <t>Capital Emitido:</t>
    </r>
    <r>
      <rPr>
        <sz val="9"/>
        <color theme="1"/>
        <rFont val="Calibri"/>
        <family val="2"/>
        <scheme val="minor"/>
      </rPr>
      <t xml:space="preserve"> Gs.27.164.000.000.- </t>
    </r>
  </si>
  <si>
    <r>
      <t>Capital Suscripto:</t>
    </r>
    <r>
      <rPr>
        <sz val="9"/>
        <color theme="1"/>
        <rFont val="Calibri"/>
        <family val="2"/>
        <scheme val="minor"/>
      </rPr>
      <t xml:space="preserve"> Gs.27.164.000.000.</t>
    </r>
    <r>
      <rPr>
        <b/>
        <sz val="9"/>
        <color theme="1"/>
        <rFont val="Calibri"/>
        <family val="2"/>
        <scheme val="minor"/>
      </rPr>
      <t xml:space="preserve"> -</t>
    </r>
  </si>
  <si>
    <r>
      <t>Capital Integrado:</t>
    </r>
    <r>
      <rPr>
        <sz val="9"/>
        <color theme="1"/>
        <rFont val="Calibri"/>
        <family val="2"/>
        <scheme val="minor"/>
      </rPr>
      <t xml:space="preserve"> Gs.27.164.000.000.</t>
    </r>
    <r>
      <rPr>
        <b/>
        <sz val="9"/>
        <color theme="1"/>
        <rFont val="Calibri"/>
        <family val="2"/>
        <scheme val="minor"/>
      </rPr>
      <t>. -</t>
    </r>
  </si>
  <si>
    <r>
      <t>Valor Nominal de las Acciones:</t>
    </r>
    <r>
      <rPr>
        <sz val="9"/>
        <color theme="1"/>
        <rFont val="Calibri"/>
        <family val="2"/>
        <scheme val="minor"/>
      </rPr>
      <t xml:space="preserve"> Gs. 1.000.000. -</t>
    </r>
  </si>
  <si>
    <t>Marvin Figueredo</t>
  </si>
  <si>
    <t>CORRESPONDIENTE AL 31 DE DICIEMBRE DE 2021 PRESENTADO EN FORMA COMPARATIVA CON EL EJERCICIO ECONOMICO ANTERIOR  AL  31 DE DICIEMBRE DE  2020.</t>
  </si>
  <si>
    <t>Rendimientos de Inversiones</t>
  </si>
  <si>
    <t>Otros Prestamos</t>
  </si>
  <si>
    <t>Valuación Inversiones Permanentes</t>
  </si>
  <si>
    <t>Otros Pasivos</t>
  </si>
  <si>
    <t>APORTES DE CAPITAL A CUENTA</t>
  </si>
  <si>
    <t>Aporte a Cuenta de Futuras Capitalizaciones</t>
  </si>
  <si>
    <t>Prima de Emision Suscriptas</t>
  </si>
  <si>
    <t>CORRESPONDIENTE AL 31 DE DICIEMBRE DE 2021 PRESENTADO EN FORMA COMPARATIVA CON EL 31 DE DICIEMBRE DE 2020</t>
  </si>
  <si>
    <t>Sueldos Y Otras Remuneraciones Al Person</t>
  </si>
  <si>
    <t>Sueldos Y Jornales</t>
  </si>
  <si>
    <t>Otros Beneficios Al Personal</t>
  </si>
  <si>
    <t>Aguinaldos</t>
  </si>
  <si>
    <t>Capacitacion Al Personal</t>
  </si>
  <si>
    <t>Otros Beneficios al Personal Administración GND</t>
  </si>
  <si>
    <t>Bonificación Familiar</t>
  </si>
  <si>
    <t>Remuneración Personal Superior</t>
  </si>
  <si>
    <t>Gastos De Representación</t>
  </si>
  <si>
    <t>Servicios Prestados Por Terceros</t>
  </si>
  <si>
    <t>Honorarios Profesionales</t>
  </si>
  <si>
    <t>Servicios Contratados Ire</t>
  </si>
  <si>
    <t>Servicios Personales Irp</t>
  </si>
  <si>
    <t>Agua, Luz, Teléfono E Internet</t>
  </si>
  <si>
    <t>Movilidad Y Viaticos</t>
  </si>
  <si>
    <t>Combustibles Y Lubricantes</t>
  </si>
  <si>
    <t>Reparaciones Y Mantenimientos</t>
  </si>
  <si>
    <t>Seguros Devengados</t>
  </si>
  <si>
    <t>Refrigerio Y Cafeteria</t>
  </si>
  <si>
    <t>Comunicaciones Y Propagandas</t>
  </si>
  <si>
    <t>Papeleria E Impresos</t>
  </si>
  <si>
    <t>Gastos No Deducibles</t>
  </si>
  <si>
    <t>Dominios Y Suscripciones</t>
  </si>
  <si>
    <t>Gastos Varios</t>
  </si>
  <si>
    <t>Gastos de encomiendas y envíos</t>
  </si>
  <si>
    <t>Gastos De Escribania</t>
  </si>
  <si>
    <t>Gastos Informaticos</t>
  </si>
  <si>
    <t>Gastos De Impuestos</t>
  </si>
  <si>
    <t>Iva Gnd</t>
  </si>
  <si>
    <t>Multas Y Sanciones</t>
  </si>
  <si>
    <t>Impuestos, Patentes, Tasas Y Otras Contr</t>
  </si>
  <si>
    <t>Otros Beneficios Al Personal de Ventas</t>
  </si>
  <si>
    <t>Comisiones Pagadas por Ventas</t>
  </si>
  <si>
    <t>Publicidad Y Propaganda</t>
  </si>
  <si>
    <t>Gastos del Personal</t>
  </si>
  <si>
    <t>PERIODO ACTUAL 31/12/ 2021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</si>
  <si>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</si>
  <si>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</si>
  <si>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</si>
  <si>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</si>
  <si>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</si>
  <si>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</si>
  <si>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</si>
  <si>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</si>
  <si>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</si>
  <si>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</si>
  <si>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</si>
  <si>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</si>
  <si>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</si>
  <si>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</si>
  <si>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</si>
  <si>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</si>
  <si>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</si>
  <si>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</si>
  <si>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</si>
  <si>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</si>
  <si>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</si>
  <si>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</si>
  <si>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AL  31/12/2021</t>
  </si>
  <si>
    <t>AL  31/12/2020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</si>
  <si>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</si>
  <si>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</si>
  <si>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</si>
  <si>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</si>
  <si>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</si>
  <si>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</si>
  <si>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</si>
  <si>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</si>
  <si>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</si>
  <si>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</si>
  <si>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</si>
  <si>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</si>
  <si>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</si>
  <si>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</si>
  <si>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</si>
  <si>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</si>
  <si>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</si>
  <si>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</si>
  <si>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</si>
  <si>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>GASTOS DIFERIDOS O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</si>
  <si>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</si>
  <si>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</si>
  <si>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</si>
  <si>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</si>
  <si>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</si>
  <si>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DIVIDENDOS A DISTRIBUIR</t>
  </si>
  <si>
    <t>IMPUESTO A LA RENTA A PAGAR</t>
  </si>
  <si>
    <t>SUELDOS A PAGAR Y EMPRESAS RELACIONADAS</t>
  </si>
  <si>
    <t>CAPITAL INTEGRADO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</si>
  <si>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</si>
  <si>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</si>
  <si>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</si>
  <si>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</si>
  <si>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</si>
  <si>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</si>
  <si>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TOTAL PASIVO Y PATRIMONIO NETO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</si>
  <si>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</si>
  <si>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</si>
  <si>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</si>
  <si>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</si>
  <si>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</si>
  <si>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</si>
  <si>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</si>
  <si>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GASTOS DE VENTAS</t>
  </si>
  <si>
    <t>GASTOS GENERALES</t>
  </si>
  <si>
    <t>DEPRECIACIÓN Y AMORTIZACION DEL EJERCICIO</t>
  </si>
  <si>
    <t>SEGUROS</t>
  </si>
  <si>
    <t>INTERESES PAGADOS Y DEVENGADOS PRESTAMOS</t>
  </si>
  <si>
    <t xml:space="preserve">IMPUESTO A LA RENTA  </t>
  </si>
  <si>
    <t>RESULTADO DEL EJERCICIO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</si>
  <si>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</si>
  <si>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</si>
  <si>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</si>
  <si>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</si>
  <si>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</si>
  <si>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</si>
  <si>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</si>
  <si>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</si>
  <si>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</si>
  <si>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</si>
  <si>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</si>
  <si>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</si>
  <si>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</si>
  <si>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</si>
  <si>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</si>
  <si>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</si>
  <si>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</si>
  <si>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APORTE A FUTURA CAPITALIZACION(EFECTIVO) -PRIMA DE EMISION</t>
  </si>
  <si>
    <t>Pagos a proveedores y otras obligaciones comerciales</t>
  </si>
  <si>
    <t>SALDO AL 31/12/2021</t>
  </si>
  <si>
    <t>SALDO AL 31/12/2020</t>
  </si>
  <si>
    <t>PERIODO ANTERIOR   31/12/ 2020</t>
  </si>
  <si>
    <t>Investor Casa de Bolsa. S.A. posee Acciones de la Empresa Investor Administradora de Fondos Patrimoniales de Inversión S.A., constituida en Asunción-Paraguay, por valor de Gs.4.080.000.000 que representan el 85% del Capital Social. –</t>
  </si>
  <si>
    <t xml:space="preserve">Investor Casa de Bolsa. S.A. posee Acciones de la Empresa In Fi S.A., constituida en Asunción-Paraguay, por valor de Gs. 16.012.000.000 que representan el 50,3 % del Capital Social. </t>
  </si>
  <si>
    <t>Otros Intereses a pagar Repos</t>
  </si>
  <si>
    <t>Prestamos Repos</t>
  </si>
  <si>
    <t xml:space="preserve">Menos Amortizacion Repos con Cupones </t>
  </si>
  <si>
    <t>Presentacion</t>
  </si>
  <si>
    <t>Periodo Actual</t>
  </si>
  <si>
    <t>Resultados</t>
  </si>
  <si>
    <t>Itau Cta. Cte. Usd 3485 - Administrativa</t>
  </si>
  <si>
    <t>Itau Cta. Cte. Administrativa 338</t>
  </si>
  <si>
    <t xml:space="preserve"> INFORMACION SOBRE EL EMISOR AL 31/12/2021</t>
  </si>
  <si>
    <t>Bono Financiero</t>
  </si>
  <si>
    <t>Bono</t>
  </si>
  <si>
    <t>Bono Subordinado</t>
  </si>
  <si>
    <r>
      <t>e)</t>
    </r>
    <r>
      <rPr>
        <b/>
        <sz val="9"/>
        <color indexed="8"/>
        <rFont val="Calibri"/>
        <family val="2"/>
        <scheme val="minor"/>
      </rPr>
      <t>   Inversiones  Temporales y Permanentes</t>
    </r>
  </si>
  <si>
    <t>BANCO RIO S.A.E.C.A.</t>
  </si>
  <si>
    <t>Total al 31/12/2021</t>
  </si>
  <si>
    <t>Acciones en  In Fi SA</t>
  </si>
  <si>
    <t>Acciones en  Caja de Valores del Py SA</t>
  </si>
  <si>
    <t>Clientes Locales M/L</t>
  </si>
  <si>
    <t>Clientes Locales M/E</t>
  </si>
  <si>
    <t>Documentos a Cobrar por Operaciones Propias M/L</t>
  </si>
  <si>
    <t>Anticipos de Impuesto IRE</t>
  </si>
  <si>
    <t>Retenciones De Iva</t>
  </si>
  <si>
    <t>Retenciones IDU</t>
  </si>
  <si>
    <t xml:space="preserve">IVA - Crédito a favor - DDJJ </t>
  </si>
  <si>
    <t>Anticipos A Proveedores Locales. M/L</t>
  </si>
  <si>
    <t>Anticipos al Personal M/L</t>
  </si>
  <si>
    <t>MUEBLES Y UTILES DE OFICINA</t>
  </si>
  <si>
    <t>RODADOS</t>
  </si>
  <si>
    <t>EQUIPOS DE INFORMATICA</t>
  </si>
  <si>
    <t>EQUIPOS DE OFICINA</t>
  </si>
  <si>
    <t>INSTALACIONES</t>
  </si>
  <si>
    <t>UTILES Y ENSERES</t>
  </si>
  <si>
    <t>INMUEBLES-TERRENOS</t>
  </si>
  <si>
    <t>CONSTRUCCIONES EN CURSO</t>
  </si>
  <si>
    <t>(-) Amortizaciones de Intangibles</t>
  </si>
  <si>
    <t>ITAU</t>
  </si>
  <si>
    <t>CEFISA</t>
  </si>
  <si>
    <t>CONTINENTAL</t>
  </si>
  <si>
    <t>GNB FUSION</t>
  </si>
  <si>
    <t>FONDO DE GARANTÍAS DEL PARAGUAY (FOGAPY)</t>
  </si>
  <si>
    <t>CRISOL Y ENCARNACION FINANCIERA SAECA</t>
  </si>
  <si>
    <t>FIC S.A. DE FINANZAS</t>
  </si>
  <si>
    <t>BVPASA/Clearing</t>
  </si>
  <si>
    <t>BANCO RIO SAECA</t>
  </si>
  <si>
    <t>Fondo Mutuo Corto Plazo Guaranies Investor A.F.P.I.S.A.</t>
  </si>
  <si>
    <t>BANCO ITAU</t>
  </si>
  <si>
    <t>Intereses a Pagar  a Bancos M/L</t>
  </si>
  <si>
    <t>Intereses a Pagar  a Bancos M/E</t>
  </si>
  <si>
    <t>Intereses sobre REPOS a Pagar - M/L</t>
  </si>
  <si>
    <t>Intereses sobre REPOS a Pagar - M/E</t>
  </si>
  <si>
    <t>Proveedores Locales M/L</t>
  </si>
  <si>
    <t>Proveedores Locales M/E</t>
  </si>
  <si>
    <t>Tarjeta de Crédito- AA</t>
  </si>
  <si>
    <t>Tarjeta de Crédito- FC</t>
  </si>
  <si>
    <t>Tarjeta de Crédito- SO</t>
  </si>
  <si>
    <t>Tarjeta de Crédito- AN</t>
  </si>
  <si>
    <t>Acreedores Por Intermediacion De Valores M/L</t>
  </si>
  <si>
    <t>Acreedores Por Intermediacion De Valores M/E</t>
  </si>
  <si>
    <t>Director</t>
  </si>
  <si>
    <t>1 dia</t>
  </si>
  <si>
    <t>Reposicion de gasto de representación</t>
  </si>
  <si>
    <t>Cuentas a pagar</t>
  </si>
  <si>
    <t>Juan Jose Talavera</t>
  </si>
  <si>
    <t>Edge SA</t>
  </si>
  <si>
    <t>In Positiva</t>
  </si>
  <si>
    <t>Incubate</t>
  </si>
  <si>
    <t>Metis</t>
  </si>
  <si>
    <t>Infi SA</t>
  </si>
  <si>
    <t>AL 31/12/2020</t>
  </si>
  <si>
    <t>Totales Resultados Financieros</t>
  </si>
  <si>
    <t>Otros Ingresos Extraordinarios</t>
  </si>
  <si>
    <t>Amortizaciones y Depreciaciones</t>
  </si>
  <si>
    <t>De acuerdo a lo previsto en el artículo 111 de la Ley 5810/17, la entidad tiene constituida como garantía la suma de U$S 100.000- , representados por 2 Certificados de Depositos de Ahorro, de U$$ 50.000 cada uno, emitidos por BANCO RIO SAECA, corresponden a la serie del titulo UH N° 0210/211 respectivamente.</t>
  </si>
  <si>
    <t>En fecha 25/11/ 2021, se constituyo prenda de certificado de deposito de ahorro - 1 CDA- a favor de BANCO ITAU  SA, en garantia de los prestamos obtenidos  con dicho banco, de USD 1.627.000. El valor del CDA en Garantia es de Gs. 18.588.866.686 . CDA ITAU SERIE BB 5846</t>
  </si>
  <si>
    <t>Banco Familiar S.A.E.C.A.</t>
  </si>
  <si>
    <t>Tecnología Del Sur S.A.E. (Tecsul S.A.E.)</t>
  </si>
  <si>
    <t>Telefonica Celular Del Paraguay S.A.E.</t>
  </si>
  <si>
    <t>Agencia Financiera De Desarrollo</t>
  </si>
  <si>
    <t>Nucleo S.A.</t>
  </si>
  <si>
    <t>Vision Banco S.A.E.C.A.</t>
  </si>
  <si>
    <t>Rieder &amp; Cía. S.A.C.I.</t>
  </si>
  <si>
    <t>Banco Atlas S.A.</t>
  </si>
  <si>
    <t xml:space="preserve">Banco Atlas S.A. </t>
  </si>
  <si>
    <t>Solar Ahorro Y Finanzas S.A.E.C.A.</t>
  </si>
  <si>
    <t>Intereses A Cobrar Por Renta Fija</t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</si>
  <si>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LIMITACION A LA LIBRE DISPONIBILIDAD DE LOS ACTIVOS O DEL PATRIMONIO Y DE CUALQUIER RESTRICCION AL DERECHO DE PROPIEDAD.</t>
    </r>
  </si>
  <si>
    <r>
      <t>Los Estados Contables (Balance General, Estado de Resultados, Estado de Flujo de Efectivo y Estado de Variación del Patrimonio Neto) correspondientes al</t>
    </r>
    <r>
      <rPr>
        <b/>
        <sz val="9"/>
        <rFont val="Calibri"/>
        <family val="2"/>
        <scheme val="minor"/>
      </rPr>
      <t xml:space="preserve"> 31 de diciembre de 2021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>Acta de Directorio N° 199/2022, de fecha 22/03/2022  y Acta de Asamblea N° 18/2022  de fecha 25/03/2022.-</t>
    </r>
  </si>
  <si>
    <t xml:space="preserve">Totales Creditos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</si>
</sst>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&quot;₲&quot;\ * #,##0.00_ ;_ &quot;₲&quot;\ * \-#,##0.00_ ;_ &quot;₲&quot;\ * &quot;-&quot;??_ ;_ @_ "/>
    <numFmt numFmtId="166" formatCode="_ * #,##0.00_ ;_ * \-#,##0.00_ ;_ * &quot;-&quot;??_ ;_ @_ "/>
    <numFmt numFmtId="167" formatCode="_-* #,##0.00\ _€_-;\-* #,##0.00\ _€_-;_-* &quot;-&quot;??\ _€_-;_-@_-"/>
    <numFmt numFmtId="168" formatCode="_(* #,##0.00_);_(* \(#,##0.00\);_(* &quot;-&quot;??_);_(@_)"/>
    <numFmt numFmtId="169" formatCode="_-* #,##0\ _D_M_-;\-* #,##0\ _D_M_-;_-* &quot;-&quot;??\ _D_M_-;_-@_-"/>
    <numFmt numFmtId="170" formatCode="_-[$Gs.-3C0A]\ * #,##0.00_ ;_-[$Gs.-3C0A]\ * \-#,##0.00\ ;_-[$Gs.-3C0A]\ * &quot;-&quot;??_ ;_-@_ "/>
    <numFmt numFmtId="171" formatCode="_(* #,##0_);_(* \(#,##0\);_(* &quot;-&quot;??_);_(@_)"/>
    <numFmt numFmtId="172" formatCode="dd/mm/yyyy;@"/>
    <numFmt numFmtId="173" formatCode="_ * #,##0.00_ ;_ * \-#,##0.00_ ;_ * &quot;-&quot;_ ;_ @_ "/>
    <numFmt numFmtId="174" formatCode="_ * #,##0_ ;_ * \-#,##0_ ;_ * &quot;-&quot;??_ ;_ @_ "/>
    <numFmt numFmtId="175" formatCode="_ &quot;₲&quot;\ * #,##0_ ;_ &quot;₲&quot;\ * \-#,##0_ ;_ &quot;₲&quot;\ * &quot;-&quot;??_ ;_ @_ "/>
    <numFmt numFmtId="176" formatCode="_(* #,##0.00_);_(* \(#,##0.00\);_(* \-??_);_(@_)"/>
    <numFmt numFmtId="177" formatCode="_(* #,##0_);_(* \(#,##0\);_(* \-_);_(@_)"/>
    <numFmt numFmtId="178" formatCode="#,##0_ ;\-#,##0\ "/>
    <numFmt numFmtId="179" formatCode="* #,##0.00\ ;* \-#,##0.00\ ;* \-#\ ;@\ "/>
    <numFmt numFmtId="180" formatCode="_-* #,##0.00\ _p_t_a_-;\-* #,##0.00\ _p_t_a_-;_-* &quot;-&quot;??\ _p_t_a_-;_-@_-"/>
    <numFmt numFmtId="181" formatCode="General_)"/>
    <numFmt numFmtId="182" formatCode="_ [$€]\ * #,##0.00_ ;_ [$€]\ * \-#,##0.00_ ;_ [$€]\ * &quot;-&quot;??_ ;_ @_ "/>
    <numFmt numFmtId="183" formatCode="_-* #,##0\ _P_t_a_-;\-* #,##0\ _P_t_a_-;_-* &quot;-&quot;\ _P_t_a_-;_-@_-"/>
    <numFmt numFmtId="184" formatCode="_-* #,##0.00\ _P_t_s_-;\-* #,##0.00\ _P_t_s_-;_-* &quot;-&quot;??\ _P_t_s_-;_-@_-"/>
    <numFmt numFmtId="185" formatCode="_ &quot;Gs&quot;\ * #,##0.0_ ;_ &quot;Gs&quot;\ * \-#,##0.0_ ;_ &quot;Gs&quot;\ * &quot;-&quot;??_ ;_ @_ "/>
    <numFmt numFmtId="186" formatCode="0%_);\(0%\)"/>
    <numFmt numFmtId="187" formatCode="_-* #,##0\ _€_-;\-* #,##0\ _€_-;_-* &quot;-&quot;\ _€_-;_-@_-"/>
    <numFmt numFmtId="188" formatCode="_ * #,##0.00_-\ _G_s_._ ;_ * #,##0.00\-\ _G_s_._ ;_ * &quot;-&quot;??_-\ _G_s_._ ;_ @_ "/>
    <numFmt numFmtId="189" formatCode="_ * #,##0.00000000_ ;_ * \-#,##0.00000000_ ;_ * &quot;-&quot;_ ;_ @_ "/>
    <numFmt numFmtId="190" formatCode="#,##0;\(#,##0\)"/>
  </numFmts>
  <fonts count="13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sz val="16"/>
      <color rgb="FF2F5496"/>
      <name val="Calibri"/>
      <family val="2"/>
      <scheme val="minor"/>
    </font>
    <font>
      <sz val="7"/>
      <color rgb="FF2F5496"/>
      <name val="Calibri"/>
      <family val="2"/>
      <scheme val="minor"/>
    </font>
    <font>
      <b/>
      <sz val="9"/>
      <color rgb="FFED7D3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</font>
    <font>
      <sz val="12"/>
      <name val="SWISS"/>
    </font>
    <font>
      <sz val="10"/>
      <name val="Courier"/>
      <family val="3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ourier"/>
      <family val="3"/>
    </font>
    <font>
      <sz val="11"/>
      <name val="Book Antiqua"/>
      <family val="1"/>
    </font>
    <font>
      <sz val="12"/>
      <name val="Courier"/>
    </font>
    <font>
      <u/>
      <sz val="7.5"/>
      <color indexed="12"/>
      <name val="Arial"/>
      <family val="2"/>
    </font>
    <font>
      <sz val="12"/>
      <color theme="0"/>
      <name val="Calibri"/>
      <family val="2"/>
      <scheme val="minor"/>
    </font>
    <font>
      <b/>
      <i/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i/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01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5" fillId="0" borderId="0"/>
    <xf numFmtId="166" fontId="1" fillId="0" borderId="0" applyFont="0" applyFill="0" applyBorder="0" applyAlignment="0" applyProtection="0"/>
    <xf numFmtId="176" fontId="1" fillId="0" borderId="0" applyFill="0" applyBorder="0" applyAlignment="0" applyProtection="0"/>
    <xf numFmtId="176" fontId="1" fillId="0" borderId="0" applyFill="0" applyBorder="0" applyAlignment="0" applyProtection="0"/>
    <xf numFmtId="176" fontId="1" fillId="0" borderId="0" applyFill="0" applyBorder="0" applyAlignment="0" applyProtection="0"/>
    <xf numFmtId="177" fontId="1" fillId="0" borderId="0" applyFill="0" applyBorder="0" applyAlignment="0" applyProtection="0"/>
    <xf numFmtId="0" fontId="49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166" fontId="52" fillId="0" borderId="0" applyFont="0" applyFill="0" applyBorder="0" applyAlignment="0" applyProtection="0"/>
    <xf numFmtId="176" fontId="1" fillId="0" borderId="0" applyFill="0" applyBorder="0" applyAlignment="0" applyProtection="0"/>
    <xf numFmtId="166" fontId="5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5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ill="0" applyBorder="0" applyAlignment="0" applyProtection="0"/>
    <xf numFmtId="0" fontId="54" fillId="0" borderId="0"/>
    <xf numFmtId="0" fontId="1" fillId="0" borderId="0"/>
    <xf numFmtId="0" fontId="4" fillId="0" borderId="0"/>
    <xf numFmtId="0" fontId="4" fillId="0" borderId="0"/>
    <xf numFmtId="179" fontId="55" fillId="0" borderId="0"/>
    <xf numFmtId="167" fontId="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" fillId="0" borderId="0"/>
    <xf numFmtId="0" fontId="57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9" fillId="0" borderId="0"/>
    <xf numFmtId="0" fontId="6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7" fillId="0" borderId="0"/>
    <xf numFmtId="0" fontId="2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9" fillId="0" borderId="0"/>
    <xf numFmtId="0" fontId="2" fillId="0" borderId="0"/>
    <xf numFmtId="181" fontId="1" fillId="0" borderId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61" fillId="0" borderId="0"/>
    <xf numFmtId="9" fontId="62" fillId="0" borderId="0" applyFont="0" applyFill="0" applyBorder="0" applyAlignment="0" applyProtection="0"/>
    <xf numFmtId="0" fontId="1" fillId="0" borderId="0"/>
    <xf numFmtId="9" fontId="1" fillId="0" borderId="0" applyFill="0" applyBorder="0" applyAlignment="0" applyProtection="0"/>
    <xf numFmtId="184" fontId="1" fillId="0" borderId="0" applyFont="0" applyFill="0" applyBorder="0" applyAlignment="0" applyProtection="0"/>
    <xf numFmtId="0" fontId="1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2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5" fillId="0" borderId="0"/>
    <xf numFmtId="0" fontId="64" fillId="0" borderId="0"/>
    <xf numFmtId="9" fontId="6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81" applyNumberFormat="0" applyFill="0" applyAlignment="0" applyProtection="0"/>
    <xf numFmtId="0" fontId="68" fillId="0" borderId="82" applyNumberFormat="0" applyFill="0" applyAlignment="0" applyProtection="0"/>
    <xf numFmtId="0" fontId="69" fillId="0" borderId="83" applyNumberFormat="0" applyFill="0" applyAlignment="0" applyProtection="0"/>
    <xf numFmtId="0" fontId="69" fillId="0" borderId="0" applyNumberFormat="0" applyFill="0" applyBorder="0" applyAlignment="0" applyProtection="0"/>
    <xf numFmtId="0" fontId="70" fillId="7" borderId="0" applyNumberFormat="0" applyBorder="0" applyAlignment="0" applyProtection="0"/>
    <xf numFmtId="0" fontId="71" fillId="8" borderId="0" applyNumberFormat="0" applyBorder="0" applyAlignment="0" applyProtection="0"/>
    <xf numFmtId="0" fontId="72" fillId="9" borderId="0" applyNumberFormat="0" applyBorder="0" applyAlignment="0" applyProtection="0"/>
    <xf numFmtId="0" fontId="73" fillId="10" borderId="84" applyNumberFormat="0" applyAlignment="0" applyProtection="0"/>
    <xf numFmtId="0" fontId="74" fillId="11" borderId="85" applyNumberFormat="0" applyAlignment="0" applyProtection="0"/>
    <xf numFmtId="0" fontId="75" fillId="11" borderId="84" applyNumberFormat="0" applyAlignment="0" applyProtection="0"/>
    <xf numFmtId="0" fontId="76" fillId="0" borderId="86" applyNumberFormat="0" applyFill="0" applyAlignment="0" applyProtection="0"/>
    <xf numFmtId="0" fontId="77" fillId="12" borderId="87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3" fillId="0" borderId="89" applyNumberFormat="0" applyFill="0" applyAlignment="0" applyProtection="0"/>
    <xf numFmtId="0" fontId="80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80" fillId="36" borderId="0" applyNumberFormat="0" applyBorder="0" applyAlignment="0" applyProtection="0"/>
    <xf numFmtId="0" fontId="56" fillId="0" borderId="0"/>
    <xf numFmtId="166" fontId="56" fillId="0" borderId="0" applyFont="0" applyFill="0" applyBorder="0" applyAlignment="0" applyProtection="0"/>
    <xf numFmtId="0" fontId="56" fillId="13" borderId="88" applyNumberFormat="0" applyFont="0" applyAlignment="0" applyProtection="0"/>
    <xf numFmtId="0" fontId="56" fillId="0" borderId="0"/>
    <xf numFmtId="0" fontId="56" fillId="13" borderId="88" applyNumberFormat="0" applyFont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1" fillId="0" borderId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81" fillId="47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4" borderId="0" applyNumberFormat="0" applyBorder="0" applyAlignment="0" applyProtection="0"/>
    <xf numFmtId="0" fontId="82" fillId="38" borderId="0" applyNumberFormat="0" applyBorder="0" applyAlignment="0" applyProtection="0"/>
    <xf numFmtId="0" fontId="83" fillId="55" borderId="91" applyNumberFormat="0" applyAlignment="0" applyProtection="0"/>
    <xf numFmtId="0" fontId="84" fillId="56" borderId="92" applyNumberFormat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39" borderId="0" applyNumberFormat="0" applyBorder="0" applyAlignment="0" applyProtection="0"/>
    <xf numFmtId="14" fontId="50" fillId="57" borderId="90">
      <alignment horizontal="center" vertical="center" wrapText="1"/>
    </xf>
    <xf numFmtId="0" fontId="87" fillId="0" borderId="94" applyNumberFormat="0" applyFill="0" applyAlignment="0" applyProtection="0"/>
    <xf numFmtId="0" fontId="88" fillId="0" borderId="95" applyNumberFormat="0" applyFill="0" applyAlignment="0" applyProtection="0"/>
    <xf numFmtId="0" fontId="89" fillId="0" borderId="96" applyNumberFormat="0" applyFill="0" applyAlignment="0" applyProtection="0"/>
    <xf numFmtId="0" fontId="89" fillId="0" borderId="0" applyNumberFormat="0" applyFill="0" applyBorder="0" applyAlignment="0" applyProtection="0"/>
    <xf numFmtId="14" fontId="50" fillId="57" borderId="90">
      <alignment horizontal="center" vertical="center" wrapText="1"/>
    </xf>
    <xf numFmtId="0" fontId="90" fillId="42" borderId="91" applyNumberFormat="0" applyAlignment="0" applyProtection="0"/>
    <xf numFmtId="0" fontId="91" fillId="0" borderId="93" applyNumberFormat="0" applyFill="0" applyAlignment="0" applyProtection="0"/>
    <xf numFmtId="166" fontId="1" fillId="0" borderId="0" applyFont="0" applyFill="0" applyBorder="0" applyAlignment="0" applyProtection="0"/>
    <xf numFmtId="0" fontId="92" fillId="58" borderId="0" applyNumberFormat="0" applyBorder="0" applyAlignment="0" applyProtection="0"/>
    <xf numFmtId="164" fontId="2" fillId="0" borderId="0" applyFont="0" applyFill="0" applyBorder="0" applyAlignment="0" applyProtection="0"/>
    <xf numFmtId="37" fontId="1" fillId="0" borderId="0"/>
    <xf numFmtId="0" fontId="52" fillId="0" borderId="0"/>
    <xf numFmtId="37" fontId="1" fillId="0" borderId="0"/>
    <xf numFmtId="43" fontId="1" fillId="0" borderId="0" applyFont="0" applyFill="0" applyBorder="0" applyAlignment="0" applyProtection="0"/>
    <xf numFmtId="0" fontId="1" fillId="59" borderId="97" applyNumberFormat="0" applyFont="0" applyAlignment="0" applyProtection="0"/>
    <xf numFmtId="0" fontId="93" fillId="55" borderId="98" applyNumberFormat="0" applyAlignment="0" applyProtection="0"/>
    <xf numFmtId="186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18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62" fillId="0" borderId="0" applyFont="0" applyFill="0" applyBorder="0" applyAlignment="0" applyProtection="0"/>
    <xf numFmtId="0" fontId="94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96" fillId="0" borderId="99" applyNumberFormat="0" applyFill="0" applyAlignment="0" applyProtection="0"/>
    <xf numFmtId="0" fontId="97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56" fillId="0" borderId="0"/>
    <xf numFmtId="166" fontId="56" fillId="0" borderId="0" applyFont="0" applyFill="0" applyBorder="0" applyAlignment="0" applyProtection="0"/>
    <xf numFmtId="0" fontId="72" fillId="9" borderId="0" applyNumberFormat="0" applyBorder="0" applyAlignment="0" applyProtection="0"/>
    <xf numFmtId="0" fontId="56" fillId="13" borderId="88" applyNumberFormat="0" applyFont="0" applyAlignment="0" applyProtection="0"/>
    <xf numFmtId="0" fontId="63" fillId="0" borderId="89" applyNumberFormat="0" applyFill="0" applyAlignment="0" applyProtection="0"/>
    <xf numFmtId="0" fontId="56" fillId="0" borderId="0"/>
    <xf numFmtId="0" fontId="56" fillId="0" borderId="0"/>
    <xf numFmtId="0" fontId="56" fillId="13" borderId="88" applyNumberFormat="0" applyFont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164" fontId="6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98" fillId="0" borderId="0" applyFont="0" applyFill="0" applyBorder="0" applyAlignment="0" applyProtection="0"/>
    <xf numFmtId="166" fontId="99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98" fillId="0" borderId="0"/>
    <xf numFmtId="0" fontId="2" fillId="0" borderId="0"/>
    <xf numFmtId="181" fontId="100" fillId="0" borderId="0"/>
    <xf numFmtId="0" fontId="61" fillId="0" borderId="0"/>
    <xf numFmtId="9" fontId="6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1" fillId="0" borderId="0"/>
    <xf numFmtId="0" fontId="3" fillId="14" borderId="0" applyNumberFormat="0" applyBorder="0" applyAlignment="0" applyProtection="0"/>
    <xf numFmtId="0" fontId="3" fillId="25" borderId="0" applyNumberFormat="0" applyBorder="0" applyAlignment="0" applyProtection="0"/>
  </cellStyleXfs>
  <cellXfs count="751">
    <xf numFmtId="0" fontId="0" fillId="0" borderId="0" xfId="0"/>
    <xf numFmtId="164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2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8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164" fontId="14" fillId="0" borderId="0" xfId="5" applyFont="1"/>
    <xf numFmtId="3" fontId="14" fillId="0" borderId="1" xfId="0" applyNumberFormat="1" applyFont="1" applyBorder="1" applyAlignment="1">
      <alignment vertical="center"/>
    </xf>
    <xf numFmtId="173" fontId="14" fillId="0" borderId="1" xfId="5" applyNumberFormat="1" applyFont="1" applyBorder="1" applyAlignment="1">
      <alignment horizontal="center" vertical="center"/>
    </xf>
    <xf numFmtId="168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166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8" fontId="14" fillId="0" borderId="1" xfId="0" applyNumberFormat="1" applyFont="1" applyBorder="1" applyAlignment="1">
      <alignment horizontal="center" vertical="center"/>
    </xf>
    <xf numFmtId="164" fontId="14" fillId="0" borderId="1" xfId="5" applyFont="1" applyBorder="1" applyAlignment="1">
      <alignment horizontal="right"/>
    </xf>
    <xf numFmtId="168" fontId="14" fillId="0" borderId="1" xfId="4" applyNumberFormat="1" applyFont="1" applyBorder="1" applyAlignment="1">
      <alignment horizontal="right"/>
    </xf>
    <xf numFmtId="164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164" fontId="14" fillId="0" borderId="0" xfId="5" applyFont="1" applyAlignment="1">
      <alignment horizontal="right"/>
    </xf>
    <xf numFmtId="164" fontId="14" fillId="0" borderId="0" xfId="5" applyFont="1" applyBorder="1"/>
    <xf numFmtId="0" fontId="14" fillId="0" borderId="0" xfId="0" applyFont="1" applyBorder="1"/>
    <xf numFmtId="0" fontId="15" fillId="0" borderId="1" xfId="0" applyFont="1" applyBorder="1" applyAlignment="1">
      <alignment horizontal="center"/>
    </xf>
    <xf numFmtId="172" fontId="15" fillId="0" borderId="1" xfId="5" applyNumberFormat="1" applyFont="1" applyBorder="1" applyAlignment="1">
      <alignment horizontal="center" vertical="center" wrapText="1"/>
    </xf>
    <xf numFmtId="172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164" fontId="11" fillId="0" borderId="1" xfId="5" applyFont="1" applyBorder="1" applyAlignment="1">
      <alignment horizontal="right" vertical="center"/>
    </xf>
    <xf numFmtId="164" fontId="11" fillId="0" borderId="1" xfId="5" applyFont="1" applyBorder="1" applyAlignment="1">
      <alignment horizontal="right"/>
    </xf>
    <xf numFmtId="164" fontId="21" fillId="0" borderId="1" xfId="5" applyFont="1" applyBorder="1" applyAlignment="1"/>
    <xf numFmtId="164" fontId="21" fillId="0" borderId="1" xfId="5" applyFont="1" applyBorder="1" applyAlignment="1">
      <alignment horizontal="right"/>
    </xf>
    <xf numFmtId="164" fontId="21" fillId="0" borderId="1" xfId="5" applyFont="1" applyFill="1" applyBorder="1" applyAlignment="1">
      <alignment horizontal="right"/>
    </xf>
    <xf numFmtId="164" fontId="21" fillId="0" borderId="0" xfId="5" applyFont="1" applyBorder="1" applyAlignment="1"/>
    <xf numFmtId="0" fontId="22" fillId="0" borderId="0" xfId="0" applyFont="1" applyBorder="1"/>
    <xf numFmtId="164" fontId="15" fillId="0" borderId="1" xfId="5" applyFont="1" applyBorder="1" applyAlignment="1">
      <alignment horizontal="right" vertical="center"/>
    </xf>
    <xf numFmtId="174" fontId="14" fillId="0" borderId="0" xfId="4" applyNumberFormat="1" applyFont="1"/>
    <xf numFmtId="0" fontId="2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74" fontId="24" fillId="0" borderId="7" xfId="4" applyNumberFormat="1" applyFont="1" applyBorder="1" applyAlignment="1">
      <alignment horizontal="center" vertical="center"/>
    </xf>
    <xf numFmtId="174" fontId="25" fillId="0" borderId="7" xfId="4" applyNumberFormat="1" applyFont="1" applyBorder="1" applyAlignment="1">
      <alignment horizontal="center" vertical="center"/>
    </xf>
    <xf numFmtId="171" fontId="14" fillId="0" borderId="0" xfId="0" applyNumberFormat="1" applyFont="1"/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171" fontId="24" fillId="0" borderId="0" xfId="0" applyNumberFormat="1" applyFont="1" applyAlignment="1">
      <alignment vertical="center"/>
    </xf>
    <xf numFmtId="174" fontId="24" fillId="0" borderId="0" xfId="4" applyNumberFormat="1" applyFont="1" applyAlignment="1">
      <alignment vertical="center"/>
    </xf>
    <xf numFmtId="174" fontId="24" fillId="0" borderId="0" xfId="4" applyNumberFormat="1" applyFont="1" applyBorder="1" applyAlignment="1">
      <alignment horizontal="right" vertical="center"/>
    </xf>
    <xf numFmtId="174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1" fontId="14" fillId="0" borderId="0" xfId="0" applyNumberFormat="1" applyFont="1" applyAlignment="1">
      <alignment vertical="center"/>
    </xf>
    <xf numFmtId="174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174" fontId="25" fillId="0" borderId="1" xfId="4" applyNumberFormat="1" applyFont="1" applyBorder="1" applyAlignment="1">
      <alignment horizontal="right" vertical="center"/>
    </xf>
    <xf numFmtId="174" fontId="24" fillId="0" borderId="0" xfId="4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/>
    </xf>
    <xf numFmtId="164" fontId="14" fillId="0" borderId="0" xfId="5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164" fontId="14" fillId="0" borderId="1" xfId="5" applyFont="1" applyFill="1" applyBorder="1" applyAlignment="1">
      <alignment horizontal="right"/>
    </xf>
    <xf numFmtId="0" fontId="24" fillId="0" borderId="1" xfId="0" applyFont="1" applyFill="1" applyBorder="1"/>
    <xf numFmtId="164" fontId="7" fillId="0" borderId="1" xfId="5" applyFont="1" applyFill="1" applyBorder="1" applyAlignment="1">
      <alignment horizontal="right"/>
    </xf>
    <xf numFmtId="171" fontId="14" fillId="0" borderId="0" xfId="4" applyNumberFormat="1" applyFont="1" applyFill="1"/>
    <xf numFmtId="3" fontId="14" fillId="0" borderId="0" xfId="0" applyNumberFormat="1" applyFont="1" applyFill="1"/>
    <xf numFmtId="0" fontId="7" fillId="0" borderId="0" xfId="0" applyFont="1" applyFill="1" applyAlignment="1">
      <alignment horizontal="left"/>
    </xf>
    <xf numFmtId="164" fontId="7" fillId="0" borderId="0" xfId="5" applyFont="1" applyFill="1" applyAlignment="1">
      <alignment horizontal="right"/>
    </xf>
    <xf numFmtId="164" fontId="14" fillId="0" borderId="0" xfId="5" applyFont="1" applyFill="1"/>
    <xf numFmtId="0" fontId="14" fillId="0" borderId="0" xfId="0" applyFont="1" applyFill="1" applyAlignment="1">
      <alignment horizontal="left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14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7" fontId="14" fillId="0" borderId="0" xfId="0" applyNumberFormat="1" applyFont="1"/>
    <xf numFmtId="0" fontId="24" fillId="0" borderId="1" xfId="0" applyFont="1" applyBorder="1"/>
    <xf numFmtId="0" fontId="7" fillId="0" borderId="1" xfId="0" applyFont="1" applyBorder="1" applyAlignment="1">
      <alignment horizontal="center" wrapText="1"/>
    </xf>
    <xf numFmtId="168" fontId="14" fillId="0" borderId="1" xfId="9" applyFont="1" applyFill="1" applyBorder="1" applyAlignment="1">
      <alignment horizontal="right"/>
    </xf>
    <xf numFmtId="3" fontId="14" fillId="0" borderId="1" xfId="0" applyNumberFormat="1" applyFont="1" applyBorder="1"/>
    <xf numFmtId="3" fontId="7" fillId="0" borderId="1" xfId="0" applyNumberFormat="1" applyFont="1" applyBorder="1"/>
    <xf numFmtId="164" fontId="14" fillId="0" borderId="1" xfId="5" applyFont="1" applyBorder="1" applyAlignment="1"/>
    <xf numFmtId="164" fontId="7" fillId="0" borderId="1" xfId="5" applyFont="1" applyBorder="1" applyAlignment="1"/>
    <xf numFmtId="168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8" fontId="14" fillId="0" borderId="0" xfId="9" applyFont="1"/>
    <xf numFmtId="175" fontId="14" fillId="0" borderId="0" xfId="12" applyNumberFormat="1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1" fontId="14" fillId="0" borderId="1" xfId="0" applyNumberFormat="1" applyFont="1" applyBorder="1" applyAlignment="1">
      <alignment horizontal="right" wrapText="1"/>
    </xf>
    <xf numFmtId="168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1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wrapText="1"/>
    </xf>
    <xf numFmtId="171" fontId="7" fillId="0" borderId="0" xfId="9" applyNumberFormat="1" applyFont="1" applyBorder="1" applyAlignment="1">
      <alignment horizontal="right" wrapText="1"/>
    </xf>
    <xf numFmtId="168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168" fontId="14" fillId="0" borderId="1" xfId="9" applyFont="1" applyFill="1" applyBorder="1" applyAlignment="1">
      <alignment horizontal="right" wrapText="1"/>
    </xf>
    <xf numFmtId="164" fontId="14" fillId="0" borderId="1" xfId="5" applyFont="1" applyBorder="1" applyAlignment="1">
      <alignment horizontal="right" wrapText="1"/>
    </xf>
    <xf numFmtId="164" fontId="14" fillId="0" borderId="1" xfId="5" applyFont="1" applyFill="1" applyBorder="1" applyAlignment="1">
      <alignment wrapText="1"/>
    </xf>
    <xf numFmtId="171" fontId="7" fillId="0" borderId="1" xfId="0" applyNumberFormat="1" applyFont="1" applyBorder="1" applyAlignment="1">
      <alignment horizontal="right" wrapText="1"/>
    </xf>
    <xf numFmtId="164" fontId="14" fillId="0" borderId="0" xfId="5" applyFont="1" applyFill="1" applyAlignment="1">
      <alignment wrapText="1"/>
    </xf>
    <xf numFmtId="164" fontId="14" fillId="0" borderId="0" xfId="5" applyFont="1" applyAlignment="1">
      <alignment wrapText="1"/>
    </xf>
    <xf numFmtId="0" fontId="14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164" fontId="20" fillId="3" borderId="1" xfId="5" applyFont="1" applyFill="1" applyBorder="1" applyAlignment="1">
      <alignment horizontal="left" wrapText="1"/>
    </xf>
    <xf numFmtId="49" fontId="14" fillId="0" borderId="1" xfId="0" applyNumberFormat="1" applyFont="1" applyBorder="1" applyAlignment="1">
      <alignment wrapText="1"/>
    </xf>
    <xf numFmtId="164" fontId="7" fillId="0" borderId="1" xfId="5" applyFont="1" applyFill="1" applyBorder="1" applyAlignment="1">
      <alignment horizontal="right" wrapText="1"/>
    </xf>
    <xf numFmtId="164" fontId="14" fillId="0" borderId="1" xfId="5" applyFont="1" applyFill="1" applyBorder="1" applyAlignment="1">
      <alignment horizontal="right" wrapText="1"/>
    </xf>
    <xf numFmtId="164" fontId="14" fillId="0" borderId="0" xfId="0" applyNumberFormat="1" applyFont="1" applyAlignment="1">
      <alignment wrapText="1"/>
    </xf>
    <xf numFmtId="164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164" fontId="25" fillId="0" borderId="1" xfId="5" applyFont="1" applyFill="1" applyBorder="1" applyAlignment="1">
      <alignment horizontal="right" vertical="center"/>
    </xf>
    <xf numFmtId="164" fontId="25" fillId="0" borderId="1" xfId="5" applyFont="1" applyBorder="1" applyAlignment="1">
      <alignment horizontal="right" vertical="center"/>
    </xf>
    <xf numFmtId="171" fontId="24" fillId="0" borderId="1" xfId="9" applyNumberFormat="1" applyFont="1" applyBorder="1" applyAlignment="1">
      <alignment horizontal="right" vertical="center"/>
    </xf>
    <xf numFmtId="164" fontId="24" fillId="0" borderId="1" xfId="5" applyFont="1" applyBorder="1" applyAlignment="1">
      <alignment horizontal="right" vertical="center"/>
    </xf>
    <xf numFmtId="172" fontId="14" fillId="0" borderId="0" xfId="0" applyNumberFormat="1" applyFont="1"/>
    <xf numFmtId="171" fontId="14" fillId="0" borderId="0" xfId="9" applyNumberFormat="1" applyFont="1"/>
    <xf numFmtId="171" fontId="7" fillId="0" borderId="0" xfId="9" applyNumberFormat="1" applyFont="1"/>
    <xf numFmtId="164" fontId="14" fillId="0" borderId="1" xfId="5" applyFont="1" applyBorder="1" applyAlignment="1">
      <alignment horizontal="right" vertical="center"/>
    </xf>
    <xf numFmtId="164" fontId="14" fillId="0" borderId="1" xfId="5" applyFont="1" applyFill="1" applyBorder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164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164" fontId="7" fillId="0" borderId="1" xfId="5" applyFont="1" applyBorder="1" applyAlignment="1">
      <alignment horizontal="right" vertical="center"/>
    </xf>
    <xf numFmtId="164" fontId="7" fillId="0" borderId="1" xfId="5" applyFont="1" applyFill="1" applyBorder="1" applyAlignment="1">
      <alignment horizontal="right" vertical="center"/>
    </xf>
    <xf numFmtId="164" fontId="14" fillId="0" borderId="0" xfId="5" applyFont="1" applyAlignment="1">
      <alignment vertical="center"/>
    </xf>
    <xf numFmtId="0" fontId="14" fillId="0" borderId="0" xfId="0" applyFont="1" applyAlignment="1">
      <alignment horizontal="left" vertical="center" indent="3"/>
    </xf>
    <xf numFmtId="164" fontId="14" fillId="0" borderId="1" xfId="5" applyFont="1" applyFill="1" applyBorder="1" applyAlignment="1"/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164" fontId="14" fillId="0" borderId="1" xfId="5" applyFont="1" applyFill="1" applyBorder="1" applyAlignment="1">
      <alignment horizontal="center"/>
    </xf>
    <xf numFmtId="0" fontId="14" fillId="0" borderId="5" xfId="0" applyFont="1" applyBorder="1"/>
    <xf numFmtId="171" fontId="14" fillId="0" borderId="1" xfId="5" applyNumberFormat="1" applyFont="1" applyFill="1" applyBorder="1" applyAlignment="1"/>
    <xf numFmtId="164" fontId="7" fillId="0" borderId="1" xfId="5" applyFont="1" applyFill="1" applyBorder="1" applyAlignment="1">
      <alignment horizontal="center"/>
    </xf>
    <xf numFmtId="171" fontId="14" fillId="0" borderId="1" xfId="5" applyNumberFormat="1" applyFont="1" applyFill="1" applyBorder="1" applyAlignment="1">
      <alignment horizontal="center"/>
    </xf>
    <xf numFmtId="164" fontId="7" fillId="0" borderId="1" xfId="5" applyFont="1" applyBorder="1" applyAlignment="1">
      <alignment horizontal="center"/>
    </xf>
    <xf numFmtId="164" fontId="14" fillId="0" borderId="1" xfId="5" applyFont="1" applyBorder="1" applyAlignment="1">
      <alignment horizontal="center"/>
    </xf>
    <xf numFmtId="164" fontId="14" fillId="0" borderId="1" xfId="5" applyFont="1" applyBorder="1"/>
    <xf numFmtId="164" fontId="7" fillId="0" borderId="1" xfId="0" applyNumberFormat="1" applyFont="1" applyBorder="1"/>
    <xf numFmtId="164" fontId="14" fillId="0" borderId="1" xfId="5" applyNumberFormat="1" applyFont="1" applyBorder="1" applyAlignment="1">
      <alignment horizontal="center" vertical="center"/>
    </xf>
    <xf numFmtId="4" fontId="14" fillId="0" borderId="0" xfId="0" applyNumberFormat="1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5" applyFont="1" applyFill="1" applyBorder="1" applyAlignment="1">
      <alignment horizontal="right" vertical="center" wrapText="1"/>
    </xf>
    <xf numFmtId="0" fontId="0" fillId="0" borderId="0" xfId="0" quotePrefix="1" applyFill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169" fontId="19" fillId="0" borderId="1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4" fontId="17" fillId="0" borderId="12" xfId="4" applyNumberFormat="1" applyFont="1" applyFill="1" applyBorder="1" applyAlignment="1">
      <alignment horizontal="right"/>
    </xf>
    <xf numFmtId="174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4" fontId="23" fillId="0" borderId="5" xfId="4" applyNumberFormat="1" applyFont="1" applyFill="1" applyBorder="1" applyAlignment="1">
      <alignment horizontal="right"/>
    </xf>
    <xf numFmtId="174" fontId="20" fillId="0" borderId="5" xfId="4" applyNumberFormat="1" applyFont="1" applyFill="1" applyBorder="1" applyAlignment="1">
      <alignment horizontal="right"/>
    </xf>
    <xf numFmtId="174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4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4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4" fontId="23" fillId="0" borderId="55" xfId="4" applyNumberFormat="1" applyFont="1" applyFill="1" applyBorder="1" applyAlignment="1">
      <alignment horizontal="right"/>
    </xf>
    <xf numFmtId="174" fontId="20" fillId="0" borderId="55" xfId="4" applyNumberFormat="1" applyFont="1" applyFill="1" applyBorder="1" applyAlignment="1">
      <alignment horizontal="right"/>
    </xf>
    <xf numFmtId="174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4" fontId="17" fillId="0" borderId="56" xfId="4" applyNumberFormat="1" applyFont="1" applyFill="1" applyBorder="1" applyAlignment="1">
      <alignment horizontal="right"/>
    </xf>
    <xf numFmtId="164" fontId="20" fillId="0" borderId="0" xfId="5" applyFont="1" applyAlignment="1">
      <alignment wrapText="1"/>
    </xf>
    <xf numFmtId="164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4" fontId="17" fillId="0" borderId="5" xfId="4" applyNumberFormat="1" applyFont="1" applyFill="1" applyBorder="1" applyAlignment="1">
      <alignment horizontal="right"/>
    </xf>
    <xf numFmtId="174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4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4" fontId="17" fillId="0" borderId="22" xfId="4" applyNumberFormat="1" applyFont="1" applyFill="1" applyBorder="1" applyAlignment="1">
      <alignment horizontal="right"/>
    </xf>
    <xf numFmtId="174" fontId="17" fillId="0" borderId="23" xfId="4" applyNumberFormat="1" applyFont="1" applyFill="1" applyBorder="1" applyAlignment="1">
      <alignment horizontal="right"/>
    </xf>
    <xf numFmtId="174" fontId="26" fillId="0" borderId="12" xfId="4" applyNumberFormat="1" applyFont="1" applyFill="1" applyBorder="1" applyAlignment="1">
      <alignment horizontal="right"/>
    </xf>
    <xf numFmtId="164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4" fontId="17" fillId="0" borderId="25" xfId="4" applyNumberFormat="1" applyFont="1" applyFill="1" applyBorder="1" applyAlignment="1">
      <alignment horizontal="right"/>
    </xf>
    <xf numFmtId="174" fontId="23" fillId="0" borderId="56" xfId="4" applyNumberFormat="1" applyFont="1" applyFill="1" applyBorder="1" applyAlignment="1">
      <alignment horizontal="right"/>
    </xf>
    <xf numFmtId="174" fontId="20" fillId="0" borderId="2" xfId="4" applyNumberFormat="1" applyFont="1" applyFill="1" applyBorder="1" applyAlignment="1">
      <alignment horizontal="right"/>
    </xf>
    <xf numFmtId="174" fontId="17" fillId="0" borderId="55" xfId="4" applyNumberFormat="1" applyFont="1" applyFill="1" applyBorder="1" applyAlignment="1">
      <alignment horizontal="right"/>
    </xf>
    <xf numFmtId="0" fontId="17" fillId="0" borderId="11" xfId="0" applyFont="1" applyBorder="1"/>
    <xf numFmtId="174" fontId="17" fillId="0" borderId="26" xfId="4" applyNumberFormat="1" applyFont="1" applyFill="1" applyBorder="1" applyAlignment="1">
      <alignment horizontal="right"/>
    </xf>
    <xf numFmtId="174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4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164" fontId="20" fillId="0" borderId="0" xfId="5" applyFont="1"/>
    <xf numFmtId="174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9" fontId="17" fillId="0" borderId="0" xfId="4" applyNumberFormat="1" applyFont="1" applyFill="1"/>
    <xf numFmtId="169" fontId="20" fillId="0" borderId="0" xfId="0" applyNumberFormat="1" applyFont="1"/>
    <xf numFmtId="169" fontId="20" fillId="0" borderId="0" xfId="4" applyNumberFormat="1" applyFont="1" applyFill="1"/>
    <xf numFmtId="169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164" fontId="20" fillId="0" borderId="0" xfId="5" applyFont="1" applyFill="1"/>
    <xf numFmtId="3" fontId="19" fillId="0" borderId="0" xfId="0" applyNumberFormat="1" applyFont="1"/>
    <xf numFmtId="170" fontId="20" fillId="0" borderId="0" xfId="0" applyNumberFormat="1" applyFont="1"/>
    <xf numFmtId="170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169" fontId="23" fillId="0" borderId="29" xfId="4" applyNumberFormat="1" applyFont="1" applyBorder="1"/>
    <xf numFmtId="164" fontId="23" fillId="0" borderId="37" xfId="5" applyFont="1" applyBorder="1" applyAlignment="1">
      <alignment horizontal="right"/>
    </xf>
    <xf numFmtId="164" fontId="23" fillId="0" borderId="38" xfId="5" applyFont="1" applyBorder="1" applyAlignment="1">
      <alignment horizontal="right"/>
    </xf>
    <xf numFmtId="164" fontId="23" fillId="0" borderId="39" xfId="5" applyFont="1" applyBorder="1" applyAlignment="1">
      <alignment horizontal="right"/>
    </xf>
    <xf numFmtId="164" fontId="23" fillId="0" borderId="40" xfId="5" applyFont="1" applyBorder="1" applyAlignment="1">
      <alignment horizontal="right"/>
    </xf>
    <xf numFmtId="164" fontId="17" fillId="0" borderId="37" xfId="5" applyFont="1" applyBorder="1" applyAlignment="1">
      <alignment horizontal="right"/>
    </xf>
    <xf numFmtId="164" fontId="17" fillId="0" borderId="38" xfId="5" applyFont="1" applyBorder="1" applyAlignment="1">
      <alignment horizontal="right"/>
    </xf>
    <xf numFmtId="169" fontId="30" fillId="0" borderId="29" xfId="4" applyNumberFormat="1" applyFont="1" applyBorder="1"/>
    <xf numFmtId="164" fontId="23" fillId="0" borderId="41" xfId="5" applyFont="1" applyBorder="1" applyAlignment="1">
      <alignment horizontal="right"/>
    </xf>
    <xf numFmtId="164" fontId="23" fillId="0" borderId="30" xfId="5" applyFont="1" applyBorder="1" applyAlignment="1">
      <alignment horizontal="right"/>
    </xf>
    <xf numFmtId="164" fontId="23" fillId="0" borderId="12" xfId="5" applyFont="1" applyBorder="1" applyAlignment="1">
      <alignment horizontal="right"/>
    </xf>
    <xf numFmtId="164" fontId="23" fillId="0" borderId="42" xfId="5" applyFont="1" applyBorder="1" applyAlignment="1">
      <alignment horizontal="right"/>
    </xf>
    <xf numFmtId="164" fontId="23" fillId="0" borderId="43" xfId="5" applyFont="1" applyBorder="1" applyAlignment="1">
      <alignment horizontal="right"/>
    </xf>
    <xf numFmtId="164" fontId="23" fillId="0" borderId="44" xfId="5" applyFont="1" applyBorder="1" applyAlignment="1">
      <alignment horizontal="right"/>
    </xf>
    <xf numFmtId="164" fontId="23" fillId="0" borderId="45" xfId="5" applyFont="1" applyBorder="1" applyAlignment="1">
      <alignment horizontal="right"/>
    </xf>
    <xf numFmtId="164" fontId="17" fillId="0" borderId="49" xfId="5" applyFont="1" applyBorder="1" applyAlignment="1">
      <alignment horizontal="right"/>
    </xf>
    <xf numFmtId="0" fontId="17" fillId="0" borderId="34" xfId="0" applyFont="1" applyBorder="1"/>
    <xf numFmtId="164" fontId="17" fillId="0" borderId="46" xfId="5" applyFont="1" applyBorder="1" applyAlignment="1">
      <alignment horizontal="right"/>
    </xf>
    <xf numFmtId="164" fontId="17" fillId="0" borderId="28" xfId="5" applyFont="1" applyBorder="1" applyAlignment="1">
      <alignment horizontal="right"/>
    </xf>
    <xf numFmtId="164" fontId="17" fillId="0" borderId="15" xfId="5" applyFont="1" applyBorder="1" applyAlignment="1">
      <alignment horizontal="right"/>
    </xf>
    <xf numFmtId="164" fontId="17" fillId="0" borderId="47" xfId="5" applyFont="1" applyBorder="1" applyAlignment="1">
      <alignment horizontal="right"/>
    </xf>
    <xf numFmtId="164" fontId="19" fillId="0" borderId="28" xfId="5" applyFont="1" applyBorder="1" applyAlignment="1">
      <alignment horizontal="right"/>
    </xf>
    <xf numFmtId="164" fontId="19" fillId="0" borderId="16" xfId="5" applyFont="1" applyBorder="1" applyAlignment="1">
      <alignment horizontal="right"/>
    </xf>
    <xf numFmtId="0" fontId="17" fillId="0" borderId="50" xfId="0" applyFont="1" applyBorder="1"/>
    <xf numFmtId="164" fontId="17" fillId="0" borderId="51" xfId="5" applyFont="1" applyBorder="1" applyAlignment="1">
      <alignment horizontal="right"/>
    </xf>
    <xf numFmtId="0" fontId="0" fillId="0" borderId="0" xfId="0" quotePrefix="1" applyFont="1" applyFill="1"/>
    <xf numFmtId="3" fontId="31" fillId="0" borderId="0" xfId="0" applyNumberFormat="1" applyFont="1"/>
    <xf numFmtId="3" fontId="32" fillId="0" borderId="0" xfId="0" applyNumberFormat="1" applyFont="1"/>
    <xf numFmtId="3" fontId="7" fillId="0" borderId="1" xfId="0" applyNumberFormat="1" applyFont="1" applyBorder="1" applyAlignme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8" xfId="5" applyNumberFormat="1" applyFont="1" applyFill="1" applyBorder="1" applyAlignment="1">
      <alignment horizontal="center" wrapText="1"/>
    </xf>
    <xf numFmtId="0" fontId="19" fillId="0" borderId="29" xfId="0" applyFont="1" applyBorder="1"/>
    <xf numFmtId="3" fontId="19" fillId="0" borderId="0" xfId="0" applyNumberFormat="1" applyFont="1" applyBorder="1"/>
    <xf numFmtId="0" fontId="20" fillId="0" borderId="0" xfId="0" applyFont="1" applyBorder="1"/>
    <xf numFmtId="174" fontId="20" fillId="0" borderId="30" xfId="4" applyNumberFormat="1" applyFont="1" applyFill="1" applyBorder="1" applyAlignment="1">
      <alignment horizontal="right"/>
    </xf>
    <xf numFmtId="174" fontId="19" fillId="0" borderId="0" xfId="4" applyNumberFormat="1" applyFont="1" applyFill="1" applyBorder="1" applyAlignment="1">
      <alignment horizontal="right"/>
    </xf>
    <xf numFmtId="164" fontId="19" fillId="0" borderId="30" xfId="5" applyFont="1" applyFill="1" applyBorder="1" applyAlignment="1">
      <alignment horizontal="right"/>
    </xf>
    <xf numFmtId="0" fontId="20" fillId="0" borderId="29" xfId="0" applyFont="1" applyBorder="1"/>
    <xf numFmtId="174" fontId="20" fillId="0" borderId="0" xfId="4" applyNumberFormat="1" applyFont="1" applyFill="1" applyBorder="1" applyAlignment="1">
      <alignment horizontal="right"/>
    </xf>
    <xf numFmtId="164" fontId="20" fillId="0" borderId="30" xfId="5" applyFont="1" applyFill="1" applyBorder="1" applyAlignment="1">
      <alignment horizontal="right"/>
    </xf>
    <xf numFmtId="49" fontId="20" fillId="0" borderId="29" xfId="0" applyNumberFormat="1" applyFont="1" applyBorder="1"/>
    <xf numFmtId="0" fontId="19" fillId="0" borderId="58" xfId="0" applyFont="1" applyBorder="1"/>
    <xf numFmtId="3" fontId="20" fillId="0" borderId="31" xfId="0" applyNumberFormat="1" applyFont="1" applyBorder="1"/>
    <xf numFmtId="49" fontId="19" fillId="0" borderId="29" xfId="0" applyNumberFormat="1" applyFont="1" applyBorder="1"/>
    <xf numFmtId="3" fontId="20" fillId="0" borderId="3" xfId="0" applyNumberFormat="1" applyFont="1" applyBorder="1"/>
    <xf numFmtId="3" fontId="20" fillId="0" borderId="0" xfId="0" applyNumberFormat="1" applyFont="1" applyBorder="1"/>
    <xf numFmtId="164" fontId="20" fillId="0" borderId="0" xfId="0" applyNumberFormat="1" applyFont="1"/>
    <xf numFmtId="0" fontId="23" fillId="0" borderId="7" xfId="0" applyFont="1" applyBorder="1"/>
    <xf numFmtId="169" fontId="17" fillId="0" borderId="17" xfId="4" applyNumberFormat="1" applyFont="1" applyBorder="1" applyAlignment="1">
      <alignment horizontal="center" vertical="center" wrapText="1"/>
    </xf>
    <xf numFmtId="164" fontId="23" fillId="0" borderId="32" xfId="5" applyFont="1" applyBorder="1" applyAlignment="1">
      <alignment horizontal="right"/>
    </xf>
    <xf numFmtId="164" fontId="23" fillId="0" borderId="54" xfId="5" applyFont="1" applyBorder="1" applyAlignment="1">
      <alignment horizontal="right"/>
    </xf>
    <xf numFmtId="164" fontId="23" fillId="0" borderId="5" xfId="5" applyFont="1" applyBorder="1" applyAlignment="1">
      <alignment horizontal="right"/>
    </xf>
    <xf numFmtId="0" fontId="19" fillId="0" borderId="5" xfId="0" applyFont="1" applyBorder="1"/>
    <xf numFmtId="164" fontId="20" fillId="0" borderId="5" xfId="5" applyFont="1" applyBorder="1" applyAlignment="1">
      <alignment horizontal="right"/>
    </xf>
    <xf numFmtId="164" fontId="19" fillId="0" borderId="18" xfId="5" applyFont="1" applyBorder="1" applyAlignment="1">
      <alignment horizontal="right"/>
    </xf>
    <xf numFmtId="0" fontId="20" fillId="0" borderId="5" xfId="0" applyFont="1" applyBorder="1"/>
    <xf numFmtId="164" fontId="19" fillId="0" borderId="5" xfId="5" applyFont="1" applyBorder="1" applyAlignment="1">
      <alignment horizontal="right"/>
    </xf>
    <xf numFmtId="0" fontId="33" fillId="0" borderId="5" xfId="0" applyFont="1" applyBorder="1"/>
    <xf numFmtId="164" fontId="33" fillId="0" borderId="5" xfId="5" applyFont="1" applyBorder="1" applyAlignment="1">
      <alignment horizontal="right"/>
    </xf>
    <xf numFmtId="0" fontId="23" fillId="0" borderId="2" xfId="0" applyFont="1" applyBorder="1"/>
    <xf numFmtId="164" fontId="17" fillId="0" borderId="33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3" fontId="0" fillId="0" borderId="0" xfId="0" applyNumberFormat="1" applyFont="1"/>
    <xf numFmtId="0" fontId="14" fillId="0" borderId="0" xfId="0" applyFont="1" applyAlignment="1"/>
    <xf numFmtId="0" fontId="0" fillId="0" borderId="0" xfId="0" applyFont="1" applyAlignment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60" xfId="0" applyFont="1" applyBorder="1"/>
    <xf numFmtId="174" fontId="19" fillId="0" borderId="30" xfId="4" applyNumberFormat="1" applyFont="1" applyFill="1" applyBorder="1" applyAlignment="1">
      <alignment horizontal="right"/>
    </xf>
    <xf numFmtId="0" fontId="19" fillId="0" borderId="66" xfId="0" applyFont="1" applyBorder="1"/>
    <xf numFmtId="164" fontId="19" fillId="0" borderId="31" xfId="5" applyFont="1" applyBorder="1"/>
    <xf numFmtId="3" fontId="20" fillId="0" borderId="67" xfId="0" applyNumberFormat="1" applyFont="1" applyBorder="1"/>
    <xf numFmtId="164" fontId="19" fillId="0" borderId="67" xfId="5" applyFont="1" applyBorder="1"/>
    <xf numFmtId="164" fontId="14" fillId="0" borderId="1" xfId="5" applyFont="1" applyFill="1" applyBorder="1"/>
    <xf numFmtId="164" fontId="40" fillId="0" borderId="18" xfId="5" applyFont="1" applyBorder="1" applyAlignment="1"/>
    <xf numFmtId="0" fontId="14" fillId="0" borderId="65" xfId="0" applyFont="1" applyBorder="1" applyAlignment="1">
      <alignment horizontal="left"/>
    </xf>
    <xf numFmtId="0" fontId="0" fillId="0" borderId="65" xfId="0" applyFont="1" applyBorder="1" applyAlignment="1"/>
    <xf numFmtId="0" fontId="0" fillId="0" borderId="62" xfId="0" applyFont="1" applyBorder="1" applyAlignment="1"/>
    <xf numFmtId="0" fontId="14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30" xfId="0" applyFont="1" applyBorder="1" applyAlignment="1"/>
    <xf numFmtId="0" fontId="18" fillId="0" borderId="29" xfId="0" applyFont="1" applyBorder="1" applyAlignment="1">
      <alignment horizontal="left" vertical="center"/>
    </xf>
    <xf numFmtId="0" fontId="7" fillId="0" borderId="61" xfId="0" applyFont="1" applyBorder="1" applyAlignment="1">
      <alignment horizontal="left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164" fontId="0" fillId="0" borderId="0" xfId="5" applyFont="1" applyAlignment="1"/>
    <xf numFmtId="0" fontId="7" fillId="0" borderId="68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164" fontId="7" fillId="0" borderId="1" xfId="5" applyFont="1" applyBorder="1" applyAlignment="1">
      <alignment horizontal="right" wrapText="1"/>
    </xf>
    <xf numFmtId="0" fontId="7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top"/>
    </xf>
    <xf numFmtId="0" fontId="14" fillId="0" borderId="6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174" fontId="24" fillId="0" borderId="1" xfId="4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5" applyFont="1" applyFill="1" applyBorder="1" applyAlignment="1">
      <alignment horizontal="right" vertical="center" wrapText="1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0" fillId="0" borderId="0" xfId="0" quotePrefix="1" applyFill="1"/>
    <xf numFmtId="14" fontId="17" fillId="0" borderId="34" xfId="0" applyNumberFormat="1" applyFont="1" applyBorder="1" applyAlignment="1">
      <alignment horizontal="center" wrapText="1"/>
    </xf>
    <xf numFmtId="14" fontId="17" fillId="0" borderId="35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left" vertical="top"/>
    </xf>
    <xf numFmtId="0" fontId="25" fillId="0" borderId="6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3" fontId="25" fillId="0" borderId="12" xfId="0" applyNumberFormat="1" applyFont="1" applyBorder="1" applyAlignment="1">
      <alignment horizontal="left" vertical="center"/>
    </xf>
    <xf numFmtId="3" fontId="25" fillId="0" borderId="11" xfId="0" applyNumberFormat="1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0" fillId="0" borderId="57" xfId="0" applyFont="1" applyBorder="1" applyAlignment="1"/>
    <xf numFmtId="0" fontId="0" fillId="0" borderId="73" xfId="0" applyFont="1" applyBorder="1" applyAlignment="1"/>
    <xf numFmtId="0" fontId="24" fillId="0" borderId="59" xfId="0" applyFont="1" applyBorder="1" applyAlignment="1">
      <alignment horizontal="left" vertical="center"/>
    </xf>
    <xf numFmtId="10" fontId="25" fillId="0" borderId="73" xfId="0" applyNumberFormat="1" applyFont="1" applyBorder="1" applyAlignment="1">
      <alignment horizontal="right" vertical="center"/>
    </xf>
    <xf numFmtId="10" fontId="25" fillId="0" borderId="30" xfId="0" applyNumberFormat="1" applyFont="1" applyBorder="1" applyAlignment="1">
      <alignment horizontal="right" vertical="center"/>
    </xf>
    <xf numFmtId="0" fontId="0" fillId="0" borderId="64" xfId="0" applyFont="1" applyBorder="1" applyAlignment="1"/>
    <xf numFmtId="164" fontId="7" fillId="0" borderId="68" xfId="5" applyFont="1" applyBorder="1" applyAlignment="1">
      <alignment horizontal="left"/>
    </xf>
    <xf numFmtId="164" fontId="7" fillId="0" borderId="69" xfId="5" applyFont="1" applyBorder="1" applyAlignment="1">
      <alignment horizontal="left"/>
    </xf>
    <xf numFmtId="164" fontId="7" fillId="0" borderId="69" xfId="5" applyFont="1" applyBorder="1" applyAlignment="1"/>
    <xf numFmtId="164" fontId="7" fillId="0" borderId="70" xfId="5" applyFont="1" applyBorder="1" applyAlignment="1"/>
    <xf numFmtId="164" fontId="7" fillId="0" borderId="0" xfId="5" applyFont="1" applyAlignment="1"/>
    <xf numFmtId="0" fontId="14" fillId="0" borderId="0" xfId="0" applyFont="1" applyBorder="1" applyAlignment="1"/>
    <xf numFmtId="164" fontId="14" fillId="0" borderId="0" xfId="5" applyFont="1" applyBorder="1" applyAlignment="1"/>
    <xf numFmtId="0" fontId="14" fillId="0" borderId="30" xfId="0" applyFont="1" applyBorder="1" applyAlignment="1"/>
    <xf numFmtId="164" fontId="14" fillId="0" borderId="0" xfId="5" applyFont="1" applyAlignment="1"/>
    <xf numFmtId="0" fontId="7" fillId="0" borderId="0" xfId="0" applyFont="1" applyAlignment="1"/>
    <xf numFmtId="164" fontId="14" fillId="0" borderId="0" xfId="5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164" fontId="7" fillId="0" borderId="15" xfId="5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29" xfId="0" applyFont="1" applyBorder="1" applyAlignment="1">
      <alignment horizontal="left"/>
    </xf>
    <xf numFmtId="0" fontId="41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/>
    </xf>
    <xf numFmtId="3" fontId="19" fillId="0" borderId="65" xfId="0" applyNumberFormat="1" applyFont="1" applyBorder="1"/>
    <xf numFmtId="0" fontId="20" fillId="0" borderId="65" xfId="0" applyFont="1" applyBorder="1"/>
    <xf numFmtId="174" fontId="20" fillId="0" borderId="62" xfId="4" applyNumberFormat="1" applyFont="1" applyFill="1" applyBorder="1" applyAlignment="1">
      <alignment horizontal="right"/>
    </xf>
    <xf numFmtId="164" fontId="14" fillId="0" borderId="1" xfId="5" applyFont="1" applyBorder="1" applyAlignment="1">
      <alignment horizontal="center" vertical="center"/>
    </xf>
    <xf numFmtId="164" fontId="7" fillId="0" borderId="1" xfId="5" applyFont="1" applyBorder="1" applyAlignment="1">
      <alignment horizontal="center" vertical="center" wrapText="1"/>
    </xf>
    <xf numFmtId="164" fontId="14" fillId="0" borderId="1" xfId="5" applyFont="1" applyBorder="1" applyAlignment="1">
      <alignment vertical="center"/>
    </xf>
    <xf numFmtId="164" fontId="7" fillId="0" borderId="1" xfId="5" applyFont="1" applyBorder="1" applyAlignment="1">
      <alignment horizontal="center" vertical="center"/>
    </xf>
    <xf numFmtId="164" fontId="7" fillId="0" borderId="7" xfId="5" applyFont="1" applyBorder="1" applyAlignment="1">
      <alignment horizontal="center" wrapText="1"/>
    </xf>
    <xf numFmtId="164" fontId="7" fillId="0" borderId="2" xfId="5" applyFont="1" applyBorder="1" applyAlignment="1">
      <alignment horizontal="center" vertical="center" wrapText="1"/>
    </xf>
    <xf numFmtId="0" fontId="11" fillId="0" borderId="1" xfId="0" applyFont="1" applyBorder="1"/>
    <xf numFmtId="0" fontId="44" fillId="0" borderId="1" xfId="0" applyFont="1" applyBorder="1" applyAlignment="1">
      <alignment vertical="center"/>
    </xf>
    <xf numFmtId="0" fontId="24" fillId="0" borderId="16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164" fontId="20" fillId="0" borderId="2" xfId="5" applyFont="1" applyBorder="1" applyAlignment="1">
      <alignment vertical="center"/>
    </xf>
    <xf numFmtId="164" fontId="24" fillId="0" borderId="2" xfId="5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164" fontId="20" fillId="0" borderId="0" xfId="5" applyFont="1" applyFill="1" applyBorder="1" applyAlignment="1">
      <alignment horizontal="right" vertical="center"/>
    </xf>
    <xf numFmtId="0" fontId="33" fillId="0" borderId="1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174" fontId="14" fillId="0" borderId="0" xfId="0" applyNumberFormat="1" applyFont="1"/>
    <xf numFmtId="174" fontId="25" fillId="0" borderId="7" xfId="4" applyNumberFormat="1" applyFont="1" applyFill="1" applyBorder="1" applyAlignment="1">
      <alignment horizontal="center" vertical="center"/>
    </xf>
    <xf numFmtId="164" fontId="20" fillId="0" borderId="2" xfId="5" applyFont="1" applyBorder="1"/>
    <xf numFmtId="0" fontId="24" fillId="0" borderId="16" xfId="0" applyFont="1" applyBorder="1" applyAlignment="1">
      <alignment horizontal="center" vertical="center"/>
    </xf>
    <xf numFmtId="0" fontId="24" fillId="0" borderId="76" xfId="0" applyFont="1" applyBorder="1" applyAlignment="1">
      <alignment vertical="center"/>
    </xf>
    <xf numFmtId="0" fontId="24" fillId="0" borderId="77" xfId="0" applyFont="1" applyBorder="1" applyAlignment="1">
      <alignment vertical="center"/>
    </xf>
    <xf numFmtId="174" fontId="24" fillId="0" borderId="77" xfId="4" applyNumberFormat="1" applyFont="1" applyFill="1" applyBorder="1" applyAlignment="1">
      <alignment horizontal="right" vertical="center"/>
    </xf>
    <xf numFmtId="0" fontId="24" fillId="0" borderId="78" xfId="0" applyFont="1" applyBorder="1" applyAlignment="1">
      <alignment vertical="center"/>
    </xf>
    <xf numFmtId="0" fontId="24" fillId="0" borderId="79" xfId="0" applyFont="1" applyBorder="1" applyAlignment="1">
      <alignment vertical="center"/>
    </xf>
    <xf numFmtId="164" fontId="24" fillId="0" borderId="79" xfId="5" applyFont="1" applyBorder="1" applyAlignment="1">
      <alignment vertical="center"/>
    </xf>
    <xf numFmtId="174" fontId="24" fillId="0" borderId="79" xfId="4" applyNumberFormat="1" applyFont="1" applyBorder="1" applyAlignment="1">
      <alignment horizontal="right"/>
    </xf>
    <xf numFmtId="174" fontId="24" fillId="0" borderId="75" xfId="4" applyNumberFormat="1" applyFont="1" applyBorder="1" applyAlignment="1">
      <alignment horizontal="right"/>
    </xf>
    <xf numFmtId="0" fontId="24" fillId="0" borderId="8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3" quotePrefix="1" applyFill="1"/>
    <xf numFmtId="0" fontId="5" fillId="0" borderId="3" xfId="3" quotePrefix="1" applyBorder="1" applyAlignment="1">
      <alignment horizontal="center" vertical="center"/>
    </xf>
    <xf numFmtId="0" fontId="5" fillId="0" borderId="0" xfId="3" quotePrefix="1" applyAlignment="1">
      <alignment horizontal="center" vertical="center"/>
    </xf>
    <xf numFmtId="0" fontId="5" fillId="0" borderId="5" xfId="3" applyBorder="1"/>
    <xf numFmtId="0" fontId="5" fillId="0" borderId="5" xfId="3" applyBorder="1" applyAlignment="1">
      <alignment horizontal="left"/>
    </xf>
    <xf numFmtId="0" fontId="20" fillId="0" borderId="53" xfId="0" applyFont="1" applyFill="1" applyBorder="1" applyAlignment="1">
      <alignment horizontal="left"/>
    </xf>
    <xf numFmtId="164" fontId="14" fillId="0" borderId="31" xfId="5" applyFont="1" applyFill="1" applyBorder="1" applyAlignment="1">
      <alignment horizontal="right"/>
    </xf>
    <xf numFmtId="164" fontId="14" fillId="0" borderId="13" xfId="5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3" quotePrefix="1" applyAlignment="1">
      <alignment horizontal="left"/>
    </xf>
    <xf numFmtId="0" fontId="5" fillId="0" borderId="0" xfId="3" quotePrefix="1"/>
    <xf numFmtId="164" fontId="7" fillId="0" borderId="1" xfId="5" applyFont="1" applyFill="1" applyBorder="1" applyAlignment="1"/>
    <xf numFmtId="164" fontId="7" fillId="0" borderId="1" xfId="0" applyNumberFormat="1" applyFont="1" applyFill="1" applyBorder="1" applyAlignment="1">
      <alignment horizontal="center" vertical="center"/>
    </xf>
    <xf numFmtId="0" fontId="5" fillId="0" borderId="0" xfId="3" quotePrefix="1" applyAlignment="1">
      <alignment wrapText="1"/>
    </xf>
    <xf numFmtId="164" fontId="14" fillId="0" borderId="1" xfId="5" applyFont="1" applyBorder="1" applyAlignment="1">
      <alignment horizontal="left" wrapText="1"/>
    </xf>
    <xf numFmtId="164" fontId="24" fillId="0" borderId="1" xfId="5" applyFont="1" applyBorder="1" applyAlignment="1">
      <alignment wrapText="1"/>
    </xf>
    <xf numFmtId="0" fontId="5" fillId="0" borderId="12" xfId="3" applyBorder="1" applyAlignment="1">
      <alignment horizontal="left"/>
    </xf>
    <xf numFmtId="0" fontId="5" fillId="0" borderId="12" xfId="3" applyBorder="1"/>
    <xf numFmtId="14" fontId="14" fillId="0" borderId="7" xfId="0" applyNumberFormat="1" applyFont="1" applyBorder="1" applyAlignment="1">
      <alignment horizontal="left" vertical="center" wrapText="1"/>
    </xf>
    <xf numFmtId="14" fontId="14" fillId="0" borderId="0" xfId="0" applyNumberFormat="1" applyFont="1" applyAlignment="1">
      <alignment wrapText="1"/>
    </xf>
    <xf numFmtId="0" fontId="41" fillId="0" borderId="0" xfId="0" applyFont="1" applyAlignment="1">
      <alignment horizontal="center"/>
    </xf>
    <xf numFmtId="0" fontId="5" fillId="0" borderId="0" xfId="3" quotePrefix="1" applyAlignment="1">
      <alignment vertical="center"/>
    </xf>
    <xf numFmtId="0" fontId="5" fillId="0" borderId="61" xfId="3" applyBorder="1"/>
    <xf numFmtId="164" fontId="19" fillId="0" borderId="57" xfId="5" applyFont="1" applyBorder="1"/>
    <xf numFmtId="0" fontId="5" fillId="0" borderId="3" xfId="3" quotePrefix="1" applyBorder="1" applyAlignment="1">
      <alignment horizontal="center"/>
    </xf>
    <xf numFmtId="49" fontId="5" fillId="0" borderId="29" xfId="3" applyNumberFormat="1" applyBorder="1"/>
    <xf numFmtId="0" fontId="5" fillId="0" borderId="29" xfId="3" applyBorder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14" fontId="14" fillId="0" borderId="7" xfId="5" applyNumberFormat="1" applyFont="1" applyBorder="1" applyAlignment="1">
      <alignment horizontal="left" vertical="center" wrapText="1"/>
    </xf>
    <xf numFmtId="0" fontId="20" fillId="0" borderId="0" xfId="0" applyFont="1" applyAlignment="1"/>
    <xf numFmtId="174" fontId="24" fillId="0" borderId="0" xfId="4" applyNumberFormat="1" applyFont="1" applyFill="1" applyBorder="1" applyAlignment="1">
      <alignment horizontal="right" vertical="center"/>
    </xf>
    <xf numFmtId="174" fontId="25" fillId="0" borderId="1" xfId="4" applyNumberFormat="1" applyFont="1" applyBorder="1" applyAlignment="1">
      <alignment horizontal="center" vertical="center"/>
    </xf>
    <xf numFmtId="174" fontId="20" fillId="0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10" fillId="0" borderId="100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wrapText="1"/>
    </xf>
    <xf numFmtId="164" fontId="14" fillId="0" borderId="7" xfId="5" applyFont="1" applyBorder="1" applyAlignment="1">
      <alignment horizontal="left" vertical="center" wrapText="1"/>
    </xf>
    <xf numFmtId="0" fontId="0" fillId="0" borderId="0" xfId="0" quotePrefix="1" applyFill="1"/>
    <xf numFmtId="164" fontId="14" fillId="0" borderId="0" xfId="0" applyNumberFormat="1" applyFont="1" applyBorder="1" applyAlignment="1"/>
    <xf numFmtId="189" fontId="14" fillId="0" borderId="30" xfId="0" applyNumberFormat="1" applyFont="1" applyBorder="1" applyAlignment="1"/>
    <xf numFmtId="2" fontId="14" fillId="0" borderId="30" xfId="0" applyNumberFormat="1" applyFont="1" applyBorder="1" applyAlignment="1"/>
    <xf numFmtId="2" fontId="7" fillId="0" borderId="70" xfId="0" applyNumberFormat="1" applyFont="1" applyBorder="1" applyAlignment="1"/>
    <xf numFmtId="169" fontId="19" fillId="0" borderId="0" xfId="4" applyNumberFormat="1" applyFont="1" applyFill="1"/>
    <xf numFmtId="0" fontId="19" fillId="0" borderId="0" xfId="0" applyFont="1"/>
    <xf numFmtId="49" fontId="44" fillId="0" borderId="29" xfId="0" applyNumberFormat="1" applyFont="1" applyBorder="1"/>
    <xf numFmtId="3" fontId="44" fillId="0" borderId="0" xfId="0" applyNumberFormat="1" applyFont="1" applyBorder="1"/>
    <xf numFmtId="174" fontId="44" fillId="0" borderId="0" xfId="4" applyNumberFormat="1" applyFont="1" applyFill="1" applyBorder="1" applyAlignment="1">
      <alignment horizontal="right"/>
    </xf>
    <xf numFmtId="190" fontId="103" fillId="0" borderId="0" xfId="13" applyNumberFormat="1" applyFont="1"/>
    <xf numFmtId="190" fontId="1" fillId="0" borderId="0" xfId="13" applyNumberFormat="1"/>
    <xf numFmtId="0" fontId="1" fillId="0" borderId="0" xfId="13"/>
    <xf numFmtId="190" fontId="50" fillId="0" borderId="61" xfId="13" applyNumberFormat="1" applyFont="1" applyBorder="1"/>
    <xf numFmtId="190" fontId="50" fillId="0" borderId="102" xfId="13" applyNumberFormat="1" applyFont="1" applyBorder="1"/>
    <xf numFmtId="190" fontId="50" fillId="0" borderId="61" xfId="13" applyNumberFormat="1" applyFont="1" applyBorder="1" applyAlignment="1">
      <alignment horizontal="centerContinuous"/>
    </xf>
    <xf numFmtId="190" fontId="50" fillId="0" borderId="62" xfId="13" applyNumberFormat="1" applyFont="1" applyBorder="1" applyAlignment="1">
      <alignment horizontal="centerContinuous"/>
    </xf>
    <xf numFmtId="190" fontId="50" fillId="0" borderId="65" xfId="13" applyNumberFormat="1" applyFont="1" applyBorder="1"/>
    <xf numFmtId="190" fontId="104" fillId="0" borderId="102" xfId="13" applyNumberFormat="1" applyFont="1" applyBorder="1" applyAlignment="1">
      <alignment horizontal="center"/>
    </xf>
    <xf numFmtId="190" fontId="50" fillId="0" borderId="62" xfId="13" applyNumberFormat="1" applyFont="1" applyBorder="1"/>
    <xf numFmtId="190" fontId="50" fillId="0" borderId="29" xfId="13" applyNumberFormat="1" applyFont="1" applyBorder="1" applyAlignment="1">
      <alignment horizontal="center"/>
    </xf>
    <xf numFmtId="190" fontId="104" fillId="0" borderId="103" xfId="13" applyNumberFormat="1" applyFont="1" applyBorder="1" applyAlignment="1">
      <alignment horizontal="center"/>
    </xf>
    <xf numFmtId="190" fontId="104" fillId="0" borderId="63" xfId="13" applyNumberFormat="1" applyFont="1" applyBorder="1" applyAlignment="1">
      <alignment horizontal="centerContinuous"/>
    </xf>
    <xf numFmtId="190" fontId="50" fillId="0" borderId="64" xfId="13" applyNumberFormat="1" applyFont="1" applyBorder="1" applyAlignment="1">
      <alignment horizontal="centerContinuous"/>
    </xf>
    <xf numFmtId="190" fontId="50" fillId="0" borderId="29" xfId="13" applyNumberFormat="1" applyFont="1" applyBorder="1" applyAlignment="1">
      <alignment horizontal="centerContinuous"/>
    </xf>
    <xf numFmtId="190" fontId="50" fillId="0" borderId="0" xfId="13" applyNumberFormat="1" applyFont="1" applyAlignment="1">
      <alignment horizontal="centerContinuous"/>
    </xf>
    <xf numFmtId="190" fontId="40" fillId="0" borderId="103" xfId="13" applyNumberFormat="1" applyFont="1" applyBorder="1" applyAlignment="1">
      <alignment horizontal="center"/>
    </xf>
    <xf numFmtId="190" fontId="50" fillId="0" borderId="30" xfId="13" applyNumberFormat="1" applyFont="1" applyBorder="1" applyAlignment="1">
      <alignment horizontal="center"/>
    </xf>
    <xf numFmtId="190" fontId="50" fillId="0" borderId="29" xfId="13" applyNumberFormat="1" applyFont="1" applyBorder="1"/>
    <xf numFmtId="190" fontId="104" fillId="0" borderId="62" xfId="13" applyNumberFormat="1" applyFont="1" applyBorder="1" applyAlignment="1">
      <alignment horizontal="center"/>
    </xf>
    <xf numFmtId="190" fontId="104" fillId="0" borderId="61" xfId="13" applyNumberFormat="1" applyFont="1" applyBorder="1" applyAlignment="1">
      <alignment horizontal="center"/>
    </xf>
    <xf numFmtId="190" fontId="40" fillId="0" borderId="102" xfId="13" applyNumberFormat="1" applyFont="1" applyBorder="1" applyAlignment="1">
      <alignment horizontal="center"/>
    </xf>
    <xf numFmtId="190" fontId="40" fillId="0" borderId="62" xfId="13" applyNumberFormat="1" applyFont="1" applyBorder="1" applyAlignment="1">
      <alignment horizontal="center"/>
    </xf>
    <xf numFmtId="190" fontId="105" fillId="0" borderId="62" xfId="13" applyNumberFormat="1" applyFont="1" applyBorder="1" applyAlignment="1">
      <alignment horizontal="center"/>
    </xf>
    <xf numFmtId="190" fontId="50" fillId="0" borderId="63" xfId="13" applyNumberFormat="1" applyFont="1" applyBorder="1" applyAlignment="1">
      <alignment horizontal="center"/>
    </xf>
    <xf numFmtId="190" fontId="106" fillId="0" borderId="104" xfId="13" applyNumberFormat="1" applyFont="1" applyBorder="1" applyAlignment="1">
      <alignment horizontal="center"/>
    </xf>
    <xf numFmtId="190" fontId="104" fillId="0" borderId="104" xfId="13" applyNumberFormat="1" applyFont="1" applyBorder="1" applyAlignment="1">
      <alignment horizontal="center"/>
    </xf>
    <xf numFmtId="190" fontId="104" fillId="0" borderId="64" xfId="13" applyNumberFormat="1" applyFont="1" applyBorder="1" applyAlignment="1">
      <alignment horizontal="center"/>
    </xf>
    <xf numFmtId="190" fontId="104" fillId="0" borderId="63" xfId="13" applyNumberFormat="1" applyFont="1" applyBorder="1" applyAlignment="1">
      <alignment horizontal="center"/>
    </xf>
    <xf numFmtId="190" fontId="40" fillId="0" borderId="104" xfId="13" applyNumberFormat="1" applyFont="1" applyBorder="1" applyAlignment="1">
      <alignment horizontal="center"/>
    </xf>
    <xf numFmtId="190" fontId="40" fillId="0" borderId="64" xfId="13" applyNumberFormat="1" applyFont="1" applyBorder="1" applyAlignment="1">
      <alignment horizontal="center"/>
    </xf>
    <xf numFmtId="190" fontId="107" fillId="0" borderId="64" xfId="13" applyNumberFormat="1" applyFont="1" applyBorder="1" applyAlignment="1">
      <alignment horizontal="center"/>
    </xf>
    <xf numFmtId="190" fontId="50" fillId="0" borderId="64" xfId="13" applyNumberFormat="1" applyFont="1" applyBorder="1"/>
    <xf numFmtId="190" fontId="108" fillId="0" borderId="76" xfId="13" applyNumberFormat="1" applyFont="1" applyBorder="1"/>
    <xf numFmtId="190" fontId="1" fillId="0" borderId="77" xfId="13" applyNumberFormat="1" applyBorder="1"/>
    <xf numFmtId="190" fontId="1" fillId="0" borderId="77" xfId="13" applyNumberFormat="1" applyBorder="1" applyAlignment="1">
      <alignment horizontal="center"/>
    </xf>
    <xf numFmtId="190" fontId="1" fillId="0" borderId="105" xfId="13" applyNumberFormat="1" applyBorder="1"/>
    <xf numFmtId="190" fontId="94" fillId="0" borderId="106" xfId="13" applyNumberFormat="1" applyFont="1" applyBorder="1"/>
    <xf numFmtId="190" fontId="94" fillId="0" borderId="2" xfId="13" applyNumberFormat="1" applyFont="1" applyBorder="1"/>
    <xf numFmtId="190" fontId="94" fillId="0" borderId="2" xfId="13" applyNumberFormat="1" applyFont="1" applyBorder="1" applyAlignment="1">
      <alignment horizontal="center"/>
    </xf>
    <xf numFmtId="190" fontId="94" fillId="0" borderId="107" xfId="13" applyNumberFormat="1" applyFont="1" applyBorder="1"/>
    <xf numFmtId="171" fontId="109" fillId="0" borderId="0" xfId="10" applyNumberFormat="1" applyFont="1"/>
    <xf numFmtId="190" fontId="94" fillId="60" borderId="106" xfId="13" applyNumberFormat="1" applyFont="1" applyFill="1" applyBorder="1"/>
    <xf numFmtId="190" fontId="94" fillId="60" borderId="2" xfId="13" applyNumberFormat="1" applyFont="1" applyFill="1" applyBorder="1"/>
    <xf numFmtId="190" fontId="94" fillId="60" borderId="2" xfId="13" applyNumberFormat="1" applyFont="1" applyFill="1" applyBorder="1" applyAlignment="1">
      <alignment horizontal="center"/>
    </xf>
    <xf numFmtId="190" fontId="1" fillId="0" borderId="108" xfId="13" applyNumberFormat="1" applyBorder="1"/>
    <xf numFmtId="190" fontId="1" fillId="0" borderId="1" xfId="13" applyNumberFormat="1" applyBorder="1"/>
    <xf numFmtId="190" fontId="1" fillId="0" borderId="1" xfId="13" applyNumberFormat="1" applyBorder="1" applyAlignment="1">
      <alignment horizontal="center"/>
    </xf>
    <xf numFmtId="190" fontId="1" fillId="0" borderId="107" xfId="13" applyNumberFormat="1" applyBorder="1"/>
    <xf numFmtId="190" fontId="94" fillId="0" borderId="108" xfId="13" applyNumberFormat="1" applyFont="1" applyBorder="1"/>
    <xf numFmtId="190" fontId="94" fillId="0" borderId="1" xfId="13" applyNumberFormat="1" applyFont="1" applyBorder="1"/>
    <xf numFmtId="190" fontId="1" fillId="61" borderId="1" xfId="13" applyNumberFormat="1" applyFill="1" applyBorder="1"/>
    <xf numFmtId="190" fontId="1" fillId="61" borderId="107" xfId="13" applyNumberFormat="1" applyFill="1" applyBorder="1"/>
    <xf numFmtId="190" fontId="110" fillId="0" borderId="1" xfId="13" applyNumberFormat="1" applyFont="1" applyBorder="1"/>
    <xf numFmtId="190" fontId="94" fillId="62" borderId="108" xfId="13" applyNumberFormat="1" applyFont="1" applyFill="1" applyBorder="1"/>
    <xf numFmtId="190" fontId="94" fillId="62" borderId="1" xfId="13" applyNumberFormat="1" applyFont="1" applyFill="1" applyBorder="1"/>
    <xf numFmtId="190" fontId="110" fillId="62" borderId="1" xfId="13" applyNumberFormat="1" applyFont="1" applyFill="1" applyBorder="1"/>
    <xf numFmtId="190" fontId="94" fillId="62" borderId="2" xfId="13" applyNumberFormat="1" applyFont="1" applyFill="1" applyBorder="1"/>
    <xf numFmtId="190" fontId="94" fillId="60" borderId="108" xfId="13" applyNumberFormat="1" applyFont="1" applyFill="1" applyBorder="1"/>
    <xf numFmtId="190" fontId="94" fillId="60" borderId="1" xfId="13" applyNumberFormat="1" applyFont="1" applyFill="1" applyBorder="1"/>
    <xf numFmtId="190" fontId="1" fillId="60" borderId="1" xfId="13" applyNumberFormat="1" applyFill="1" applyBorder="1"/>
    <xf numFmtId="190" fontId="111" fillId="61" borderId="1" xfId="13" applyNumberFormat="1" applyFont="1" applyFill="1" applyBorder="1"/>
    <xf numFmtId="190" fontId="111" fillId="61" borderId="107" xfId="13" applyNumberFormat="1" applyFont="1" applyFill="1" applyBorder="1"/>
    <xf numFmtId="3" fontId="1" fillId="0" borderId="0" xfId="13" applyNumberFormat="1"/>
    <xf numFmtId="0" fontId="1" fillId="63" borderId="0" xfId="13" applyFill="1"/>
    <xf numFmtId="190" fontId="112" fillId="0" borderId="108" xfId="13" applyNumberFormat="1" applyFont="1" applyBorder="1" applyAlignment="1">
      <alignment horizontal="center"/>
    </xf>
    <xf numFmtId="190" fontId="50" fillId="0" borderId="109" xfId="13" applyNumberFormat="1" applyFont="1" applyBorder="1"/>
    <xf numFmtId="190" fontId="108" fillId="0" borderId="108" xfId="13" applyNumberFormat="1" applyFont="1" applyBorder="1"/>
    <xf numFmtId="3" fontId="113" fillId="0" borderId="0" xfId="13" applyNumberFormat="1" applyFont="1"/>
    <xf numFmtId="190" fontId="113" fillId="0" borderId="1" xfId="13" applyNumberFormat="1" applyFont="1" applyBorder="1"/>
    <xf numFmtId="190" fontId="113" fillId="0" borderId="2" xfId="13" applyNumberFormat="1" applyFont="1" applyBorder="1"/>
    <xf numFmtId="190" fontId="1" fillId="0" borderId="7" xfId="13" applyNumberFormat="1" applyBorder="1"/>
    <xf numFmtId="190" fontId="114" fillId="0" borderId="1" xfId="13" applyNumberFormat="1" applyFont="1" applyBorder="1"/>
    <xf numFmtId="190" fontId="1" fillId="62" borderId="108" xfId="13" applyNumberFormat="1" applyFill="1" applyBorder="1"/>
    <xf numFmtId="190" fontId="1" fillId="62" borderId="1" xfId="13" applyNumberFormat="1" applyFill="1" applyBorder="1"/>
    <xf numFmtId="190" fontId="114" fillId="62" borderId="1" xfId="13" applyNumberFormat="1" applyFont="1" applyFill="1" applyBorder="1"/>
    <xf numFmtId="190" fontId="94" fillId="62" borderId="7" xfId="13" applyNumberFormat="1" applyFont="1" applyFill="1" applyBorder="1"/>
    <xf numFmtId="0" fontId="1" fillId="61" borderId="0" xfId="13" applyFill="1"/>
    <xf numFmtId="190" fontId="94" fillId="62" borderId="79" xfId="13" applyNumberFormat="1" applyFont="1" applyFill="1" applyBorder="1"/>
    <xf numFmtId="190" fontId="113" fillId="62" borderId="1" xfId="13" applyNumberFormat="1" applyFont="1" applyFill="1" applyBorder="1"/>
    <xf numFmtId="190" fontId="108" fillId="0" borderId="108" xfId="13" applyNumberFormat="1" applyFont="1" applyBorder="1" applyAlignment="1">
      <alignment horizontal="center"/>
    </xf>
    <xf numFmtId="190" fontId="50" fillId="0" borderId="7" xfId="13" applyNumberFormat="1" applyFont="1" applyBorder="1"/>
    <xf numFmtId="190" fontId="115" fillId="0" borderId="1" xfId="13" applyNumberFormat="1" applyFont="1" applyBorder="1"/>
    <xf numFmtId="190" fontId="1" fillId="60" borderId="108" xfId="13" applyNumberFormat="1" applyFill="1" applyBorder="1"/>
    <xf numFmtId="190" fontId="1" fillId="60" borderId="7" xfId="13" applyNumberFormat="1" applyFill="1" applyBorder="1"/>
    <xf numFmtId="190" fontId="115" fillId="60" borderId="1" xfId="13" applyNumberFormat="1" applyFont="1" applyFill="1" applyBorder="1"/>
    <xf numFmtId="190" fontId="114" fillId="60" borderId="108" xfId="13" applyNumberFormat="1" applyFont="1" applyFill="1" applyBorder="1"/>
    <xf numFmtId="190" fontId="114" fillId="60" borderId="7" xfId="13" applyNumberFormat="1" applyFont="1" applyFill="1" applyBorder="1"/>
    <xf numFmtId="190" fontId="116" fillId="60" borderId="108" xfId="13" applyNumberFormat="1" applyFont="1" applyFill="1" applyBorder="1"/>
    <xf numFmtId="190" fontId="1" fillId="0" borderId="5" xfId="13" applyNumberFormat="1" applyBorder="1"/>
    <xf numFmtId="190" fontId="114" fillId="60" borderId="110" xfId="13" applyNumberFormat="1" applyFont="1" applyFill="1" applyBorder="1"/>
    <xf numFmtId="190" fontId="114" fillId="60" borderId="1" xfId="13" applyNumberFormat="1" applyFont="1" applyFill="1" applyBorder="1"/>
    <xf numFmtId="190" fontId="113" fillId="60" borderId="1" xfId="13" applyNumberFormat="1" applyFont="1" applyFill="1" applyBorder="1"/>
    <xf numFmtId="190" fontId="117" fillId="60" borderId="1" xfId="13" applyNumberFormat="1" applyFont="1" applyFill="1" applyBorder="1"/>
    <xf numFmtId="190" fontId="94" fillId="61" borderId="2" xfId="13" applyNumberFormat="1" applyFont="1" applyFill="1" applyBorder="1"/>
    <xf numFmtId="190" fontId="112" fillId="60" borderId="108" xfId="13" applyNumberFormat="1" applyFont="1" applyFill="1" applyBorder="1" applyAlignment="1">
      <alignment horizontal="centerContinuous"/>
    </xf>
    <xf numFmtId="190" fontId="50" fillId="60" borderId="1" xfId="13" applyNumberFormat="1" applyFont="1" applyFill="1" applyBorder="1"/>
    <xf numFmtId="190" fontId="94" fillId="0" borderId="40" xfId="13" applyNumberFormat="1" applyFont="1" applyBorder="1" applyAlignment="1">
      <alignment horizontal="left"/>
    </xf>
    <xf numFmtId="190" fontId="94" fillId="0" borderId="5" xfId="13" applyNumberFormat="1" applyFont="1" applyBorder="1"/>
    <xf numFmtId="190" fontId="1" fillId="0" borderId="111" xfId="13" applyNumberFormat="1" applyBorder="1"/>
    <xf numFmtId="190" fontId="1" fillId="0" borderId="112" xfId="13" applyNumberFormat="1" applyBorder="1"/>
    <xf numFmtId="190" fontId="118" fillId="61" borderId="111" xfId="13" applyNumberFormat="1" applyFont="1" applyFill="1" applyBorder="1"/>
    <xf numFmtId="190" fontId="94" fillId="0" borderId="111" xfId="13" applyNumberFormat="1" applyFont="1" applyBorder="1"/>
    <xf numFmtId="164" fontId="1" fillId="0" borderId="0" xfId="13" applyNumberFormat="1"/>
    <xf numFmtId="190" fontId="50" fillId="0" borderId="0" xfId="13" applyNumberFormat="1" applyFont="1"/>
    <xf numFmtId="190" fontId="119" fillId="61" borderId="0" xfId="13" applyNumberFormat="1" applyFont="1" applyFill="1" applyAlignment="1">
      <alignment horizontal="center"/>
    </xf>
    <xf numFmtId="0" fontId="120" fillId="0" borderId="0" xfId="13" applyFont="1" applyAlignment="1">
      <alignment horizontal="right"/>
    </xf>
    <xf numFmtId="0" fontId="121" fillId="61" borderId="0" xfId="13" applyFont="1" applyFill="1"/>
    <xf numFmtId="0" fontId="122" fillId="61" borderId="0" xfId="13" applyFont="1" applyFill="1" applyAlignment="1">
      <alignment horizontal="right"/>
    </xf>
    <xf numFmtId="0" fontId="49" fillId="61" borderId="0" xfId="13" applyFont="1" applyFill="1"/>
    <xf numFmtId="0" fontId="122" fillId="0" borderId="0" xfId="13" applyFont="1" applyAlignment="1">
      <alignment horizontal="right"/>
    </xf>
    <xf numFmtId="0" fontId="49" fillId="0" borderId="0" xfId="13" applyFont="1"/>
    <xf numFmtId="0" fontId="122" fillId="0" borderId="0" xfId="13" applyFont="1"/>
    <xf numFmtId="3" fontId="122" fillId="0" borderId="0" xfId="13" applyNumberFormat="1" applyFont="1"/>
    <xf numFmtId="3" fontId="122" fillId="0" borderId="0" xfId="13" applyNumberFormat="1" applyFont="1" applyAlignment="1">
      <alignment horizontal="right"/>
    </xf>
    <xf numFmtId="0" fontId="123" fillId="0" borderId="0" xfId="13" applyFont="1"/>
    <xf numFmtId="3" fontId="123" fillId="61" borderId="0" xfId="13" applyNumberFormat="1" applyFont="1" applyFill="1" applyAlignment="1">
      <alignment horizontal="right"/>
    </xf>
    <xf numFmtId="190" fontId="49" fillId="0" borderId="0" xfId="13" applyNumberFormat="1" applyFont="1"/>
    <xf numFmtId="3" fontId="124" fillId="0" borderId="0" xfId="13" applyNumberFormat="1" applyFont="1" applyAlignment="1">
      <alignment horizontal="center"/>
    </xf>
    <xf numFmtId="3" fontId="123" fillId="0" borderId="0" xfId="13" applyNumberFormat="1" applyFont="1" applyAlignment="1">
      <alignment horizontal="right"/>
    </xf>
    <xf numFmtId="3" fontId="49" fillId="0" borderId="0" xfId="13" applyNumberFormat="1" applyFont="1"/>
    <xf numFmtId="14" fontId="8" fillId="0" borderId="0" xfId="0" applyNumberFormat="1" applyFont="1"/>
    <xf numFmtId="0" fontId="3" fillId="14" borderId="0" xfId="399"/>
    <xf numFmtId="14" fontId="3" fillId="14" borderId="0" xfId="399" applyNumberFormat="1"/>
    <xf numFmtId="0" fontId="3" fillId="25" borderId="0" xfId="400"/>
    <xf numFmtId="14" fontId="3" fillId="25" borderId="0" xfId="400" applyNumberFormat="1"/>
    <xf numFmtId="164" fontId="127" fillId="0" borderId="1" xfId="5" applyFont="1" applyBorder="1" applyAlignment="1"/>
    <xf numFmtId="0" fontId="14" fillId="0" borderId="0" xfId="0" quotePrefix="1" applyFont="1" applyFill="1"/>
    <xf numFmtId="0" fontId="16" fillId="0" borderId="0" xfId="3" quotePrefix="1" applyFont="1" applyAlignment="1">
      <alignment horizontal="center" vertical="center" wrapText="1"/>
    </xf>
    <xf numFmtId="0" fontId="33" fillId="0" borderId="53" xfId="0" applyFont="1" applyBorder="1" applyAlignment="1">
      <alignment vertical="center"/>
    </xf>
    <xf numFmtId="174" fontId="25" fillId="0" borderId="8" xfId="4" applyNumberFormat="1" applyFont="1" applyBorder="1" applyAlignment="1">
      <alignment horizontal="center" vertical="center"/>
    </xf>
    <xf numFmtId="174" fontId="25" fillId="0" borderId="27" xfId="4" applyNumberFormat="1" applyFont="1" applyBorder="1" applyAlignment="1">
      <alignment horizontal="center" vertical="center"/>
    </xf>
    <xf numFmtId="0" fontId="128" fillId="0" borderId="7" xfId="0" applyFont="1" applyBorder="1" applyAlignment="1">
      <alignment horizontal="center" vertical="center"/>
    </xf>
    <xf numFmtId="174" fontId="128" fillId="0" borderId="7" xfId="4" applyNumberFormat="1" applyFont="1" applyBorder="1" applyAlignment="1">
      <alignment horizontal="center" vertical="center"/>
    </xf>
    <xf numFmtId="174" fontId="128" fillId="0" borderId="8" xfId="4" applyNumberFormat="1" applyFont="1" applyBorder="1" applyAlignment="1">
      <alignment horizontal="center" vertical="center"/>
    </xf>
    <xf numFmtId="174" fontId="128" fillId="0" borderId="7" xfId="4" applyNumberFormat="1" applyFont="1" applyFill="1" applyBorder="1" applyAlignment="1">
      <alignment horizontal="center" vertical="center"/>
    </xf>
    <xf numFmtId="174" fontId="128" fillId="0" borderId="27" xfId="4" applyNumberFormat="1" applyFont="1" applyBorder="1" applyAlignment="1">
      <alignment horizontal="center" vertical="center"/>
    </xf>
    <xf numFmtId="0" fontId="129" fillId="0" borderId="0" xfId="0" applyFont="1"/>
    <xf numFmtId="164" fontId="14" fillId="0" borderId="0" xfId="0" applyNumberFormat="1" applyFont="1" applyAlignment="1">
      <alignment horizontal="right"/>
    </xf>
    <xf numFmtId="164" fontId="14" fillId="0" borderId="7" xfId="5" applyFont="1" applyBorder="1"/>
    <xf numFmtId="14" fontId="7" fillId="0" borderId="2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/>
    <xf numFmtId="49" fontId="7" fillId="0" borderId="1" xfId="0" applyNumberFormat="1" applyFont="1" applyBorder="1"/>
    <xf numFmtId="174" fontId="44" fillId="0" borderId="30" xfId="4" applyNumberFormat="1" applyFont="1" applyFill="1" applyBorder="1" applyAlignment="1">
      <alignment horizontal="right"/>
    </xf>
    <xf numFmtId="3" fontId="44" fillId="0" borderId="0" xfId="0" applyNumberFormat="1" applyFont="1"/>
    <xf numFmtId="169" fontId="44" fillId="0" borderId="0" xfId="4" applyNumberFormat="1" applyFont="1" applyFill="1"/>
    <xf numFmtId="0" fontId="44" fillId="0" borderId="0" xfId="0" applyFont="1"/>
    <xf numFmtId="164" fontId="17" fillId="64" borderId="48" xfId="5" applyFont="1" applyFill="1" applyBorder="1" applyAlignment="1">
      <alignment horizontal="right"/>
    </xf>
    <xf numFmtId="164" fontId="34" fillId="0" borderId="0" xfId="5" applyFont="1"/>
    <xf numFmtId="164" fontId="19" fillId="0" borderId="2" xfId="5" applyFont="1" applyBorder="1" applyAlignment="1">
      <alignment vertical="center"/>
    </xf>
    <xf numFmtId="164" fontId="19" fillId="0" borderId="2" xfId="5" applyFont="1" applyBorder="1"/>
    <xf numFmtId="171" fontId="14" fillId="0" borderId="0" xfId="0" applyNumberFormat="1" applyFont="1" applyAlignment="1">
      <alignment wrapText="1"/>
    </xf>
    <xf numFmtId="174" fontId="25" fillId="64" borderId="7" xfId="4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1" xfId="0" applyFont="1" applyFill="1" applyBorder="1" applyAlignment="1">
      <alignment horizontal="center" vertical="center"/>
    </xf>
    <xf numFmtId="14" fontId="102" fillId="5" borderId="14" xfId="0" applyNumberFormat="1" applyFont="1" applyFill="1" applyBorder="1" applyAlignment="1">
      <alignment horizontal="center"/>
    </xf>
    <xf numFmtId="14" fontId="102" fillId="5" borderId="16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6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8" xfId="0" applyFont="1" applyBorder="1" applyAlignment="1">
      <alignment horizontal="center"/>
    </xf>
    <xf numFmtId="0" fontId="33" fillId="0" borderId="65" xfId="0" applyFont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4" fillId="0" borderId="65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6" borderId="53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4" fontId="7" fillId="0" borderId="1" xfId="5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0" xfId="0" applyFill="1"/>
    <xf numFmtId="0" fontId="46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46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8" fillId="0" borderId="3" xfId="0" applyFont="1" applyBorder="1" applyAlignment="1">
      <alignment horizontal="center"/>
    </xf>
    <xf numFmtId="0" fontId="0" fillId="0" borderId="0" xfId="0" quotePrefix="1" applyFill="1"/>
    <xf numFmtId="0" fontId="6" fillId="0" borderId="0" xfId="0" applyFont="1" applyAlignment="1">
      <alignment horizontal="center"/>
    </xf>
  </cellXfs>
  <cellStyles count="401">
    <cellStyle name="          _x000d__x000a_386grabber=VGA.3GR_x000d__x000a_ 3" xfId="175" xr:uid="{E348C78B-B010-4819-B335-4E59441E30F5}"/>
    <cellStyle name="20% - Accent1" xfId="273" xr:uid="{B041C6E8-C170-4B0A-8307-3A45684D58E4}"/>
    <cellStyle name="20% - Accent2" xfId="274" xr:uid="{4AAF792B-56E4-4F3D-A771-98AE59F86C13}"/>
    <cellStyle name="20% - Accent3" xfId="275" xr:uid="{0300DD3D-40C4-451A-B3FC-7E1F613A41E4}"/>
    <cellStyle name="20% - Accent4" xfId="276" xr:uid="{73A8C76F-37E3-41D2-ACDF-EBFD3EC93279}"/>
    <cellStyle name="20% - Accent5" xfId="277" xr:uid="{77627F68-DD20-4C06-A997-C5DB6476B100}"/>
    <cellStyle name="20% - Accent6" xfId="278" xr:uid="{2E8D1525-4D0F-4FC8-9B6B-0664799159EA}"/>
    <cellStyle name="20% - Énfasis1 2" xfId="260" xr:uid="{944A4347-916F-49B4-A8B4-1A01E32E18CA}"/>
    <cellStyle name="20% - Énfasis1 3" xfId="342" xr:uid="{83ECB81E-9D94-4C1E-9DF4-C632D2061D67}"/>
    <cellStyle name="20% - Énfasis1 4" xfId="232" xr:uid="{C2A81A05-2651-4C39-ABCD-C654D806CFEE}"/>
    <cellStyle name="20% - Énfasis2 2" xfId="262" xr:uid="{7880F7B2-021D-42B1-83A1-C960B0A2E774}"/>
    <cellStyle name="20% - Énfasis2 3" xfId="344" xr:uid="{71481E7E-AC0D-4DD1-BCB3-A0C55B7B082A}"/>
    <cellStyle name="20% - Énfasis2 4" xfId="236" xr:uid="{DA03B4D7-C1D2-49B6-8E53-88AFE2C12A37}"/>
    <cellStyle name="20% - Énfasis3 2" xfId="264" xr:uid="{0BBE0DD2-938A-46A4-8528-422FAC379D4C}"/>
    <cellStyle name="20% - Énfasis3 3" xfId="346" xr:uid="{B0EF3BC5-1EB9-459E-BCF4-41E51AFF6D2D}"/>
    <cellStyle name="20% - Énfasis3 4" xfId="240" xr:uid="{D4768E90-7EA0-4107-B312-B0DB5ECFB0E3}"/>
    <cellStyle name="20% - Énfasis4 2" xfId="266" xr:uid="{7CE59990-3CBB-4BE9-84EA-06E51E06A607}"/>
    <cellStyle name="20% - Énfasis4 3" xfId="348" xr:uid="{62A6F2F3-88E4-41B2-80F6-B4220471B612}"/>
    <cellStyle name="20% - Énfasis4 4" xfId="244" xr:uid="{9489B3B3-82F4-464E-96EA-81AABF0C2141}"/>
    <cellStyle name="20% - Énfasis5 2" xfId="268" xr:uid="{4159FCED-9B51-4FB7-BD62-8E0B6876912F}"/>
    <cellStyle name="20% - Énfasis5 3" xfId="350" xr:uid="{79D273F6-B20F-4DA3-A49B-B2AE03E6B7AD}"/>
    <cellStyle name="20% - Énfasis5 4" xfId="248" xr:uid="{6F5888D6-8FAC-4929-9973-F285EE31B32F}"/>
    <cellStyle name="20% - Énfasis6 2" xfId="270" xr:uid="{55925D2C-9AA8-432C-A57A-B4BD259394F4}"/>
    <cellStyle name="20% - Énfasis6 3" xfId="352" xr:uid="{609E8795-202C-45F7-82E6-BF11F2BE3464}"/>
    <cellStyle name="20% - Énfasis6 4" xfId="252" xr:uid="{E18F621D-683F-4A64-AAE4-84ED97E44A1A}"/>
    <cellStyle name="40% - Accent1" xfId="279" xr:uid="{FEBE0F09-89B8-4CBC-83D2-DBA7C30B6BBE}"/>
    <cellStyle name="40% - Accent2" xfId="280" xr:uid="{D40B84EB-CA85-454C-B321-E9ABA726B12E}"/>
    <cellStyle name="40% - Accent3" xfId="281" xr:uid="{03033818-5501-4BE7-8712-795407072277}"/>
    <cellStyle name="40% - Accent4" xfId="282" xr:uid="{50A9F8BC-0DA0-4E75-A067-27F434AF7D6E}"/>
    <cellStyle name="40% - Accent5" xfId="283" xr:uid="{8CAB73D3-2EAE-4E6D-B4A0-42C100664CA0}"/>
    <cellStyle name="40% - Accent6" xfId="284" xr:uid="{0050961A-F642-43CB-A24A-B93187D06508}"/>
    <cellStyle name="40% - Énfasis1 2" xfId="261" xr:uid="{EFFCF5F7-B20C-4CEF-898A-7712FD85F612}"/>
    <cellStyle name="40% - Énfasis1 3" xfId="343" xr:uid="{92E224B5-24DD-48D9-B4FC-FDFD7B5F5EB4}"/>
    <cellStyle name="40% - Énfasis1 4" xfId="233" xr:uid="{27C3C304-B8AA-4A74-9F0E-8D86E863C208}"/>
    <cellStyle name="40% - Énfasis2 2" xfId="263" xr:uid="{552353EB-80C5-4184-9E74-87A4B7B17C38}"/>
    <cellStyle name="40% - Énfasis2 3" xfId="345" xr:uid="{57D7BA16-FF39-43E7-B1A0-59A387EC68E3}"/>
    <cellStyle name="40% - Énfasis2 4" xfId="237" xr:uid="{51CA532A-529C-47E7-B58B-D1D776B6FBDD}"/>
    <cellStyle name="40% - Énfasis3 2" xfId="265" xr:uid="{733EDFE4-66AB-4583-8239-B4BFAC042600}"/>
    <cellStyle name="40% - Énfasis3 3" xfId="347" xr:uid="{DAACCF87-1986-4559-8670-51F84F57ED7E}"/>
    <cellStyle name="40% - Énfasis3 4" xfId="241" xr:uid="{F0BC462F-1A6A-4953-888D-2BDFCF7FDE80}"/>
    <cellStyle name="40% - Énfasis4 2" xfId="267" xr:uid="{BF0640A6-9F4B-4E4F-94C1-EECA62FD44B4}"/>
    <cellStyle name="40% - Énfasis4 3" xfId="349" xr:uid="{F872EF36-E612-4C9E-924A-4D88AF8054C2}"/>
    <cellStyle name="40% - Énfasis4 4" xfId="245" xr:uid="{EBC1536B-0BEF-4FC0-A23C-1841AAD7E585}"/>
    <cellStyle name="40% - Énfasis5 2" xfId="269" xr:uid="{B27C0910-0F7F-4FED-85AD-D4561D91823E}"/>
    <cellStyle name="40% - Énfasis5 3" xfId="351" xr:uid="{3FC01F49-5089-4547-B161-30AEDC2CB237}"/>
    <cellStyle name="40% - Énfasis5 4" xfId="249" xr:uid="{EAB0A09A-9A07-4A31-9AD4-F355073014AC}"/>
    <cellStyle name="40% - Énfasis6 2" xfId="271" xr:uid="{6710D200-2438-42B4-B8BD-AAA42461547D}"/>
    <cellStyle name="40% - Énfasis6 3" xfId="353" xr:uid="{EEE53903-7DCB-4608-A113-904C51F1A44E}"/>
    <cellStyle name="40% - Énfasis6 4" xfId="253" xr:uid="{E7B6CEF8-7C43-418D-8D9E-F11A8C03C2E2}"/>
    <cellStyle name="60% - Accent1" xfId="285" xr:uid="{2103E9BA-6799-41FC-AC7E-9148D9B04A1D}"/>
    <cellStyle name="60% - Accent2" xfId="286" xr:uid="{B1AE179E-233B-4E93-848F-CC02C62E6E4F}"/>
    <cellStyle name="60% - Accent3" xfId="287" xr:uid="{6F98669F-6D9F-4C59-A602-290B5D506052}"/>
    <cellStyle name="60% - Accent4" xfId="288" xr:uid="{311474EA-70C9-4FBC-82AC-3F83615786B3}"/>
    <cellStyle name="60% - Accent5" xfId="289" xr:uid="{A78A6D85-B161-41C7-A523-4B027B855088}"/>
    <cellStyle name="60% - Accent6" xfId="290" xr:uid="{35ED9CAC-68A9-42A3-9847-A760C3E6DEC2}"/>
    <cellStyle name="60% - Énfasis1 2" xfId="234" xr:uid="{A80B2008-B0F7-469D-8197-0D09FB78ED4E}"/>
    <cellStyle name="60% - Énfasis2 2" xfId="238" xr:uid="{825BAFCD-0546-4660-95D0-F49A9465A902}"/>
    <cellStyle name="60% - Énfasis3 2" xfId="242" xr:uid="{A6C4B485-D4AA-4DF8-BB00-DA72597C9633}"/>
    <cellStyle name="60% - Énfasis4 2" xfId="246" xr:uid="{75B1F4C0-EF5E-49F9-AAB4-666C89BF97F4}"/>
    <cellStyle name="60% - Énfasis5 2" xfId="250" xr:uid="{B84BE462-DDC0-4506-9170-941C4ADF1331}"/>
    <cellStyle name="60% - Énfasis6 2" xfId="254" xr:uid="{67D6CDBA-366D-4253-835C-09BB9FA129F4}"/>
    <cellStyle name="Accent1" xfId="291" xr:uid="{D04F143B-B1DD-4305-8306-BABD0E2F3D97}"/>
    <cellStyle name="Accent2" xfId="292" xr:uid="{36BB6226-AF49-4385-9407-98E8D4F71875}"/>
    <cellStyle name="Accent3" xfId="293" xr:uid="{CD03206B-6E80-4CC8-B738-4E4A2F51BBF0}"/>
    <cellStyle name="Accent4" xfId="294" xr:uid="{BB290AE0-8704-4DE6-A325-5F99B0C6475C}"/>
    <cellStyle name="Accent5" xfId="295" xr:uid="{EA3048E4-81B6-41FA-A456-41A6125EB1F6}"/>
    <cellStyle name="Accent6" xfId="296" xr:uid="{76B1529F-B4E1-4087-8DAC-7B17F2763569}"/>
    <cellStyle name="Bad" xfId="297" xr:uid="{069CDC5C-A8C1-4A90-BA8E-21155945CACD}"/>
    <cellStyle name="Bueno 2" xfId="220" xr:uid="{46F66F28-49E2-4EB0-BD4C-1627384AC9E2}"/>
    <cellStyle name="Calculation" xfId="298" xr:uid="{F6DCA4AA-043A-4A36-A78B-9E7E480E18D6}"/>
    <cellStyle name="Cálculo 2" xfId="225" xr:uid="{34E859A1-CF68-46E4-8080-1542ECE052A6}"/>
    <cellStyle name="Celda de comprobación 2" xfId="227" xr:uid="{B8130FB3-8291-4DA0-9AA4-BFFCC17B60A6}"/>
    <cellStyle name="Celda vinculada 2" xfId="226" xr:uid="{48A8610F-81D7-4533-AE50-B1D05635D9D1}"/>
    <cellStyle name="Check Cell" xfId="299" xr:uid="{92B2F3B3-CC64-489F-BDDC-CF5974A91C15}"/>
    <cellStyle name="Comma 2" xfId="27" xr:uid="{D66F8A28-ABC3-48B2-AE5D-1A2BF626025D}"/>
    <cellStyle name="Comma 2 2" xfId="301" xr:uid="{732BD60A-8F54-414F-A6B9-EAB7AF07D0B8}"/>
    <cellStyle name="Comma 2 3" xfId="300" xr:uid="{E61932D3-8E21-41FB-8694-FA763DCED962}"/>
    <cellStyle name="Comma 3" xfId="302" xr:uid="{6CBF7730-13BC-4A43-9C8D-D4488FA41F6D}"/>
    <cellStyle name="Comma 4" xfId="303" xr:uid="{C4DDBEAB-CFB1-4A6E-ACFF-9067E9D05074}"/>
    <cellStyle name="Comma 4 2" xfId="45" xr:uid="{5EA6BC80-D330-456F-A597-D21008D1E7CC}"/>
    <cellStyle name="Comma 4 2 2" xfId="132" xr:uid="{4BE266D2-3E1B-459E-AC29-61AB8D10EB31}"/>
    <cellStyle name="Comma 4 2 2 2" xfId="176" xr:uid="{11212E72-63AA-4ACB-84AD-4F79EC4C04CA}"/>
    <cellStyle name="Comma 5" xfId="304" xr:uid="{B625BF64-9A41-45F8-99E3-8A2D9C8E333F}"/>
    <cellStyle name="Comma_Comparativo 2004" xfId="28" xr:uid="{DF286EAF-83D8-4437-89D3-95DCEAAE50BA}"/>
    <cellStyle name="Encabezado 1 2" xfId="216" xr:uid="{02E71AAE-FE87-4A33-A9C3-1D088B1676AC}"/>
    <cellStyle name="Encabezado 4 2" xfId="219" xr:uid="{347C2C2B-CC09-4414-A8A8-958241B857AF}"/>
    <cellStyle name="Énfasis1" xfId="399" builtinId="29"/>
    <cellStyle name="Énfasis1 2" xfId="231" xr:uid="{31DEF6BE-9D92-4BD9-A08E-98A18435ADD1}"/>
    <cellStyle name="Énfasis2 2" xfId="1" xr:uid="{00000000-0005-0000-0000-000000000000}"/>
    <cellStyle name="Énfasis2 3" xfId="235" xr:uid="{5D992463-C927-4445-B83A-B04988EBB372}"/>
    <cellStyle name="Énfasis3 2" xfId="239" xr:uid="{7366D1A3-C819-486A-B662-3302C2760236}"/>
    <cellStyle name="Énfasis4" xfId="400" builtinId="41"/>
    <cellStyle name="Énfasis4 2" xfId="243" xr:uid="{40898357-72E1-4026-9E91-22D21D205A28}"/>
    <cellStyle name="Énfasis5 2" xfId="247" xr:uid="{D5C94F16-8085-4790-86F4-203BF7D0B275}"/>
    <cellStyle name="Énfasis6 2" xfId="251" xr:uid="{27A7E23C-9E60-4C60-931E-C9FC5B475A6F}"/>
    <cellStyle name="Entrada 2" xfId="223" xr:uid="{812B9747-7071-449E-9BD6-EFEDA2CD5E1A}"/>
    <cellStyle name="Excel Built-in Normal" xfId="2" xr:uid="{00000000-0005-0000-0000-000001000000}"/>
    <cellStyle name="Excel Built-in Normal 2" xfId="149" xr:uid="{0631E87D-58F3-4B4F-98EF-80F71D69AB65}"/>
    <cellStyle name="Explanatory Text" xfId="305" xr:uid="{BE3630B1-3DDC-4CFD-932E-E82B51B1F312}"/>
    <cellStyle name="Good" xfId="306" xr:uid="{E9C1BB8E-A764-4909-BDAA-7B56D205476D}"/>
    <cellStyle name="Heading" xfId="307" xr:uid="{3CAFD6B4-8924-4305-A53E-8641BD815E68}"/>
    <cellStyle name="Heading 1" xfId="308" xr:uid="{9C75D19A-0601-4C98-85D8-1F97EF9AA572}"/>
    <cellStyle name="Heading 2" xfId="309" xr:uid="{EC792F2A-AD27-4E49-8840-3573145C511E}"/>
    <cellStyle name="Heading 3" xfId="310" xr:uid="{27E252D9-D257-4007-BDE1-1B539B614B3F}"/>
    <cellStyle name="Heading 4" xfId="311" xr:uid="{46ACAD01-BD8B-493D-9385-33B6BD33C2D3}"/>
    <cellStyle name="Heading 5" xfId="312" xr:uid="{96EF69B5-66E9-4659-9DD5-8FF4E47D1061}"/>
    <cellStyle name="Hipervínculo" xfId="3" builtinId="8"/>
    <cellStyle name="Hipervínculo 2" xfId="124" xr:uid="{6BE7CDBF-360E-4896-BC57-4F27002A5BDB}"/>
    <cellStyle name="Hipervínculo 3" xfId="393" xr:uid="{30F89B9B-9AEE-415D-AF45-BC0F8E6F61E9}"/>
    <cellStyle name="Incorrecto 2" xfId="221" xr:uid="{80C40100-BDDC-4379-AAE7-AA6241422D29}"/>
    <cellStyle name="Input" xfId="313" xr:uid="{55AE7BDC-B323-498E-B059-5ADF95563C99}"/>
    <cellStyle name="Linked Cell" xfId="314" xr:uid="{C6D4EC0F-B5BF-4036-8C35-E5EC4980C36C}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2 2" xfId="195" xr:uid="{D9AFBDD6-F2AF-43D1-8741-6932B8BB382C}"/>
    <cellStyle name="Millares [0] 2 2 3" xfId="355" xr:uid="{3BA46C29-8F15-403C-96D7-A15729BE736E}"/>
    <cellStyle name="Millares [0] 2 3" xfId="20" xr:uid="{00000000-0005-0000-0000-000007000000}"/>
    <cellStyle name="Millares [0] 2 3 2" xfId="194" xr:uid="{43F252E2-5887-45AD-8CB7-0187E54E22AA}"/>
    <cellStyle name="Millares [0] 2 4" xfId="159" xr:uid="{F58B3CB2-D9AB-4D8A-BAAC-622481B6944F}"/>
    <cellStyle name="Millares [0] 2 5" xfId="317" xr:uid="{6D1B1D71-2201-4CDF-8CB0-A19C5A06C603}"/>
    <cellStyle name="Millares [0] 3" xfId="8" xr:uid="{00000000-0005-0000-0000-000008000000}"/>
    <cellStyle name="Millares [0] 3 2" xfId="24" xr:uid="{00000000-0005-0000-0000-000009000000}"/>
    <cellStyle name="Millares [0] 3 2 2" xfId="192" xr:uid="{001A8EBB-6341-484B-9EDA-1951B0B4E2A7}"/>
    <cellStyle name="Millares [0] 3 2 3" xfId="396" xr:uid="{4716C530-9A55-481E-AA1A-0F83A438A1C1}"/>
    <cellStyle name="Millares [0] 3 3" xfId="41" xr:uid="{26A4FDB0-92F7-4B6B-A2FD-26F0C1F84AEA}"/>
    <cellStyle name="Millares [0] 3 4" xfId="356" xr:uid="{617BFA0A-BA39-4FCB-9CB5-092D1A6412C8}"/>
    <cellStyle name="Millares [0] 3 5" xfId="397" xr:uid="{71F5AC7E-1604-4427-AC3B-ED7B37A56378}"/>
    <cellStyle name="Millares [0] 4" xfId="19" xr:uid="{00000000-0005-0000-0000-00000A000000}"/>
    <cellStyle name="Millares [0] 4 2" xfId="196" xr:uid="{50858A56-6702-41E9-BF59-F9F54808DAF3}"/>
    <cellStyle name="Millares [0] 4 3" xfId="177" xr:uid="{D5510246-F796-422C-9544-B007F17A7DA1}"/>
    <cellStyle name="Millares [0] 4 4" xfId="357" xr:uid="{36CABAC6-FC0F-4341-B0C3-A2627CF4F17D}"/>
    <cellStyle name="Millares [0] 5" xfId="30" xr:uid="{034DA137-E419-45CB-AD52-A9B16684E869}"/>
    <cellStyle name="Millares [0] 6" xfId="42" xr:uid="{888EAD21-EC06-440F-A375-3AF436F15D36}"/>
    <cellStyle name="Millares [0] 7" xfId="354" xr:uid="{B5F8CE2A-7457-4AE2-A5CD-02642F19D03B}"/>
    <cellStyle name="Millares [0] 8" xfId="178" xr:uid="{E1D2B270-5FD7-4E31-BAAE-EAF318AAFAD5}"/>
    <cellStyle name="Millares 10" xfId="151" xr:uid="{52B99146-8FE5-402F-9D2F-C89846B6DB08}"/>
    <cellStyle name="Millares 10 2" xfId="158" xr:uid="{0F8D81A8-43A0-43DA-9F9B-AF313A1B20AD}"/>
    <cellStyle name="Millares 100 11" xfId="40" xr:uid="{78F543E9-B218-48CA-AF7B-DE298C8CB0FA}"/>
    <cellStyle name="Millares 100 11 2" xfId="133" xr:uid="{CFBAB5FD-006E-4111-A713-67B63067E925}"/>
    <cellStyle name="Millares 100 11 2 2" xfId="179" xr:uid="{BE741B17-E928-4B8A-AB4E-F5992F6CACA8}"/>
    <cellStyle name="Millares 11" xfId="152" xr:uid="{71C809FE-3C5E-4F36-B0CE-0F47385B3D44}"/>
    <cellStyle name="Millares 11 2" xfId="168" xr:uid="{06342BA5-0051-4DAF-81AB-C8CA079095BD}"/>
    <cellStyle name="Millares 12" xfId="169" xr:uid="{C21F7627-4E2E-4E92-9DC8-4B56114699EE}"/>
    <cellStyle name="Millares 13" xfId="170" xr:uid="{0C819DF1-2AD6-402F-9459-A3325CCD3559}"/>
    <cellStyle name="Millares 14" xfId="171" xr:uid="{15DCC6CD-70BB-48F5-B455-0DA2E4141AF2}"/>
    <cellStyle name="Millares 15" xfId="172" xr:uid="{1418D719-1B85-4B93-B025-3D6B6FCB9B6E}"/>
    <cellStyle name="Millares 16" xfId="145" xr:uid="{0C866C30-9A9A-44C5-ADF0-A5FE0311F29E}"/>
    <cellStyle name="Millares 17" xfId="180" xr:uid="{611CC806-FFAC-4512-9BC0-E7F1EEBC2A01}"/>
    <cellStyle name="Millares 174 2" xfId="32" xr:uid="{161C1F46-C2FD-440C-BD4A-8A5B48CDA25D}"/>
    <cellStyle name="Millares 174 2 2" xfId="134" xr:uid="{DB198C9A-B468-48B0-9F70-BC1CBBCE8095}"/>
    <cellStyle name="Millares 174 2 2 2" xfId="181" xr:uid="{1A96F2BB-3D01-4183-A169-40AF3BCD0822}"/>
    <cellStyle name="Millares 18" xfId="182" xr:uid="{8AF2785A-6F3D-4F0E-B07C-EDEBB8267128}"/>
    <cellStyle name="Millares 19" xfId="154" xr:uid="{278FFFC3-6C18-40C8-A7A6-7C7ABB1007C2}"/>
    <cellStyle name="Millares 2" xfId="9" xr:uid="{00000000-0005-0000-0000-00000B000000}"/>
    <cellStyle name="Millares 2 2" xfId="10" xr:uid="{00000000-0005-0000-0000-00000C000000}"/>
    <cellStyle name="Millares 2 2 2" xfId="136" xr:uid="{A29B8052-82F5-4FE5-AB26-E0F38F60756C}"/>
    <cellStyle name="Millares 2 2 2 2" xfId="183" xr:uid="{13BF62D9-68E4-46DA-B78E-D0D74A474587}"/>
    <cellStyle name="Millares 2 2 3" xfId="17" xr:uid="{00000000-0005-0000-0000-00000D000000}"/>
    <cellStyle name="Millares 2 2 3 2" xfId="197" xr:uid="{D9A87F11-4EBC-4CB6-90EB-8B7B79978115}"/>
    <cellStyle name="Millares 2 2 4" xfId="37" xr:uid="{5ED6FE87-DE72-4F36-A4A6-086AB18FAB09}"/>
    <cellStyle name="Millares 2 2 5" xfId="333" xr:uid="{F7B67969-1A9A-400E-AF09-0905FFD9BE12}"/>
    <cellStyle name="Millares 2 2 6" xfId="359" xr:uid="{61B85629-4A45-4C79-B858-24AEAF3A694E}"/>
    <cellStyle name="Millares 2 2 7" xfId="392" xr:uid="{F24FE5D8-2B7D-4E79-A291-B1BF63291964}"/>
    <cellStyle name="Millares 2 3" xfId="21" xr:uid="{00000000-0005-0000-0000-00000E000000}"/>
    <cellStyle name="Millares 2 3 2" xfId="135" xr:uid="{FAC87688-6DB9-42BB-A806-2A21C53361EE}"/>
    <cellStyle name="Millares 2 3 3" xfId="153" xr:uid="{61DC057C-613B-4895-B9DB-0BF770B4FAE6}"/>
    <cellStyle name="Millares 2 4" xfId="39" xr:uid="{7C2311A7-E994-4AFA-A8B1-12A5587CDCB6}"/>
    <cellStyle name="Millares 2 4 2" xfId="162" xr:uid="{BB3FF605-843C-46A6-8605-C45EF9E1EA6A}"/>
    <cellStyle name="Millares 2 5" xfId="256" xr:uid="{CD7F9BD0-1B4C-4E6E-A5BE-01430B82F68C}"/>
    <cellStyle name="Millares 2 6" xfId="358" xr:uid="{DC35944D-4FFF-4A1B-936F-1D47BEF2FD7A}"/>
    <cellStyle name="Millares 2 7" xfId="328" xr:uid="{34535195-A8E4-4B99-8FCE-AA988E795845}"/>
    <cellStyle name="Millares 20" xfId="211" xr:uid="{64E73DF6-7195-41D8-82E0-429DF2A047E5}"/>
    <cellStyle name="Millares 21" xfId="210" xr:uid="{3969EC28-82FB-46BE-B153-5C865C742DF5}"/>
    <cellStyle name="Millares 212" xfId="26" xr:uid="{615182EF-760E-44E7-BF56-CE63C898FD3B}"/>
    <cellStyle name="Millares 212 2" xfId="184" xr:uid="{F97F4958-02BF-4981-9A98-23361BAB6732}"/>
    <cellStyle name="Millares 22" xfId="321" xr:uid="{D33538EF-7DCA-48C0-A46D-023804057636}"/>
    <cellStyle name="Millares 23" xfId="380" xr:uid="{992A9D7D-0081-4642-8A46-0C2F7DB737C1}"/>
    <cellStyle name="Millares 3" xfId="18" xr:uid="{00000000-0005-0000-0000-00000F000000}"/>
    <cellStyle name="Millares 3 11" xfId="46" xr:uid="{34C50FBB-805C-4401-A526-AD0D768AD3E7}"/>
    <cellStyle name="Millares 3 11 2" xfId="137" xr:uid="{DE309619-3C15-4CA3-9FF2-013588CEB3AF}"/>
    <cellStyle name="Millares 3 11 2 2" xfId="185" xr:uid="{3D4FED35-0A1E-4B82-854A-0E0895A66CF7}"/>
    <cellStyle name="Millares 3 2" xfId="129" xr:uid="{55380F1F-A0A2-4C9E-8904-ECB980DFD6AB}"/>
    <cellStyle name="Millares 3 2 2" xfId="163" xr:uid="{CF86FCEA-E978-49C9-BF0F-EDD1A9CAC465}"/>
    <cellStyle name="Millares 3 3" xfId="193" xr:uid="{1E43F380-6BCF-4492-BB85-DF4FCA973065}"/>
    <cellStyle name="Millares 3 4" xfId="146" xr:uid="{E5E97886-3D2C-4A71-BD2F-566414E2760F}"/>
    <cellStyle name="Millares 3 5" xfId="335" xr:uid="{1B2FD5B1-0718-472C-A420-627EB8CCBE1D}"/>
    <cellStyle name="Millares 3 6" xfId="394" xr:uid="{5C0DD1A8-643B-480C-B7CD-D7D5856351D4}"/>
    <cellStyle name="Millares 4" xfId="11" xr:uid="{00000000-0005-0000-0000-000010000000}"/>
    <cellStyle name="Millares 4 2" xfId="23" xr:uid="{00000000-0005-0000-0000-000011000000}"/>
    <cellStyle name="Millares 4 2 2" xfId="140" xr:uid="{7AB4EF10-1CD7-4A18-A3AF-8837C515F662}"/>
    <cellStyle name="Millares 4 2 3" xfId="164" xr:uid="{C6F04BF8-B618-45D4-A309-C0B82E93FE3D}"/>
    <cellStyle name="Millares 4 3" xfId="130" xr:uid="{EDFF0316-A3C6-47CC-A0C2-2E255B74295F}"/>
    <cellStyle name="Millares 4 3 2" xfId="198" xr:uid="{74383B4C-2FFD-45FD-817F-8798AC50DB9F}"/>
    <cellStyle name="Millares 4 4" xfId="315" xr:uid="{7920CE8F-8959-4CAE-B806-7F5F7DDC97F0}"/>
    <cellStyle name="Millares 5" xfId="22" xr:uid="{00000000-0005-0000-0000-000012000000}"/>
    <cellStyle name="Millares 5 2" xfId="199" xr:uid="{7A51F413-CB55-46DD-AE17-915489420150}"/>
    <cellStyle name="Millares 5 3" xfId="165" xr:uid="{85E975FC-A416-4103-8CFB-FB3E4AE0C843}"/>
    <cellStyle name="Millares 6" xfId="29" xr:uid="{2CEFC9A5-57B0-4736-98D8-8DCC435E47E8}"/>
    <cellStyle name="Millares 6 2" xfId="167" xr:uid="{822F0CF2-3917-4D59-BE7A-1B85BD883699}"/>
    <cellStyle name="Millares 654 2 2" xfId="47" xr:uid="{2138C811-EADA-4CFA-A80D-1E86C90995DF}"/>
    <cellStyle name="Millares 656" xfId="48" xr:uid="{F5A21BF2-B83C-4CAD-8A1B-EE04B2E8773B}"/>
    <cellStyle name="Millares 656 2" xfId="138" xr:uid="{D9311B0E-B5B8-49E8-8734-95012D9F8582}"/>
    <cellStyle name="Millares 656 2 2" xfId="186" xr:uid="{E6044C9B-6B63-47DE-8E62-43635ED77F5D}"/>
    <cellStyle name="Millares 657" xfId="49" xr:uid="{419BFCB0-6ECB-4817-8719-FFB222CDA192}"/>
    <cellStyle name="Millares 657 2" xfId="139" xr:uid="{5DA13C1E-4E68-4AC6-BE16-C7B4FE174F06}"/>
    <cellStyle name="Millares 657 2 2" xfId="187" xr:uid="{5871E05B-F7F0-4D84-A66C-B6E2C32B9258}"/>
    <cellStyle name="Millares 7" xfId="38" xr:uid="{47C11227-EF1D-47F9-87AF-DD71F21E624C}"/>
    <cellStyle name="Millares 7 2" xfId="161" xr:uid="{328C895C-12A8-4B6C-A3B9-A762196C1198}"/>
    <cellStyle name="Millares 7 3" xfId="141" xr:uid="{869AED57-AC50-4927-BE80-C2383D5EC14C}"/>
    <cellStyle name="Millares 8" xfId="43" xr:uid="{D20EB7F1-8218-4E6D-960A-C9147CF64ADA}"/>
    <cellStyle name="Millares 8 2" xfId="155" xr:uid="{A4E817E6-6CC9-48AC-BE23-C80A16FB1CA8}"/>
    <cellStyle name="Millares 9" xfId="44" xr:uid="{43E00961-AA62-4F16-9A0D-8CDDD47EBC27}"/>
    <cellStyle name="Millares 9 2" xfId="160" xr:uid="{2772C714-C96C-4C8D-8E65-294DA19B4285}"/>
    <cellStyle name="Millares 9 3" xfId="361" xr:uid="{83101428-4974-4427-89FC-2DA9E3B97DFE}"/>
    <cellStyle name="Moneda" xfId="12" builtinId="4"/>
    <cellStyle name="Neutral 2" xfId="336" xr:uid="{E397AB69-3BE1-4914-8274-7990253728D4}"/>
    <cellStyle name="Neutral 3" xfId="316" xr:uid="{0599F313-1618-4BEC-A641-FDB320A5CA99}"/>
    <cellStyle name="Neutral 4" xfId="222" xr:uid="{47464ACB-7358-4DA2-8040-0BEF3BF37B2D}"/>
    <cellStyle name="No-definido" xfId="212" xr:uid="{A6698CFF-4E77-4221-9445-65B7DC4CEDDF}"/>
    <cellStyle name="Normal" xfId="0" builtinId="0"/>
    <cellStyle name="Normal 10" xfId="340" xr:uid="{F5FFC66B-2688-4404-AAFB-ACF23B4929D3}"/>
    <cellStyle name="Normal 10 10 2 2 2" xfId="50" xr:uid="{1E9CE6F8-6916-4001-8B0F-845B35ED0745}"/>
    <cellStyle name="Normal 1016" xfId="51" xr:uid="{00AA5199-F5EC-47BF-88BD-17CF72802503}"/>
    <cellStyle name="Normal 1018" xfId="52" xr:uid="{95DE7D43-EC6F-435F-8CC1-3D018C3DCA18}"/>
    <cellStyle name="Normal 1022" xfId="53" xr:uid="{3B98BAC3-AD4E-4F00-AC48-874CC0CDD4C7}"/>
    <cellStyle name="Normal 1024" xfId="54" xr:uid="{6C7B9358-4B83-480C-B283-F560CCAD7A8A}"/>
    <cellStyle name="Normal 1025" xfId="55" xr:uid="{7029D677-3A4E-409B-A532-385EC7021A4A}"/>
    <cellStyle name="Normal 1026" xfId="56" xr:uid="{28E72724-A270-4C9F-ADEC-3666F9C5B06A}"/>
    <cellStyle name="Normal 1027" xfId="57" xr:uid="{EAD4B56B-C591-4324-BE2A-08E6CA2ED479}"/>
    <cellStyle name="Normal 105" xfId="58" xr:uid="{3AA0BE99-861C-4888-837C-01C4B22C80A4}"/>
    <cellStyle name="Normal 107" xfId="59" xr:uid="{2F66D5C8-EA96-401C-B603-D94E096BAA7F}"/>
    <cellStyle name="Normal 109" xfId="60" xr:uid="{2345480F-2634-4113-860A-71CA6C96138A}"/>
    <cellStyle name="Normal 11" xfId="31" xr:uid="{BF8AAF8F-A45B-4E07-BB48-2CCC3D568028}"/>
    <cellStyle name="Normal 11 2" xfId="188" xr:uid="{24897711-93DB-414A-8C7A-462D59AACDA8}"/>
    <cellStyle name="Normal 11 2 2" xfId="398" xr:uid="{872DFA2B-05C9-410B-8E56-5790564EA9EE}"/>
    <cellStyle name="Normal 11 3" xfId="360" xr:uid="{A719C7C6-1487-4FA1-8B67-758892FA9FEE}"/>
    <cellStyle name="Normal 12" xfId="213" xr:uid="{5F37513C-B12E-41E8-9202-D479EA07EF66}"/>
    <cellStyle name="Normal 12 10" xfId="61" xr:uid="{582EDF37-5971-49B1-9210-8AD31A99641F}"/>
    <cellStyle name="Normal 12 2 10" xfId="62" xr:uid="{DBA3736D-E677-49F7-8A87-0330E6B7C2C5}"/>
    <cellStyle name="Normal 12 2 2 4" xfId="63" xr:uid="{3E05485B-65B6-42F3-AFEB-E6ED8358D6A6}"/>
    <cellStyle name="Normal 125" xfId="64" xr:uid="{415E3471-4BFC-44F6-9548-6AC6C78D11A6}"/>
    <cellStyle name="Normal 126" xfId="65" xr:uid="{C8D655B9-88C9-4D74-8CEC-C472E58F9ACA}"/>
    <cellStyle name="Normal 15 2" xfId="126" xr:uid="{283BB6E4-16DD-487D-B2E2-724FF96505CC}"/>
    <cellStyle name="Normal 17 2" xfId="395" xr:uid="{5CE817E0-1C1C-448A-BB39-31D536E23412}"/>
    <cellStyle name="Normal 199 2 2" xfId="66" xr:uid="{B50B7482-5E76-41BC-B098-1F811E23A8C5}"/>
    <cellStyle name="Normal 2" xfId="13" xr:uid="{00000000-0005-0000-0000-000015000000}"/>
    <cellStyle name="Normal 2 10" xfId="363" xr:uid="{0F33F6EC-7EE4-4CF7-8EA7-12B04AD0FFCE}"/>
    <cellStyle name="Normal 2 10 2 2 2" xfId="68" xr:uid="{22E1572E-71C4-43A0-8A6E-AD2EABEDF8F8}"/>
    <cellStyle name="Normal 2 11" xfId="364" xr:uid="{1697FF7C-00E4-4EDE-ADCB-5AB4E092D048}"/>
    <cellStyle name="Normal 2 12" xfId="365" xr:uid="{6460A00F-283A-43D9-8E4C-E2496939F87C}"/>
    <cellStyle name="Normal 2 13" xfId="366" xr:uid="{53DF0920-B214-4728-B5FD-26A4A82E4C44}"/>
    <cellStyle name="Normal 2 14" xfId="367" xr:uid="{675208B3-6C7C-4216-AD36-A61FA6506EFB}"/>
    <cellStyle name="Normal 2 15" xfId="368" xr:uid="{4577811A-26CB-4AE1-A702-4B50A7B587E9}"/>
    <cellStyle name="Normal 2 16" xfId="369" xr:uid="{E054578C-D624-4249-8095-40F1985FC2C9}"/>
    <cellStyle name="Normal 2 17" xfId="370" xr:uid="{C0D1D837-5E5E-4893-A486-9E16851FD2D4}"/>
    <cellStyle name="Normal 2 18" xfId="371" xr:uid="{5D8B3B42-AD03-4312-A34E-8E8475106B24}"/>
    <cellStyle name="Normal 2 19" xfId="372" xr:uid="{F3FDDF3D-3D4D-4A05-A4F3-12229917A687}"/>
    <cellStyle name="Normal 2 2" xfId="33" xr:uid="{622D64EA-88D4-4E5A-A03B-75FC2B4518E5}"/>
    <cellStyle name="Normal 2 2 2" xfId="125" xr:uid="{8642CE87-3B20-46C3-9E62-DCE2CD41D6FF}"/>
    <cellStyle name="Normal 2 2 2 3" xfId="69" xr:uid="{982763A7-D25D-4952-B602-EDF674F2E56F}"/>
    <cellStyle name="Normal 2 2 3" xfId="150" xr:uid="{55DDFFA1-4BBC-4494-8234-D2CE30573F7E}"/>
    <cellStyle name="Normal 2 20" xfId="373" xr:uid="{9F98D9B9-7868-44C5-8746-C01E0E863917}"/>
    <cellStyle name="Normal 2 21" xfId="374" xr:uid="{AFCD209A-E722-44A7-8080-66E6832A6700}"/>
    <cellStyle name="Normal 2 22" xfId="375" xr:uid="{6034045E-7936-402F-B4EF-2AE3ABC34122}"/>
    <cellStyle name="Normal 2 23" xfId="376" xr:uid="{74305836-7E68-4CD2-A6BF-5E9A010F47FA}"/>
    <cellStyle name="Normal 2 24" xfId="377" xr:uid="{D5C2E888-4456-431D-8EB8-7B74CCBDB0BE}"/>
    <cellStyle name="Normal 2 25" xfId="378" xr:uid="{CD26C6F1-9201-43A4-AA91-52D390D4E6E9}"/>
    <cellStyle name="Normal 2 26" xfId="379" xr:uid="{3863A409-3379-492C-9239-688444206A06}"/>
    <cellStyle name="Normal 2 27" xfId="362" xr:uid="{7133E8B6-B1C5-4022-8BDF-6262D56F873F}"/>
    <cellStyle name="Normal 2 3" xfId="131" xr:uid="{86C7D698-FAC7-45B8-8D79-E6242CF1E174}"/>
    <cellStyle name="Normal 2 3 2" xfId="202" xr:uid="{CAD413FE-4594-4561-B8C9-C7A44C4D0B27}"/>
    <cellStyle name="Normal 2 3 3" xfId="201" xr:uid="{DCD0FE96-60DB-4A7F-ADAB-0240F7961BDE}"/>
    <cellStyle name="Normal 2 4" xfId="67" xr:uid="{A225D8CF-2E5F-487E-A8E5-10DEAF157FF2}"/>
    <cellStyle name="Normal 2 4 2" xfId="200" xr:uid="{3050BCC7-3256-4EFA-8B1F-F0374A8B0E80}"/>
    <cellStyle name="Normal 2 4 3" xfId="381" xr:uid="{07F036CE-34F2-4F2D-A24A-B772734C71E2}"/>
    <cellStyle name="Normal 2 5" xfId="25" xr:uid="{DCA67E53-051F-48C4-B025-08871244FC98}"/>
    <cellStyle name="Normal 2 5 2" xfId="382" xr:uid="{50CD1F57-708D-45B2-9F6A-EADCC21FF232}"/>
    <cellStyle name="Normal 2 6" xfId="255" xr:uid="{9E5258A5-5C3B-4B82-9777-535ABE4C6EA8}"/>
    <cellStyle name="Normal 2 6 2" xfId="383" xr:uid="{EA162C37-AA75-4DF1-8ADE-A620C4A78A25}"/>
    <cellStyle name="Normal 2 7" xfId="384" xr:uid="{C6FD57BB-3FB7-4A81-A824-EE2FEA24272F}"/>
    <cellStyle name="Normal 2 8" xfId="385" xr:uid="{A054E5C9-2EBB-4DDC-84D2-8CAF17BC9D39}"/>
    <cellStyle name="Normal 2 9" xfId="386" xr:uid="{E8B13D5F-5525-4B84-98C5-9CCED541F37C}"/>
    <cellStyle name="Normal 3" xfId="34" xr:uid="{9E421F3F-F88F-40DD-87F3-580598CAA835}"/>
    <cellStyle name="Normal 3 2" xfId="128" xr:uid="{0C96D3B3-38FC-45ED-B34F-4DE9A9CFD0F2}"/>
    <cellStyle name="Normal 3 2 2" xfId="173" xr:uid="{540B3E1E-F466-4462-8146-D99926D4454E}"/>
    <cellStyle name="Normal 3 2 3" xfId="166" xr:uid="{320ABC36-8385-4A16-898B-2232DBA5DE82}"/>
    <cellStyle name="Normal 3 3" xfId="190" xr:uid="{BB905C72-388F-4607-85E2-CBD70848735F}"/>
    <cellStyle name="Normal 3 4" xfId="157" xr:uid="{B9DB819F-03E8-409D-9A06-7BBF7899E000}"/>
    <cellStyle name="Normal 3 5" xfId="318" xr:uid="{BBB7F8DD-57EB-4C79-A4BB-D51DC3752413}"/>
    <cellStyle name="Normal 3 6" xfId="387" xr:uid="{891A579F-3584-497D-9969-455817C6FB29}"/>
    <cellStyle name="Normal 3 7" xfId="390" xr:uid="{408583B3-97FF-4F17-85CE-EF4FF59714AD}"/>
    <cellStyle name="Normal 34 2 2" xfId="388" xr:uid="{3157BFF7-422F-4E20-B4D7-804B67A1117C}"/>
    <cellStyle name="Normal 4" xfId="14" xr:uid="{00000000-0005-0000-0000-000016000000}"/>
    <cellStyle name="Normal 4 2" xfId="147" xr:uid="{827EB7B2-AAB7-42F9-BB67-7717A6192288}"/>
    <cellStyle name="Normal 4 2 2" xfId="320" xr:uid="{AEC2E333-DDB0-43E0-AC0B-6D4282924C43}"/>
    <cellStyle name="Normal 4 3" xfId="203" xr:uid="{875AB9BD-3577-49AD-815A-9E92A7ED66A7}"/>
    <cellStyle name="Normal 4 4" xfId="143" xr:uid="{DE8F170E-C0A6-4175-982A-604B09120655}"/>
    <cellStyle name="Normal 4 5" xfId="319" xr:uid="{089779FE-A7C0-47DA-900F-C545E5D2C7D2}"/>
    <cellStyle name="Normal 5" xfId="35" xr:uid="{F42A5F92-247E-4258-92BB-2251ABD5D3DB}"/>
    <cellStyle name="Normal 5 2" xfId="204" xr:uid="{BD39D1EF-6F8B-442E-8BE9-BE8291CBC031}"/>
    <cellStyle name="Normal 5 3" xfId="156" xr:uid="{E43DA0E5-E893-4D96-8552-2795D8C2463C}"/>
    <cellStyle name="Normal 5 4" xfId="389" xr:uid="{7B93E84E-8FF3-4985-AC6A-4B13F8F32CD4}"/>
    <cellStyle name="Normal 6" xfId="144" xr:uid="{BE51A925-3ACE-4556-8CAB-942580A7FD78}"/>
    <cellStyle name="Normal 6 2" xfId="174" xr:uid="{FF4FAA75-E11C-40C1-BC43-C9A08A3DC6A3}"/>
    <cellStyle name="Normal 6 3" xfId="334" xr:uid="{7617EFDF-75FB-4AB7-8269-77AF3E0D0CBD}"/>
    <cellStyle name="Normal 601" xfId="70" xr:uid="{021D45CA-88AA-407D-BA8B-4A97104BBECD}"/>
    <cellStyle name="Normal 605" xfId="71" xr:uid="{00B0FA4C-EDAF-4C2B-AAE2-8B46C3776F43}"/>
    <cellStyle name="Normal 606" xfId="72" xr:uid="{309A3245-8DB8-4790-96C9-3B0DFAA9F765}"/>
    <cellStyle name="Normal 636" xfId="73" xr:uid="{8443731F-5864-49C4-9662-97ABA01ACB75}"/>
    <cellStyle name="Normal 640" xfId="74" xr:uid="{F54791E6-08AE-4D18-9ECB-13ADE80068A6}"/>
    <cellStyle name="Normal 643" xfId="75" xr:uid="{079E0693-3397-4B93-B79C-EF1F3CCE98F8}"/>
    <cellStyle name="Normal 646" xfId="76" xr:uid="{CD01C0F8-E05E-4D84-BBFB-8AFD682DE955}"/>
    <cellStyle name="Normal 647" xfId="77" xr:uid="{B5452CEC-F9A6-4D76-A90E-02167F167FBF}"/>
    <cellStyle name="Normal 649" xfId="78" xr:uid="{5056FC60-2AEF-413E-9DC9-43C298FFE87E}"/>
    <cellStyle name="Normal 650" xfId="79" xr:uid="{14E18A26-9550-4DDD-8120-571F619CBFDB}"/>
    <cellStyle name="Normal 651" xfId="80" xr:uid="{58C5B104-66E0-469E-B650-69DF64FB6882}"/>
    <cellStyle name="Normal 652" xfId="81" xr:uid="{A18425EF-AFBF-475B-8BE9-0183DFE441ED}"/>
    <cellStyle name="Normal 653" xfId="82" xr:uid="{FAB01295-60DC-434F-818F-0772BB3855D5}"/>
    <cellStyle name="Normal 654" xfId="83" xr:uid="{BDA3A96F-91AE-46F5-985B-861D65B377C9}"/>
    <cellStyle name="Normal 655" xfId="84" xr:uid="{32D92522-5EBB-445C-937A-4D08DC823B08}"/>
    <cellStyle name="Normal 656" xfId="85" xr:uid="{FB12DD64-3E38-46A8-BD1F-A9843F082AEC}"/>
    <cellStyle name="Normal 657" xfId="86" xr:uid="{B87537CC-7501-422E-8186-E883183BF2A8}"/>
    <cellStyle name="Normal 658" xfId="87" xr:uid="{870FB286-D57E-41D7-BB82-F872CB03C3EF}"/>
    <cellStyle name="Normal 659" xfId="88" xr:uid="{8508FF04-8C41-48CF-8C17-EEA18D63B152}"/>
    <cellStyle name="Normal 660" xfId="89" xr:uid="{DC40EFAE-A6C2-4B2F-A96B-EB9C5660974B}"/>
    <cellStyle name="Normal 662" xfId="90" xr:uid="{BA8F683C-347C-49A7-A557-190646BEF05D}"/>
    <cellStyle name="Normal 663" xfId="91" xr:uid="{1ACC5952-6234-4747-B63F-1BA6737D1801}"/>
    <cellStyle name="Normal 664" xfId="92" xr:uid="{92DC7E4A-041B-4B60-BBFC-73ECC21A0205}"/>
    <cellStyle name="Normal 665" xfId="93" xr:uid="{25F8EE08-044C-4CEB-B083-D873FDDDA12C}"/>
    <cellStyle name="Normal 667" xfId="94" xr:uid="{7BD34CD5-315E-4E58-8C8A-56CAFD21D119}"/>
    <cellStyle name="Normal 673" xfId="95" xr:uid="{0B53358E-D117-4630-B2A5-1E70D75D3DA1}"/>
    <cellStyle name="Normal 674" xfId="96" xr:uid="{8176CEF8-2AA4-4DFF-921E-64F05848F9E4}"/>
    <cellStyle name="Normal 675" xfId="97" xr:uid="{32F050EC-0B79-4D9A-9889-5C61436C75D8}"/>
    <cellStyle name="Normal 676" xfId="98" xr:uid="{820CE1C5-9732-4CA5-AF90-156AEF3B522F}"/>
    <cellStyle name="Normal 677" xfId="99" xr:uid="{69F9AE07-ED36-43A8-95BF-3D2EA6A47281}"/>
    <cellStyle name="Normal 678" xfId="100" xr:uid="{C515D9EC-9044-4876-B8A8-936D73A5D2B6}"/>
    <cellStyle name="Normal 679" xfId="101" xr:uid="{2EE9B30D-0E2D-4661-BBEC-CBD4A31B50EA}"/>
    <cellStyle name="Normal 684" xfId="102" xr:uid="{8D390FAE-2FBA-41CA-B2FB-0FA0EB85DECA}"/>
    <cellStyle name="Normal 7" xfId="272" xr:uid="{B2DEC796-F14F-4CB2-ADBF-A2E87FD9B69C}"/>
    <cellStyle name="Normal 713" xfId="103" xr:uid="{ED84CF97-9DDB-43B4-A708-CE35857EF04E}"/>
    <cellStyle name="Normal 714" xfId="104" xr:uid="{3C4D732D-B7DC-4278-A58F-1661B6D3DA46}"/>
    <cellStyle name="Normal 715" xfId="105" xr:uid="{ED877A8B-B3E1-43F4-9F52-30A779CE8C0B}"/>
    <cellStyle name="Normal 744" xfId="106" xr:uid="{8475769F-F010-4A1C-94D9-97FE9DAA50A1}"/>
    <cellStyle name="Normal 8" xfId="258" xr:uid="{72DFDD59-4F6B-4414-A357-A707445A1B23}"/>
    <cellStyle name="Normal 802" xfId="107" xr:uid="{26EC1C9D-3E9F-4730-B493-78A97A07056B}"/>
    <cellStyle name="Normal 9" xfId="339" xr:uid="{20106C0A-29F9-4CB6-A2B2-17BF3931775D}"/>
    <cellStyle name="Normal 944" xfId="108" xr:uid="{97B85111-D373-445E-9E66-5D6DE0308D82}"/>
    <cellStyle name="Normal 947" xfId="109" xr:uid="{5EC43A15-53B8-46E2-A31F-0346AE785014}"/>
    <cellStyle name="Normal 952" xfId="110" xr:uid="{4879821A-3009-439C-980F-E1C17F9B334D}"/>
    <cellStyle name="Normal 957" xfId="111" xr:uid="{ADA3AD5D-BA40-40E7-B3A4-7AF3A0093244}"/>
    <cellStyle name="Normal 958" xfId="112" xr:uid="{E0D95C8F-0433-4806-9283-7E2F8F2A8740}"/>
    <cellStyle name="Normal 959" xfId="113" xr:uid="{E381B703-61E5-4DD9-8331-A13B5F5D06DE}"/>
    <cellStyle name="Normal 960" xfId="114" xr:uid="{022F26AA-678C-47E9-8E1F-D7EEBD1B9D19}"/>
    <cellStyle name="Normal 961" xfId="115" xr:uid="{8A95375C-371E-49B9-A67A-9CC5A63FDF36}"/>
    <cellStyle name="Normal 962" xfId="116" xr:uid="{D692E389-8948-4533-A5D4-B92B139622F3}"/>
    <cellStyle name="Normal 963" xfId="117" xr:uid="{4DB7BEA6-23D3-4DEB-B26F-9C0F405EBA5C}"/>
    <cellStyle name="Normal 964" xfId="118" xr:uid="{26A33E47-8D89-4161-9DEF-5302B55AE2C4}"/>
    <cellStyle name="Normal 965" xfId="119" xr:uid="{62522B45-AE95-4947-A492-F41CFBFFF56D}"/>
    <cellStyle name="Normal 966" xfId="120" xr:uid="{ACFB2BB1-A62B-4327-81B9-8C6F4F54771A}"/>
    <cellStyle name="Normal 967" xfId="121" xr:uid="{1CC67231-A5BF-4E3D-BB09-14CA84613CEA}"/>
    <cellStyle name="Normal 971" xfId="122" xr:uid="{6B7FB543-A157-42FF-8EC7-EAA0D03F704D}"/>
    <cellStyle name="Normal 986" xfId="123" xr:uid="{E5B623E3-845A-4E5E-9EFA-E9AE608CCF47}"/>
    <cellStyle name="Notas 2" xfId="257" xr:uid="{D863A07F-862C-41AC-9149-F337DBBA8454}"/>
    <cellStyle name="Notas 2 2" xfId="337" xr:uid="{1D87984F-3193-4BF4-A141-850BDC2A33C6}"/>
    <cellStyle name="Notas 3" xfId="259" xr:uid="{62EAB04E-D964-4E1A-A2B0-59F57C78D8B5}"/>
    <cellStyle name="Notas 4" xfId="341" xr:uid="{C5756E2D-8D65-4F73-9D84-06CE68AE8EFD}"/>
    <cellStyle name="Note" xfId="322" xr:uid="{154EC26A-3E10-4D55-987B-3DB85DEEE878}"/>
    <cellStyle name="Output" xfId="323" xr:uid="{FBD7775E-3EE1-436C-A152-714B72A6C207}"/>
    <cellStyle name="Percent (0)" xfId="324" xr:uid="{2D5EDC2B-3641-47A3-871B-B44F9FB82ECC}"/>
    <cellStyle name="Percent 2" xfId="36" xr:uid="{51ABDEBF-E5A2-4295-937F-ACE84946B60D}"/>
    <cellStyle name="Percent 2 2" xfId="325" xr:uid="{1E34705B-60D8-4195-977E-605EC744E51D}"/>
    <cellStyle name="Percent 3" xfId="326" xr:uid="{E674A19E-69D4-4598-983F-DA088B15452F}"/>
    <cellStyle name="Percent 4" xfId="327" xr:uid="{5751FA92-0E66-4825-916C-940620FE7749}"/>
    <cellStyle name="Porcentaje 2" xfId="15" xr:uid="{00000000-0005-0000-0000-000017000000}"/>
    <cellStyle name="Porcentaje 2 2" xfId="148" xr:uid="{B93BE39B-0E72-4EB8-909A-1AC2660CE075}"/>
    <cellStyle name="Porcentaje 2 3" xfId="391" xr:uid="{1B719F1B-C354-4E30-9C16-10D8AB998E43}"/>
    <cellStyle name="Porcentaje 3" xfId="16" xr:uid="{00000000-0005-0000-0000-000018000000}"/>
    <cellStyle name="Porcentaje 3 2" xfId="205" xr:uid="{DD5977EC-69B0-4BFD-82B7-E5FFA0AAA759}"/>
    <cellStyle name="Porcentaje 3 3" xfId="142" xr:uid="{176DD144-3A44-4010-8463-EA22D32CF093}"/>
    <cellStyle name="Porcentaje 4" xfId="214" xr:uid="{6F5689F6-5A9A-4FA6-AE64-8C3E452C5DFF}"/>
    <cellStyle name="Porcentual 2" xfId="191" xr:uid="{82990359-31CC-4670-B903-352F472A1D86}"/>
    <cellStyle name="Porcentual 2 2" xfId="206" xr:uid="{F4353C54-2584-420D-A566-1BABB80E0CD0}"/>
    <cellStyle name="Porcentual 2 3" xfId="207" xr:uid="{4E397E65-BB1B-43D8-AA11-85BC725991E5}"/>
    <cellStyle name="Porcentual 2 4" xfId="208" xr:uid="{73A1B40F-B83C-49D8-A3D4-16DCCDB53447}"/>
    <cellStyle name="Porcentual 3" xfId="189" xr:uid="{E13EA904-1D1E-444C-8502-4DEC634CFCD8}"/>
    <cellStyle name="Porcentual 3 2" xfId="209" xr:uid="{9A03B7E2-C8F9-49B2-B288-EDC19C195CB8}"/>
    <cellStyle name="Salida 2" xfId="224" xr:uid="{D1E437F5-40E4-4696-81CA-0AA4D20FD925}"/>
    <cellStyle name="Texto de advertencia 2" xfId="228" xr:uid="{EB92B875-C5B3-4A7C-A7B9-202DFF794A3F}"/>
    <cellStyle name="Texto explicativo 2" xfId="127" xr:uid="{A3F294A0-8DBA-4F05-BB38-648CC8336AD2}"/>
    <cellStyle name="Texto explicativo 3" xfId="229" xr:uid="{9B7B56ED-3E6A-42E5-8EBF-80E348594C19}"/>
    <cellStyle name="Tickmark" xfId="329" xr:uid="{23F1374F-F27D-437F-8C15-DF7FC84D4828}"/>
    <cellStyle name="Title" xfId="330" xr:uid="{316AD972-5137-4570-BC34-43E1C4017369}"/>
    <cellStyle name="Título 2 2" xfId="217" xr:uid="{6D499CF0-4642-436C-8ACB-0E409AE373F7}"/>
    <cellStyle name="Título 3 2" xfId="218" xr:uid="{A6B95680-6DF7-489A-B011-612C8FDD14F6}"/>
    <cellStyle name="Título 4" xfId="215" xr:uid="{7D87B9DD-BDC7-4FE6-83B8-ED389816B171}"/>
    <cellStyle name="Total 2" xfId="338" xr:uid="{3762D23C-90E8-4803-8E35-F38066209AAD}"/>
    <cellStyle name="Total 3" xfId="331" xr:uid="{8DF3E9D5-4504-4C46-A54B-CF45FDBC0B4A}"/>
    <cellStyle name="Total 4" xfId="230" xr:uid="{0D76374B-2013-4ADC-A46D-CE66FE24BFB6}"/>
    <cellStyle name="Warning Text" xfId="332" xr:uid="{D64DDD4B-3101-413D-9591-BCA2090E2E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198439</xdr:colOff>
      <xdr:row>0</xdr:row>
      <xdr:rowOff>71439</xdr:rowOff>
    </xdr:from>
    <xdr:to>
      <xdr:col>2</xdr:col>
      <xdr:colOff>63501</xdr:colOff>
      <xdr:row>4</xdr:row>
      <xdr:rowOff>86558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38FE7E-D6E5-4E29-8C52-E367010311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98439" y="71439"/>
          <a:ext cx="1658937" cy="6818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73786</xdr:colOff>
      <xdr:row>0</xdr:row>
      <xdr:rowOff>93907</xdr:rowOff>
    </xdr:from>
    <xdr:to>
      <xdr:col>1</xdr:col>
      <xdr:colOff>1562905</xdr:colOff>
      <xdr:row>3</xdr:row>
      <xdr:rowOff>95571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B4B3E5-D13A-4E69-A723-A93135B110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375635" y="93907"/>
          <a:ext cx="1489119" cy="61206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244231</xdr:colOff>
      <xdr:row>0</xdr:row>
      <xdr:rowOff>32565</xdr:rowOff>
    </xdr:from>
    <xdr:to>
      <xdr:col>1</xdr:col>
      <xdr:colOff>1553104</xdr:colOff>
      <xdr:row>2</xdr:row>
      <xdr:rowOff>168985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AF6FDE-9683-4ACE-BE5E-B2E81B79F4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244231" y="32565"/>
          <a:ext cx="1658937" cy="68186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142875</xdr:rowOff>
    </xdr:from>
    <xdr:to>
      <xdr:col>2</xdr:col>
      <xdr:colOff>211137</xdr:colOff>
      <xdr:row>5</xdr:row>
      <xdr:rowOff>62744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8FE13E-CF0B-4A03-B09D-E36C6EE47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247650" y="142875"/>
          <a:ext cx="1658937" cy="68186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348302</xdr:colOff>
      <xdr:row>0</xdr:row>
      <xdr:rowOff>71083</xdr:rowOff>
    </xdr:from>
    <xdr:to>
      <xdr:col>1</xdr:col>
      <xdr:colOff>1378993</xdr:colOff>
      <xdr:row>1</xdr:row>
      <xdr:rowOff>141097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E12ECD-1972-4FA6-90E0-F917D013AF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348302" y="71083"/>
          <a:ext cx="1450075" cy="5960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142875</xdr:rowOff>
    </xdr:from>
    <xdr:to>
      <xdr:col>1</xdr:col>
      <xdr:colOff>1630362</xdr:colOff>
      <xdr:row>3</xdr:row>
      <xdr:rowOff>100844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218E1E-08A1-4AEE-A160-64B0D54FC7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428625" y="142875"/>
          <a:ext cx="1658937" cy="6818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1</xdr:col>
      <xdr:colOff>1152525</xdr:colOff>
      <xdr:row>2</xdr:row>
      <xdr:rowOff>621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BD6CEA-D4E4-4554-BCA3-8F84DDAD16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266700" y="95250"/>
          <a:ext cx="1438275" cy="5911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274321</xdr:colOff>
      <xdr:row>0</xdr:row>
      <xdr:rowOff>106680</xdr:rowOff>
    </xdr:from>
    <xdr:to>
      <xdr:col>1</xdr:col>
      <xdr:colOff>1280161</xdr:colOff>
      <xdr:row>3</xdr:row>
      <xdr:rowOff>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F24C75-5115-4F82-8148-6AD58082A7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274321" y="106680"/>
          <a:ext cx="1318260" cy="54184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187098</xdr:colOff>
      <xdr:row>0</xdr:row>
      <xdr:rowOff>34018</xdr:rowOff>
    </xdr:from>
    <xdr:to>
      <xdr:col>1</xdr:col>
      <xdr:colOff>1362165</xdr:colOff>
      <xdr:row>1</xdr:row>
      <xdr:rowOff>178593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A7416C-5CDA-4C34-8DEE-F6310BA017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87098" y="34018"/>
          <a:ext cx="1489732" cy="6123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1</xdr:col>
      <xdr:colOff>1437957</xdr:colOff>
      <xdr:row>1</xdr:row>
      <xdr:rowOff>49409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B39871-F05A-4252-B199-187F86CC22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91440" y="0"/>
          <a:ext cx="1658937" cy="68186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206675</xdr:colOff>
      <xdr:row>0</xdr:row>
      <xdr:rowOff>125802</xdr:rowOff>
    </xdr:from>
    <xdr:to>
      <xdr:col>1</xdr:col>
      <xdr:colOff>1551107</xdr:colOff>
      <xdr:row>2</xdr:row>
      <xdr:rowOff>106775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4A16ED-A776-4634-80A9-BF9045ADC1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206675" y="125802"/>
          <a:ext cx="1658937" cy="681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186639</xdr:colOff>
      <xdr:row>0</xdr:row>
      <xdr:rowOff>38615</xdr:rowOff>
    </xdr:from>
    <xdr:to>
      <xdr:col>0</xdr:col>
      <xdr:colOff>1641132</xdr:colOff>
      <xdr:row>0</xdr:row>
      <xdr:rowOff>636452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0B6B63-A7EA-48BB-9D4F-EC16AF0DEC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86639" y="38615"/>
          <a:ext cx="1454493" cy="59783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247650</xdr:rowOff>
    </xdr:from>
    <xdr:to>
      <xdr:col>1</xdr:col>
      <xdr:colOff>1800573</xdr:colOff>
      <xdr:row>1</xdr:row>
      <xdr:rowOff>447675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BE2014-CED9-47D6-854D-A2366D4012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400050" y="247650"/>
          <a:ext cx="1714848" cy="704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84292</xdr:colOff>
      <xdr:row>0</xdr:row>
      <xdr:rowOff>101152</xdr:rowOff>
    </xdr:from>
    <xdr:to>
      <xdr:col>1</xdr:col>
      <xdr:colOff>1683887</xdr:colOff>
      <xdr:row>2</xdr:row>
      <xdr:rowOff>84294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060AB5-1DE4-4702-A6D2-6BE341803F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396173" y="101152"/>
          <a:ext cx="1599595" cy="65747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272142</xdr:colOff>
      <xdr:row>0</xdr:row>
      <xdr:rowOff>64034</xdr:rowOff>
    </xdr:from>
    <xdr:to>
      <xdr:col>1</xdr:col>
      <xdr:colOff>1618915</xdr:colOff>
      <xdr:row>3</xdr:row>
      <xdr:rowOff>89558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522382-209A-4CB2-A137-AB39879EBD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272142" y="64034"/>
          <a:ext cx="1658937" cy="68186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179041</xdr:colOff>
      <xdr:row>0</xdr:row>
      <xdr:rowOff>14325</xdr:rowOff>
    </xdr:from>
    <xdr:to>
      <xdr:col>1</xdr:col>
      <xdr:colOff>1332067</xdr:colOff>
      <xdr:row>3</xdr:row>
      <xdr:rowOff>123617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EF42B0-D132-4681-9D1F-73B17C67C7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79041" y="14325"/>
          <a:ext cx="1468139" cy="60344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1449387</xdr:colOff>
      <xdr:row>1</xdr:row>
      <xdr:rowOff>119894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5D9853-E521-417F-9950-9C9F0ACF49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04775" y="47625"/>
          <a:ext cx="1658937" cy="68186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140804</xdr:colOff>
      <xdr:row>0</xdr:row>
      <xdr:rowOff>74543</xdr:rowOff>
    </xdr:from>
    <xdr:to>
      <xdr:col>1</xdr:col>
      <xdr:colOff>1275522</xdr:colOff>
      <xdr:row>2</xdr:row>
      <xdr:rowOff>73962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89B0D1-872F-45FD-BA54-607BAFD67E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40804" y="74543"/>
          <a:ext cx="1449457" cy="59576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1468437</xdr:colOff>
      <xdr:row>3</xdr:row>
      <xdr:rowOff>15119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7B6CC9-F130-4A99-B16B-D562066C2F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23825" y="66675"/>
          <a:ext cx="1658937" cy="68186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1876425</xdr:colOff>
      <xdr:row>3</xdr:row>
      <xdr:rowOff>26092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3FBDF0-5998-4EA0-9290-D866CFBB6F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342900" y="104775"/>
          <a:ext cx="1847850" cy="759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169712</xdr:colOff>
      <xdr:row>0</xdr:row>
      <xdr:rowOff>67917</xdr:rowOff>
    </xdr:from>
    <xdr:to>
      <xdr:col>2</xdr:col>
      <xdr:colOff>1447649</xdr:colOff>
      <xdr:row>3</xdr:row>
      <xdr:rowOff>170666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ADB4AF-C3C4-45E7-9665-55D5008F9C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69712" y="67917"/>
          <a:ext cx="1658937" cy="6818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323607</xdr:colOff>
      <xdr:row>0</xdr:row>
      <xdr:rowOff>116011</xdr:rowOff>
    </xdr:from>
    <xdr:to>
      <xdr:col>1</xdr:col>
      <xdr:colOff>1501387</xdr:colOff>
      <xdr:row>4</xdr:row>
      <xdr:rowOff>59545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0D4124-A23C-4EE9-AB6C-95FADDDF2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323607" y="116011"/>
          <a:ext cx="1544908" cy="63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150812</xdr:colOff>
      <xdr:row>0</xdr:row>
      <xdr:rowOff>127001</xdr:rowOff>
    </xdr:from>
    <xdr:to>
      <xdr:col>2</xdr:col>
      <xdr:colOff>555625</xdr:colOff>
      <xdr:row>2</xdr:row>
      <xdr:rowOff>167882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810AD0-49B0-4CBC-B802-28F3160D4E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50812" y="127001"/>
          <a:ext cx="1547813" cy="6361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143631</xdr:colOff>
      <xdr:row>0</xdr:row>
      <xdr:rowOff>90714</xdr:rowOff>
    </xdr:from>
    <xdr:to>
      <xdr:col>1</xdr:col>
      <xdr:colOff>1447270</xdr:colOff>
      <xdr:row>0</xdr:row>
      <xdr:rowOff>772583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A6E711-D0AA-412B-96DE-2BA09CA7F6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43631" y="90714"/>
          <a:ext cx="1658937" cy="6818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219809</xdr:colOff>
      <xdr:row>0</xdr:row>
      <xdr:rowOff>79932</xdr:rowOff>
    </xdr:from>
    <xdr:to>
      <xdr:col>1</xdr:col>
      <xdr:colOff>1158986</xdr:colOff>
      <xdr:row>1</xdr:row>
      <xdr:rowOff>62504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F40DC3-A4C2-498F-A48E-CA54B697B1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219809" y="79932"/>
          <a:ext cx="1318845" cy="5420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2</xdr:col>
      <xdr:colOff>1382712</xdr:colOff>
      <xdr:row>2</xdr:row>
      <xdr:rowOff>119894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8EB01E6-C2C9-4351-946F-D2F44B1FCE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304800" y="104775"/>
          <a:ext cx="1658937" cy="6818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45720</xdr:rowOff>
    </xdr:from>
    <xdr:to>
      <xdr:col>1</xdr:col>
      <xdr:colOff>1460817</xdr:colOff>
      <xdr:row>4</xdr:row>
      <xdr:rowOff>79889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9A5073-9FE2-41BC-9CC3-100647FA4F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2" r="12937" b="18315"/>
        <a:stretch/>
      </xdr:blipFill>
      <xdr:spPr>
        <a:xfrm>
          <a:off x="182880" y="45720"/>
          <a:ext cx="1658937" cy="6818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Investor%20SA/Contabilidad/Conformaciones%20de%20Cuentas%20Contables/Conformacion%202019/Segundo%20Semestre%202019/Plantilla%20Exel%20EEFF%20cnv_SET_19.xlsx?17C11E68" TargetMode="External"/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C:/Users/ROCIO-INV/Desktop/Informe%201er%20Semestre%2006-2018/Res%20173%20INVESTOR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0.Investor%20SA/Contabilidad/CNV_EEFF_Informes/2020/EEFF%20a%20presentar/Plantillas%20utilizadas/Copia%20de%202.%20EEFF%20AL%2031.03.20%20FINAL_Plantilla.xlsx?DD05067B" TargetMode="External"/><Relationship Id="rId1" Type="http://schemas.openxmlformats.org/officeDocument/2006/relationships/externalLinkPath" Target="file:///\\DD05067B\Copia%20de%202.%20EEFF%20AL%2031.03.20%20FINAL_Plantilla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0.Investor%20SA/Contabilidad/Conformaciones%20de%20Cuentas%20Contables/Conformaciones%202021/Diciembre%202021/Copia%20de%2012.%20COMPOSICION%20FINAL%20DICIEMBRE%20con%20IRE%202021.xlsx?F679B070" TargetMode="External"/><Relationship Id="rId1" Type="http://schemas.openxmlformats.org/officeDocument/2006/relationships/externalLinkPath" Target="file:///\\F679B070\Copia%20de%2012.%20COMPOSICION%20FINAL%20DICIEMBRE%20con%20IRE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0.Investor%20SA/Contabilidad/Conformaciones%20de%20Cuentas%20Contables/Conformaciones%202021/Diciembre%202021/CIERRE%20VF%202021/Copia%20de%20Copia%20de%2012.%20COMPOSICION%20FINAL%20DICIEMBRE%20con%20IRE%202021.xlsx%20%20-%20%20versi&#243;n%2034.0.%2029.3.2022%2023.xlsx?A0C3AAD0" TargetMode="External"/><Relationship Id="rId1" Type="http://schemas.openxmlformats.org/officeDocument/2006/relationships/externalLinkPath" Target="file:///\\A0C3AAD0\Copia%20de%20Copia%20de%2012.%20COMPOSICION%20FINAL%20DICIEMBRE%20con%20IRE%202021.xlsx%20%20-%20%20versi&#243;n%2034.0.%2029.3.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ENTOS Y CTAS A PAGA"/>
      <sheetName val="NOTAS M-Q ACREEDORES CTO PLAZO"/>
      <sheetName val="NOTA R SALDOS Y TRANSACCIONES "/>
      <sheetName val="NOTA S RESULTADOS CON PERSONAS"/>
      <sheetName val=" NOTA T PATRIMONIO"/>
      <sheetName val="NOTA V INGRESOS OPERATIVOS"/>
      <sheetName val="NOTA W OTROS GASTOS OPERATIVOS"/>
      <sheetName val="NOTA X OTROS INGRESOS Y EGRESOS"/>
      <sheetName val="NOTA Y RESULTADOS FINANCIEROS"/>
      <sheetName val="NOTA Z RESULT EXTRAORD"/>
      <sheetName val="NOTA 6 INFORMACION REFERENTE"/>
      <sheetName val="2018 (2)"/>
    </sheetNames>
    <sheetDataSet>
      <sheetData sheetId="0"/>
      <sheetData sheetId="1">
        <row r="22">
          <cell r="G22">
            <v>0</v>
          </cell>
        </row>
        <row r="23">
          <cell r="G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 A PAGAR"/>
      <sheetName val="EEFF 31 12 2021"/>
      <sheetName val="EERR 31 12 2021"/>
      <sheetName val="1010101 RECAUDACIONES A DEP ML"/>
      <sheetName val="1010102 CAJA"/>
      <sheetName val="101010301 FONDO FIJO"/>
      <sheetName val="1010104 BANCO OPERACIONES"/>
      <sheetName val="1010105 BANCOS ADMINISTRATIVOS"/>
      <sheetName val="Broker 31 12"/>
      <sheetName val="RESUMEN PORTAFOLIO 1050"/>
      <sheetName val="Portafolio 1050  Bonos GS Dic"/>
      <sheetName val="Portafolio 1050 Bonos $ Dic "/>
      <sheetName val="Portafolio 1050 GS CDA"/>
      <sheetName val="Portafolio 1050 Acciones"/>
      <sheetName val="REPOS GS 31 12 2021"/>
      <sheetName val="REPOS $ 31 12 2021"/>
      <sheetName val="CDA GS Garantia"/>
      <sheetName val="2 CDAS $ BVPASA"/>
      <sheetName val="1010301 CLIENTES ML"/>
      <sheetName val="1010302 CLIENTES ME"/>
      <sheetName val="1010302101 ANTICIPOS IRE"/>
      <sheetName val="101030102 RETENCIONES IVA"/>
      <sheetName val="101030105 RETENCIONES IDU"/>
      <sheetName val="101030020106 IVA CF"/>
      <sheetName val="101030202 ANTICIPO PROVEEDORES"/>
      <sheetName val="101030203 ANTICIPOS AL PERSONAL"/>
      <sheetName val="1010303102 GARANTIAS DE ALQUILE"/>
      <sheetName val="101030405 CTAS A COBRAR PR ML 2"/>
      <sheetName val="101030406 CTAS A COBRAR PR ME"/>
      <sheetName val="1010502 SEGUROS A DEVENGAR"/>
      <sheetName val="1010503 INTERESES A DEVENGAR"/>
      <sheetName val="INVERSIONES PERMANENTES"/>
      <sheetName val="OTRAS INVERSIONES BVPASA"/>
      <sheetName val="OTRAS INVERSIONES CAJA DE VALOR"/>
      <sheetName val="BIENES DE USO 2021"/>
      <sheetName val="BIENES INTANGIBLES 2021"/>
      <sheetName val="ACREEDORES POR INTERMED ME"/>
      <sheetName val="ACREEDORES POR INTERMED ML"/>
      <sheetName val="201020101 PRESTAMOS BANCARIOS"/>
      <sheetName val="INTERESES A PAGAR A BANCOS ML"/>
      <sheetName val="INTERESES A PAGAR BANCOS ME"/>
      <sheetName val="PRESTAMOS REPOS ML 31 12 21"/>
      <sheetName val="PRESTAMOS REPOS ME 31 12 21"/>
      <sheetName val="201010301 CTAS A PAGAR ER ML"/>
      <sheetName val="201030501 PROVEEDORES ML "/>
      <sheetName val="201030502 PROVEEDORES ME"/>
      <sheetName val="201030506 TARJETAS DE CREDITO"/>
      <sheetName val="2010405 IPS A PAGAR"/>
      <sheetName val="INGRESOS DIFERIDOS ADM"/>
      <sheetName val="EMISION CON PRIMA_ACTA DIRECT"/>
      <sheetName val="ACTA 25 02 2021"/>
      <sheetName val="CAPITALIZ UTILID AFPISA"/>
    </sheetNames>
    <sheetDataSet>
      <sheetData sheetId="0"/>
      <sheetData sheetId="1">
        <row r="20">
          <cell r="B20">
            <v>5370981</v>
          </cell>
        </row>
        <row r="22">
          <cell r="B22">
            <v>38444377</v>
          </cell>
        </row>
        <row r="59">
          <cell r="B59">
            <v>284093046</v>
          </cell>
        </row>
        <row r="61">
          <cell r="B61">
            <v>120697447</v>
          </cell>
        </row>
        <row r="66">
          <cell r="B66">
            <v>1207324217</v>
          </cell>
        </row>
        <row r="67">
          <cell r="B67">
            <v>101905106</v>
          </cell>
        </row>
        <row r="86">
          <cell r="B86">
            <v>12102212443</v>
          </cell>
        </row>
        <row r="87">
          <cell r="B87">
            <v>210957210</v>
          </cell>
        </row>
        <row r="88">
          <cell r="B88">
            <v>487067851</v>
          </cell>
        </row>
        <row r="89">
          <cell r="B89">
            <v>387212086</v>
          </cell>
        </row>
        <row r="90">
          <cell r="B90">
            <v>31158573</v>
          </cell>
        </row>
        <row r="91">
          <cell r="B91">
            <v>61154819</v>
          </cell>
        </row>
        <row r="92">
          <cell r="B92">
            <v>11010456</v>
          </cell>
        </row>
        <row r="95">
          <cell r="B95">
            <v>22988235</v>
          </cell>
        </row>
        <row r="96">
          <cell r="B96">
            <v>1344875032</v>
          </cell>
        </row>
        <row r="100">
          <cell r="B100">
            <v>1407421152</v>
          </cell>
        </row>
      </sheetData>
      <sheetData sheetId="2">
        <row r="75">
          <cell r="B75">
            <v>28753458</v>
          </cell>
        </row>
      </sheetData>
      <sheetData sheetId="3">
        <row r="9">
          <cell r="D9">
            <v>3820258968</v>
          </cell>
        </row>
      </sheetData>
      <sheetData sheetId="4">
        <row r="12">
          <cell r="D12">
            <v>-2168020</v>
          </cell>
        </row>
      </sheetData>
      <sheetData sheetId="5">
        <row r="11">
          <cell r="D11">
            <v>964400</v>
          </cell>
        </row>
      </sheetData>
      <sheetData sheetId="6">
        <row r="4">
          <cell r="F4">
            <v>27483171.291900001</v>
          </cell>
        </row>
        <row r="5">
          <cell r="F5">
            <v>720473.13660000009</v>
          </cell>
        </row>
        <row r="6">
          <cell r="F6">
            <v>-101612065.54950002</v>
          </cell>
        </row>
        <row r="7">
          <cell r="F7">
            <v>696081.7611</v>
          </cell>
        </row>
        <row r="8">
          <cell r="F8">
            <v>10121733.751500001</v>
          </cell>
        </row>
        <row r="9">
          <cell r="F9">
            <v>128390016.903</v>
          </cell>
        </row>
        <row r="10">
          <cell r="F10">
            <v>1374299.4162000001</v>
          </cell>
        </row>
        <row r="12">
          <cell r="F12">
            <v>1374162</v>
          </cell>
        </row>
        <row r="13">
          <cell r="F13">
            <v>111043763.85270001</v>
          </cell>
        </row>
        <row r="14">
          <cell r="F14">
            <v>37460137.076700002</v>
          </cell>
        </row>
        <row r="15">
          <cell r="F15">
            <v>3437534.9511000002</v>
          </cell>
        </row>
        <row r="16">
          <cell r="F16">
            <v>6208395.2079000007</v>
          </cell>
        </row>
        <row r="17">
          <cell r="F17">
            <v>72919906.530000001</v>
          </cell>
        </row>
        <row r="18">
          <cell r="F18">
            <v>43616176.712400004</v>
          </cell>
        </row>
        <row r="19">
          <cell r="F19">
            <v>47913112.578300007</v>
          </cell>
        </row>
        <row r="20">
          <cell r="F20">
            <v>25156096.653000001</v>
          </cell>
        </row>
        <row r="21">
          <cell r="F21">
            <v>93368673.835800007</v>
          </cell>
        </row>
        <row r="22">
          <cell r="F22">
            <v>20994447.036000002</v>
          </cell>
        </row>
        <row r="23">
          <cell r="F23">
            <v>10461564.0141</v>
          </cell>
        </row>
        <row r="24">
          <cell r="F24">
            <v>12535655.428800002</v>
          </cell>
        </row>
        <row r="25">
          <cell r="F25">
            <v>107876870.1075</v>
          </cell>
        </row>
        <row r="26">
          <cell r="F26">
            <v>1379315.1075000002</v>
          </cell>
        </row>
        <row r="31">
          <cell r="D31">
            <v>24423</v>
          </cell>
        </row>
        <row r="32">
          <cell r="D32">
            <v>5000015</v>
          </cell>
        </row>
        <row r="36">
          <cell r="D36">
            <v>1725001</v>
          </cell>
        </row>
        <row r="37">
          <cell r="D37">
            <v>21000000</v>
          </cell>
        </row>
        <row r="38">
          <cell r="D38">
            <v>500000</v>
          </cell>
        </row>
        <row r="40">
          <cell r="D40">
            <v>3000000</v>
          </cell>
        </row>
        <row r="41">
          <cell r="D41">
            <v>5781808</v>
          </cell>
        </row>
        <row r="42">
          <cell r="D42">
            <v>41450020</v>
          </cell>
        </row>
        <row r="43">
          <cell r="D43">
            <v>6303820</v>
          </cell>
        </row>
        <row r="44">
          <cell r="D44">
            <v>4463041</v>
          </cell>
        </row>
        <row r="45">
          <cell r="D45">
            <v>5200343</v>
          </cell>
        </row>
        <row r="46">
          <cell r="D46">
            <v>11605398</v>
          </cell>
        </row>
        <row r="47">
          <cell r="D47">
            <v>17014656</v>
          </cell>
        </row>
        <row r="48">
          <cell r="D48">
            <v>2511730</v>
          </cell>
        </row>
        <row r="49">
          <cell r="D49">
            <v>5696670</v>
          </cell>
        </row>
        <row r="50">
          <cell r="D50">
            <v>3241810</v>
          </cell>
        </row>
        <row r="51">
          <cell r="D51">
            <v>26074595</v>
          </cell>
        </row>
        <row r="52">
          <cell r="D52">
            <v>30690754</v>
          </cell>
        </row>
        <row r="53">
          <cell r="D53">
            <v>8245972</v>
          </cell>
        </row>
        <row r="54">
          <cell r="D54">
            <v>34413489</v>
          </cell>
        </row>
        <row r="55">
          <cell r="D55">
            <v>1004540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 A PAGAR"/>
      <sheetName val="CALCULO DE IMP.RENTA"/>
      <sheetName val="EEFF 31 12 2021"/>
      <sheetName val="EERR 31 12 2021"/>
      <sheetName val="1010101 RECAUDACIONES A DEP ML"/>
      <sheetName val="1010102 CAJA"/>
      <sheetName val="101010301 FONDO FIJO"/>
      <sheetName val="1010104 BANCO OPERACIONES"/>
      <sheetName val="1010105 BANCOS ADMINISTRATIVOS"/>
      <sheetName val="Broker 31 12"/>
      <sheetName val="RESUMEN PORTAFOLIO 1050"/>
      <sheetName val="Portafolio 1050  Bonos GS Dic"/>
      <sheetName val="Portafolio 1050 Bonos $ Dic "/>
      <sheetName val="Portafolio 1050 GS CDA"/>
      <sheetName val="Portafolio 1050 Acciones"/>
      <sheetName val="REPOS GS 31 12 2021"/>
      <sheetName val="REPOS $ 31 12 2021"/>
      <sheetName val="CDA GS Garantia"/>
      <sheetName val="2 CDAS $ BVPASA"/>
      <sheetName val="1010301 CLIENTES ML"/>
      <sheetName val="1010302 CLIENTES ME"/>
      <sheetName val="1010302101 ANTICIPOS IRE"/>
      <sheetName val="101030102 RETENCIONES IVA"/>
      <sheetName val="101030105 RETENCIONES IDU"/>
      <sheetName val="101030020106 IVA CF"/>
      <sheetName val="101030202 ANTICIPO PROVEEDORES"/>
      <sheetName val="101030203 ANTICIPOS AL PERSONAL"/>
      <sheetName val="1010303102 GARANTIAS DE ALQUILE"/>
      <sheetName val="101030405 CTAS A COBRAR PR ML 2"/>
      <sheetName val="101030406 CTAS A COBRAR PR ME"/>
      <sheetName val="1010502 SEGUROS A DEVENGAR"/>
      <sheetName val="1010503 INTERESES A DEVENGAR"/>
      <sheetName val="INVERSIONES PERMANENTES"/>
      <sheetName val="OTRAS INVERSIONES BVPASA"/>
      <sheetName val="OTRAS INVERSIONES CAJA DE VALOR"/>
      <sheetName val="BIENES DE USO 2021"/>
      <sheetName val="BIENES INTANGIBLES 2021"/>
      <sheetName val="ACREEDORES POR INTERMED ME"/>
      <sheetName val="ACREEDORES POR INTERMED ML"/>
      <sheetName val="201020101 PRESTAMOS BANCARIOS"/>
      <sheetName val="INTERESES A PAGAR A BANCOS ML"/>
      <sheetName val="INTERESES A PAGAR BANCOS ME"/>
      <sheetName val="PRESTAMOS REPOS ML 31 12 21"/>
      <sheetName val="PRESTAMOS REPOS ME 31 12 21"/>
      <sheetName val="201010301 CTAS A PAGAR ER ML"/>
      <sheetName val="201030501 PROVEEDORES ML "/>
      <sheetName val="201030502 PROVEEDORES ME"/>
      <sheetName val="201030506 TARJETAS DE CREDITO"/>
      <sheetName val="2010405 IPS A PAGAR"/>
      <sheetName val="INGRESOS DIFERIDOS ADM"/>
      <sheetName val="EMISION CON PRIMA_ACTA DIRECT"/>
      <sheetName val="ACTA 25 02 2021"/>
      <sheetName val="CAPITALIZ UTILID AFPISA"/>
    </sheetNames>
    <sheetDataSet>
      <sheetData sheetId="0"/>
      <sheetData sheetId="1"/>
      <sheetData sheetId="2">
        <row r="107">
          <cell r="B107">
            <v>1870652344</v>
          </cell>
        </row>
        <row r="109">
          <cell r="B109">
            <v>3856193824</v>
          </cell>
        </row>
        <row r="124">
          <cell r="B124">
            <v>-2090852312</v>
          </cell>
        </row>
        <row r="125">
          <cell r="B125">
            <v>-22915206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4">
          <cell r="E24">
            <v>11205799800</v>
          </cell>
        </row>
      </sheetData>
      <sheetData sheetId="40"/>
      <sheetData sheetId="41"/>
      <sheetData sheetId="42"/>
      <sheetData sheetId="43"/>
      <sheetData sheetId="44">
        <row r="5">
          <cell r="E5">
            <v>110000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costa@investor.com.py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H69"/>
  <sheetViews>
    <sheetView showGridLines="0" topLeftCell="A52" zoomScale="120" zoomScaleNormal="120" workbookViewId="0">
      <selection activeCell="C71" sqref="C71"/>
    </sheetView>
  </sheetViews>
  <sheetFormatPr baseColWidth="10" defaultColWidth="11.28515625" defaultRowHeight="12.75"/>
  <cols>
    <col min="1" max="1" width="4.7109375" style="5" customWidth="1"/>
    <col min="2" max="2" width="22.140625" style="5" customWidth="1"/>
    <col min="3" max="3" width="42" style="5" bestFit="1" customWidth="1"/>
    <col min="4" max="4" width="39.28515625" style="6" bestFit="1" customWidth="1"/>
    <col min="5" max="5" width="11.7109375" style="5" customWidth="1"/>
    <col min="6" max="6" width="12.42578125" style="5" hidden="1" customWidth="1"/>
    <col min="7" max="8" width="0" style="5" hidden="1" customWidth="1"/>
    <col min="9" max="16384" width="11.28515625" style="5"/>
  </cols>
  <sheetData>
    <row r="4" spans="1:8" ht="15">
      <c r="F4" s="634" t="s">
        <v>956</v>
      </c>
      <c r="G4" s="635">
        <v>44561</v>
      </c>
    </row>
    <row r="5" spans="1:8" ht="18.75">
      <c r="B5" s="668" t="s">
        <v>0</v>
      </c>
      <c r="C5" s="668"/>
      <c r="D5" s="668"/>
      <c r="F5" s="5" t="s">
        <v>957</v>
      </c>
      <c r="G5" s="631">
        <f>+G4</f>
        <v>44561</v>
      </c>
    </row>
    <row r="6" spans="1:8" ht="14.45" customHeight="1">
      <c r="B6" s="669" t="s">
        <v>773</v>
      </c>
      <c r="C6" s="669"/>
      <c r="D6" s="669"/>
      <c r="F6" s="632" t="s">
        <v>4</v>
      </c>
      <c r="G6" s="633">
        <v>44561</v>
      </c>
      <c r="H6" s="633">
        <v>44196</v>
      </c>
    </row>
    <row r="7" spans="1:8" ht="15" customHeight="1" thickBot="1">
      <c r="F7" s="632" t="s">
        <v>958</v>
      </c>
      <c r="G7" s="633">
        <f>+G6</f>
        <v>44561</v>
      </c>
      <c r="H7" s="633">
        <v>44196</v>
      </c>
    </row>
    <row r="8" spans="1:8" ht="15" customHeight="1" thickBot="1">
      <c r="B8" s="498" t="s">
        <v>1</v>
      </c>
      <c r="C8" s="666">
        <f>+G4</f>
        <v>44561</v>
      </c>
      <c r="D8" s="667"/>
    </row>
    <row r="9" spans="1:8" ht="13.9" hidden="1" customHeight="1">
      <c r="A9" s="7"/>
      <c r="B9" s="7"/>
      <c r="C9" s="7"/>
      <c r="D9" s="8"/>
    </row>
    <row r="10" spans="1:8" ht="13.5" thickBot="1">
      <c r="A10" s="9"/>
    </row>
    <row r="11" spans="1:8" ht="26.25" customHeight="1" thickBot="1">
      <c r="B11" s="664" t="s">
        <v>2</v>
      </c>
      <c r="C11" s="665"/>
      <c r="D11" s="497" t="s">
        <v>3</v>
      </c>
    </row>
    <row r="12" spans="1:8" ht="26.25" customHeight="1">
      <c r="B12" s="10" t="s">
        <v>797</v>
      </c>
      <c r="C12" s="11"/>
      <c r="D12" s="4" t="s">
        <v>774</v>
      </c>
    </row>
    <row r="13" spans="1:8" ht="26.25" customHeight="1">
      <c r="B13" s="10" t="s">
        <v>798</v>
      </c>
      <c r="C13" s="14"/>
      <c r="D13" s="13"/>
    </row>
    <row r="14" spans="1:8">
      <c r="A14" s="6"/>
      <c r="B14" s="12"/>
      <c r="C14" s="5" t="s">
        <v>4</v>
      </c>
      <c r="D14" s="2" t="s">
        <v>512</v>
      </c>
      <c r="E14" s="5" t="str">
        <f t="shared" ref="E14:E15" si="0">PROPER(B14)</f>
        <v/>
      </c>
    </row>
    <row r="15" spans="1:8">
      <c r="A15" s="6"/>
      <c r="B15" s="12"/>
      <c r="C15" s="5" t="s">
        <v>5</v>
      </c>
      <c r="D15" s="2" t="s">
        <v>513</v>
      </c>
      <c r="E15" s="5" t="str">
        <f t="shared" si="0"/>
        <v/>
      </c>
    </row>
    <row r="16" spans="1:8">
      <c r="A16" s="6"/>
      <c r="B16" s="12"/>
      <c r="C16" s="5" t="s">
        <v>6</v>
      </c>
      <c r="D16" s="2" t="s">
        <v>514</v>
      </c>
    </row>
    <row r="17" spans="1:4">
      <c r="A17" s="6"/>
      <c r="B17" s="12"/>
      <c r="C17" s="5" t="s">
        <v>749</v>
      </c>
      <c r="D17" s="2" t="s">
        <v>515</v>
      </c>
    </row>
    <row r="18" spans="1:4">
      <c r="A18" s="6"/>
      <c r="B18" s="12"/>
      <c r="C18" s="5" t="s">
        <v>7</v>
      </c>
      <c r="D18" s="2" t="s">
        <v>796</v>
      </c>
    </row>
    <row r="19" spans="1:4">
      <c r="A19" s="6"/>
      <c r="B19" s="12"/>
      <c r="C19" s="5" t="s">
        <v>8</v>
      </c>
      <c r="D19" s="2" t="s">
        <v>516</v>
      </c>
    </row>
    <row r="20" spans="1:4" ht="15">
      <c r="A20" s="6"/>
      <c r="B20" s="12"/>
      <c r="C20" s="5" t="s">
        <v>9</v>
      </c>
      <c r="D20" s="15"/>
    </row>
    <row r="21" spans="1:4" ht="15">
      <c r="A21" s="6"/>
      <c r="B21" s="12"/>
      <c r="C21" s="5" t="s">
        <v>10</v>
      </c>
      <c r="D21" s="15"/>
    </row>
    <row r="22" spans="1:4" ht="15">
      <c r="A22" s="6"/>
      <c r="B22" s="12"/>
      <c r="C22" s="5" t="s">
        <v>11</v>
      </c>
      <c r="D22" s="15"/>
    </row>
    <row r="23" spans="1:4" ht="15">
      <c r="A23" s="6"/>
      <c r="B23" s="12"/>
      <c r="D23" s="15"/>
    </row>
    <row r="24" spans="1:4" ht="15">
      <c r="A24" s="6"/>
      <c r="B24" s="10" t="s">
        <v>799</v>
      </c>
      <c r="D24" s="16"/>
    </row>
    <row r="25" spans="1:4">
      <c r="A25" s="6"/>
      <c r="B25" s="12"/>
      <c r="D25" s="17"/>
    </row>
    <row r="26" spans="1:4">
      <c r="A26" s="6"/>
      <c r="B26" s="12"/>
      <c r="C26" s="18" t="s">
        <v>12</v>
      </c>
      <c r="D26" s="2" t="s">
        <v>775</v>
      </c>
    </row>
    <row r="27" spans="1:4">
      <c r="A27" s="6"/>
      <c r="B27" s="12"/>
      <c r="C27" s="18" t="s">
        <v>750</v>
      </c>
      <c r="D27" s="2" t="s">
        <v>775</v>
      </c>
    </row>
    <row r="28" spans="1:4">
      <c r="A28" s="6"/>
      <c r="B28" s="12"/>
      <c r="C28" s="18" t="s">
        <v>751</v>
      </c>
      <c r="D28" s="2" t="s">
        <v>775</v>
      </c>
    </row>
    <row r="29" spans="1:4">
      <c r="A29" s="6"/>
      <c r="B29" s="12"/>
      <c r="C29" s="18" t="s">
        <v>752</v>
      </c>
      <c r="D29" s="2" t="s">
        <v>775</v>
      </c>
    </row>
    <row r="30" spans="1:4">
      <c r="A30" s="6"/>
      <c r="B30" s="12"/>
      <c r="C30" s="18" t="s">
        <v>753</v>
      </c>
      <c r="D30" s="3" t="s">
        <v>376</v>
      </c>
    </row>
    <row r="31" spans="1:4">
      <c r="A31" s="6"/>
      <c r="B31" s="12"/>
      <c r="C31" s="5" t="s">
        <v>754</v>
      </c>
      <c r="D31" s="2" t="s">
        <v>776</v>
      </c>
    </row>
    <row r="32" spans="1:4">
      <c r="A32" s="6"/>
      <c r="B32" s="12"/>
      <c r="C32" s="5" t="s">
        <v>755</v>
      </c>
      <c r="D32" s="2" t="s">
        <v>776</v>
      </c>
    </row>
    <row r="33" spans="1:4">
      <c r="A33" s="6"/>
      <c r="B33" s="12"/>
      <c r="C33" s="5" t="s">
        <v>756</v>
      </c>
      <c r="D33" s="2" t="s">
        <v>776</v>
      </c>
    </row>
    <row r="34" spans="1:4">
      <c r="A34" s="6"/>
      <c r="B34" s="12"/>
      <c r="C34" s="5" t="s">
        <v>757</v>
      </c>
      <c r="D34" s="2" t="s">
        <v>777</v>
      </c>
    </row>
    <row r="35" spans="1:4">
      <c r="A35" s="6"/>
      <c r="B35" s="12"/>
      <c r="C35" s="5" t="s">
        <v>13</v>
      </c>
      <c r="D35" s="2" t="s">
        <v>778</v>
      </c>
    </row>
    <row r="36" spans="1:4">
      <c r="A36" s="6"/>
      <c r="B36" s="12"/>
      <c r="C36" s="5" t="s">
        <v>758</v>
      </c>
      <c r="D36" s="2" t="s">
        <v>779</v>
      </c>
    </row>
    <row r="37" spans="1:4">
      <c r="A37" s="6"/>
      <c r="B37" s="12"/>
      <c r="C37" s="5" t="s">
        <v>759</v>
      </c>
      <c r="D37" s="2" t="s">
        <v>780</v>
      </c>
    </row>
    <row r="38" spans="1:4">
      <c r="A38" s="6"/>
      <c r="B38" s="12"/>
      <c r="C38" s="5" t="s">
        <v>760</v>
      </c>
      <c r="D38" s="2" t="s">
        <v>781</v>
      </c>
    </row>
    <row r="39" spans="1:4">
      <c r="A39" s="6"/>
      <c r="B39" s="12"/>
      <c r="C39" s="5" t="s">
        <v>14</v>
      </c>
      <c r="D39" s="2" t="s">
        <v>782</v>
      </c>
    </row>
    <row r="40" spans="1:4">
      <c r="A40" s="6"/>
      <c r="B40" s="12"/>
      <c r="C40" s="5" t="s">
        <v>15</v>
      </c>
      <c r="D40" s="2" t="s">
        <v>783</v>
      </c>
    </row>
    <row r="41" spans="1:4">
      <c r="A41" s="6"/>
      <c r="B41" s="12"/>
      <c r="C41" s="5" t="s">
        <v>761</v>
      </c>
      <c r="D41" s="2" t="s">
        <v>784</v>
      </c>
    </row>
    <row r="42" spans="1:4">
      <c r="A42" s="6"/>
      <c r="B42" s="12"/>
      <c r="C42" s="5" t="s">
        <v>762</v>
      </c>
      <c r="D42" s="2" t="s">
        <v>785</v>
      </c>
    </row>
    <row r="43" spans="1:4">
      <c r="A43" s="6"/>
      <c r="B43" s="12"/>
      <c r="C43" s="5" t="s">
        <v>763</v>
      </c>
      <c r="D43" s="2" t="s">
        <v>786</v>
      </c>
    </row>
    <row r="44" spans="1:4">
      <c r="A44" s="6"/>
      <c r="B44" s="12"/>
      <c r="C44" s="5" t="s">
        <v>16</v>
      </c>
      <c r="D44" s="2" t="s">
        <v>786</v>
      </c>
    </row>
    <row r="45" spans="1:4">
      <c r="A45" s="6"/>
      <c r="B45" s="12"/>
      <c r="C45" s="5" t="s">
        <v>764</v>
      </c>
      <c r="D45" s="2" t="s">
        <v>786</v>
      </c>
    </row>
    <row r="46" spans="1:4">
      <c r="A46" s="6"/>
      <c r="B46" s="12"/>
      <c r="C46" s="5" t="s">
        <v>765</v>
      </c>
      <c r="D46" s="2" t="s">
        <v>786</v>
      </c>
    </row>
    <row r="47" spans="1:4">
      <c r="A47" s="6"/>
      <c r="B47" s="12"/>
      <c r="C47" s="5" t="s">
        <v>766</v>
      </c>
      <c r="D47" s="2" t="s">
        <v>786</v>
      </c>
    </row>
    <row r="48" spans="1:4">
      <c r="A48" s="6"/>
      <c r="B48" s="12"/>
      <c r="C48" s="5" t="s">
        <v>767</v>
      </c>
      <c r="D48" s="2" t="s">
        <v>787</v>
      </c>
    </row>
    <row r="49" spans="1:4">
      <c r="A49" s="6"/>
      <c r="B49" s="12"/>
      <c r="C49" s="5" t="s">
        <v>17</v>
      </c>
      <c r="D49" s="2" t="s">
        <v>788</v>
      </c>
    </row>
    <row r="50" spans="1:4">
      <c r="A50" s="6"/>
      <c r="B50" s="12"/>
      <c r="C50" s="5" t="s">
        <v>768</v>
      </c>
      <c r="D50" s="2" t="s">
        <v>789</v>
      </c>
    </row>
    <row r="51" spans="1:4">
      <c r="A51" s="6"/>
      <c r="B51" s="12"/>
      <c r="C51" s="5" t="s">
        <v>18</v>
      </c>
      <c r="D51" s="2" t="s">
        <v>789</v>
      </c>
    </row>
    <row r="52" spans="1:4">
      <c r="A52" s="6"/>
      <c r="B52" s="12"/>
      <c r="C52" s="5" t="s">
        <v>769</v>
      </c>
      <c r="D52" s="2" t="s">
        <v>790</v>
      </c>
    </row>
    <row r="53" spans="1:4">
      <c r="A53" s="6"/>
      <c r="B53" s="10"/>
      <c r="C53" s="5" t="s">
        <v>770</v>
      </c>
      <c r="D53" s="2" t="s">
        <v>791</v>
      </c>
    </row>
    <row r="54" spans="1:4">
      <c r="A54" s="6"/>
      <c r="B54" s="12"/>
      <c r="C54" s="5" t="s">
        <v>19</v>
      </c>
      <c r="D54" s="2" t="s">
        <v>792</v>
      </c>
    </row>
    <row r="55" spans="1:4">
      <c r="A55" s="6"/>
      <c r="B55" s="12"/>
      <c r="C55" s="5" t="s">
        <v>20</v>
      </c>
      <c r="D55" s="2" t="s">
        <v>793</v>
      </c>
    </row>
    <row r="56" spans="1:4">
      <c r="A56" s="6"/>
      <c r="B56" s="12"/>
      <c r="C56" s="5" t="s">
        <v>21</v>
      </c>
      <c r="D56" s="2" t="s">
        <v>794</v>
      </c>
    </row>
    <row r="57" spans="1:4">
      <c r="A57" s="6"/>
      <c r="B57" s="12"/>
      <c r="D57" s="3" t="s">
        <v>376</v>
      </c>
    </row>
    <row r="58" spans="1:4">
      <c r="A58" s="6"/>
      <c r="B58" s="12"/>
      <c r="C58" s="18" t="s">
        <v>22</v>
      </c>
      <c r="D58" s="2" t="s">
        <v>795</v>
      </c>
    </row>
    <row r="59" spans="1:4">
      <c r="A59" s="6"/>
      <c r="B59" s="12"/>
      <c r="C59" s="5" t="s">
        <v>23</v>
      </c>
      <c r="D59" s="3"/>
    </row>
    <row r="60" spans="1:4">
      <c r="A60" s="6"/>
      <c r="B60" s="12"/>
      <c r="C60" s="5" t="s">
        <v>771</v>
      </c>
      <c r="D60" s="3"/>
    </row>
    <row r="61" spans="1:4" ht="15">
      <c r="A61" s="6"/>
      <c r="B61" s="12"/>
      <c r="C61" s="5" t="s">
        <v>772</v>
      </c>
      <c r="D61" s="15"/>
    </row>
    <row r="62" spans="1:4" ht="15">
      <c r="A62" s="6"/>
      <c r="B62" s="12"/>
      <c r="C62" s="5" t="s">
        <v>24</v>
      </c>
      <c r="D62" s="15"/>
    </row>
    <row r="63" spans="1:4" ht="15">
      <c r="A63" s="6"/>
      <c r="B63" s="12"/>
      <c r="C63" s="5" t="s">
        <v>25</v>
      </c>
      <c r="D63" s="15"/>
    </row>
    <row r="64" spans="1:4" ht="15">
      <c r="A64" s="6"/>
      <c r="B64" s="12"/>
      <c r="C64" s="5" t="s">
        <v>26</v>
      </c>
      <c r="D64" s="15"/>
    </row>
    <row r="65" spans="1:4" ht="15">
      <c r="A65" s="6"/>
      <c r="B65" s="12"/>
      <c r="C65" s="5" t="s">
        <v>27</v>
      </c>
      <c r="D65" s="15"/>
    </row>
    <row r="66" spans="1:4" ht="15">
      <c r="A66" s="6"/>
      <c r="B66" s="12"/>
      <c r="C66" s="5" t="s">
        <v>28</v>
      </c>
      <c r="D66" s="15"/>
    </row>
    <row r="67" spans="1:4" ht="15">
      <c r="A67" s="6"/>
      <c r="B67" s="12"/>
      <c r="D67" s="15"/>
    </row>
    <row r="68" spans="1:4" ht="15">
      <c r="A68" s="6"/>
      <c r="B68" s="19"/>
      <c r="C68" s="20"/>
      <c r="D68" s="21"/>
    </row>
    <row r="69" spans="1:4" ht="21" customHeight="1">
      <c r="A69" s="22"/>
      <c r="D69" s="23"/>
    </row>
  </sheetData>
  <mergeCells count="4">
    <mergeCell ref="B11:C11"/>
    <mergeCell ref="C8:D8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I105"/>
  <sheetViews>
    <sheetView showGridLines="0" topLeftCell="A17" zoomScale="125" workbookViewId="0">
      <selection activeCell="C71" sqref="C71"/>
    </sheetView>
  </sheetViews>
  <sheetFormatPr baseColWidth="10" defaultColWidth="11.42578125" defaultRowHeight="12"/>
  <cols>
    <col min="1" max="1" width="5.7109375" style="25" customWidth="1"/>
    <col min="2" max="2" width="47.7109375" style="25" customWidth="1"/>
    <col min="3" max="3" width="14.7109375" style="57" bestFit="1" customWidth="1"/>
    <col min="4" max="4" width="14.140625" style="57" bestFit="1" customWidth="1"/>
    <col min="5" max="5" width="23.7109375" style="25" customWidth="1"/>
    <col min="6" max="6" width="14.42578125" style="39" bestFit="1" customWidth="1"/>
    <col min="7" max="7" width="9.28515625" style="25" bestFit="1" customWidth="1"/>
    <col min="8" max="8" width="7" style="25" bestFit="1" customWidth="1"/>
    <col min="9" max="9" width="12.28515625" style="25" bestFit="1" customWidth="1"/>
    <col min="10" max="16384" width="11.42578125" style="25"/>
  </cols>
  <sheetData>
    <row r="1" spans="2:8" ht="15">
      <c r="B1" s="302"/>
    </row>
    <row r="5" spans="2:8" ht="15.75">
      <c r="B5" s="706" t="s">
        <v>677</v>
      </c>
      <c r="C5" s="706"/>
      <c r="D5" s="706"/>
    </row>
    <row r="6" spans="2:8">
      <c r="B6" s="703" t="s">
        <v>635</v>
      </c>
      <c r="C6" s="703"/>
      <c r="D6" s="703"/>
      <c r="F6" s="58"/>
      <c r="G6" s="59"/>
      <c r="H6" s="59"/>
    </row>
    <row r="7" spans="2:8" ht="15">
      <c r="B7" s="456" t="s">
        <v>702</v>
      </c>
      <c r="C7" s="198"/>
      <c r="D7" s="198"/>
      <c r="F7" s="58"/>
      <c r="G7" s="59"/>
      <c r="H7" s="59"/>
    </row>
    <row r="8" spans="2:8">
      <c r="B8" s="60" t="s">
        <v>348</v>
      </c>
      <c r="C8" s="61">
        <f>+Indice!G6</f>
        <v>44561</v>
      </c>
      <c r="D8" s="62">
        <f>+Indice!H6</f>
        <v>44196</v>
      </c>
      <c r="F8" s="58"/>
      <c r="G8" s="59"/>
      <c r="H8" s="59"/>
    </row>
    <row r="9" spans="2:8">
      <c r="B9" s="63" t="s">
        <v>656</v>
      </c>
      <c r="C9" s="64">
        <v>0</v>
      </c>
      <c r="D9" s="65">
        <v>0</v>
      </c>
      <c r="F9" s="58"/>
      <c r="G9" s="59"/>
      <c r="H9" s="59"/>
    </row>
    <row r="10" spans="2:8" ht="12.75">
      <c r="B10" s="66" t="s">
        <v>529</v>
      </c>
      <c r="C10" s="67">
        <f>+'[6]1010104 BANCO OPERACIONES'!$F$17</f>
        <v>72919906.530000001</v>
      </c>
      <c r="D10" s="68">
        <v>1102714</v>
      </c>
      <c r="F10" s="69"/>
      <c r="G10" s="59"/>
      <c r="H10" s="70"/>
    </row>
    <row r="11" spans="2:8" ht="12.75">
      <c r="B11" s="66" t="s">
        <v>671</v>
      </c>
      <c r="C11" s="67">
        <f>+'[6]1010104 BANCO OPERACIONES'!$D$45</f>
        <v>5200343</v>
      </c>
      <c r="D11" s="67">
        <v>15481370</v>
      </c>
      <c r="F11" s="69"/>
      <c r="G11" s="59"/>
      <c r="H11" s="70"/>
    </row>
    <row r="12" spans="2:8" ht="12.75">
      <c r="B12" s="66" t="s">
        <v>662</v>
      </c>
      <c r="C12" s="67">
        <f>+'[6]1010104 BANCO OPERACIONES'!$F$15</f>
        <v>3437534.9511000002</v>
      </c>
      <c r="D12" s="67">
        <v>3460246</v>
      </c>
      <c r="F12" s="69"/>
      <c r="G12" s="59"/>
      <c r="H12" s="70"/>
    </row>
    <row r="13" spans="2:8" ht="12.75">
      <c r="B13" s="66" t="s">
        <v>670</v>
      </c>
      <c r="C13" s="67">
        <f>+'[6]1010104 BANCO OPERACIONES'!$D$43</f>
        <v>6303820</v>
      </c>
      <c r="D13" s="67">
        <v>226225</v>
      </c>
      <c r="F13" s="69"/>
      <c r="G13" s="59"/>
      <c r="H13" s="70"/>
    </row>
    <row r="14" spans="2:8" ht="12.75">
      <c r="B14" s="66" t="s">
        <v>349</v>
      </c>
      <c r="C14" s="67">
        <f>+'[6]1010104 BANCO OPERACIONES'!$D$31</f>
        <v>24423</v>
      </c>
      <c r="D14" s="67">
        <v>1001679</v>
      </c>
      <c r="F14" s="69"/>
      <c r="G14" s="59"/>
      <c r="H14" s="70"/>
    </row>
    <row r="15" spans="2:8" ht="12.75">
      <c r="B15" s="66" t="s">
        <v>350</v>
      </c>
      <c r="C15" s="67">
        <f>+'[6]1010104 BANCO OPERACIONES'!$F$4</f>
        <v>27483171.291900001</v>
      </c>
      <c r="D15" s="67">
        <v>44565137</v>
      </c>
      <c r="F15" s="69"/>
      <c r="G15" s="59"/>
      <c r="H15" s="70"/>
    </row>
    <row r="16" spans="2:8" ht="12.75">
      <c r="B16" s="66" t="s">
        <v>351</v>
      </c>
      <c r="C16" s="67">
        <f>+'[6]1010104 BANCO OPERACIONES'!$D$37</f>
        <v>21000000</v>
      </c>
      <c r="D16" s="67">
        <v>17642096</v>
      </c>
      <c r="F16" s="69"/>
      <c r="G16" s="59"/>
      <c r="H16" s="70"/>
    </row>
    <row r="17" spans="2:9">
      <c r="B17" s="66" t="s">
        <v>352</v>
      </c>
      <c r="C17" s="67">
        <f>+'[6]1010104 BANCO OPERACIONES'!$F$9</f>
        <v>128390016.903</v>
      </c>
      <c r="D17" s="68">
        <v>83765778</v>
      </c>
      <c r="F17" s="69"/>
      <c r="G17" s="193"/>
      <c r="I17" s="39"/>
    </row>
    <row r="18" spans="2:9">
      <c r="B18" s="66" t="s">
        <v>672</v>
      </c>
      <c r="C18" s="67">
        <f>+'[6]1010104 BANCO OPERACIONES'!$D$50</f>
        <v>3241810</v>
      </c>
      <c r="D18" s="67">
        <v>3035000</v>
      </c>
      <c r="F18" s="69"/>
      <c r="G18" s="193"/>
      <c r="I18" s="39"/>
    </row>
    <row r="19" spans="2:9">
      <c r="B19" s="66" t="s">
        <v>508</v>
      </c>
      <c r="C19" s="67">
        <f>+'[6]1010104 BANCO OPERACIONES'!$F$22</f>
        <v>20994447.036000002</v>
      </c>
      <c r="D19" s="67">
        <v>68012549</v>
      </c>
      <c r="F19" s="69"/>
      <c r="G19" s="59"/>
      <c r="I19" s="39"/>
    </row>
    <row r="20" spans="2:9">
      <c r="B20" s="66" t="s">
        <v>659</v>
      </c>
      <c r="C20" s="67">
        <f>+'[6]1010104 BANCO OPERACIONES'!$F$10</f>
        <v>1374299.4162000001</v>
      </c>
      <c r="D20" s="67">
        <v>6457904</v>
      </c>
      <c r="F20" s="69"/>
      <c r="G20" s="59"/>
      <c r="I20" s="39"/>
    </row>
    <row r="21" spans="2:9">
      <c r="B21" s="66" t="s">
        <v>353</v>
      </c>
      <c r="C21" s="67">
        <f>+'[6]1010104 BANCO OPERACIONES'!$D$47</f>
        <v>17014656</v>
      </c>
      <c r="D21" s="67">
        <v>17295480</v>
      </c>
      <c r="F21" s="69"/>
      <c r="G21" s="193"/>
      <c r="I21" s="39"/>
    </row>
    <row r="22" spans="2:9">
      <c r="B22" s="66" t="s">
        <v>354</v>
      </c>
      <c r="C22" s="67">
        <f>+'[6]1010104 BANCO OPERACIONES'!$F$19</f>
        <v>47913112.578300007</v>
      </c>
      <c r="D22" s="67">
        <v>21940348</v>
      </c>
      <c r="F22" s="69"/>
      <c r="G22" s="193"/>
      <c r="I22" s="39"/>
    </row>
    <row r="23" spans="2:9">
      <c r="B23" s="66" t="s">
        <v>667</v>
      </c>
      <c r="C23" s="67">
        <f>+'[6]1010104 BANCO OPERACIONES'!$D$36</f>
        <v>1725001</v>
      </c>
      <c r="D23" s="67">
        <v>999990</v>
      </c>
      <c r="F23" s="69"/>
      <c r="G23" s="193"/>
      <c r="I23" s="39"/>
    </row>
    <row r="24" spans="2:9">
      <c r="B24" s="66" t="s">
        <v>355</v>
      </c>
      <c r="C24" s="67">
        <f>+'[6]1010104 BANCO OPERACIONES'!$F$8</f>
        <v>10121733.751500001</v>
      </c>
      <c r="D24" s="67">
        <v>12680930</v>
      </c>
      <c r="F24" s="69"/>
      <c r="G24" s="193"/>
      <c r="I24" s="39"/>
    </row>
    <row r="25" spans="2:9">
      <c r="B25" s="66" t="s">
        <v>608</v>
      </c>
      <c r="C25" s="67">
        <f>+'[6]1010104 BANCO OPERACIONES'!$D$38</f>
        <v>500000</v>
      </c>
      <c r="D25" s="67">
        <v>0</v>
      </c>
      <c r="F25" s="69"/>
      <c r="G25" s="193"/>
      <c r="I25" s="39"/>
    </row>
    <row r="26" spans="2:9">
      <c r="B26" s="66" t="s">
        <v>666</v>
      </c>
      <c r="C26" s="67">
        <f>+'[6]1010104 BANCO OPERACIONES'!$D$32</f>
        <v>5000015</v>
      </c>
      <c r="D26" s="67">
        <v>5000001</v>
      </c>
      <c r="F26" s="69"/>
      <c r="G26" s="193"/>
      <c r="I26" s="39"/>
    </row>
    <row r="27" spans="2:9">
      <c r="B27" s="66" t="s">
        <v>356</v>
      </c>
      <c r="C27" s="67">
        <v>30133517.541300002</v>
      </c>
      <c r="D27" s="67">
        <v>1222163534</v>
      </c>
      <c r="F27" s="69"/>
      <c r="G27" s="193"/>
      <c r="I27" s="39"/>
    </row>
    <row r="28" spans="2:9">
      <c r="B28" s="66" t="s">
        <v>669</v>
      </c>
      <c r="C28" s="67">
        <f>+'[6]1010104 BANCO OPERACIONES'!$D$42</f>
        <v>41450020</v>
      </c>
      <c r="D28" s="67">
        <v>4000007</v>
      </c>
      <c r="F28" s="69"/>
      <c r="G28" s="193"/>
      <c r="I28" s="39"/>
    </row>
    <row r="29" spans="2:9">
      <c r="B29" s="66" t="s">
        <v>661</v>
      </c>
      <c r="C29" s="67">
        <f>+'[6]1010104 BANCO OPERACIONES'!$F$14</f>
        <v>37460137.076700002</v>
      </c>
      <c r="D29" s="67">
        <v>40597504</v>
      </c>
      <c r="F29" s="69"/>
      <c r="G29" s="193"/>
      <c r="I29" s="39"/>
    </row>
    <row r="30" spans="2:9">
      <c r="B30" s="66" t="s">
        <v>357</v>
      </c>
      <c r="C30" s="67">
        <f>+'[6]1010104 BANCO OPERACIONES'!$F$23</f>
        <v>10461564.0141</v>
      </c>
      <c r="D30" s="67">
        <v>50399525</v>
      </c>
      <c r="F30" s="69"/>
      <c r="G30" s="193"/>
      <c r="I30" s="39"/>
    </row>
    <row r="31" spans="2:9">
      <c r="B31" s="66" t="s">
        <v>358</v>
      </c>
      <c r="C31" s="67">
        <f>+'[6]1010104 BANCO OPERACIONES'!$D$51</f>
        <v>26074595</v>
      </c>
      <c r="D31" s="67">
        <v>21079147</v>
      </c>
      <c r="F31" s="69"/>
      <c r="G31" s="193"/>
      <c r="I31" s="39"/>
    </row>
    <row r="32" spans="2:9">
      <c r="B32" s="66" t="s">
        <v>359</v>
      </c>
      <c r="C32" s="67">
        <f>+'[6]1010104 BANCO OPERACIONES'!$D$46</f>
        <v>11605398</v>
      </c>
      <c r="D32" s="67">
        <v>14525619</v>
      </c>
      <c r="F32" s="69"/>
      <c r="G32" s="193"/>
      <c r="I32" s="39"/>
    </row>
    <row r="33" spans="2:9">
      <c r="B33" s="66" t="s">
        <v>360</v>
      </c>
      <c r="C33" s="67">
        <f>+'[6]1010104 BANCO OPERACIONES'!$F$18</f>
        <v>43616176.712400004</v>
      </c>
      <c r="D33" s="67">
        <v>34874145</v>
      </c>
      <c r="F33" s="69"/>
      <c r="G33" s="193"/>
      <c r="I33" s="39"/>
    </row>
    <row r="34" spans="2:9">
      <c r="B34" s="66" t="s">
        <v>507</v>
      </c>
      <c r="C34" s="67">
        <f>+'[6]1010104 BANCO OPERACIONES'!$D$48</f>
        <v>2511730</v>
      </c>
      <c r="D34" s="67">
        <v>5900470</v>
      </c>
      <c r="F34" s="69"/>
      <c r="G34" s="193"/>
      <c r="I34" s="39"/>
    </row>
    <row r="35" spans="2:9">
      <c r="B35" s="66" t="s">
        <v>361</v>
      </c>
      <c r="C35" s="67">
        <f>+'[6]1010104 BANCO OPERACIONES'!$F$20</f>
        <v>25156096.653000001</v>
      </c>
      <c r="D35" s="67">
        <v>7237041</v>
      </c>
      <c r="F35" s="69"/>
      <c r="G35" s="193"/>
      <c r="I35" s="39"/>
    </row>
    <row r="36" spans="2:9">
      <c r="B36" s="66" t="s">
        <v>674</v>
      </c>
      <c r="C36" s="67">
        <f>+'[6]1010104 BANCO OPERACIONES'!$D$55</f>
        <v>1004540</v>
      </c>
      <c r="D36" s="67">
        <v>1001026</v>
      </c>
      <c r="F36" s="69"/>
      <c r="G36" s="193"/>
      <c r="I36" s="39"/>
    </row>
    <row r="37" spans="2:9">
      <c r="B37" s="66" t="s">
        <v>665</v>
      </c>
      <c r="C37" s="67">
        <f>+'[6]1010104 BANCO OPERACIONES'!$F$26</f>
        <v>1379315.1075000002</v>
      </c>
      <c r="D37" s="67">
        <v>1379426</v>
      </c>
      <c r="F37" s="69"/>
      <c r="G37" s="193"/>
      <c r="I37" s="39"/>
    </row>
    <row r="38" spans="2:9">
      <c r="B38" s="66" t="s">
        <v>362</v>
      </c>
      <c r="C38" s="67">
        <f>+'[6]1010104 BANCO OPERACIONES'!$D$44</f>
        <v>4463041</v>
      </c>
      <c r="D38" s="68">
        <v>54563030</v>
      </c>
      <c r="F38" s="69"/>
      <c r="G38" s="193"/>
      <c r="I38" s="39"/>
    </row>
    <row r="39" spans="2:9">
      <c r="B39" s="66" t="s">
        <v>663</v>
      </c>
      <c r="C39" s="65">
        <f>+'[6]1010104 BANCO OPERACIONES'!$F$16</f>
        <v>6208395.2079000007</v>
      </c>
      <c r="D39" s="68">
        <v>25680546</v>
      </c>
      <c r="F39" s="69"/>
      <c r="G39" s="193"/>
      <c r="I39" s="39"/>
    </row>
    <row r="40" spans="2:9">
      <c r="B40" s="66" t="s">
        <v>363</v>
      </c>
      <c r="C40" s="67">
        <f>+'[6]1010104 BANCO OPERACIONES'!$D$52</f>
        <v>30690754</v>
      </c>
      <c r="D40" s="67">
        <v>82635215</v>
      </c>
      <c r="F40" s="69"/>
      <c r="G40" s="59"/>
      <c r="I40" s="39"/>
    </row>
    <row r="41" spans="2:9" ht="12.75">
      <c r="B41" s="66" t="s">
        <v>364</v>
      </c>
      <c r="C41" s="67">
        <f>+'[6]1010104 BANCO OPERACIONES'!$F$24</f>
        <v>12535655.428800002</v>
      </c>
      <c r="D41" s="67">
        <v>1010502966</v>
      </c>
      <c r="F41" s="69"/>
      <c r="G41" s="193"/>
      <c r="H41" s="70"/>
    </row>
    <row r="42" spans="2:9" ht="12.75">
      <c r="B42" s="66" t="s">
        <v>365</v>
      </c>
      <c r="C42" s="67">
        <f>+'[6]1010104 BANCO OPERACIONES'!$D$49</f>
        <v>5696670</v>
      </c>
      <c r="D42" s="67">
        <v>12090220</v>
      </c>
      <c r="F42" s="69"/>
      <c r="G42" s="193"/>
      <c r="H42" s="70"/>
    </row>
    <row r="43" spans="2:9" ht="12.75">
      <c r="B43" s="66" t="s">
        <v>366</v>
      </c>
      <c r="C43" s="67">
        <f>+'[6]1010104 BANCO OPERACIONES'!$F$21</f>
        <v>93368673.835800007</v>
      </c>
      <c r="D43" s="67">
        <v>10725268</v>
      </c>
      <c r="F43" s="69"/>
      <c r="G43" s="59"/>
      <c r="H43" s="70"/>
    </row>
    <row r="44" spans="2:9" ht="12.75">
      <c r="B44" s="66" t="s">
        <v>509</v>
      </c>
      <c r="C44" s="67">
        <v>-793559012</v>
      </c>
      <c r="D44" s="67">
        <v>21798092</v>
      </c>
      <c r="F44" s="69"/>
      <c r="G44" s="59"/>
      <c r="H44" s="70"/>
    </row>
    <row r="45" spans="2:9" ht="12.75">
      <c r="B45" s="636" t="s">
        <v>960</v>
      </c>
      <c r="C45" s="67">
        <f>+'[6]EEFF 31 12 2021'!$B$22</f>
        <v>38444377</v>
      </c>
      <c r="D45" s="67">
        <v>-12556862</v>
      </c>
      <c r="F45" s="69"/>
      <c r="G45" s="59"/>
      <c r="H45" s="70"/>
    </row>
    <row r="46" spans="2:9" ht="12.75">
      <c r="B46" s="66" t="s">
        <v>367</v>
      </c>
      <c r="C46" s="67">
        <v>2048449363</v>
      </c>
      <c r="D46" s="67">
        <v>393714782</v>
      </c>
      <c r="F46" s="69"/>
      <c r="G46" s="59"/>
      <c r="H46" s="70"/>
    </row>
    <row r="47" spans="2:9" ht="12.75">
      <c r="B47" s="66" t="s">
        <v>368</v>
      </c>
      <c r="C47" s="67">
        <f>+'[6]1010104 BANCO OPERACIONES'!$F$5</f>
        <v>720473.13660000009</v>
      </c>
      <c r="D47" s="68">
        <v>1325738</v>
      </c>
      <c r="F47" s="69"/>
      <c r="G47" s="59"/>
      <c r="H47" s="70"/>
    </row>
    <row r="48" spans="2:9" ht="12.75">
      <c r="B48" s="636" t="s">
        <v>959</v>
      </c>
      <c r="C48" s="67">
        <f>+'[6]EEFF 31 12 2021'!$B$20</f>
        <v>5370981</v>
      </c>
      <c r="D48" s="68">
        <v>36674669</v>
      </c>
      <c r="F48" s="69"/>
      <c r="G48" s="59"/>
      <c r="H48" s="70"/>
    </row>
    <row r="49" spans="2:8" ht="12.75">
      <c r="B49" s="66" t="s">
        <v>369</v>
      </c>
      <c r="C49" s="67">
        <v>99998</v>
      </c>
      <c r="D49" s="67">
        <v>91705807</v>
      </c>
      <c r="F49" s="69"/>
      <c r="G49" s="59"/>
      <c r="H49" s="70"/>
    </row>
    <row r="50" spans="2:8" ht="12.75">
      <c r="B50" s="66" t="s">
        <v>370</v>
      </c>
      <c r="C50" s="67">
        <f>+'[6]1010104 BANCO OPERACIONES'!$F$7</f>
        <v>696081.7611</v>
      </c>
      <c r="D50" s="67">
        <v>128053306</v>
      </c>
      <c r="F50" s="69"/>
      <c r="G50" s="59"/>
      <c r="H50" s="70"/>
    </row>
    <row r="51" spans="2:8" ht="12.75">
      <c r="B51" s="66" t="s">
        <v>371</v>
      </c>
      <c r="C51" s="67">
        <f>+'[6]1010104 BANCO OPERACIONES'!$F$6</f>
        <v>-101612065.54950002</v>
      </c>
      <c r="D51" s="67">
        <v>689196</v>
      </c>
      <c r="F51" s="69"/>
      <c r="G51" s="59"/>
      <c r="H51" s="70"/>
    </row>
    <row r="52" spans="2:8" ht="12.75">
      <c r="B52" s="66" t="s">
        <v>673</v>
      </c>
      <c r="C52" s="67">
        <f>+'[6]1010104 BANCO OPERACIONES'!$D$53</f>
        <v>8245972</v>
      </c>
      <c r="D52" s="67">
        <v>11555610</v>
      </c>
      <c r="F52" s="69"/>
      <c r="G52" s="59"/>
      <c r="H52" s="70"/>
    </row>
    <row r="53" spans="2:8" ht="12.75">
      <c r="B53" s="66" t="s">
        <v>664</v>
      </c>
      <c r="C53" s="67">
        <f>+'[6]1010104 BANCO OPERACIONES'!$F$25</f>
        <v>107876870.1075</v>
      </c>
      <c r="D53" s="67">
        <v>254207739</v>
      </c>
      <c r="F53" s="69"/>
      <c r="G53" s="59"/>
      <c r="H53" s="70"/>
    </row>
    <row r="54" spans="2:8" ht="12.75">
      <c r="B54" s="66" t="s">
        <v>372</v>
      </c>
      <c r="C54" s="67">
        <f>+'[6]1010104 BANCO OPERACIONES'!$D$41</f>
        <v>5781808</v>
      </c>
      <c r="D54" s="67">
        <v>5000000</v>
      </c>
      <c r="F54" s="69"/>
      <c r="G54" s="59"/>
      <c r="H54" s="70"/>
    </row>
    <row r="55" spans="2:8" ht="12.75">
      <c r="B55" s="66" t="s">
        <v>373</v>
      </c>
      <c r="C55" s="67">
        <f>+'[6]1010104 BANCO OPERACIONES'!$F$13</f>
        <v>111043763.85270001</v>
      </c>
      <c r="D55" s="67">
        <v>39723120</v>
      </c>
      <c r="F55" s="69"/>
      <c r="G55" s="59"/>
      <c r="H55" s="70"/>
    </row>
    <row r="56" spans="2:8" ht="12.75">
      <c r="B56" s="66" t="s">
        <v>374</v>
      </c>
      <c r="C56" s="67">
        <f>+'[6]1010104 BANCO OPERACIONES'!$D$54</f>
        <v>34413489</v>
      </c>
      <c r="D56" s="67">
        <v>21738586</v>
      </c>
      <c r="F56" s="69"/>
      <c r="G56" s="59"/>
      <c r="H56" s="70"/>
    </row>
    <row r="57" spans="2:8" ht="12.75">
      <c r="B57" s="66" t="s">
        <v>660</v>
      </c>
      <c r="C57" s="67">
        <f>+'[6]1010104 BANCO OPERACIONES'!$F$12+1</f>
        <v>1374163</v>
      </c>
      <c r="D57" s="67">
        <v>606493</v>
      </c>
      <c r="F57" s="69"/>
      <c r="G57" s="59"/>
      <c r="H57" s="70"/>
    </row>
    <row r="58" spans="2:8" ht="12.75">
      <c r="B58" s="66" t="s">
        <v>668</v>
      </c>
      <c r="C58" s="67">
        <f>+'[6]1010104 BANCO OPERACIONES'!$D$40</f>
        <v>3000000</v>
      </c>
      <c r="D58" s="67">
        <v>3000000</v>
      </c>
      <c r="F58" s="69"/>
      <c r="G58" s="59"/>
      <c r="H58" s="70"/>
    </row>
    <row r="59" spans="2:8">
      <c r="B59" s="63" t="s">
        <v>655</v>
      </c>
      <c r="C59" s="71">
        <f>SUM(C9:C58)</f>
        <v>2226806832.3439002</v>
      </c>
      <c r="D59" s="71">
        <v>3899258412</v>
      </c>
      <c r="F59" s="59"/>
      <c r="G59" s="59"/>
      <c r="H59" s="59"/>
    </row>
    <row r="60" spans="2:8">
      <c r="F60" s="25"/>
    </row>
    <row r="61" spans="2:8">
      <c r="B61" s="703" t="s">
        <v>675</v>
      </c>
      <c r="C61" s="703"/>
      <c r="D61" s="703"/>
      <c r="F61" s="25"/>
    </row>
    <row r="62" spans="2:8">
      <c r="B62" s="60" t="s">
        <v>348</v>
      </c>
      <c r="C62" s="61">
        <f>+C8</f>
        <v>44561</v>
      </c>
      <c r="D62" s="62">
        <f>+D8</f>
        <v>44196</v>
      </c>
      <c r="F62" s="25"/>
    </row>
    <row r="63" spans="2:8">
      <c r="B63" s="428" t="s">
        <v>40</v>
      </c>
      <c r="C63" s="64">
        <f>+'[6]1010101 RECAUDACIONES A DEP ML'!$D$9</f>
        <v>3820258968</v>
      </c>
      <c r="D63" s="65">
        <v>0</v>
      </c>
      <c r="F63" s="25">
        <v>0</v>
      </c>
    </row>
    <row r="64" spans="2:8">
      <c r="B64" s="66" t="s">
        <v>657</v>
      </c>
      <c r="C64" s="67">
        <f>+'[6]1010102 CAJA'!$D$12</f>
        <v>-2168020</v>
      </c>
      <c r="D64" s="68">
        <v>0</v>
      </c>
      <c r="F64" s="25"/>
    </row>
    <row r="65" spans="2:4">
      <c r="B65" s="66" t="s">
        <v>658</v>
      </c>
      <c r="C65" s="67">
        <f>+'[6]101010301 FONDO FIJO'!$D$11</f>
        <v>964400</v>
      </c>
      <c r="D65" s="67">
        <v>0</v>
      </c>
    </row>
    <row r="66" spans="2:4">
      <c r="B66" s="63" t="s">
        <v>676</v>
      </c>
      <c r="C66" s="71">
        <f>SUM(C63:C65)</f>
        <v>3819055348</v>
      </c>
      <c r="D66" s="71">
        <f>SUM(D63:D65)</f>
        <v>0</v>
      </c>
    </row>
    <row r="68" spans="2:4">
      <c r="B68" s="63" t="s">
        <v>375</v>
      </c>
      <c r="C68" s="71">
        <f>+C59+C66</f>
        <v>6045862180.3439007</v>
      </c>
      <c r="D68" s="71">
        <f>+D59+D66</f>
        <v>3899258412</v>
      </c>
    </row>
    <row r="69" spans="2:4">
      <c r="B69" s="25" t="s">
        <v>376</v>
      </c>
    </row>
    <row r="70" spans="2:4">
      <c r="B70" s="25" t="s">
        <v>376</v>
      </c>
      <c r="C70" s="57">
        <f>+C68-'Balance Gral. Resol. 30'!D14</f>
        <v>0.34390068054199219</v>
      </c>
      <c r="D70" s="57">
        <f>+D68-'Balance Gral. Resol. 30'!E14</f>
        <v>0</v>
      </c>
    </row>
    <row r="71" spans="2:4">
      <c r="B71" s="25" t="s">
        <v>376</v>
      </c>
    </row>
    <row r="72" spans="2:4">
      <c r="B72" s="25" t="s">
        <v>376</v>
      </c>
    </row>
    <row r="73" spans="2:4">
      <c r="B73" s="25" t="s">
        <v>376</v>
      </c>
    </row>
    <row r="74" spans="2:4">
      <c r="B74" s="25" t="s">
        <v>376</v>
      </c>
    </row>
    <row r="75" spans="2:4">
      <c r="B75" s="25" t="s">
        <v>376</v>
      </c>
    </row>
    <row r="76" spans="2:4">
      <c r="B76" s="25" t="s">
        <v>376</v>
      </c>
    </row>
    <row r="77" spans="2:4">
      <c r="B77" s="25" t="s">
        <v>376</v>
      </c>
    </row>
    <row r="78" spans="2:4">
      <c r="B78" s="25" t="s">
        <v>376</v>
      </c>
    </row>
    <row r="79" spans="2:4">
      <c r="B79" s="25" t="s">
        <v>376</v>
      </c>
    </row>
    <row r="80" spans="2:4">
      <c r="B80" s="25" t="s">
        <v>376</v>
      </c>
    </row>
    <row r="81" spans="2:2">
      <c r="B81" s="25" t="s">
        <v>376</v>
      </c>
    </row>
    <row r="82" spans="2:2">
      <c r="B82" s="25" t="s">
        <v>376</v>
      </c>
    </row>
    <row r="83" spans="2:2">
      <c r="B83" s="25" t="s">
        <v>376</v>
      </c>
    </row>
    <row r="84" spans="2:2">
      <c r="B84" s="25" t="s">
        <v>376</v>
      </c>
    </row>
    <row r="85" spans="2:2">
      <c r="B85" s="25" t="s">
        <v>376</v>
      </c>
    </row>
    <row r="86" spans="2:2">
      <c r="B86" s="25" t="s">
        <v>376</v>
      </c>
    </row>
    <row r="87" spans="2:2">
      <c r="B87" s="25" t="s">
        <v>376</v>
      </c>
    </row>
    <row r="104" spans="5:5">
      <c r="E104" s="25" t="s">
        <v>376</v>
      </c>
    </row>
    <row r="105" spans="5:5">
      <c r="E105" s="25" t="s">
        <v>376</v>
      </c>
    </row>
  </sheetData>
  <sheetProtection algorithmName="SHA-512" hashValue="crS+N1IIKh8HUktCFsI7kt4yL3cKUHo7BVo7dv8mWa1eYGc/p43JrIgVP5pmyP+df/GvMiNOXz0rfIFUFjR9tA==" saltValue="GtcNbA/K9h3cH/sniFzjig==" spinCount="100000" sheet="1" objects="1" scenarios="1"/>
  <autoFilter ref="B8:D66" xr:uid="{00000000-0001-0000-0700-000000000000}"/>
  <sortState xmlns:xlrd2="http://schemas.microsoft.com/office/spreadsheetml/2017/richdata2" ref="B10:D58">
    <sortCondition ref="B58"/>
  </sortState>
  <mergeCells count="3">
    <mergeCell ref="B6:D6"/>
    <mergeCell ref="B61:D61"/>
    <mergeCell ref="B5:D5"/>
  </mergeCells>
  <hyperlinks>
    <hyperlink ref="B7" location="'Balance Gral. Resol. 30'!A1" display="'Balance Gral. Resol. 30'!A1" xr:uid="{E325D826-3525-45E1-837C-11B4BB55A406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002060"/>
    <pageSetUpPr fitToPage="1"/>
  </sheetPr>
  <dimension ref="B1:O102"/>
  <sheetViews>
    <sheetView showGridLines="0" topLeftCell="A73" zoomScale="120" zoomScaleNormal="120" workbookViewId="0">
      <selection activeCell="C71" sqref="C71"/>
    </sheetView>
  </sheetViews>
  <sheetFormatPr baseColWidth="10" defaultColWidth="11.42578125" defaultRowHeight="12"/>
  <cols>
    <col min="1" max="1" width="4.5703125" style="25" customWidth="1"/>
    <col min="2" max="2" width="50.140625" style="25" customWidth="1"/>
    <col min="3" max="3" width="15.140625" style="25" bestFit="1" customWidth="1"/>
    <col min="4" max="4" width="19.7109375" style="72" bestFit="1" customWidth="1"/>
    <col min="5" max="6" width="17.5703125" style="72" bestFit="1" customWidth="1"/>
    <col min="7" max="8" width="17.42578125" style="72" customWidth="1"/>
    <col min="9" max="9" width="18" style="72" bestFit="1" customWidth="1"/>
    <col min="10" max="10" width="17" style="72" bestFit="1" customWidth="1"/>
    <col min="11" max="11" width="18" style="72" bestFit="1" customWidth="1"/>
    <col min="12" max="12" width="13.42578125" style="25" hidden="1" customWidth="1"/>
    <col min="13" max="13" width="13" style="25" hidden="1" customWidth="1"/>
    <col min="14" max="14" width="11.42578125" style="25"/>
    <col min="15" max="15" width="0" style="25" hidden="1" customWidth="1"/>
    <col min="16" max="16384" width="11.42578125" style="25"/>
  </cols>
  <sheetData>
    <row r="1" spans="2:15">
      <c r="B1" s="637"/>
    </row>
    <row r="2" spans="2:15" ht="24" customHeight="1"/>
    <row r="3" spans="2:15">
      <c r="B3" s="28"/>
    </row>
    <row r="4" spans="2:15" ht="44.25" customHeight="1">
      <c r="B4" s="697" t="s">
        <v>965</v>
      </c>
      <c r="C4" s="697"/>
      <c r="D4" s="697"/>
      <c r="E4" s="697"/>
      <c r="F4" s="697"/>
      <c r="G4" s="697"/>
      <c r="H4" s="697"/>
      <c r="I4" s="697"/>
      <c r="J4" s="697"/>
      <c r="K4" s="697"/>
    </row>
    <row r="5" spans="2:15">
      <c r="B5" s="638" t="s">
        <v>702</v>
      </c>
      <c r="C5" s="495"/>
      <c r="D5" s="495"/>
      <c r="E5" s="495"/>
      <c r="F5" s="495"/>
      <c r="G5" s="495"/>
      <c r="H5" s="495"/>
      <c r="I5" s="495"/>
      <c r="J5" s="495"/>
      <c r="K5" s="495"/>
    </row>
    <row r="6" spans="2:15" ht="14.45" customHeight="1">
      <c r="B6" s="723" t="s">
        <v>377</v>
      </c>
      <c r="C6" s="724"/>
      <c r="D6" s="724"/>
      <c r="E6" s="724"/>
      <c r="F6" s="725"/>
      <c r="G6" s="723" t="s">
        <v>961</v>
      </c>
      <c r="H6" s="724"/>
      <c r="I6" s="724"/>
      <c r="J6" s="724"/>
      <c r="K6" s="725"/>
    </row>
    <row r="7" spans="2:15" ht="12.75" thickBot="1">
      <c r="B7" s="726" t="s">
        <v>378</v>
      </c>
      <c r="C7" s="727"/>
      <c r="D7" s="727"/>
      <c r="E7" s="727"/>
      <c r="F7" s="727"/>
      <c r="G7" s="727"/>
      <c r="H7" s="727"/>
      <c r="I7" s="727"/>
      <c r="J7" s="727"/>
      <c r="K7" s="728"/>
    </row>
    <row r="8" spans="2:15" ht="12.75" thickBot="1">
      <c r="B8" s="73"/>
      <c r="C8" s="375" t="s">
        <v>379</v>
      </c>
      <c r="D8" s="376" t="s">
        <v>380</v>
      </c>
      <c r="E8" s="376" t="s">
        <v>381</v>
      </c>
      <c r="F8" s="376" t="s">
        <v>381</v>
      </c>
      <c r="G8" s="441" t="s">
        <v>391</v>
      </c>
      <c r="H8" s="430" t="s">
        <v>693</v>
      </c>
      <c r="I8" s="376" t="s">
        <v>249</v>
      </c>
      <c r="J8" s="376" t="s">
        <v>382</v>
      </c>
      <c r="K8" s="376" t="s">
        <v>383</v>
      </c>
    </row>
    <row r="9" spans="2:15">
      <c r="B9" s="44" t="s">
        <v>384</v>
      </c>
      <c r="C9" s="74" t="s">
        <v>385</v>
      </c>
      <c r="D9" s="75" t="s">
        <v>386</v>
      </c>
      <c r="E9" s="75" t="s">
        <v>387</v>
      </c>
      <c r="F9" s="75" t="s">
        <v>388</v>
      </c>
      <c r="G9" s="75" t="s">
        <v>692</v>
      </c>
      <c r="H9" s="75" t="s">
        <v>694</v>
      </c>
      <c r="I9" s="663"/>
      <c r="J9" s="663"/>
      <c r="K9" s="663"/>
    </row>
    <row r="10" spans="2:15">
      <c r="B10" s="429" t="s">
        <v>392</v>
      </c>
      <c r="C10" s="74"/>
      <c r="D10" s="75">
        <f>SUM(D11:D62)</f>
        <v>93640</v>
      </c>
      <c r="E10" s="75">
        <f>SUM(E11:E63)</f>
        <v>123897600576</v>
      </c>
      <c r="F10" s="75">
        <f>SUM(F11:F63)</f>
        <v>125709364785</v>
      </c>
      <c r="G10" s="75"/>
      <c r="H10" s="75">
        <f t="shared" ref="H10" si="0">SUM(H11:H61)</f>
        <v>0</v>
      </c>
      <c r="I10" s="75"/>
      <c r="J10" s="75"/>
      <c r="K10" s="75"/>
      <c r="M10" s="438">
        <f>+'Balance Gral. Resol. 30'!D19</f>
        <v>123897600576</v>
      </c>
    </row>
    <row r="11" spans="2:15">
      <c r="B11" s="45" t="s">
        <v>1027</v>
      </c>
      <c r="C11" s="437" t="s">
        <v>962</v>
      </c>
      <c r="D11" s="76">
        <v>64</v>
      </c>
      <c r="E11" s="76">
        <v>64000000</v>
      </c>
      <c r="F11" s="439">
        <f>+E11</f>
        <v>64000000</v>
      </c>
      <c r="G11" s="439">
        <f>+E11/D11</f>
        <v>1000000</v>
      </c>
      <c r="H11" s="439"/>
      <c r="I11" s="76">
        <v>360000000000</v>
      </c>
      <c r="J11" s="76">
        <v>111210000000</v>
      </c>
      <c r="K11" s="76">
        <v>856087000000</v>
      </c>
      <c r="O11" s="25" t="str">
        <f>PROPER(B11)</f>
        <v>Banco Familiar S.A.E.C.A.</v>
      </c>
    </row>
    <row r="12" spans="2:15">
      <c r="B12" s="45" t="s">
        <v>1028</v>
      </c>
      <c r="C12" s="437" t="s">
        <v>963</v>
      </c>
      <c r="D12" s="76">
        <v>8</v>
      </c>
      <c r="E12" s="76">
        <v>8000000</v>
      </c>
      <c r="F12" s="439">
        <f t="shared" ref="F12:F62" si="1">+E12</f>
        <v>8000000</v>
      </c>
      <c r="G12" s="439">
        <f t="shared" ref="G12:G22" si="2">+E12/D12</f>
        <v>1000000</v>
      </c>
      <c r="H12" s="439"/>
      <c r="I12" s="76">
        <v>46000000000</v>
      </c>
      <c r="J12" s="76">
        <v>2313806.2752380953</v>
      </c>
      <c r="K12" s="76">
        <v>57020926789</v>
      </c>
      <c r="M12" s="438">
        <f>+M10-F10</f>
        <v>-1811764209</v>
      </c>
      <c r="O12" s="25" t="str">
        <f t="shared" ref="O12:O75" si="3">PROPER(B12)</f>
        <v>Tecnología Del Sur S.A.E. (Tecsul S.A.E.)</v>
      </c>
    </row>
    <row r="13" spans="2:15">
      <c r="B13" s="45" t="s">
        <v>1027</v>
      </c>
      <c r="C13" s="437" t="s">
        <v>962</v>
      </c>
      <c r="D13" s="76">
        <v>4185</v>
      </c>
      <c r="E13" s="76">
        <v>4185000000</v>
      </c>
      <c r="F13" s="439">
        <f t="shared" si="1"/>
        <v>4185000000</v>
      </c>
      <c r="G13" s="439">
        <f t="shared" si="2"/>
        <v>1000000</v>
      </c>
      <c r="H13" s="439"/>
      <c r="I13" s="76">
        <v>360000000000</v>
      </c>
      <c r="J13" s="76">
        <v>111210000000</v>
      </c>
      <c r="K13" s="76">
        <v>856087000000</v>
      </c>
      <c r="M13" s="438">
        <f>+M12+'Balance Gral. Resol. 30'!D20</f>
        <v>0</v>
      </c>
      <c r="O13" s="25" t="str">
        <f t="shared" si="3"/>
        <v>Banco Familiar S.A.E.C.A.</v>
      </c>
    </row>
    <row r="14" spans="2:15">
      <c r="B14" s="45" t="s">
        <v>1029</v>
      </c>
      <c r="C14" s="437" t="s">
        <v>963</v>
      </c>
      <c r="D14" s="76">
        <v>7000</v>
      </c>
      <c r="E14" s="76">
        <v>7000000000</v>
      </c>
      <c r="F14" s="439">
        <f t="shared" si="1"/>
        <v>7000000000</v>
      </c>
      <c r="G14" s="439">
        <f t="shared" si="2"/>
        <v>1000000</v>
      </c>
      <c r="H14" s="439"/>
      <c r="I14" s="76">
        <v>327245000000</v>
      </c>
      <c r="J14" s="76">
        <v>-673000000</v>
      </c>
      <c r="K14" s="76">
        <v>510420000000</v>
      </c>
      <c r="O14" s="25" t="str">
        <f t="shared" si="3"/>
        <v>Telefonica Celular Del Paraguay S.A.E.</v>
      </c>
    </row>
    <row r="15" spans="2:15">
      <c r="B15" s="45" t="s">
        <v>1030</v>
      </c>
      <c r="C15" s="437" t="s">
        <v>963</v>
      </c>
      <c r="D15" s="76">
        <v>7282</v>
      </c>
      <c r="E15" s="76">
        <v>7282000000</v>
      </c>
      <c r="F15" s="439">
        <f t="shared" si="1"/>
        <v>7282000000</v>
      </c>
      <c r="G15" s="439">
        <f t="shared" si="2"/>
        <v>1000000</v>
      </c>
      <c r="H15" s="439"/>
      <c r="I15" s="76" t="s">
        <v>743</v>
      </c>
      <c r="J15" s="76" t="s">
        <v>743</v>
      </c>
      <c r="K15" s="76" t="s">
        <v>743</v>
      </c>
      <c r="O15" s="25" t="str">
        <f t="shared" si="3"/>
        <v>Agencia Financiera De Desarrollo</v>
      </c>
    </row>
    <row r="16" spans="2:15">
      <c r="B16" s="45" t="s">
        <v>1029</v>
      </c>
      <c r="C16" s="437" t="s">
        <v>963</v>
      </c>
      <c r="D16" s="76">
        <v>9000</v>
      </c>
      <c r="E16" s="76">
        <v>9000000000</v>
      </c>
      <c r="F16" s="439">
        <f t="shared" si="1"/>
        <v>9000000000</v>
      </c>
      <c r="G16" s="439">
        <f t="shared" si="2"/>
        <v>1000000</v>
      </c>
      <c r="H16" s="439"/>
      <c r="I16" s="76">
        <v>327245000000</v>
      </c>
      <c r="J16" s="76">
        <v>-673000000</v>
      </c>
      <c r="K16" s="76">
        <v>510420000000</v>
      </c>
      <c r="O16" s="25" t="str">
        <f t="shared" si="3"/>
        <v>Telefonica Celular Del Paraguay S.A.E.</v>
      </c>
    </row>
    <row r="17" spans="2:15">
      <c r="B17" s="45" t="s">
        <v>1031</v>
      </c>
      <c r="C17" s="437" t="s">
        <v>963</v>
      </c>
      <c r="D17" s="76">
        <v>10000</v>
      </c>
      <c r="E17" s="76">
        <v>10000000000</v>
      </c>
      <c r="F17" s="439">
        <f t="shared" si="1"/>
        <v>10000000000</v>
      </c>
      <c r="G17" s="439">
        <f t="shared" si="2"/>
        <v>1000000</v>
      </c>
      <c r="H17" s="439"/>
      <c r="I17" s="76">
        <v>146400000000</v>
      </c>
      <c r="J17" s="76">
        <v>139620000000</v>
      </c>
      <c r="K17" s="76">
        <v>776978000000</v>
      </c>
      <c r="O17" s="25" t="str">
        <f t="shared" si="3"/>
        <v>Nucleo S.A.</v>
      </c>
    </row>
    <row r="18" spans="2:15">
      <c r="B18" s="436" t="s">
        <v>721</v>
      </c>
      <c r="C18" s="437" t="s">
        <v>963</v>
      </c>
      <c r="D18" s="76">
        <v>10705</v>
      </c>
      <c r="E18" s="76">
        <v>10705000000</v>
      </c>
      <c r="F18" s="439">
        <f t="shared" si="1"/>
        <v>10705000000</v>
      </c>
      <c r="G18" s="439">
        <f>+G17</f>
        <v>1000000</v>
      </c>
      <c r="H18" s="439"/>
      <c r="I18" s="76" t="s">
        <v>743</v>
      </c>
      <c r="J18" s="76" t="s">
        <v>743</v>
      </c>
      <c r="K18" s="76" t="s">
        <v>743</v>
      </c>
      <c r="O18" s="25" t="str">
        <f t="shared" si="3"/>
        <v>Ministerio De Hacienda</v>
      </c>
    </row>
    <row r="19" spans="2:15">
      <c r="B19" s="436" t="s">
        <v>1031</v>
      </c>
      <c r="C19" s="437" t="s">
        <v>963</v>
      </c>
      <c r="D19" s="76">
        <v>14589</v>
      </c>
      <c r="E19" s="76">
        <v>14589000000</v>
      </c>
      <c r="F19" s="439">
        <f t="shared" si="1"/>
        <v>14589000000</v>
      </c>
      <c r="G19" s="439">
        <f t="shared" si="2"/>
        <v>1000000</v>
      </c>
      <c r="H19" s="439"/>
      <c r="I19" s="76">
        <v>146400000000</v>
      </c>
      <c r="J19" s="76">
        <v>139620000000</v>
      </c>
      <c r="K19" s="76">
        <v>776978000000</v>
      </c>
      <c r="O19" s="25" t="str">
        <f t="shared" si="3"/>
        <v>Nucleo S.A.</v>
      </c>
    </row>
    <row r="20" spans="2:15">
      <c r="B20" s="436" t="s">
        <v>680</v>
      </c>
      <c r="C20" s="437" t="s">
        <v>962</v>
      </c>
      <c r="D20" s="76">
        <v>30000</v>
      </c>
      <c r="E20" s="76">
        <v>30000000000</v>
      </c>
      <c r="F20" s="439">
        <f t="shared" si="1"/>
        <v>30000000000</v>
      </c>
      <c r="G20" s="439">
        <f t="shared" si="2"/>
        <v>1000000</v>
      </c>
      <c r="H20" s="439"/>
      <c r="I20" s="76">
        <v>1133000000000</v>
      </c>
      <c r="J20" s="76">
        <v>708065000000</v>
      </c>
      <c r="K20" s="76">
        <v>3651857000000</v>
      </c>
      <c r="O20" s="25" t="str">
        <f t="shared" si="3"/>
        <v>Banco Itaú Paraguay S.A.</v>
      </c>
    </row>
    <row r="21" spans="2:15">
      <c r="B21" s="436" t="s">
        <v>1032</v>
      </c>
      <c r="C21" s="437" t="s">
        <v>964</v>
      </c>
      <c r="D21" s="76">
        <v>1</v>
      </c>
      <c r="E21" s="76">
        <f>1000*6870.81</f>
        <v>6870810</v>
      </c>
      <c r="F21" s="439">
        <f t="shared" si="1"/>
        <v>6870810</v>
      </c>
      <c r="G21" s="439">
        <f>+E21/D21</f>
        <v>6870810</v>
      </c>
      <c r="H21" s="439"/>
      <c r="I21" s="76">
        <v>1133000000000</v>
      </c>
      <c r="J21" s="76">
        <v>708065000000</v>
      </c>
      <c r="K21" s="76">
        <v>3651857000000</v>
      </c>
      <c r="O21" s="25" t="str">
        <f t="shared" si="3"/>
        <v>Vision Banco S.A.E.C.A.</v>
      </c>
    </row>
    <row r="22" spans="2:15">
      <c r="B22" s="436" t="s">
        <v>1032</v>
      </c>
      <c r="C22" s="437" t="s">
        <v>964</v>
      </c>
      <c r="D22" s="76">
        <v>3</v>
      </c>
      <c r="E22" s="76">
        <f>3000*6870.81</f>
        <v>20612430</v>
      </c>
      <c r="F22" s="439">
        <f t="shared" si="1"/>
        <v>20612430</v>
      </c>
      <c r="G22" s="439">
        <f t="shared" si="2"/>
        <v>6870810</v>
      </c>
      <c r="H22" s="439"/>
      <c r="I22" s="76">
        <v>1133000000000</v>
      </c>
      <c r="J22" s="76">
        <v>708065000000</v>
      </c>
      <c r="K22" s="76">
        <v>3651857000000</v>
      </c>
      <c r="O22" s="25" t="str">
        <f t="shared" si="3"/>
        <v>Vision Banco S.A.E.C.A.</v>
      </c>
    </row>
    <row r="23" spans="2:15">
      <c r="B23" s="436" t="s">
        <v>1033</v>
      </c>
      <c r="C23" s="437" t="s">
        <v>963</v>
      </c>
      <c r="D23" s="76">
        <v>61</v>
      </c>
      <c r="E23" s="76">
        <f>61000*6870.81</f>
        <v>419119410</v>
      </c>
      <c r="F23" s="439">
        <f t="shared" si="1"/>
        <v>419119410</v>
      </c>
      <c r="G23" s="439">
        <f>+E23/D23</f>
        <v>6870810</v>
      </c>
      <c r="H23" s="439"/>
      <c r="I23" s="76">
        <v>482236000000</v>
      </c>
      <c r="J23" s="76">
        <v>2564255341.2900085</v>
      </c>
      <c r="K23" s="76">
        <v>384687793354</v>
      </c>
      <c r="O23" s="25" t="str">
        <f t="shared" si="3"/>
        <v>Rieder &amp; Cía. S.A.C.I.</v>
      </c>
    </row>
    <row r="24" spans="2:15">
      <c r="B24" s="436" t="s">
        <v>1034</v>
      </c>
      <c r="C24" s="437" t="s">
        <v>962</v>
      </c>
      <c r="D24" s="76">
        <v>704</v>
      </c>
      <c r="E24" s="76">
        <f>704000*6870.81</f>
        <v>4837050240</v>
      </c>
      <c r="F24" s="439">
        <f t="shared" si="1"/>
        <v>4837050240</v>
      </c>
      <c r="G24" s="439">
        <f>+E24/D24</f>
        <v>6870810</v>
      </c>
      <c r="H24" s="439"/>
      <c r="I24" s="76">
        <v>237414000000</v>
      </c>
      <c r="J24" s="76">
        <v>180219000000</v>
      </c>
      <c r="K24" s="76">
        <v>949779000000</v>
      </c>
      <c r="O24" s="25" t="str">
        <f t="shared" si="3"/>
        <v>Banco Atlas S.A.</v>
      </c>
    </row>
    <row r="25" spans="2:15">
      <c r="B25" s="436" t="s">
        <v>1035</v>
      </c>
      <c r="C25" s="437" t="s">
        <v>389</v>
      </c>
      <c r="D25" s="76">
        <v>1</v>
      </c>
      <c r="E25" s="76">
        <v>500000000</v>
      </c>
      <c r="F25" s="439">
        <f t="shared" si="1"/>
        <v>500000000</v>
      </c>
      <c r="G25" s="439">
        <f t="shared" ref="G25:G60" si="4">+E25/D25</f>
        <v>500000000</v>
      </c>
      <c r="H25" s="439"/>
      <c r="I25" s="76">
        <v>237414000000</v>
      </c>
      <c r="J25" s="76">
        <v>180219000000</v>
      </c>
      <c r="K25" s="76">
        <v>949779000000</v>
      </c>
      <c r="O25" s="25" t="str">
        <f t="shared" si="3"/>
        <v xml:space="preserve">Banco Atlas S.A. </v>
      </c>
    </row>
    <row r="26" spans="2:15">
      <c r="B26" s="436" t="s">
        <v>1035</v>
      </c>
      <c r="C26" s="437" t="s">
        <v>389</v>
      </c>
      <c r="D26" s="76">
        <v>1</v>
      </c>
      <c r="E26" s="76">
        <v>500000000</v>
      </c>
      <c r="F26" s="439">
        <f t="shared" si="1"/>
        <v>500000000</v>
      </c>
      <c r="G26" s="439">
        <f t="shared" si="4"/>
        <v>500000000</v>
      </c>
      <c r="H26" s="439"/>
      <c r="I26" s="76">
        <v>237414000000</v>
      </c>
      <c r="J26" s="76">
        <v>180219000000</v>
      </c>
      <c r="K26" s="76">
        <v>949779000000</v>
      </c>
      <c r="O26" s="25" t="str">
        <f t="shared" si="3"/>
        <v xml:space="preserve">Banco Atlas S.A. </v>
      </c>
    </row>
    <row r="27" spans="2:15">
      <c r="B27" s="436" t="s">
        <v>1035</v>
      </c>
      <c r="C27" s="437" t="s">
        <v>389</v>
      </c>
      <c r="D27" s="76">
        <v>1</v>
      </c>
      <c r="E27" s="76">
        <v>500000000</v>
      </c>
      <c r="F27" s="439">
        <f t="shared" si="1"/>
        <v>500000000</v>
      </c>
      <c r="G27" s="439">
        <f t="shared" si="4"/>
        <v>500000000</v>
      </c>
      <c r="H27" s="439"/>
      <c r="I27" s="76">
        <v>237414000000</v>
      </c>
      <c r="J27" s="76">
        <v>180219000000</v>
      </c>
      <c r="K27" s="76">
        <v>949779000000</v>
      </c>
      <c r="O27" s="25" t="str">
        <f t="shared" si="3"/>
        <v xml:space="preserve">Banco Atlas S.A. </v>
      </c>
    </row>
    <row r="28" spans="2:15">
      <c r="B28" s="436" t="s">
        <v>1035</v>
      </c>
      <c r="C28" s="437" t="s">
        <v>389</v>
      </c>
      <c r="D28" s="76">
        <v>1</v>
      </c>
      <c r="E28" s="76">
        <v>500000000</v>
      </c>
      <c r="F28" s="439">
        <f t="shared" si="1"/>
        <v>500000000</v>
      </c>
      <c r="G28" s="439">
        <f t="shared" si="4"/>
        <v>500000000</v>
      </c>
      <c r="H28" s="439"/>
      <c r="I28" s="76">
        <v>237414000000</v>
      </c>
      <c r="J28" s="76">
        <v>180219000000</v>
      </c>
      <c r="K28" s="76">
        <v>949779000000</v>
      </c>
      <c r="O28" s="25" t="str">
        <f t="shared" si="3"/>
        <v xml:space="preserve">Banco Atlas S.A. </v>
      </c>
    </row>
    <row r="29" spans="2:15">
      <c r="B29" s="436" t="s">
        <v>1035</v>
      </c>
      <c r="C29" s="437" t="s">
        <v>389</v>
      </c>
      <c r="D29" s="76">
        <v>1</v>
      </c>
      <c r="E29" s="76">
        <v>500000000</v>
      </c>
      <c r="F29" s="439">
        <f t="shared" si="1"/>
        <v>500000000</v>
      </c>
      <c r="G29" s="439">
        <f t="shared" si="4"/>
        <v>500000000</v>
      </c>
      <c r="H29" s="439"/>
      <c r="I29" s="76">
        <v>237414000000</v>
      </c>
      <c r="J29" s="76">
        <v>180219000000</v>
      </c>
      <c r="K29" s="76">
        <v>949779000000</v>
      </c>
      <c r="O29" s="25" t="str">
        <f t="shared" si="3"/>
        <v xml:space="preserve">Banco Atlas S.A. </v>
      </c>
    </row>
    <row r="30" spans="2:15">
      <c r="B30" s="436" t="s">
        <v>1035</v>
      </c>
      <c r="C30" s="437" t="s">
        <v>389</v>
      </c>
      <c r="D30" s="76">
        <v>1</v>
      </c>
      <c r="E30" s="76">
        <v>500000000</v>
      </c>
      <c r="F30" s="439">
        <f t="shared" si="1"/>
        <v>500000000</v>
      </c>
      <c r="G30" s="439">
        <f t="shared" si="4"/>
        <v>500000000</v>
      </c>
      <c r="H30" s="439"/>
      <c r="I30" s="76">
        <v>237414000000</v>
      </c>
      <c r="J30" s="76">
        <v>180219000000</v>
      </c>
      <c r="K30" s="76">
        <v>949779000000</v>
      </c>
      <c r="O30" s="25" t="str">
        <f t="shared" si="3"/>
        <v xml:space="preserve">Banco Atlas S.A. </v>
      </c>
    </row>
    <row r="31" spans="2:15">
      <c r="B31" s="436" t="s">
        <v>1035</v>
      </c>
      <c r="C31" s="437" t="s">
        <v>389</v>
      </c>
      <c r="D31" s="76">
        <v>1</v>
      </c>
      <c r="E31" s="76">
        <v>500000000</v>
      </c>
      <c r="F31" s="439">
        <f t="shared" si="1"/>
        <v>500000000</v>
      </c>
      <c r="G31" s="439">
        <f t="shared" si="4"/>
        <v>500000000</v>
      </c>
      <c r="H31" s="439"/>
      <c r="I31" s="76">
        <v>237414000000</v>
      </c>
      <c r="J31" s="76">
        <v>180219000000</v>
      </c>
      <c r="K31" s="76">
        <v>949779000000</v>
      </c>
      <c r="O31" s="25" t="str">
        <f t="shared" si="3"/>
        <v xml:space="preserve">Banco Atlas S.A. </v>
      </c>
    </row>
    <row r="32" spans="2:15">
      <c r="B32" s="436" t="s">
        <v>1035</v>
      </c>
      <c r="C32" s="437" t="s">
        <v>389</v>
      </c>
      <c r="D32" s="76">
        <v>1</v>
      </c>
      <c r="E32" s="76">
        <v>500000000</v>
      </c>
      <c r="F32" s="439">
        <f t="shared" si="1"/>
        <v>500000000</v>
      </c>
      <c r="G32" s="439">
        <f t="shared" si="4"/>
        <v>500000000</v>
      </c>
      <c r="H32" s="439"/>
      <c r="I32" s="76">
        <v>237414000000</v>
      </c>
      <c r="J32" s="76">
        <v>180219000000</v>
      </c>
      <c r="K32" s="76">
        <v>949779000000</v>
      </c>
      <c r="O32" s="25" t="str">
        <f t="shared" si="3"/>
        <v xml:space="preserve">Banco Atlas S.A. </v>
      </c>
    </row>
    <row r="33" spans="2:15">
      <c r="B33" s="436" t="s">
        <v>1035</v>
      </c>
      <c r="C33" s="437" t="s">
        <v>389</v>
      </c>
      <c r="D33" s="76">
        <v>1</v>
      </c>
      <c r="E33" s="76">
        <v>500000000</v>
      </c>
      <c r="F33" s="439">
        <f t="shared" si="1"/>
        <v>500000000</v>
      </c>
      <c r="G33" s="439">
        <f t="shared" si="4"/>
        <v>500000000</v>
      </c>
      <c r="H33" s="439"/>
      <c r="I33" s="76">
        <v>237414000000</v>
      </c>
      <c r="J33" s="76">
        <v>180219000000</v>
      </c>
      <c r="K33" s="76">
        <v>949779000000</v>
      </c>
      <c r="O33" s="25" t="str">
        <f t="shared" si="3"/>
        <v xml:space="preserve">Banco Atlas S.A. </v>
      </c>
    </row>
    <row r="34" spans="2:15">
      <c r="B34" s="436" t="s">
        <v>1035</v>
      </c>
      <c r="C34" s="437" t="s">
        <v>389</v>
      </c>
      <c r="D34" s="76">
        <v>1</v>
      </c>
      <c r="E34" s="76">
        <v>500000000</v>
      </c>
      <c r="F34" s="439">
        <f t="shared" si="1"/>
        <v>500000000</v>
      </c>
      <c r="G34" s="439">
        <f t="shared" si="4"/>
        <v>500000000</v>
      </c>
      <c r="H34" s="439"/>
      <c r="I34" s="76">
        <v>237414000000</v>
      </c>
      <c r="J34" s="76">
        <v>180219000000</v>
      </c>
      <c r="K34" s="76">
        <v>949779000000</v>
      </c>
      <c r="O34" s="25" t="str">
        <f t="shared" si="3"/>
        <v xml:space="preserve">Banco Atlas S.A. </v>
      </c>
    </row>
    <row r="35" spans="2:15">
      <c r="B35" s="436" t="s">
        <v>681</v>
      </c>
      <c r="C35" s="437" t="s">
        <v>389</v>
      </c>
      <c r="D35" s="76">
        <v>1</v>
      </c>
      <c r="E35" s="76">
        <v>501000000</v>
      </c>
      <c r="F35" s="439">
        <f t="shared" si="1"/>
        <v>501000000</v>
      </c>
      <c r="G35" s="439">
        <f t="shared" si="4"/>
        <v>501000000</v>
      </c>
      <c r="H35" s="439"/>
      <c r="I35" s="76">
        <v>1687535000000</v>
      </c>
      <c r="J35" s="76">
        <v>263245000000</v>
      </c>
      <c r="K35" s="76">
        <v>2564606000000</v>
      </c>
      <c r="O35" s="25" t="str">
        <f t="shared" si="3"/>
        <v>Banco Nacional De Fomento</v>
      </c>
    </row>
    <row r="36" spans="2:15">
      <c r="B36" s="436" t="s">
        <v>681</v>
      </c>
      <c r="C36" s="437" t="s">
        <v>389</v>
      </c>
      <c r="D36" s="76">
        <v>1</v>
      </c>
      <c r="E36" s="76">
        <v>501000000</v>
      </c>
      <c r="F36" s="439">
        <f t="shared" si="1"/>
        <v>501000000</v>
      </c>
      <c r="G36" s="439">
        <f t="shared" si="4"/>
        <v>501000000</v>
      </c>
      <c r="H36" s="439"/>
      <c r="I36" s="76">
        <v>1687535000000</v>
      </c>
      <c r="J36" s="76">
        <v>263245000000</v>
      </c>
      <c r="K36" s="76">
        <v>2564606000000</v>
      </c>
      <c r="O36" s="25" t="str">
        <f t="shared" si="3"/>
        <v>Banco Nacional De Fomento</v>
      </c>
    </row>
    <row r="37" spans="2:15">
      <c r="B37" s="436" t="s">
        <v>681</v>
      </c>
      <c r="C37" s="437" t="s">
        <v>389</v>
      </c>
      <c r="D37" s="76">
        <v>1</v>
      </c>
      <c r="E37" s="76">
        <v>501000000</v>
      </c>
      <c r="F37" s="439">
        <f t="shared" si="1"/>
        <v>501000000</v>
      </c>
      <c r="G37" s="439">
        <f t="shared" si="4"/>
        <v>501000000</v>
      </c>
      <c r="H37" s="439"/>
      <c r="I37" s="76">
        <v>1687535000000</v>
      </c>
      <c r="J37" s="76">
        <v>263245000000</v>
      </c>
      <c r="K37" s="76">
        <v>2564606000000</v>
      </c>
      <c r="O37" s="25" t="str">
        <f t="shared" si="3"/>
        <v>Banco Nacional De Fomento</v>
      </c>
    </row>
    <row r="38" spans="2:15">
      <c r="B38" s="436" t="s">
        <v>681</v>
      </c>
      <c r="C38" s="437" t="s">
        <v>389</v>
      </c>
      <c r="D38" s="76">
        <v>1</v>
      </c>
      <c r="E38" s="76">
        <v>501000000</v>
      </c>
      <c r="F38" s="439">
        <f t="shared" si="1"/>
        <v>501000000</v>
      </c>
      <c r="G38" s="439">
        <f t="shared" si="4"/>
        <v>501000000</v>
      </c>
      <c r="H38" s="439"/>
      <c r="I38" s="76">
        <v>1687535000000</v>
      </c>
      <c r="J38" s="76">
        <v>263245000000</v>
      </c>
      <c r="K38" s="76">
        <v>2564606000000</v>
      </c>
      <c r="O38" s="25" t="str">
        <f t="shared" si="3"/>
        <v>Banco Nacional De Fomento</v>
      </c>
    </row>
    <row r="39" spans="2:15">
      <c r="B39" s="436" t="s">
        <v>681</v>
      </c>
      <c r="C39" s="437" t="s">
        <v>389</v>
      </c>
      <c r="D39" s="76">
        <v>1</v>
      </c>
      <c r="E39" s="76">
        <v>501000000</v>
      </c>
      <c r="F39" s="439">
        <f t="shared" si="1"/>
        <v>501000000</v>
      </c>
      <c r="G39" s="439">
        <f t="shared" si="4"/>
        <v>501000000</v>
      </c>
      <c r="H39" s="439"/>
      <c r="I39" s="76">
        <v>1687535000000</v>
      </c>
      <c r="J39" s="76">
        <v>263245000000</v>
      </c>
      <c r="K39" s="76">
        <v>2564606000000</v>
      </c>
      <c r="O39" s="25" t="str">
        <f t="shared" si="3"/>
        <v>Banco Nacional De Fomento</v>
      </c>
    </row>
    <row r="40" spans="2:15">
      <c r="B40" s="436" t="s">
        <v>1036</v>
      </c>
      <c r="C40" s="437" t="s">
        <v>389</v>
      </c>
      <c r="D40" s="76">
        <v>1</v>
      </c>
      <c r="E40" s="76">
        <v>250000000</v>
      </c>
      <c r="F40" s="439">
        <f t="shared" si="1"/>
        <v>250000000</v>
      </c>
      <c r="G40" s="439">
        <f t="shared" si="4"/>
        <v>250000000</v>
      </c>
      <c r="H40" s="439"/>
      <c r="I40" s="76">
        <v>104120000000</v>
      </c>
      <c r="J40" s="76">
        <v>26245000000</v>
      </c>
      <c r="K40" s="76">
        <v>178028000000</v>
      </c>
      <c r="O40" s="25" t="str">
        <f t="shared" si="3"/>
        <v>Solar Ahorro Y Finanzas S.A.E.C.A.</v>
      </c>
    </row>
    <row r="41" spans="2:15">
      <c r="B41" s="436" t="s">
        <v>1036</v>
      </c>
      <c r="C41" s="437" t="s">
        <v>389</v>
      </c>
      <c r="D41" s="76">
        <v>1</v>
      </c>
      <c r="E41" s="76">
        <v>250000000</v>
      </c>
      <c r="F41" s="439">
        <f t="shared" si="1"/>
        <v>250000000</v>
      </c>
      <c r="G41" s="439">
        <f t="shared" si="4"/>
        <v>250000000</v>
      </c>
      <c r="H41" s="439"/>
      <c r="I41" s="76">
        <v>104120000000</v>
      </c>
      <c r="J41" s="76">
        <v>26245000000</v>
      </c>
      <c r="K41" s="76">
        <v>178028000000</v>
      </c>
      <c r="O41" s="25" t="str">
        <f t="shared" si="3"/>
        <v>Solar Ahorro Y Finanzas S.A.E.C.A.</v>
      </c>
    </row>
    <row r="42" spans="2:15">
      <c r="B42" s="436" t="s">
        <v>1036</v>
      </c>
      <c r="C42" s="437" t="s">
        <v>389</v>
      </c>
      <c r="D42" s="76">
        <v>1</v>
      </c>
      <c r="E42" s="76">
        <v>250000000</v>
      </c>
      <c r="F42" s="439">
        <f t="shared" si="1"/>
        <v>250000000</v>
      </c>
      <c r="G42" s="439">
        <f t="shared" si="4"/>
        <v>250000000</v>
      </c>
      <c r="H42" s="439"/>
      <c r="I42" s="76">
        <v>104120000000</v>
      </c>
      <c r="J42" s="76">
        <v>26245000000</v>
      </c>
      <c r="K42" s="76">
        <v>178028000000</v>
      </c>
      <c r="O42" s="25" t="str">
        <f t="shared" si="3"/>
        <v>Solar Ahorro Y Finanzas S.A.E.C.A.</v>
      </c>
    </row>
    <row r="43" spans="2:15">
      <c r="B43" s="436" t="s">
        <v>1036</v>
      </c>
      <c r="C43" s="437" t="s">
        <v>389</v>
      </c>
      <c r="D43" s="76">
        <v>1</v>
      </c>
      <c r="E43" s="76">
        <v>250000000</v>
      </c>
      <c r="F43" s="439">
        <f t="shared" si="1"/>
        <v>250000000</v>
      </c>
      <c r="G43" s="439">
        <f t="shared" si="4"/>
        <v>250000000</v>
      </c>
      <c r="H43" s="439"/>
      <c r="I43" s="76">
        <v>104120000000</v>
      </c>
      <c r="J43" s="76">
        <v>26245000000</v>
      </c>
      <c r="K43" s="76">
        <v>178028000000</v>
      </c>
      <c r="O43" s="25" t="str">
        <f t="shared" si="3"/>
        <v>Solar Ahorro Y Finanzas S.A.E.C.A.</v>
      </c>
    </row>
    <row r="44" spans="2:15">
      <c r="B44" s="436" t="s">
        <v>1036</v>
      </c>
      <c r="C44" s="437" t="s">
        <v>389</v>
      </c>
      <c r="D44" s="76">
        <v>1</v>
      </c>
      <c r="E44" s="76">
        <v>250000000</v>
      </c>
      <c r="F44" s="439">
        <f t="shared" si="1"/>
        <v>250000000</v>
      </c>
      <c r="G44" s="439">
        <f t="shared" si="4"/>
        <v>250000000</v>
      </c>
      <c r="H44" s="439"/>
      <c r="I44" s="76">
        <v>104120000000</v>
      </c>
      <c r="J44" s="76">
        <v>26245000000</v>
      </c>
      <c r="K44" s="76">
        <v>178028000000</v>
      </c>
      <c r="O44" s="25" t="str">
        <f t="shared" si="3"/>
        <v>Solar Ahorro Y Finanzas S.A.E.C.A.</v>
      </c>
    </row>
    <row r="45" spans="2:15">
      <c r="B45" s="436" t="s">
        <v>1036</v>
      </c>
      <c r="C45" s="437" t="s">
        <v>389</v>
      </c>
      <c r="D45" s="76">
        <v>1</v>
      </c>
      <c r="E45" s="76">
        <v>250000000</v>
      </c>
      <c r="F45" s="439">
        <f t="shared" si="1"/>
        <v>250000000</v>
      </c>
      <c r="G45" s="439">
        <f t="shared" si="4"/>
        <v>250000000</v>
      </c>
      <c r="H45" s="439"/>
      <c r="I45" s="76">
        <v>104120000000</v>
      </c>
      <c r="J45" s="76">
        <v>26245000000</v>
      </c>
      <c r="K45" s="76">
        <v>178028000000</v>
      </c>
      <c r="O45" s="25" t="str">
        <f t="shared" si="3"/>
        <v>Solar Ahorro Y Finanzas S.A.E.C.A.</v>
      </c>
    </row>
    <row r="46" spans="2:15">
      <c r="B46" s="436" t="s">
        <v>1036</v>
      </c>
      <c r="C46" s="437" t="s">
        <v>389</v>
      </c>
      <c r="D46" s="76">
        <v>1</v>
      </c>
      <c r="E46" s="76">
        <v>250000000</v>
      </c>
      <c r="F46" s="439">
        <f t="shared" si="1"/>
        <v>250000000</v>
      </c>
      <c r="G46" s="439">
        <f t="shared" si="4"/>
        <v>250000000</v>
      </c>
      <c r="H46" s="439"/>
      <c r="I46" s="76">
        <v>104120000000</v>
      </c>
      <c r="J46" s="76">
        <v>26245000000</v>
      </c>
      <c r="K46" s="76">
        <v>178028000000</v>
      </c>
      <c r="O46" s="25" t="str">
        <f t="shared" si="3"/>
        <v>Solar Ahorro Y Finanzas S.A.E.C.A.</v>
      </c>
    </row>
    <row r="47" spans="2:15">
      <c r="B47" s="436" t="s">
        <v>1036</v>
      </c>
      <c r="C47" s="437" t="s">
        <v>389</v>
      </c>
      <c r="D47" s="76">
        <v>1</v>
      </c>
      <c r="E47" s="76">
        <v>250000000</v>
      </c>
      <c r="F47" s="439">
        <f t="shared" si="1"/>
        <v>250000000</v>
      </c>
      <c r="G47" s="439">
        <f t="shared" si="4"/>
        <v>250000000</v>
      </c>
      <c r="H47" s="439"/>
      <c r="I47" s="76">
        <v>104120000000</v>
      </c>
      <c r="J47" s="76">
        <v>26245000000</v>
      </c>
      <c r="K47" s="76">
        <v>178028000000</v>
      </c>
      <c r="O47" s="25" t="str">
        <f t="shared" si="3"/>
        <v>Solar Ahorro Y Finanzas S.A.E.C.A.</v>
      </c>
    </row>
    <row r="48" spans="2:15">
      <c r="B48" s="436" t="s">
        <v>1036</v>
      </c>
      <c r="C48" s="437" t="s">
        <v>389</v>
      </c>
      <c r="D48" s="76">
        <v>1</v>
      </c>
      <c r="E48" s="76">
        <v>250000000</v>
      </c>
      <c r="F48" s="439">
        <f t="shared" si="1"/>
        <v>250000000</v>
      </c>
      <c r="G48" s="439">
        <f t="shared" si="4"/>
        <v>250000000</v>
      </c>
      <c r="H48" s="439"/>
      <c r="I48" s="76">
        <v>104120000000</v>
      </c>
      <c r="J48" s="76">
        <v>26245000000</v>
      </c>
      <c r="K48" s="76">
        <v>178028000000</v>
      </c>
      <c r="O48" s="25" t="str">
        <f t="shared" si="3"/>
        <v>Solar Ahorro Y Finanzas S.A.E.C.A.</v>
      </c>
    </row>
    <row r="49" spans="2:15">
      <c r="B49" s="436" t="s">
        <v>1036</v>
      </c>
      <c r="C49" s="437" t="s">
        <v>389</v>
      </c>
      <c r="D49" s="76">
        <v>1</v>
      </c>
      <c r="E49" s="76">
        <v>250000000</v>
      </c>
      <c r="F49" s="439">
        <f t="shared" si="1"/>
        <v>250000000</v>
      </c>
      <c r="G49" s="439">
        <f t="shared" si="4"/>
        <v>250000000</v>
      </c>
      <c r="H49" s="439"/>
      <c r="I49" s="76">
        <v>104120000000</v>
      </c>
      <c r="J49" s="76">
        <v>26245000000</v>
      </c>
      <c r="K49" s="76">
        <v>178028000000</v>
      </c>
      <c r="O49" s="25" t="str">
        <f t="shared" si="3"/>
        <v>Solar Ahorro Y Finanzas S.A.E.C.A.</v>
      </c>
    </row>
    <row r="50" spans="2:15">
      <c r="B50" s="436" t="s">
        <v>1036</v>
      </c>
      <c r="C50" s="437" t="s">
        <v>389</v>
      </c>
      <c r="D50" s="76">
        <v>1</v>
      </c>
      <c r="E50" s="76">
        <v>250000000</v>
      </c>
      <c r="F50" s="439">
        <f t="shared" si="1"/>
        <v>250000000</v>
      </c>
      <c r="G50" s="439">
        <f t="shared" si="4"/>
        <v>250000000</v>
      </c>
      <c r="H50" s="439"/>
      <c r="I50" s="76">
        <v>104120000000</v>
      </c>
      <c r="J50" s="76">
        <v>26245000000</v>
      </c>
      <c r="K50" s="76">
        <v>178028000000</v>
      </c>
      <c r="O50" s="25" t="str">
        <f t="shared" si="3"/>
        <v>Solar Ahorro Y Finanzas S.A.E.C.A.</v>
      </c>
    </row>
    <row r="51" spans="2:15">
      <c r="B51" s="436" t="s">
        <v>1036</v>
      </c>
      <c r="C51" s="437" t="s">
        <v>389</v>
      </c>
      <c r="D51" s="76">
        <v>1</v>
      </c>
      <c r="E51" s="76">
        <v>250000000</v>
      </c>
      <c r="F51" s="439">
        <f t="shared" si="1"/>
        <v>250000000</v>
      </c>
      <c r="G51" s="439">
        <f t="shared" si="4"/>
        <v>250000000</v>
      </c>
      <c r="H51" s="439"/>
      <c r="I51" s="76">
        <v>104120000000</v>
      </c>
      <c r="J51" s="76">
        <v>26245000000</v>
      </c>
      <c r="K51" s="76">
        <v>178028000000</v>
      </c>
      <c r="O51" s="25" t="str">
        <f t="shared" si="3"/>
        <v>Solar Ahorro Y Finanzas S.A.E.C.A.</v>
      </c>
    </row>
    <row r="52" spans="2:15">
      <c r="B52" s="436" t="s">
        <v>1036</v>
      </c>
      <c r="C52" s="437" t="s">
        <v>389</v>
      </c>
      <c r="D52" s="76">
        <v>1</v>
      </c>
      <c r="E52" s="76">
        <v>250000000</v>
      </c>
      <c r="F52" s="439">
        <f t="shared" si="1"/>
        <v>250000000</v>
      </c>
      <c r="G52" s="439">
        <f t="shared" si="4"/>
        <v>250000000</v>
      </c>
      <c r="H52" s="439"/>
      <c r="I52" s="76">
        <v>104120000000</v>
      </c>
      <c r="J52" s="76">
        <v>26245000000</v>
      </c>
      <c r="K52" s="76">
        <v>178028000000</v>
      </c>
      <c r="O52" s="25" t="str">
        <f t="shared" si="3"/>
        <v>Solar Ahorro Y Finanzas S.A.E.C.A.</v>
      </c>
    </row>
    <row r="53" spans="2:15">
      <c r="B53" s="436" t="s">
        <v>1036</v>
      </c>
      <c r="C53" s="437" t="s">
        <v>389</v>
      </c>
      <c r="D53" s="76">
        <v>1</v>
      </c>
      <c r="E53" s="76">
        <v>250000000</v>
      </c>
      <c r="F53" s="439">
        <f t="shared" si="1"/>
        <v>250000000</v>
      </c>
      <c r="G53" s="439">
        <f t="shared" si="4"/>
        <v>250000000</v>
      </c>
      <c r="H53" s="439"/>
      <c r="I53" s="76">
        <v>104120000000</v>
      </c>
      <c r="J53" s="76">
        <v>26245000000</v>
      </c>
      <c r="K53" s="76">
        <v>178028000000</v>
      </c>
      <c r="O53" s="25" t="str">
        <f t="shared" si="3"/>
        <v>Solar Ahorro Y Finanzas S.A.E.C.A.</v>
      </c>
    </row>
    <row r="54" spans="2:15">
      <c r="B54" s="436" t="s">
        <v>1036</v>
      </c>
      <c r="C54" s="437" t="s">
        <v>389</v>
      </c>
      <c r="D54" s="76">
        <v>1</v>
      </c>
      <c r="E54" s="76">
        <v>250000000</v>
      </c>
      <c r="F54" s="439">
        <f t="shared" si="1"/>
        <v>250000000</v>
      </c>
      <c r="G54" s="439">
        <f t="shared" si="4"/>
        <v>250000000</v>
      </c>
      <c r="H54" s="439"/>
      <c r="I54" s="76">
        <v>104120000000</v>
      </c>
      <c r="J54" s="76">
        <v>26245000000</v>
      </c>
      <c r="K54" s="76">
        <v>178028000000</v>
      </c>
      <c r="O54" s="25" t="str">
        <f t="shared" si="3"/>
        <v>Solar Ahorro Y Finanzas S.A.E.C.A.</v>
      </c>
    </row>
    <row r="55" spans="2:15">
      <c r="B55" s="436" t="s">
        <v>1036</v>
      </c>
      <c r="C55" s="437" t="s">
        <v>389</v>
      </c>
      <c r="D55" s="76">
        <v>1</v>
      </c>
      <c r="E55" s="76">
        <v>250000000</v>
      </c>
      <c r="F55" s="439">
        <f t="shared" si="1"/>
        <v>250000000</v>
      </c>
      <c r="G55" s="439">
        <f t="shared" si="4"/>
        <v>250000000</v>
      </c>
      <c r="H55" s="439"/>
      <c r="I55" s="76">
        <v>104120000000</v>
      </c>
      <c r="J55" s="76">
        <v>26245000000</v>
      </c>
      <c r="K55" s="76">
        <v>178028000000</v>
      </c>
      <c r="O55" s="25" t="str">
        <f t="shared" si="3"/>
        <v>Solar Ahorro Y Finanzas S.A.E.C.A.</v>
      </c>
    </row>
    <row r="56" spans="2:15">
      <c r="B56" s="436" t="s">
        <v>1036</v>
      </c>
      <c r="C56" s="437" t="s">
        <v>389</v>
      </c>
      <c r="D56" s="76">
        <v>1</v>
      </c>
      <c r="E56" s="76">
        <v>250000000</v>
      </c>
      <c r="F56" s="439">
        <f t="shared" si="1"/>
        <v>250000000</v>
      </c>
      <c r="G56" s="439">
        <f t="shared" si="4"/>
        <v>250000000</v>
      </c>
      <c r="H56" s="76"/>
      <c r="I56" s="76">
        <v>104120000000</v>
      </c>
      <c r="J56" s="76">
        <v>26245000000</v>
      </c>
      <c r="K56" s="76">
        <v>178028000000</v>
      </c>
      <c r="O56" s="25" t="str">
        <f t="shared" si="3"/>
        <v>Solar Ahorro Y Finanzas S.A.E.C.A.</v>
      </c>
    </row>
    <row r="57" spans="2:15">
      <c r="B57" s="436" t="s">
        <v>1036</v>
      </c>
      <c r="C57" s="437" t="s">
        <v>389</v>
      </c>
      <c r="D57" s="76">
        <v>1</v>
      </c>
      <c r="E57" s="76">
        <v>250000000</v>
      </c>
      <c r="F57" s="439">
        <f t="shared" si="1"/>
        <v>250000000</v>
      </c>
      <c r="G57" s="439">
        <f t="shared" si="4"/>
        <v>250000000</v>
      </c>
      <c r="H57" s="76"/>
      <c r="I57" s="76">
        <v>104120000000</v>
      </c>
      <c r="J57" s="76">
        <v>26245000000</v>
      </c>
      <c r="K57" s="76">
        <v>178028000000</v>
      </c>
      <c r="O57" s="25" t="str">
        <f t="shared" si="3"/>
        <v>Solar Ahorro Y Finanzas S.A.E.C.A.</v>
      </c>
    </row>
    <row r="58" spans="2:15">
      <c r="B58" s="436" t="s">
        <v>1036</v>
      </c>
      <c r="C58" s="437" t="s">
        <v>389</v>
      </c>
      <c r="D58" s="76">
        <v>1</v>
      </c>
      <c r="E58" s="76">
        <v>250000000</v>
      </c>
      <c r="F58" s="439">
        <f t="shared" si="1"/>
        <v>250000000</v>
      </c>
      <c r="G58" s="439">
        <f t="shared" si="4"/>
        <v>250000000</v>
      </c>
      <c r="H58" s="76"/>
      <c r="I58" s="76">
        <v>104120000000</v>
      </c>
      <c r="J58" s="76">
        <v>26245000000</v>
      </c>
      <c r="K58" s="76">
        <v>178028000000</v>
      </c>
      <c r="O58" s="25" t="str">
        <f t="shared" si="3"/>
        <v>Solar Ahorro Y Finanzas S.A.E.C.A.</v>
      </c>
    </row>
    <row r="59" spans="2:15">
      <c r="B59" s="436" t="s">
        <v>1036</v>
      </c>
      <c r="C59" s="437" t="s">
        <v>389</v>
      </c>
      <c r="D59" s="76">
        <v>1</v>
      </c>
      <c r="E59" s="76">
        <v>250000000</v>
      </c>
      <c r="F59" s="439">
        <f t="shared" si="1"/>
        <v>250000000</v>
      </c>
      <c r="G59" s="439">
        <f t="shared" si="4"/>
        <v>250000000</v>
      </c>
      <c r="H59" s="76"/>
      <c r="I59" s="76">
        <v>104120000000</v>
      </c>
      <c r="J59" s="76">
        <v>26245000000</v>
      </c>
      <c r="K59" s="76">
        <v>178028000000</v>
      </c>
      <c r="O59" s="25" t="str">
        <f t="shared" si="3"/>
        <v>Solar Ahorro Y Finanzas S.A.E.C.A.</v>
      </c>
    </row>
    <row r="60" spans="2:15">
      <c r="B60" s="436" t="s">
        <v>683</v>
      </c>
      <c r="C60" s="437" t="s">
        <v>389</v>
      </c>
      <c r="D60" s="76">
        <v>1</v>
      </c>
      <c r="E60" s="76">
        <f>50000*6870.81</f>
        <v>343540500</v>
      </c>
      <c r="F60" s="439">
        <f t="shared" si="1"/>
        <v>343540500</v>
      </c>
      <c r="G60" s="439">
        <f t="shared" si="4"/>
        <v>343540500</v>
      </c>
      <c r="H60" s="76"/>
      <c r="I60" s="76">
        <v>375295000000</v>
      </c>
      <c r="J60" s="76">
        <v>40194000000</v>
      </c>
      <c r="K60" s="76">
        <v>1563541000000</v>
      </c>
      <c r="O60" s="25" t="str">
        <f t="shared" si="3"/>
        <v>Banco Rio S.A.E.C.A.</v>
      </c>
    </row>
    <row r="61" spans="2:15">
      <c r="B61" s="436" t="s">
        <v>683</v>
      </c>
      <c r="C61" s="437" t="s">
        <v>389</v>
      </c>
      <c r="D61" s="76">
        <v>1</v>
      </c>
      <c r="E61" s="76">
        <f>50000*6870.81</f>
        <v>343540500</v>
      </c>
      <c r="F61" s="439">
        <f t="shared" si="1"/>
        <v>343540500</v>
      </c>
      <c r="G61" s="439">
        <f>+E61/D61</f>
        <v>343540500</v>
      </c>
      <c r="H61" s="76"/>
      <c r="I61" s="76">
        <v>375295000000</v>
      </c>
      <c r="J61" s="76">
        <v>40194000000</v>
      </c>
      <c r="K61" s="76">
        <v>1563541000000</v>
      </c>
      <c r="O61" s="25" t="str">
        <f t="shared" si="3"/>
        <v>Banco Rio S.A.E.C.A.</v>
      </c>
    </row>
    <row r="62" spans="2:15">
      <c r="B62" s="639" t="s">
        <v>680</v>
      </c>
      <c r="C62" s="437" t="s">
        <v>389</v>
      </c>
      <c r="D62" s="76">
        <v>1</v>
      </c>
      <c r="E62" s="640">
        <v>12588866686</v>
      </c>
      <c r="F62" s="439">
        <f t="shared" si="1"/>
        <v>12588866686</v>
      </c>
      <c r="G62" s="439">
        <f>+E62/D62</f>
        <v>12588866686</v>
      </c>
      <c r="H62" s="640"/>
      <c r="I62" s="640">
        <v>1133000000000</v>
      </c>
      <c r="J62" s="640">
        <v>708065000000</v>
      </c>
      <c r="K62" s="641">
        <v>3651857000000</v>
      </c>
      <c r="O62" s="25" t="str">
        <f t="shared" si="3"/>
        <v>Banco Itaú Paraguay S.A.</v>
      </c>
    </row>
    <row r="63" spans="2:15" s="647" customFormat="1">
      <c r="B63" s="639" t="s">
        <v>1037</v>
      </c>
      <c r="C63" s="642"/>
      <c r="D63" s="643"/>
      <c r="E63" s="644"/>
      <c r="F63" s="645">
        <f>+'Balance Gral. Resol. 30'!D20</f>
        <v>1811764209</v>
      </c>
      <c r="G63" s="645"/>
      <c r="H63" s="644"/>
      <c r="I63" s="644"/>
      <c r="J63" s="644"/>
      <c r="K63" s="646"/>
      <c r="O63" s="25" t="str">
        <f t="shared" si="3"/>
        <v>Intereses A Cobrar Por Renta Fija</v>
      </c>
    </row>
    <row r="64" spans="2:15" ht="12.75" thickBot="1">
      <c r="B64" s="726" t="s">
        <v>682</v>
      </c>
      <c r="C64" s="727"/>
      <c r="D64" s="727"/>
      <c r="E64" s="727"/>
      <c r="F64" s="727"/>
      <c r="G64" s="727"/>
      <c r="H64" s="727"/>
      <c r="I64" s="727"/>
      <c r="J64" s="727"/>
      <c r="K64" s="728"/>
      <c r="O64" s="25" t="str">
        <f t="shared" si="3"/>
        <v>Titulos De Renta Variable</v>
      </c>
    </row>
    <row r="65" spans="2:15" ht="12.75" thickBot="1">
      <c r="B65" s="73"/>
      <c r="C65" s="375" t="s">
        <v>379</v>
      </c>
      <c r="D65" s="376" t="s">
        <v>380</v>
      </c>
      <c r="E65" s="376" t="s">
        <v>381</v>
      </c>
      <c r="F65" s="376" t="s">
        <v>381</v>
      </c>
      <c r="G65" s="430" t="s">
        <v>695</v>
      </c>
      <c r="H65" s="430" t="s">
        <v>696</v>
      </c>
      <c r="I65" s="376" t="s">
        <v>249</v>
      </c>
      <c r="J65" s="376" t="s">
        <v>382</v>
      </c>
      <c r="K65" s="376" t="s">
        <v>383</v>
      </c>
      <c r="O65" s="25" t="str">
        <f t="shared" si="3"/>
        <v/>
      </c>
    </row>
    <row r="66" spans="2:15">
      <c r="B66" s="44" t="s">
        <v>384</v>
      </c>
      <c r="C66" s="74" t="s">
        <v>385</v>
      </c>
      <c r="D66" s="75" t="s">
        <v>386</v>
      </c>
      <c r="E66" s="75" t="s">
        <v>387</v>
      </c>
      <c r="F66" s="75" t="s">
        <v>388</v>
      </c>
      <c r="G66" s="75" t="s">
        <v>406</v>
      </c>
      <c r="H66" s="75" t="s">
        <v>697</v>
      </c>
      <c r="I66" s="76"/>
      <c r="J66" s="76"/>
      <c r="K66" s="76"/>
      <c r="O66" s="25" t="str">
        <f t="shared" si="3"/>
        <v>Emisor</v>
      </c>
    </row>
    <row r="67" spans="2:15">
      <c r="B67" s="429" t="s">
        <v>392</v>
      </c>
      <c r="C67" s="74"/>
      <c r="D67" s="75">
        <f>SUM(D68:D83)</f>
        <v>18929</v>
      </c>
      <c r="E67" s="75">
        <f t="shared" ref="E67:F67" si="5">SUM(E68:E83)</f>
        <v>902900000</v>
      </c>
      <c r="F67" s="75">
        <f t="shared" si="5"/>
        <v>1250020000</v>
      </c>
      <c r="G67" s="376"/>
      <c r="H67" s="376"/>
      <c r="I67" s="376"/>
      <c r="J67" s="376"/>
      <c r="K67" s="376"/>
      <c r="M67" s="39">
        <f>+'Balance Gral. Resol. 30'!D18</f>
        <v>1250020000</v>
      </c>
      <c r="O67" s="25" t="str">
        <f t="shared" si="3"/>
        <v>Inversiones Temporales</v>
      </c>
    </row>
    <row r="68" spans="2:15">
      <c r="B68" s="436" t="s">
        <v>685</v>
      </c>
      <c r="C68" s="437" t="s">
        <v>534</v>
      </c>
      <c r="D68" s="76">
        <v>897</v>
      </c>
      <c r="E68" s="76">
        <v>89700000</v>
      </c>
      <c r="F68" s="76">
        <v>89700000</v>
      </c>
      <c r="G68" s="489">
        <f>+E68/D68</f>
        <v>100000</v>
      </c>
      <c r="H68" s="376" t="s">
        <v>743</v>
      </c>
      <c r="I68" s="489">
        <v>75860000</v>
      </c>
      <c r="J68" s="489">
        <v>-6334355.0779999923</v>
      </c>
      <c r="K68" s="489">
        <v>82889214.845000014</v>
      </c>
      <c r="O68" s="25" t="str">
        <f t="shared" si="3"/>
        <v xml:space="preserve">Lc Risk Management S.A.E.C.A. </v>
      </c>
    </row>
    <row r="69" spans="2:15">
      <c r="B69" s="436" t="s">
        <v>685</v>
      </c>
      <c r="C69" s="437" t="s">
        <v>534</v>
      </c>
      <c r="D69" s="76">
        <v>853</v>
      </c>
      <c r="E69" s="76">
        <v>85300000</v>
      </c>
      <c r="F69" s="76">
        <v>85300000</v>
      </c>
      <c r="G69" s="489">
        <f t="shared" ref="G69:G83" si="6">+E69/D69</f>
        <v>100000</v>
      </c>
      <c r="H69" s="376" t="s">
        <v>743</v>
      </c>
      <c r="I69" s="489">
        <v>75860000</v>
      </c>
      <c r="J69" s="489">
        <v>-6334355.0779999923</v>
      </c>
      <c r="K69" s="489">
        <v>82889214.845000014</v>
      </c>
      <c r="O69" s="25" t="str">
        <f t="shared" si="3"/>
        <v xml:space="preserve">Lc Risk Management S.A.E.C.A. </v>
      </c>
    </row>
    <row r="70" spans="2:15">
      <c r="B70" s="436" t="s">
        <v>684</v>
      </c>
      <c r="C70" s="437" t="s">
        <v>534</v>
      </c>
      <c r="D70" s="76">
        <v>10000</v>
      </c>
      <c r="E70" s="76">
        <v>10000000</v>
      </c>
      <c r="F70" s="76">
        <v>10000000</v>
      </c>
      <c r="G70" s="489">
        <f t="shared" si="6"/>
        <v>1000</v>
      </c>
      <c r="H70" s="376" t="s">
        <v>743</v>
      </c>
      <c r="I70" s="376" t="s">
        <v>743</v>
      </c>
      <c r="J70" s="376" t="s">
        <v>743</v>
      </c>
      <c r="K70" s="376" t="s">
        <v>743</v>
      </c>
      <c r="O70" s="25" t="str">
        <f t="shared" si="3"/>
        <v>Compañia Administradora De Riesgos Sa</v>
      </c>
    </row>
    <row r="71" spans="2:15">
      <c r="B71" s="436" t="s">
        <v>683</v>
      </c>
      <c r="C71" s="437" t="s">
        <v>534</v>
      </c>
      <c r="D71" s="76">
        <v>113</v>
      </c>
      <c r="E71" s="76">
        <v>11300000</v>
      </c>
      <c r="F71" s="76">
        <v>16950000</v>
      </c>
      <c r="G71" s="489">
        <f t="shared" si="6"/>
        <v>100000</v>
      </c>
      <c r="H71" s="376" t="s">
        <v>743</v>
      </c>
      <c r="I71" s="489">
        <v>375295000000</v>
      </c>
      <c r="J71" s="489">
        <v>40194000000</v>
      </c>
      <c r="K71" s="489">
        <v>1563541000000</v>
      </c>
      <c r="O71" s="25" t="str">
        <f t="shared" si="3"/>
        <v>Banco Rio S.A.E.C.A.</v>
      </c>
    </row>
    <row r="72" spans="2:15">
      <c r="B72" s="436" t="s">
        <v>683</v>
      </c>
      <c r="C72" s="437" t="s">
        <v>534</v>
      </c>
      <c r="D72" s="76">
        <v>60</v>
      </c>
      <c r="E72" s="76">
        <v>6000000</v>
      </c>
      <c r="F72" s="76">
        <v>9000000</v>
      </c>
      <c r="G72" s="489">
        <f t="shared" si="6"/>
        <v>100000</v>
      </c>
      <c r="H72" s="376" t="s">
        <v>743</v>
      </c>
      <c r="I72" s="489">
        <v>375295000000</v>
      </c>
      <c r="J72" s="489">
        <v>40194000000</v>
      </c>
      <c r="K72" s="489">
        <v>1563541000000</v>
      </c>
      <c r="O72" s="25" t="str">
        <f t="shared" si="3"/>
        <v>Banco Rio S.A.E.C.A.</v>
      </c>
    </row>
    <row r="73" spans="2:15">
      <c r="B73" s="436" t="s">
        <v>683</v>
      </c>
      <c r="C73" s="437" t="s">
        <v>534</v>
      </c>
      <c r="D73" s="76">
        <v>190</v>
      </c>
      <c r="E73" s="76">
        <v>19000000</v>
      </c>
      <c r="F73" s="76">
        <v>28500000</v>
      </c>
      <c r="G73" s="489">
        <f t="shared" si="6"/>
        <v>100000</v>
      </c>
      <c r="H73" s="376" t="s">
        <v>743</v>
      </c>
      <c r="I73" s="489">
        <v>375295000000</v>
      </c>
      <c r="J73" s="489">
        <v>40194000000</v>
      </c>
      <c r="K73" s="489">
        <v>1563541000000</v>
      </c>
      <c r="O73" s="25" t="str">
        <f t="shared" si="3"/>
        <v>Banco Rio S.A.E.C.A.</v>
      </c>
    </row>
    <row r="74" spans="2:15">
      <c r="B74" s="436" t="s">
        <v>683</v>
      </c>
      <c r="C74" s="437" t="s">
        <v>534</v>
      </c>
      <c r="D74" s="76">
        <v>1000</v>
      </c>
      <c r="E74" s="76">
        <v>100000000</v>
      </c>
      <c r="F74" s="76">
        <v>140000000</v>
      </c>
      <c r="G74" s="489">
        <f t="shared" si="6"/>
        <v>100000</v>
      </c>
      <c r="H74" s="376" t="s">
        <v>743</v>
      </c>
      <c r="I74" s="489">
        <v>375295000000</v>
      </c>
      <c r="J74" s="489">
        <v>40194000000</v>
      </c>
      <c r="K74" s="489">
        <v>1563541000000</v>
      </c>
      <c r="O74" s="25" t="str">
        <f t="shared" si="3"/>
        <v>Banco Rio S.A.E.C.A.</v>
      </c>
    </row>
    <row r="75" spans="2:15">
      <c r="B75" s="436" t="s">
        <v>683</v>
      </c>
      <c r="C75" s="437" t="s">
        <v>534</v>
      </c>
      <c r="D75" s="76">
        <v>29</v>
      </c>
      <c r="E75" s="76">
        <v>2900000</v>
      </c>
      <c r="F75" s="76">
        <v>2900000</v>
      </c>
      <c r="G75" s="489">
        <f t="shared" si="6"/>
        <v>100000</v>
      </c>
      <c r="H75" s="376" t="s">
        <v>743</v>
      </c>
      <c r="I75" s="489">
        <v>375295000000</v>
      </c>
      <c r="J75" s="489">
        <v>40194000000</v>
      </c>
      <c r="K75" s="489">
        <v>1563541000000</v>
      </c>
      <c r="O75" s="25" t="str">
        <f t="shared" si="3"/>
        <v>Banco Rio S.A.E.C.A.</v>
      </c>
    </row>
    <row r="76" spans="2:15">
      <c r="B76" s="436" t="s">
        <v>683</v>
      </c>
      <c r="C76" s="437" t="s">
        <v>534</v>
      </c>
      <c r="D76" s="76">
        <v>770</v>
      </c>
      <c r="E76" s="76">
        <v>77000000</v>
      </c>
      <c r="F76" s="76">
        <v>150150000</v>
      </c>
      <c r="G76" s="489">
        <f t="shared" si="6"/>
        <v>100000</v>
      </c>
      <c r="H76" s="376" t="s">
        <v>743</v>
      </c>
      <c r="I76" s="489">
        <v>375295000000</v>
      </c>
      <c r="J76" s="489">
        <v>40194000000</v>
      </c>
      <c r="K76" s="489">
        <v>1563541000000</v>
      </c>
      <c r="O76" s="25" t="str">
        <f t="shared" ref="O76:O100" si="7">PROPER(B76)</f>
        <v>Banco Rio S.A.E.C.A.</v>
      </c>
    </row>
    <row r="77" spans="2:15">
      <c r="B77" s="436" t="s">
        <v>683</v>
      </c>
      <c r="C77" s="437" t="s">
        <v>534</v>
      </c>
      <c r="D77" s="76">
        <v>397</v>
      </c>
      <c r="E77" s="76">
        <v>39700000</v>
      </c>
      <c r="F77" s="76">
        <v>77415000</v>
      </c>
      <c r="G77" s="489">
        <f t="shared" si="6"/>
        <v>100000</v>
      </c>
      <c r="H77" s="376" t="s">
        <v>743</v>
      </c>
      <c r="I77" s="489">
        <v>375295000000</v>
      </c>
      <c r="J77" s="489">
        <v>40194000000</v>
      </c>
      <c r="K77" s="489">
        <v>1563541000000</v>
      </c>
      <c r="O77" s="25" t="str">
        <f t="shared" si="7"/>
        <v>Banco Rio S.A.E.C.A.</v>
      </c>
    </row>
    <row r="78" spans="2:15">
      <c r="B78" s="436" t="s">
        <v>683</v>
      </c>
      <c r="C78" s="437" t="s">
        <v>534</v>
      </c>
      <c r="D78" s="76">
        <v>945</v>
      </c>
      <c r="E78" s="76">
        <v>94500000</v>
      </c>
      <c r="F78" s="76">
        <v>146475000</v>
      </c>
      <c r="G78" s="489">
        <f t="shared" si="6"/>
        <v>100000</v>
      </c>
      <c r="H78" s="376" t="s">
        <v>743</v>
      </c>
      <c r="I78" s="489">
        <v>375295000000</v>
      </c>
      <c r="J78" s="489">
        <v>40194000000</v>
      </c>
      <c r="K78" s="489">
        <v>1563541000000</v>
      </c>
      <c r="O78" s="25" t="str">
        <f t="shared" si="7"/>
        <v>Banco Rio S.A.E.C.A.</v>
      </c>
    </row>
    <row r="79" spans="2:15">
      <c r="B79" s="436" t="s">
        <v>683</v>
      </c>
      <c r="C79" s="437" t="s">
        <v>534</v>
      </c>
      <c r="D79" s="76">
        <v>547</v>
      </c>
      <c r="E79" s="76">
        <v>54700000</v>
      </c>
      <c r="F79" s="76">
        <v>73845000</v>
      </c>
      <c r="G79" s="489">
        <f t="shared" si="6"/>
        <v>100000</v>
      </c>
      <c r="H79" s="376" t="s">
        <v>743</v>
      </c>
      <c r="I79" s="489">
        <v>375295000000</v>
      </c>
      <c r="J79" s="489">
        <v>40194000000</v>
      </c>
      <c r="K79" s="489">
        <v>1563541000000</v>
      </c>
      <c r="O79" s="25" t="str">
        <f t="shared" si="7"/>
        <v>Banco Rio S.A.E.C.A.</v>
      </c>
    </row>
    <row r="80" spans="2:15">
      <c r="B80" s="436" t="s">
        <v>683</v>
      </c>
      <c r="C80" s="437" t="s">
        <v>534</v>
      </c>
      <c r="D80" s="76">
        <v>1943</v>
      </c>
      <c r="E80" s="76">
        <v>194300000</v>
      </c>
      <c r="F80" s="76">
        <v>272020000</v>
      </c>
      <c r="G80" s="489">
        <f t="shared" si="6"/>
        <v>100000</v>
      </c>
      <c r="H80" s="376" t="s">
        <v>743</v>
      </c>
      <c r="I80" s="489">
        <v>375295000000</v>
      </c>
      <c r="J80" s="489">
        <v>40194000000</v>
      </c>
      <c r="K80" s="489">
        <v>1563541000000</v>
      </c>
      <c r="O80" s="25" t="str">
        <f t="shared" si="7"/>
        <v>Banco Rio S.A.E.C.A.</v>
      </c>
    </row>
    <row r="81" spans="2:15">
      <c r="B81" s="436" t="s">
        <v>683</v>
      </c>
      <c r="C81" s="437" t="s">
        <v>534</v>
      </c>
      <c r="D81" s="76">
        <v>667</v>
      </c>
      <c r="E81" s="76">
        <v>66700000</v>
      </c>
      <c r="F81" s="76">
        <v>93380000</v>
      </c>
      <c r="G81" s="489">
        <f t="shared" si="6"/>
        <v>100000</v>
      </c>
      <c r="H81" s="376" t="s">
        <v>743</v>
      </c>
      <c r="I81" s="489">
        <v>375295000000</v>
      </c>
      <c r="J81" s="489">
        <v>40194000000</v>
      </c>
      <c r="K81" s="489">
        <v>1563541000000</v>
      </c>
      <c r="O81" s="25" t="str">
        <f t="shared" si="7"/>
        <v>Banco Rio S.A.E.C.A.</v>
      </c>
    </row>
    <row r="82" spans="2:15">
      <c r="B82" s="436" t="s">
        <v>686</v>
      </c>
      <c r="C82" s="437" t="s">
        <v>534</v>
      </c>
      <c r="D82" s="76">
        <v>471</v>
      </c>
      <c r="E82" s="76">
        <v>47100000</v>
      </c>
      <c r="F82" s="76">
        <v>47100000</v>
      </c>
      <c r="G82" s="489">
        <f t="shared" si="6"/>
        <v>100000</v>
      </c>
      <c r="H82" s="376" t="s">
        <v>743</v>
      </c>
      <c r="I82" s="489">
        <v>150000000000</v>
      </c>
      <c r="J82" s="489">
        <v>29202000000</v>
      </c>
      <c r="K82" s="489">
        <v>313709000000</v>
      </c>
      <c r="O82" s="25" t="str">
        <f t="shared" si="7"/>
        <v>Patria Sa De Seguros Y Reaseguros</v>
      </c>
    </row>
    <row r="83" spans="2:15">
      <c r="B83" s="436" t="s">
        <v>683</v>
      </c>
      <c r="C83" s="437" t="s">
        <v>534</v>
      </c>
      <c r="D83" s="76">
        <v>47</v>
      </c>
      <c r="E83" s="76">
        <v>4700000</v>
      </c>
      <c r="F83" s="76">
        <v>7285000</v>
      </c>
      <c r="G83" s="489">
        <f t="shared" si="6"/>
        <v>100000</v>
      </c>
      <c r="H83" s="376" t="s">
        <v>743</v>
      </c>
      <c r="I83" s="489">
        <v>375295000000</v>
      </c>
      <c r="J83" s="489">
        <v>40194000000</v>
      </c>
      <c r="K83" s="489">
        <v>1563541000000</v>
      </c>
      <c r="O83" s="25" t="str">
        <f t="shared" si="7"/>
        <v>Banco Rio S.A.E.C.A.</v>
      </c>
    </row>
    <row r="84" spans="2:15">
      <c r="B84" s="429" t="s">
        <v>393</v>
      </c>
      <c r="C84" s="74" t="s">
        <v>534</v>
      </c>
      <c r="D84" s="75">
        <f>SUM(D85:D91)</f>
        <v>179222</v>
      </c>
      <c r="E84" s="75">
        <f>SUM(E85:E91)</f>
        <v>26308500000</v>
      </c>
      <c r="F84" s="75">
        <f>SUM(F85:F91)</f>
        <v>27055951703</v>
      </c>
      <c r="G84" s="489"/>
      <c r="H84" s="376"/>
      <c r="I84" s="490"/>
      <c r="J84" s="490"/>
      <c r="K84" s="490"/>
      <c r="M84" s="438">
        <f>+'Balance Gral. Resol. 30'!D50</f>
        <v>27055951703</v>
      </c>
      <c r="N84" s="438">
        <f>+M84-F84</f>
        <v>0</v>
      </c>
      <c r="O84" s="25" t="str">
        <f t="shared" si="7"/>
        <v>Inversiones Permanentes</v>
      </c>
    </row>
    <row r="85" spans="2:15">
      <c r="B85" s="436" t="s">
        <v>687</v>
      </c>
      <c r="C85" s="437" t="s">
        <v>534</v>
      </c>
      <c r="D85" s="76">
        <v>499</v>
      </c>
      <c r="E85" s="76">
        <f>1000000*D85</f>
        <v>499000000</v>
      </c>
      <c r="F85" s="76">
        <f>+E85</f>
        <v>499000000</v>
      </c>
      <c r="G85" s="489">
        <f t="shared" ref="G85:G90" si="8">+E85/D85</f>
        <v>1000000</v>
      </c>
      <c r="H85" s="376" t="s">
        <v>743</v>
      </c>
      <c r="I85" s="489">
        <v>500000000</v>
      </c>
      <c r="J85" s="489">
        <v>-152640530</v>
      </c>
      <c r="K85" s="489">
        <v>347359470</v>
      </c>
      <c r="O85" s="25" t="str">
        <f t="shared" si="7"/>
        <v>Acciones En  Market Data Sa</v>
      </c>
    </row>
    <row r="86" spans="2:15">
      <c r="B86" s="436" t="s">
        <v>688</v>
      </c>
      <c r="C86" s="437" t="s">
        <v>534</v>
      </c>
      <c r="D86" s="76">
        <v>4080</v>
      </c>
      <c r="E86" s="76">
        <f>1000000*D86</f>
        <v>4080000000</v>
      </c>
      <c r="F86" s="76">
        <f>+E86+'Balance Gral. Resol. 30'!D48</f>
        <v>4127451703</v>
      </c>
      <c r="G86" s="489">
        <f t="shared" si="8"/>
        <v>1000000</v>
      </c>
      <c r="H86" s="376" t="s">
        <v>743</v>
      </c>
      <c r="I86" s="489">
        <v>2880000000</v>
      </c>
      <c r="J86" s="489">
        <f>1762001479+3699973280</f>
        <v>5461974759</v>
      </c>
      <c r="K86" s="489">
        <f>+I86+J86+17657900</f>
        <v>8359632659</v>
      </c>
      <c r="O86" s="25" t="str">
        <f t="shared" si="7"/>
        <v>Acciones En Afpisa</v>
      </c>
    </row>
    <row r="87" spans="2:15">
      <c r="B87" s="436" t="s">
        <v>689</v>
      </c>
      <c r="C87" s="437" t="s">
        <v>534</v>
      </c>
      <c r="D87" s="76">
        <v>3467</v>
      </c>
      <c r="E87" s="76">
        <f>1000000*D87</f>
        <v>3467000000</v>
      </c>
      <c r="F87" s="76">
        <f t="shared" ref="F87:F91" si="9">+E87</f>
        <v>3467000000</v>
      </c>
      <c r="G87" s="489">
        <f t="shared" si="8"/>
        <v>1000000</v>
      </c>
      <c r="H87" s="376" t="s">
        <v>743</v>
      </c>
      <c r="I87" s="489">
        <v>5406000000</v>
      </c>
      <c r="J87" s="489">
        <f>1457293906-26755958-71526897</f>
        <v>1359011051</v>
      </c>
      <c r="K87" s="489">
        <f>6909103833-26755958-71526897</f>
        <v>6810820978</v>
      </c>
      <c r="O87" s="25" t="str">
        <f t="shared" si="7"/>
        <v>Acciones En Procampo Gerenciamientos Sa</v>
      </c>
    </row>
    <row r="88" spans="2:15">
      <c r="B88" s="436" t="s">
        <v>690</v>
      </c>
      <c r="C88" s="437" t="s">
        <v>534</v>
      </c>
      <c r="D88" s="76">
        <v>1050</v>
      </c>
      <c r="E88" s="89">
        <f>1000000*D88</f>
        <v>1050000000</v>
      </c>
      <c r="F88" s="76">
        <f t="shared" si="9"/>
        <v>1050000000</v>
      </c>
      <c r="G88" s="489">
        <f t="shared" si="8"/>
        <v>1000000</v>
      </c>
      <c r="H88" s="376" t="s">
        <v>743</v>
      </c>
      <c r="I88" s="489">
        <v>1500000000</v>
      </c>
      <c r="J88" s="489">
        <v>611513290</v>
      </c>
      <c r="K88" s="489">
        <v>2191780436</v>
      </c>
      <c r="O88" s="25" t="str">
        <f t="shared" si="7"/>
        <v>Acciones En  Codesarrollos Sa</v>
      </c>
    </row>
    <row r="89" spans="2:15">
      <c r="B89" s="436" t="s">
        <v>968</v>
      </c>
      <c r="C89" s="437" t="s">
        <v>534</v>
      </c>
      <c r="D89" s="76">
        <v>160125</v>
      </c>
      <c r="E89" s="89">
        <f>100000*D89</f>
        <v>16012500000</v>
      </c>
      <c r="F89" s="76">
        <f t="shared" si="9"/>
        <v>16012500000</v>
      </c>
      <c r="G89" s="489">
        <f t="shared" si="8"/>
        <v>100000</v>
      </c>
      <c r="H89" s="376" t="s">
        <v>743</v>
      </c>
      <c r="I89" s="489">
        <v>31975000000</v>
      </c>
      <c r="J89" s="489">
        <f>87261207-4363060</f>
        <v>82898147</v>
      </c>
      <c r="K89" s="489">
        <f>+I89+J89</f>
        <v>32057898147</v>
      </c>
      <c r="O89" s="25" t="str">
        <f t="shared" si="7"/>
        <v>Acciones En  In Fi Sa</v>
      </c>
    </row>
    <row r="90" spans="2:15">
      <c r="B90" s="436" t="s">
        <v>691</v>
      </c>
      <c r="C90" s="437" t="s">
        <v>678</v>
      </c>
      <c r="D90" s="76">
        <v>1</v>
      </c>
      <c r="E90" s="89">
        <v>200000000</v>
      </c>
      <c r="F90" s="89">
        <v>900000000</v>
      </c>
      <c r="G90" s="489">
        <f t="shared" si="8"/>
        <v>200000000</v>
      </c>
      <c r="H90" s="376" t="s">
        <v>743</v>
      </c>
      <c r="I90" s="89">
        <v>8800000000</v>
      </c>
      <c r="J90" s="89">
        <v>10671560278</v>
      </c>
      <c r="K90" s="89">
        <v>22528059291</v>
      </c>
      <c r="O90" s="25" t="str">
        <f t="shared" si="7"/>
        <v>Accion En Bvpasa</v>
      </c>
    </row>
    <row r="91" spans="2:15" ht="12.75" thickBot="1">
      <c r="B91" s="436" t="s">
        <v>969</v>
      </c>
      <c r="C91" s="437" t="s">
        <v>534</v>
      </c>
      <c r="D91" s="76">
        <v>10000</v>
      </c>
      <c r="E91" s="89">
        <f>100000*D91</f>
        <v>1000000000</v>
      </c>
      <c r="F91" s="76">
        <f t="shared" si="9"/>
        <v>1000000000</v>
      </c>
      <c r="G91" s="489">
        <f t="shared" ref="G91" si="10">+E91/D91</f>
        <v>100000</v>
      </c>
      <c r="H91" s="376" t="s">
        <v>743</v>
      </c>
      <c r="I91" s="376" t="s">
        <v>743</v>
      </c>
      <c r="J91" s="376" t="s">
        <v>743</v>
      </c>
      <c r="K91" s="376" t="s">
        <v>743</v>
      </c>
      <c r="O91" s="25" t="str">
        <f t="shared" si="7"/>
        <v>Acciones En  Caja De Valores Del Py Sa</v>
      </c>
    </row>
    <row r="92" spans="2:15">
      <c r="B92" s="442" t="s">
        <v>967</v>
      </c>
      <c r="C92" s="443"/>
      <c r="D92" s="444">
        <f>+D67+D10+D84</f>
        <v>291791</v>
      </c>
      <c r="E92" s="444">
        <f>+E67+E10+E84</f>
        <v>151109000576</v>
      </c>
      <c r="F92" s="444">
        <f>+F67+F10+F84</f>
        <v>154015336488</v>
      </c>
      <c r="G92" s="488"/>
      <c r="H92" s="488"/>
      <c r="I92" s="488"/>
      <c r="J92" s="488"/>
      <c r="K92" s="488"/>
      <c r="O92" s="25" t="str">
        <f t="shared" si="7"/>
        <v>Total Al 31/12/2021</v>
      </c>
    </row>
    <row r="93" spans="2:15" ht="12.75" thickBot="1">
      <c r="B93" s="445" t="s">
        <v>510</v>
      </c>
      <c r="C93" s="446"/>
      <c r="D93" s="447">
        <v>0</v>
      </c>
      <c r="E93" s="448">
        <f>+F93</f>
        <v>71054118923</v>
      </c>
      <c r="F93" s="449">
        <f>+'Balance Gral. Resol. 30'!E22+'Balance Gral. Resol. 30'!E50</f>
        <v>71054118923</v>
      </c>
      <c r="G93" s="90"/>
      <c r="H93" s="488"/>
      <c r="I93" s="488"/>
      <c r="J93" s="83"/>
      <c r="K93" s="83"/>
      <c r="O93" s="25" t="str">
        <f t="shared" si="7"/>
        <v>Total Al 31/12/2020</v>
      </c>
    </row>
    <row r="94" spans="2:15">
      <c r="B94" s="79"/>
      <c r="C94" s="80"/>
      <c r="D94" s="81"/>
      <c r="E94" s="82"/>
      <c r="F94" s="82">
        <f>+F92-'Balance Gral. Resol. 30'!D22-'Balance Gral. Resol. 30'!D50</f>
        <v>0</v>
      </c>
      <c r="G94" s="82"/>
      <c r="H94" s="488"/>
      <c r="I94" s="488"/>
      <c r="J94" s="83"/>
      <c r="K94" s="83"/>
      <c r="O94" s="25" t="str">
        <f t="shared" si="7"/>
        <v/>
      </c>
    </row>
    <row r="95" spans="2:15">
      <c r="B95" s="84"/>
      <c r="C95" s="85"/>
      <c r="D95" s="86"/>
      <c r="E95" s="82"/>
      <c r="F95" s="82">
        <f>+F93-'Balance Gral. Resol. 30'!E50-'Balance Gral. Resol. 30'!E22</f>
        <v>0</v>
      </c>
      <c r="G95" s="86"/>
      <c r="H95" s="488"/>
      <c r="I95" s="488"/>
      <c r="J95" s="86"/>
      <c r="K95" s="86"/>
      <c r="O95" s="25" t="str">
        <f t="shared" si="7"/>
        <v/>
      </c>
    </row>
    <row r="96" spans="2:15" ht="12.75" thickBot="1">
      <c r="H96" s="488"/>
      <c r="I96" s="488"/>
      <c r="O96" s="25" t="str">
        <f t="shared" si="7"/>
        <v/>
      </c>
    </row>
    <row r="97" spans="2:15" ht="12.75" thickBot="1">
      <c r="B97" s="720" t="s">
        <v>691</v>
      </c>
      <c r="C97" s="721"/>
      <c r="D97" s="722"/>
      <c r="O97" s="25" t="str">
        <f t="shared" si="7"/>
        <v>Accion En Bvpasa</v>
      </c>
    </row>
    <row r="98" spans="2:15" ht="12.75" thickBot="1">
      <c r="B98" s="450" t="s">
        <v>390</v>
      </c>
      <c r="C98" s="451" t="s">
        <v>391</v>
      </c>
      <c r="D98" s="452" t="s">
        <v>679</v>
      </c>
      <c r="E98" s="434"/>
      <c r="O98" s="25" t="str">
        <f t="shared" si="7"/>
        <v>Cantidad</v>
      </c>
    </row>
    <row r="99" spans="2:15">
      <c r="B99" s="431">
        <v>1</v>
      </c>
      <c r="C99" s="432">
        <f>+E90</f>
        <v>200000000</v>
      </c>
      <c r="D99" s="440">
        <f>+F90</f>
        <v>900000000</v>
      </c>
      <c r="E99" s="435"/>
      <c r="O99" s="25" t="str">
        <f t="shared" si="7"/>
        <v>1</v>
      </c>
    </row>
    <row r="100" spans="2:15">
      <c r="B100" s="87" t="str">
        <f>+B92</f>
        <v>Total al 31/12/2021</v>
      </c>
      <c r="C100" s="433">
        <f>+C99</f>
        <v>200000000</v>
      </c>
      <c r="D100" s="433">
        <f>+D99</f>
        <v>900000000</v>
      </c>
      <c r="O100" s="25" t="str">
        <f t="shared" si="7"/>
        <v>Total Al 31/12/2021</v>
      </c>
    </row>
    <row r="101" spans="2:15">
      <c r="B101" s="78" t="s">
        <v>510</v>
      </c>
      <c r="C101" s="660">
        <f>+C100</f>
        <v>200000000</v>
      </c>
      <c r="D101" s="661">
        <v>851000000</v>
      </c>
    </row>
    <row r="102" spans="2:15">
      <c r="D102" s="72">
        <f>+D101-'Balance Gral. Resol. 30'!E45</f>
        <v>0</v>
      </c>
    </row>
  </sheetData>
  <sheetProtection algorithmName="SHA-512" hashValue="4+297qYAbdKMshOhHi7QSZ2dlRd+A30iK1YxBACLiTPx/9Kse2DmKZQIVGmleXcME2rrnDZl1FpFh6M3QWd8BQ==" saltValue="N975lbI6wsLqo0oUvt1wDA==" spinCount="100000" sheet="1" objects="1" scenarios="1"/>
  <autoFilter ref="B9:K95" xr:uid="{00000000-0001-0000-0800-000000000000}"/>
  <mergeCells count="6">
    <mergeCell ref="B97:D97"/>
    <mergeCell ref="B4:K4"/>
    <mergeCell ref="B6:F6"/>
    <mergeCell ref="G6:K6"/>
    <mergeCell ref="B7:K7"/>
    <mergeCell ref="B64:K64"/>
  </mergeCells>
  <hyperlinks>
    <hyperlink ref="B5" location="'Balance Gral. Resol. 30'!A1" display="'Balance Gral. Resol. 30'!A1" xr:uid="{B8A3F29C-C438-4B7A-989B-407B2B1D6454}"/>
  </hyperlinks>
  <pageMargins left="0.7" right="0.7" top="0.75" bottom="0.75" header="0.3" footer="0.3"/>
  <pageSetup paperSize="9" scale="5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rgb="FF002060"/>
  </sheetPr>
  <dimension ref="B1:H59"/>
  <sheetViews>
    <sheetView showGridLines="0" topLeftCell="A37" zoomScale="117" zoomScaleNormal="117" workbookViewId="0">
      <selection activeCell="C71" sqref="C71"/>
    </sheetView>
  </sheetViews>
  <sheetFormatPr baseColWidth="10" defaultColWidth="67.42578125" defaultRowHeight="12"/>
  <cols>
    <col min="1" max="1" width="5.28515625" style="93" customWidth="1"/>
    <col min="2" max="2" width="44" style="93" customWidth="1"/>
    <col min="3" max="3" width="17.7109375" style="92" bestFit="1" customWidth="1"/>
    <col min="4" max="4" width="21.42578125" style="92" bestFit="1" customWidth="1"/>
    <col min="5" max="5" width="10.85546875" style="93" bestFit="1" customWidth="1"/>
    <col min="6" max="6" width="13.7109375" style="93" bestFit="1" customWidth="1"/>
    <col min="7" max="7" width="22.140625" style="93" bestFit="1" customWidth="1"/>
    <col min="8" max="8" width="26" style="93" customWidth="1"/>
    <col min="9" max="16384" width="67.42578125" style="93"/>
  </cols>
  <sheetData>
    <row r="1" spans="2:8" ht="31.15" customHeight="1"/>
    <row r="3" spans="2:8" ht="15.75">
      <c r="B3" s="729" t="s">
        <v>700</v>
      </c>
      <c r="C3" s="729"/>
      <c r="D3" s="729"/>
    </row>
    <row r="4" spans="2:8">
      <c r="B4" s="94"/>
    </row>
    <row r="5" spans="2:8" ht="45.75" customHeight="1">
      <c r="B5" s="734" t="s">
        <v>609</v>
      </c>
      <c r="C5" s="734"/>
      <c r="D5" s="734"/>
    </row>
    <row r="7" spans="2:8" ht="15">
      <c r="B7" s="455" t="s">
        <v>701</v>
      </c>
    </row>
    <row r="8" spans="2:8">
      <c r="B8" s="735" t="s">
        <v>394</v>
      </c>
      <c r="C8" s="735"/>
      <c r="D8" s="735"/>
    </row>
    <row r="9" spans="2:8">
      <c r="B9" s="730" t="s">
        <v>395</v>
      </c>
      <c r="C9" s="731"/>
      <c r="D9" s="732"/>
    </row>
    <row r="10" spans="2:8">
      <c r="B10" s="202" t="s">
        <v>338</v>
      </c>
      <c r="C10" s="203" t="s">
        <v>396</v>
      </c>
      <c r="D10" s="203" t="s">
        <v>397</v>
      </c>
      <c r="E10" s="95"/>
      <c r="F10" s="95"/>
      <c r="G10" s="95"/>
      <c r="H10" s="95"/>
    </row>
    <row r="11" spans="2:8">
      <c r="B11" s="96" t="s">
        <v>970</v>
      </c>
      <c r="C11" s="97">
        <v>5460957503</v>
      </c>
      <c r="D11" s="97">
        <v>0</v>
      </c>
    </row>
    <row r="12" spans="2:8">
      <c r="B12" s="96" t="s">
        <v>971</v>
      </c>
      <c r="C12" s="97">
        <v>434610132</v>
      </c>
      <c r="D12" s="97">
        <v>0</v>
      </c>
    </row>
    <row r="13" spans="2:8">
      <c r="B13" s="96" t="s">
        <v>972</v>
      </c>
      <c r="C13" s="97">
        <v>5462566806</v>
      </c>
      <c r="D13" s="97">
        <v>0</v>
      </c>
    </row>
    <row r="14" spans="2:8">
      <c r="B14" s="98" t="s">
        <v>967</v>
      </c>
      <c r="C14" s="99">
        <f>SUM(C11:C13)</f>
        <v>11358134441</v>
      </c>
      <c r="D14" s="99">
        <f>SUM(D11:D13)</f>
        <v>0</v>
      </c>
      <c r="E14" s="100"/>
      <c r="F14" s="101"/>
    </row>
    <row r="15" spans="2:8">
      <c r="B15" s="98" t="s">
        <v>510</v>
      </c>
      <c r="C15" s="99">
        <v>7820553857</v>
      </c>
      <c r="D15" s="99">
        <v>0</v>
      </c>
    </row>
    <row r="16" spans="2:8">
      <c r="B16" s="102"/>
      <c r="C16" s="92">
        <f>+'Balance Gral. Resol. 30'!D24-'NOTA F - CREDITOS'!C14</f>
        <v>0</v>
      </c>
      <c r="D16" s="103">
        <f>+'Balance Gral. Resol. 30'!D52-'NOTA F - CREDITOS'!D14</f>
        <v>0</v>
      </c>
      <c r="F16" s="101"/>
    </row>
    <row r="17" spans="2:7">
      <c r="B17" s="730" t="s">
        <v>698</v>
      </c>
      <c r="C17" s="731"/>
      <c r="D17" s="732"/>
    </row>
    <row r="18" spans="2:7">
      <c r="B18" s="730" t="s">
        <v>395</v>
      </c>
      <c r="C18" s="731"/>
      <c r="D18" s="732"/>
    </row>
    <row r="19" spans="2:7">
      <c r="B19" s="202" t="s">
        <v>338</v>
      </c>
      <c r="C19" s="203" t="s">
        <v>396</v>
      </c>
      <c r="D19" s="203" t="s">
        <v>397</v>
      </c>
    </row>
    <row r="20" spans="2:7">
      <c r="B20" s="96" t="s">
        <v>973</v>
      </c>
      <c r="C20" s="97">
        <v>0</v>
      </c>
      <c r="D20" s="97">
        <v>0</v>
      </c>
      <c r="E20" s="101"/>
    </row>
    <row r="21" spans="2:7" ht="15">
      <c r="B21" s="96" t="s">
        <v>974</v>
      </c>
      <c r="C21" s="97">
        <v>352327244</v>
      </c>
      <c r="D21" s="97">
        <v>0</v>
      </c>
      <c r="E21" s="341"/>
    </row>
    <row r="22" spans="2:7" ht="15">
      <c r="B22" s="96" t="s">
        <v>975</v>
      </c>
      <c r="C22" s="97">
        <v>49684067</v>
      </c>
      <c r="D22" s="97">
        <v>0</v>
      </c>
      <c r="E22" s="341"/>
    </row>
    <row r="23" spans="2:7">
      <c r="B23" s="96" t="s">
        <v>976</v>
      </c>
      <c r="C23" s="97">
        <v>115246661</v>
      </c>
      <c r="D23" s="97">
        <v>0</v>
      </c>
      <c r="E23" s="101"/>
    </row>
    <row r="24" spans="2:7">
      <c r="B24" s="96" t="s">
        <v>977</v>
      </c>
      <c r="C24" s="97">
        <f>+'[6]EEFF 31 12 2021'!$B$59+110002</f>
        <v>284203048</v>
      </c>
      <c r="D24" s="97">
        <v>0</v>
      </c>
    </row>
    <row r="25" spans="2:7">
      <c r="B25" s="96" t="s">
        <v>978</v>
      </c>
      <c r="C25" s="97">
        <f>+'[6]EEFF 31 12 2021'!$B$61</f>
        <v>120697447</v>
      </c>
      <c r="D25" s="97"/>
    </row>
    <row r="26" spans="2:7">
      <c r="B26" s="98" t="str">
        <f>+B14</f>
        <v>Total al 31/12/2021</v>
      </c>
      <c r="C26" s="99">
        <f>SUM(C20:C25)</f>
        <v>922158467</v>
      </c>
      <c r="D26" s="99">
        <f>SUM(D20:D25)</f>
        <v>0</v>
      </c>
      <c r="G26" s="104"/>
    </row>
    <row r="27" spans="2:7">
      <c r="B27" s="98" t="str">
        <f>+B15</f>
        <v>Total al 31/12/2020</v>
      </c>
      <c r="C27" s="99">
        <v>2286612140</v>
      </c>
      <c r="D27" s="97">
        <v>0</v>
      </c>
    </row>
    <row r="28" spans="2:7">
      <c r="B28" s="105"/>
      <c r="C28" s="92">
        <f>+C26-'Balance Gral. Resol. 30'!D25</f>
        <v>0</v>
      </c>
      <c r="D28" s="92">
        <f>+D26-'Balance Gral. Resol. 30'!D53</f>
        <v>0</v>
      </c>
    </row>
    <row r="29" spans="2:7">
      <c r="B29" s="730" t="s">
        <v>711</v>
      </c>
      <c r="C29" s="731"/>
      <c r="D29" s="732"/>
    </row>
    <row r="30" spans="2:7">
      <c r="B30" s="730" t="s">
        <v>395</v>
      </c>
      <c r="C30" s="731"/>
      <c r="D30" s="732"/>
    </row>
    <row r="31" spans="2:7">
      <c r="B31" s="377" t="s">
        <v>338</v>
      </c>
      <c r="C31" s="378" t="s">
        <v>396</v>
      </c>
      <c r="D31" s="378" t="s">
        <v>397</v>
      </c>
    </row>
    <row r="32" spans="2:7">
      <c r="B32" s="96" t="s">
        <v>712</v>
      </c>
      <c r="C32" s="97">
        <v>3200000</v>
      </c>
      <c r="D32" s="97">
        <v>0</v>
      </c>
    </row>
    <row r="33" spans="2:8">
      <c r="B33" s="96"/>
      <c r="C33" s="97">
        <v>0</v>
      </c>
      <c r="D33" s="97">
        <v>0</v>
      </c>
    </row>
    <row r="34" spans="2:8">
      <c r="B34" s="98" t="str">
        <f>+B14</f>
        <v>Total al 31/12/2021</v>
      </c>
      <c r="C34" s="99">
        <f>SUM(C32:C33)</f>
        <v>3200000</v>
      </c>
      <c r="D34" s="99">
        <v>0</v>
      </c>
    </row>
    <row r="35" spans="2:8">
      <c r="B35" s="98" t="str">
        <f>+B15</f>
        <v>Total al 31/12/2020</v>
      </c>
      <c r="C35" s="99">
        <v>0</v>
      </c>
      <c r="D35" s="97">
        <v>0</v>
      </c>
    </row>
    <row r="36" spans="2:8">
      <c r="B36" s="460"/>
      <c r="C36" s="461">
        <f>+C34-'Balance Gral. Resol. 30'!D26</f>
        <v>0</v>
      </c>
      <c r="D36" s="462"/>
    </row>
    <row r="37" spans="2:8">
      <c r="B37" s="730" t="s">
        <v>699</v>
      </c>
      <c r="C37" s="731"/>
      <c r="D37" s="732"/>
    </row>
    <row r="38" spans="2:8">
      <c r="B38" s="730" t="s">
        <v>395</v>
      </c>
      <c r="C38" s="731"/>
      <c r="D38" s="732"/>
    </row>
    <row r="39" spans="2:8">
      <c r="B39" s="202" t="s">
        <v>338</v>
      </c>
      <c r="C39" s="203" t="s">
        <v>396</v>
      </c>
      <c r="D39" s="203" t="s">
        <v>397</v>
      </c>
    </row>
    <row r="40" spans="2:8">
      <c r="B40" s="96" t="s">
        <v>398</v>
      </c>
      <c r="C40" s="97">
        <f>+'[6]EEFF 31 12 2021'!$B$66+'[6]EEFF 31 12 2021'!$B$67</f>
        <v>1309229323</v>
      </c>
      <c r="D40" s="97">
        <v>0</v>
      </c>
    </row>
    <row r="41" spans="2:8">
      <c r="B41" s="96" t="s">
        <v>399</v>
      </c>
      <c r="C41" s="97">
        <v>0</v>
      </c>
      <c r="D41" s="97">
        <v>0</v>
      </c>
    </row>
    <row r="42" spans="2:8">
      <c r="B42" s="96" t="s">
        <v>710</v>
      </c>
      <c r="C42" s="97">
        <v>0</v>
      </c>
      <c r="D42" s="97">
        <v>0</v>
      </c>
    </row>
    <row r="43" spans="2:8">
      <c r="B43" s="98" t="str">
        <f>+B14</f>
        <v>Total al 31/12/2021</v>
      </c>
      <c r="C43" s="99">
        <f>SUM(C40:C42)</f>
        <v>1309229323</v>
      </c>
      <c r="D43" s="97">
        <v>0</v>
      </c>
      <c r="F43" s="93" t="s">
        <v>400</v>
      </c>
    </row>
    <row r="44" spans="2:8">
      <c r="B44" s="98" t="str">
        <f>+B27</f>
        <v>Total al 31/12/2020</v>
      </c>
      <c r="C44" s="99">
        <v>3753015489</v>
      </c>
      <c r="D44" s="97">
        <v>0</v>
      </c>
    </row>
    <row r="45" spans="2:8">
      <c r="B45" s="105"/>
      <c r="C45" s="92">
        <f>+C43-'Balance Gral. Resol. 30'!D28</f>
        <v>0</v>
      </c>
    </row>
    <row r="46" spans="2:8">
      <c r="B46" s="105"/>
    </row>
    <row r="47" spans="2:8">
      <c r="B47" s="105"/>
    </row>
    <row r="48" spans="2:8">
      <c r="B48" s="737" t="s">
        <v>401</v>
      </c>
      <c r="C48" s="737"/>
      <c r="D48" s="737"/>
      <c r="E48" s="737"/>
      <c r="F48" s="737"/>
      <c r="G48" s="737"/>
      <c r="H48" s="737"/>
    </row>
    <row r="49" spans="2:8">
      <c r="B49" s="733" t="s">
        <v>384</v>
      </c>
      <c r="C49" s="736" t="s">
        <v>402</v>
      </c>
      <c r="D49" s="736" t="s">
        <v>403</v>
      </c>
      <c r="E49" s="202" t="s">
        <v>381</v>
      </c>
      <c r="F49" s="202" t="s">
        <v>404</v>
      </c>
      <c r="G49" s="733" t="s">
        <v>405</v>
      </c>
      <c r="H49" s="733"/>
    </row>
    <row r="50" spans="2:8">
      <c r="B50" s="733"/>
      <c r="C50" s="736"/>
      <c r="D50" s="736"/>
      <c r="E50" s="202" t="s">
        <v>406</v>
      </c>
      <c r="F50" s="202" t="s">
        <v>407</v>
      </c>
      <c r="G50" s="733"/>
      <c r="H50" s="733"/>
    </row>
    <row r="51" spans="2:8">
      <c r="B51" s="733"/>
      <c r="C51" s="736"/>
      <c r="D51" s="736"/>
      <c r="E51" s="106"/>
      <c r="F51" s="202" t="s">
        <v>408</v>
      </c>
      <c r="G51" s="733"/>
      <c r="H51" s="733"/>
    </row>
    <row r="52" spans="2:8">
      <c r="B52" s="107"/>
      <c r="C52" s="733" t="s">
        <v>409</v>
      </c>
      <c r="D52" s="733"/>
      <c r="E52" s="733"/>
      <c r="F52" s="733"/>
      <c r="G52" s="733"/>
      <c r="H52" s="202"/>
    </row>
    <row r="53" spans="2:8">
      <c r="B53" s="107" t="s">
        <v>410</v>
      </c>
      <c r="C53" s="733"/>
      <c r="D53" s="733"/>
      <c r="E53" s="733"/>
      <c r="F53" s="733"/>
      <c r="G53" s="733"/>
      <c r="H53" s="107"/>
    </row>
    <row r="54" spans="2:8">
      <c r="B54" s="107" t="s">
        <v>411</v>
      </c>
      <c r="C54" s="733"/>
      <c r="D54" s="733"/>
      <c r="E54" s="733"/>
      <c r="F54" s="733"/>
      <c r="G54" s="733"/>
      <c r="H54" s="107"/>
    </row>
    <row r="55" spans="2:8">
      <c r="B55" s="463"/>
      <c r="C55" s="464"/>
      <c r="D55" s="464"/>
      <c r="E55" s="464"/>
      <c r="F55" s="464"/>
      <c r="G55" s="464"/>
      <c r="H55" s="463"/>
    </row>
    <row r="57" spans="2:8">
      <c r="B57" s="377" t="s">
        <v>338</v>
      </c>
      <c r="C57" s="378" t="s">
        <v>396</v>
      </c>
      <c r="D57" s="378" t="s">
        <v>397</v>
      </c>
    </row>
    <row r="58" spans="2:8">
      <c r="B58" s="98" t="s">
        <v>1040</v>
      </c>
      <c r="C58" s="99">
        <f>+C43+C34+C26+C14</f>
        <v>13592722231</v>
      </c>
      <c r="D58" s="99">
        <f>+D43+D34+D26+D14</f>
        <v>0</v>
      </c>
    </row>
    <row r="59" spans="2:8">
      <c r="C59" s="92">
        <f>+C58-'Balance Gral. Resol. 30'!D31</f>
        <v>0</v>
      </c>
      <c r="D59" s="92">
        <f>+D58-'Balance Gral. Resol. 30'!D60</f>
        <v>0</v>
      </c>
    </row>
  </sheetData>
  <sheetProtection algorithmName="SHA-512" hashValue="9XMWuEp0sl6qRvcOidQgjn7/bsqZlEw2Zwe/cMtisJbRo8bRhmJouzNWyc13K7ZOOfAAhgjY8AMnWa4eTg1xkQ==" saltValue="gZV9a6Qm6zSRjH78MyYP1A==" spinCount="100000" sheet="1" objects="1" scenarios="1"/>
  <mergeCells count="17">
    <mergeCell ref="C52:G54"/>
    <mergeCell ref="B49:B51"/>
    <mergeCell ref="C49:C51"/>
    <mergeCell ref="D49:D51"/>
    <mergeCell ref="B17:D17"/>
    <mergeCell ref="B18:D18"/>
    <mergeCell ref="B37:D37"/>
    <mergeCell ref="G49:G51"/>
    <mergeCell ref="B38:D38"/>
    <mergeCell ref="B48:H48"/>
    <mergeCell ref="B3:D3"/>
    <mergeCell ref="B29:D29"/>
    <mergeCell ref="B30:D30"/>
    <mergeCell ref="H49:H51"/>
    <mergeCell ref="B5:D5"/>
    <mergeCell ref="B8:D8"/>
    <mergeCell ref="B9:D9"/>
  </mergeCells>
  <hyperlinks>
    <hyperlink ref="B7" location="'Balance Gral. Resol. 30'!A1" display="Balance Gral. Resol. 6'!A1" xr:uid="{A70263A5-CD8A-49BB-A6B2-52C00B680464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6:Q26"/>
  <sheetViews>
    <sheetView showGridLines="0" topLeftCell="B1" zoomScaleNormal="100" workbookViewId="0">
      <pane xSplit="1" ySplit="12" topLeftCell="C13" activePane="bottomRight" state="frozen"/>
      <selection activeCell="C71" sqref="C71"/>
      <selection pane="topRight" activeCell="C71" sqref="C71"/>
      <selection pane="bottomLeft" activeCell="C71" sqref="C71"/>
      <selection pane="bottomRight" activeCell="C71" sqref="C71"/>
    </sheetView>
  </sheetViews>
  <sheetFormatPr baseColWidth="10" defaultColWidth="11.42578125" defaultRowHeight="12"/>
  <cols>
    <col min="1" max="1" width="2.42578125" style="25" customWidth="1"/>
    <col min="2" max="2" width="23" style="108" customWidth="1"/>
    <col min="3" max="3" width="20.7109375" style="25" bestFit="1" customWidth="1"/>
    <col min="4" max="4" width="14.140625" style="25" bestFit="1" customWidth="1"/>
    <col min="5" max="5" width="12.42578125" style="25" customWidth="1"/>
    <col min="6" max="6" width="10.28515625" style="25" bestFit="1" customWidth="1"/>
    <col min="7" max="7" width="14.42578125" style="25" bestFit="1" customWidth="1"/>
    <col min="8" max="8" width="13" style="25" bestFit="1" customWidth="1"/>
    <col min="9" max="9" width="10.7109375" style="25" bestFit="1" customWidth="1"/>
    <col min="10" max="10" width="9.28515625" style="25" bestFit="1" customWidth="1"/>
    <col min="11" max="11" width="13.28515625" style="25" customWidth="1"/>
    <col min="12" max="12" width="13.140625" style="25" bestFit="1" customWidth="1"/>
    <col min="13" max="13" width="14.140625" style="25" bestFit="1" customWidth="1"/>
    <col min="14" max="14" width="11.28515625" style="25" customWidth="1"/>
    <col min="15" max="15" width="13.28515625" style="25" customWidth="1"/>
    <col min="16" max="16384" width="11.42578125" style="25"/>
  </cols>
  <sheetData>
    <row r="6" spans="2:16" s="196" customFormat="1" ht="20.25" customHeight="1">
      <c r="B6" s="108"/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110"/>
    </row>
    <row r="7" spans="2:16" ht="15.75">
      <c r="B7" s="706" t="s">
        <v>713</v>
      </c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112"/>
    </row>
    <row r="8" spans="2:16">
      <c r="B8" s="108" t="s">
        <v>714</v>
      </c>
      <c r="C8" s="109"/>
      <c r="N8" s="114"/>
      <c r="O8" s="115"/>
    </row>
    <row r="9" spans="2:16">
      <c r="C9" s="109"/>
      <c r="N9" s="114"/>
      <c r="O9" s="115"/>
    </row>
    <row r="10" spans="2:16" ht="15">
      <c r="B10" s="465" t="s">
        <v>702</v>
      </c>
      <c r="C10" s="109"/>
      <c r="N10" s="112"/>
    </row>
    <row r="11" spans="2:16">
      <c r="B11" s="43"/>
      <c r="C11" s="199" t="s">
        <v>412</v>
      </c>
      <c r="D11" s="200"/>
      <c r="E11" s="200"/>
      <c r="F11" s="200"/>
      <c r="G11" s="200"/>
      <c r="H11" s="738" t="s">
        <v>413</v>
      </c>
      <c r="I11" s="739"/>
      <c r="J11" s="739"/>
      <c r="K11" s="739"/>
      <c r="L11" s="739"/>
      <c r="M11" s="201"/>
      <c r="N11" s="112"/>
    </row>
    <row r="12" spans="2:16" ht="36">
      <c r="B12" s="35" t="s">
        <v>253</v>
      </c>
      <c r="C12" s="111" t="s">
        <v>414</v>
      </c>
      <c r="D12" s="35" t="s">
        <v>415</v>
      </c>
      <c r="E12" s="35" t="s">
        <v>416</v>
      </c>
      <c r="F12" s="35" t="s">
        <v>417</v>
      </c>
      <c r="G12" s="35" t="s">
        <v>418</v>
      </c>
      <c r="H12" s="35" t="s">
        <v>419</v>
      </c>
      <c r="I12" s="35" t="s">
        <v>415</v>
      </c>
      <c r="J12" s="35" t="s">
        <v>416</v>
      </c>
      <c r="K12" s="35" t="s">
        <v>417</v>
      </c>
      <c r="L12" s="35" t="s">
        <v>420</v>
      </c>
      <c r="M12" s="35" t="s">
        <v>421</v>
      </c>
      <c r="N12" s="114"/>
    </row>
    <row r="13" spans="2:16">
      <c r="B13" s="113" t="s">
        <v>979</v>
      </c>
      <c r="C13" s="97">
        <v>463568702.54545444</v>
      </c>
      <c r="D13" s="53">
        <f>+G13-C13</f>
        <v>23499148.454545557</v>
      </c>
      <c r="E13" s="53">
        <v>0</v>
      </c>
      <c r="F13" s="53">
        <v>0</v>
      </c>
      <c r="G13" s="53">
        <f>+'[6]EEFF 31 12 2021'!$B$88</f>
        <v>487067851</v>
      </c>
      <c r="H13" s="53">
        <v>133582975.4545455</v>
      </c>
      <c r="I13" s="97">
        <v>42745732.068928577</v>
      </c>
      <c r="J13" s="97"/>
      <c r="K13" s="97">
        <v>0</v>
      </c>
      <c r="L13" s="53">
        <f t="shared" ref="L13:L20" si="0">+H13+I13-J13</f>
        <v>176328707.52347407</v>
      </c>
      <c r="M13" s="53">
        <v>310739143.4765259</v>
      </c>
      <c r="N13" s="648"/>
      <c r="O13" s="55"/>
      <c r="P13" s="55"/>
    </row>
    <row r="14" spans="2:16">
      <c r="B14" s="116" t="s">
        <v>980</v>
      </c>
      <c r="C14" s="97">
        <v>208293599</v>
      </c>
      <c r="D14" s="53">
        <f t="shared" ref="D14:D20" si="1">+G14-C14</f>
        <v>2663611</v>
      </c>
      <c r="E14" s="53">
        <v>0</v>
      </c>
      <c r="F14" s="53">
        <v>0</v>
      </c>
      <c r="G14" s="53">
        <f>+'[6]EEFF 31 12 2021'!$B$87</f>
        <v>210957210</v>
      </c>
      <c r="H14" s="97">
        <v>53243289.999999985</v>
      </c>
      <c r="I14" s="97">
        <v>35700679.799999997</v>
      </c>
      <c r="J14" s="97"/>
      <c r="K14" s="97">
        <v>0</v>
      </c>
      <c r="L14" s="53">
        <f t="shared" si="0"/>
        <v>88943969.799999982</v>
      </c>
      <c r="M14" s="53">
        <v>122013240.2</v>
      </c>
      <c r="N14" s="648"/>
      <c r="O14" s="55"/>
      <c r="P14" s="55"/>
    </row>
    <row r="15" spans="2:16">
      <c r="B15" s="116" t="s">
        <v>981</v>
      </c>
      <c r="C15" s="97">
        <v>371051424.27272725</v>
      </c>
      <c r="D15" s="53">
        <f t="shared" si="1"/>
        <v>16160661.727272749</v>
      </c>
      <c r="E15" s="53">
        <v>0</v>
      </c>
      <c r="F15" s="53">
        <v>0</v>
      </c>
      <c r="G15" s="53">
        <f>+'[6]EEFF 31 12 2021'!$B$89</f>
        <v>387212086</v>
      </c>
      <c r="H15" s="53">
        <v>210422333.72727278</v>
      </c>
      <c r="I15" s="97">
        <v>31776341.283333331</v>
      </c>
      <c r="J15" s="97"/>
      <c r="K15" s="97">
        <v>0</v>
      </c>
      <c r="L15" s="53">
        <f t="shared" si="0"/>
        <v>242198675.01060611</v>
      </c>
      <c r="M15" s="53">
        <v>145013410.98939392</v>
      </c>
      <c r="N15" s="648"/>
      <c r="O15" s="55"/>
      <c r="P15" s="55"/>
    </row>
    <row r="16" spans="2:16">
      <c r="B16" s="116" t="s">
        <v>982</v>
      </c>
      <c r="C16" s="97">
        <v>29042819</v>
      </c>
      <c r="D16" s="53">
        <f t="shared" si="1"/>
        <v>2115754</v>
      </c>
      <c r="E16" s="53">
        <v>0</v>
      </c>
      <c r="F16" s="53">
        <v>0</v>
      </c>
      <c r="G16" s="53">
        <f>+'[6]EEFF 31 12 2021'!$B$90</f>
        <v>31158573</v>
      </c>
      <c r="H16" s="53">
        <v>11675220</v>
      </c>
      <c r="I16" s="97">
        <v>2618363.2100000004</v>
      </c>
      <c r="J16" s="97"/>
      <c r="K16" s="97">
        <v>0</v>
      </c>
      <c r="L16" s="53">
        <f t="shared" si="0"/>
        <v>14293583.210000001</v>
      </c>
      <c r="M16" s="53">
        <v>16864989.789999999</v>
      </c>
      <c r="N16" s="648"/>
      <c r="O16" s="55"/>
      <c r="P16" s="55"/>
    </row>
    <row r="17" spans="2:17">
      <c r="B17" s="116" t="s">
        <v>983</v>
      </c>
      <c r="C17" s="97">
        <v>60494518</v>
      </c>
      <c r="D17" s="53">
        <f t="shared" si="1"/>
        <v>660301</v>
      </c>
      <c r="E17" s="53"/>
      <c r="F17" s="53">
        <v>0</v>
      </c>
      <c r="G17" s="53">
        <f>+'[6]EEFF 31 12 2021'!$B$91</f>
        <v>61154819</v>
      </c>
      <c r="H17" s="53">
        <v>5209319</v>
      </c>
      <c r="I17" s="97">
        <v>120929.90000000001</v>
      </c>
      <c r="J17" s="97"/>
      <c r="K17" s="97">
        <v>0</v>
      </c>
      <c r="L17" s="53">
        <f t="shared" si="0"/>
        <v>5330248.9000000004</v>
      </c>
      <c r="M17" s="53">
        <v>55824570.100000001</v>
      </c>
      <c r="N17" s="648"/>
      <c r="O17" s="55"/>
      <c r="P17" s="55"/>
      <c r="Q17" s="55"/>
    </row>
    <row r="18" spans="2:17">
      <c r="B18" s="116" t="s">
        <v>984</v>
      </c>
      <c r="C18" s="97">
        <v>11010456</v>
      </c>
      <c r="D18" s="53">
        <f t="shared" si="1"/>
        <v>0</v>
      </c>
      <c r="E18" s="97">
        <v>0</v>
      </c>
      <c r="F18" s="97">
        <v>0</v>
      </c>
      <c r="G18" s="53">
        <f>+'[6]EEFF 31 12 2021'!$B$92</f>
        <v>11010456</v>
      </c>
      <c r="H18" s="97">
        <v>628707</v>
      </c>
      <c r="I18" s="97">
        <v>3885902.6699999995</v>
      </c>
      <c r="J18" s="97"/>
      <c r="K18" s="97">
        <v>0</v>
      </c>
      <c r="L18" s="53">
        <f t="shared" si="0"/>
        <v>4514609.67</v>
      </c>
      <c r="M18" s="53">
        <v>6495846.3300000001</v>
      </c>
      <c r="N18" s="648"/>
      <c r="O18" s="55"/>
      <c r="P18" s="55"/>
    </row>
    <row r="19" spans="2:17">
      <c r="B19" s="116" t="s">
        <v>985</v>
      </c>
      <c r="C19" s="53">
        <v>1900000000</v>
      </c>
      <c r="D19" s="53">
        <f t="shared" si="1"/>
        <v>0</v>
      </c>
      <c r="E19" s="97"/>
      <c r="F19" s="97">
        <v>0</v>
      </c>
      <c r="G19" s="53">
        <f>+C19+F19</f>
        <v>1900000000</v>
      </c>
      <c r="H19" s="97">
        <v>0</v>
      </c>
      <c r="I19" s="97">
        <v>0</v>
      </c>
      <c r="J19" s="97"/>
      <c r="K19" s="97">
        <v>0</v>
      </c>
      <c r="L19" s="53">
        <f t="shared" si="0"/>
        <v>0</v>
      </c>
      <c r="M19" s="53">
        <f>1953391900-53391900</f>
        <v>1900000000</v>
      </c>
      <c r="N19" s="648"/>
      <c r="O19" s="55"/>
      <c r="P19" s="55"/>
    </row>
    <row r="20" spans="2:17">
      <c r="B20" s="116" t="s">
        <v>986</v>
      </c>
      <c r="C20" s="53">
        <v>10116952625</v>
      </c>
      <c r="D20" s="53">
        <f t="shared" si="1"/>
        <v>85259818</v>
      </c>
      <c r="E20" s="97">
        <v>0</v>
      </c>
      <c r="F20" s="97">
        <v>0</v>
      </c>
      <c r="G20" s="53">
        <f>+'[6]EEFF 31 12 2021'!$B$86-G19</f>
        <v>10202212443</v>
      </c>
      <c r="H20" s="53">
        <v>227319227</v>
      </c>
      <c r="I20" s="97">
        <v>198430026.32000002</v>
      </c>
      <c r="J20" s="97"/>
      <c r="K20" s="97">
        <v>0</v>
      </c>
      <c r="L20" s="53">
        <f t="shared" si="0"/>
        <v>425749253.32000005</v>
      </c>
      <c r="M20" s="53">
        <f>9723071289.68+53391900</f>
        <v>9776463189.6800003</v>
      </c>
      <c r="N20" s="648"/>
      <c r="O20" s="55"/>
      <c r="P20" s="55"/>
    </row>
    <row r="21" spans="2:17">
      <c r="B21" s="117" t="str">
        <f>+'NOTA F - CREDITOS'!B26</f>
        <v>Total al 31/12/2021</v>
      </c>
      <c r="C21" s="118">
        <f>SUM(C13:C20)</f>
        <v>13160414143.818182</v>
      </c>
      <c r="D21" s="118">
        <f t="shared" ref="D21:M21" si="2">SUM(D13:D20)</f>
        <v>130359294.18181831</v>
      </c>
      <c r="E21" s="118">
        <f t="shared" ref="E21" si="3">SUM(E13:E20)</f>
        <v>0</v>
      </c>
      <c r="F21" s="118">
        <f t="shared" ref="F21" si="4">SUM(F13:F20)</f>
        <v>0</v>
      </c>
      <c r="G21" s="118">
        <f t="shared" si="2"/>
        <v>13290773438</v>
      </c>
      <c r="H21" s="118">
        <f t="shared" si="2"/>
        <v>642081072.18181825</v>
      </c>
      <c r="I21" s="118">
        <f t="shared" si="2"/>
        <v>315277975.25226194</v>
      </c>
      <c r="J21" s="118">
        <f t="shared" si="2"/>
        <v>0</v>
      </c>
      <c r="K21" s="118">
        <f t="shared" si="2"/>
        <v>0</v>
      </c>
      <c r="L21" s="118">
        <f t="shared" si="2"/>
        <v>957359047.43408012</v>
      </c>
      <c r="M21" s="118">
        <f t="shared" si="2"/>
        <v>12333414390.56592</v>
      </c>
      <c r="O21" s="55"/>
      <c r="P21" s="55"/>
    </row>
    <row r="22" spans="2:17">
      <c r="B22" s="117" t="str">
        <f>+'NOTA F - CREDITOS'!B44</f>
        <v>Total al 31/12/2020</v>
      </c>
      <c r="C22" s="118">
        <v>12721001483</v>
      </c>
      <c r="D22" s="118">
        <v>389593861</v>
      </c>
      <c r="E22" s="97">
        <v>0</v>
      </c>
      <c r="F22" s="118">
        <v>0</v>
      </c>
      <c r="G22" s="118">
        <v>13114620162</v>
      </c>
      <c r="H22" s="118">
        <v>322801959.00756049</v>
      </c>
      <c r="I22" s="118">
        <v>0</v>
      </c>
      <c r="J22" s="97">
        <v>0</v>
      </c>
      <c r="K22" s="97">
        <v>0</v>
      </c>
      <c r="L22" s="118">
        <v>616193305</v>
      </c>
      <c r="M22" s="118">
        <v>12498426858</v>
      </c>
    </row>
    <row r="25" spans="2:17">
      <c r="M25" s="39">
        <f>+M21-'Balance Gral. Resol. 30'!D64</f>
        <v>-0.43408012390136719</v>
      </c>
    </row>
    <row r="26" spans="2:17">
      <c r="M26" s="39">
        <f>+M22-'Balance Gral. Resol. 30'!E64</f>
        <v>1</v>
      </c>
    </row>
  </sheetData>
  <sheetProtection algorithmName="SHA-512" hashValue="OQIk+JM/N3wqq/MXjzpJvfXscWXoz9Y/xCY6RS17cbBdADUVH+qZENARzFmZ6XNbmxjqUvATPv2P6xuBW4plqQ==" saltValue="mJGaa6Bxrycry7YiqAXcfw==" spinCount="100000" sheet="1" objects="1" scenarios="1"/>
  <mergeCells count="2">
    <mergeCell ref="B7:M7"/>
    <mergeCell ref="H11:L11"/>
  </mergeCells>
  <hyperlinks>
    <hyperlink ref="B10" location="'Balance Gral. Resol. 30'!A1" display="'Balance Gral. Resol. 30'!A1" xr:uid="{09A36AD9-7567-45E8-8956-2654B072CED5}"/>
  </hyperlink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1:H18"/>
  <sheetViews>
    <sheetView showGridLines="0" zoomScale="134" workbookViewId="0">
      <selection activeCell="C71" sqref="C71"/>
    </sheetView>
  </sheetViews>
  <sheetFormatPr baseColWidth="10" defaultColWidth="20.140625" defaultRowHeight="12"/>
  <cols>
    <col min="1" max="1" width="6.28515625" style="25" customWidth="1"/>
    <col min="2" max="2" width="28.28515625" style="25" bestFit="1" customWidth="1"/>
    <col min="3" max="3" width="13.42578125" style="25" bestFit="1" customWidth="1"/>
    <col min="4" max="4" width="12.28515625" style="25" bestFit="1" customWidth="1"/>
    <col min="5" max="5" width="16.28515625" style="25" bestFit="1" customWidth="1"/>
    <col min="6" max="6" width="17.7109375" style="25" bestFit="1" customWidth="1"/>
    <col min="7" max="16384" width="20.140625" style="25"/>
  </cols>
  <sheetData>
    <row r="1" spans="2:8" ht="41.45" customHeight="1"/>
    <row r="3" spans="2:8" ht="15.75">
      <c r="B3" s="706" t="s">
        <v>708</v>
      </c>
      <c r="C3" s="706"/>
      <c r="D3" s="706"/>
      <c r="E3" s="706"/>
      <c r="F3" s="706"/>
    </row>
    <row r="4" spans="2:8" ht="15">
      <c r="B4" s="740" t="s">
        <v>709</v>
      </c>
      <c r="C4" s="740"/>
      <c r="D4" s="740"/>
      <c r="E4" s="740"/>
      <c r="F4" s="740"/>
    </row>
    <row r="5" spans="2:8" ht="15">
      <c r="B5" s="379"/>
      <c r="C5" s="379"/>
      <c r="D5" s="379"/>
      <c r="E5" s="379"/>
      <c r="F5" s="379"/>
    </row>
    <row r="6" spans="2:8" ht="15">
      <c r="B6" s="466" t="s">
        <v>702</v>
      </c>
    </row>
    <row r="7" spans="2:8">
      <c r="B7" s="197" t="s">
        <v>338</v>
      </c>
      <c r="C7" s="197" t="s">
        <v>422</v>
      </c>
      <c r="D7" s="197" t="s">
        <v>423</v>
      </c>
      <c r="E7" s="197" t="s">
        <v>424</v>
      </c>
      <c r="F7" s="197" t="s">
        <v>425</v>
      </c>
    </row>
    <row r="8" spans="2:8">
      <c r="B8" s="33" t="s">
        <v>610</v>
      </c>
      <c r="C8" s="53">
        <v>6313088</v>
      </c>
      <c r="D8" s="53">
        <f>35336261-C8</f>
        <v>29023173</v>
      </c>
      <c r="E8" s="97">
        <f>+'[6]EERR 31 12 2021'!$B$75</f>
        <v>28753458</v>
      </c>
      <c r="F8" s="53">
        <f>+C8+D8-E8</f>
        <v>6582803</v>
      </c>
      <c r="G8" s="55"/>
      <c r="H8" s="115"/>
    </row>
    <row r="9" spans="2:8">
      <c r="B9" s="33" t="s">
        <v>611</v>
      </c>
      <c r="C9" s="53">
        <v>748414347</v>
      </c>
      <c r="D9" s="53">
        <f>1450608918-C9</f>
        <v>702194571</v>
      </c>
      <c r="E9" s="97">
        <v>1271479149</v>
      </c>
      <c r="F9" s="53">
        <f>+C9+D9-E9</f>
        <v>179129769</v>
      </c>
      <c r="G9" s="120"/>
      <c r="H9" s="77"/>
    </row>
    <row r="10" spans="2:8">
      <c r="B10" s="33" t="s">
        <v>612</v>
      </c>
      <c r="C10" s="53">
        <v>0</v>
      </c>
      <c r="D10" s="53">
        <v>396506731</v>
      </c>
      <c r="E10" s="97">
        <v>123621244</v>
      </c>
      <c r="F10" s="53">
        <f>+C10+D10-E10</f>
        <v>272885487</v>
      </c>
      <c r="G10" s="120"/>
      <c r="H10" s="77"/>
    </row>
    <row r="11" spans="2:8">
      <c r="B11" s="33" t="s">
        <v>636</v>
      </c>
      <c r="C11" s="53">
        <v>0</v>
      </c>
      <c r="D11" s="53">
        <v>0</v>
      </c>
      <c r="E11" s="97">
        <v>0</v>
      </c>
      <c r="F11" s="53">
        <f>+C11+D11-E11</f>
        <v>0</v>
      </c>
      <c r="G11" s="120"/>
      <c r="H11" s="77"/>
    </row>
    <row r="12" spans="2:8">
      <c r="B12" s="121" t="str">
        <f>+'NOTA G BIENES DE USO'!B21</f>
        <v>Total al 31/12/2021</v>
      </c>
      <c r="C12" s="118">
        <f>SUM(C8:C11)</f>
        <v>754727435</v>
      </c>
      <c r="D12" s="118">
        <f>SUM(D8:D11)</f>
        <v>1127724475</v>
      </c>
      <c r="E12" s="118">
        <f>SUM(E8:E11)</f>
        <v>1423853851</v>
      </c>
      <c r="F12" s="118">
        <f>SUM(F8:F11)</f>
        <v>458598059</v>
      </c>
      <c r="G12" s="115"/>
      <c r="H12" s="115"/>
    </row>
    <row r="13" spans="2:8">
      <c r="B13" s="121" t="str">
        <f>+'NOTA G BIENES DE USO'!B22</f>
        <v>Total al 31/12/2020</v>
      </c>
      <c r="C13" s="118">
        <v>244281801</v>
      </c>
      <c r="D13" s="118">
        <v>1313398854</v>
      </c>
      <c r="E13" s="118">
        <v>802953220</v>
      </c>
      <c r="F13" s="118">
        <v>754727435</v>
      </c>
      <c r="G13" s="115"/>
    </row>
    <row r="15" spans="2:8" ht="12.75">
      <c r="E15" s="303"/>
      <c r="F15" s="55">
        <f>+F12-'Balance Gral. Resol. 30'!D38</f>
        <v>0</v>
      </c>
    </row>
    <row r="16" spans="2:8" ht="12.75">
      <c r="E16" s="304"/>
      <c r="F16" s="55">
        <f>+F13-'Balance Gral. Resol. 30'!E38</f>
        <v>0</v>
      </c>
    </row>
    <row r="17" spans="5:5" ht="12.75">
      <c r="E17" s="304"/>
    </row>
    <row r="18" spans="5:5">
      <c r="E18" s="115"/>
    </row>
  </sheetData>
  <sheetProtection algorithmName="SHA-512" hashValue="KVpSJDxe1uZkNHa25yjzA7FDC+IxwynGwBOMnRIUrFUyfdUhqE8Sic5/h4GNUFlEfAUU09lfjUZVw+QYuCXbTw==" saltValue="are3NrTgUcC32eJAfHtI6Q==" spinCount="100000" sheet="1" objects="1" scenarios="1"/>
  <mergeCells count="2">
    <mergeCell ref="B3:F3"/>
    <mergeCell ref="B4:F4"/>
  </mergeCells>
  <hyperlinks>
    <hyperlink ref="B6" location="'Balance Gral. Resol. 30'!A1" display="'Balance Gral. Resol. 30'!A1" xr:uid="{D7482E15-6E86-4E54-9958-2FF014DD5343}"/>
  </hyperlink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1:N32"/>
  <sheetViews>
    <sheetView showGridLines="0" workbookViewId="0">
      <selection activeCell="C71" sqref="C71"/>
    </sheetView>
  </sheetViews>
  <sheetFormatPr baseColWidth="10" defaultColWidth="11.42578125" defaultRowHeight="12"/>
  <cols>
    <col min="1" max="1" width="6.85546875" style="25" customWidth="1"/>
    <col min="2" max="2" width="29.42578125" style="25" customWidth="1"/>
    <col min="3" max="3" width="41.28515625" style="25" customWidth="1"/>
    <col min="4" max="4" width="22" style="25" customWidth="1"/>
    <col min="5" max="5" width="11.42578125" style="25"/>
    <col min="6" max="7" width="13.42578125" style="25" bestFit="1" customWidth="1"/>
    <col min="8" max="8" width="12" style="25" bestFit="1" customWidth="1"/>
    <col min="9" max="16384" width="11.42578125" style="25"/>
  </cols>
  <sheetData>
    <row r="1" spans="2:6" ht="33.6" customHeight="1"/>
    <row r="4" spans="2:6" ht="15.75">
      <c r="B4" s="741" t="s">
        <v>715</v>
      </c>
      <c r="C4" s="741"/>
      <c r="D4" s="741"/>
    </row>
    <row r="5" spans="2:6">
      <c r="B5" s="25" t="s">
        <v>716</v>
      </c>
    </row>
    <row r="7" spans="2:6" ht="15">
      <c r="B7" s="466" t="s">
        <v>702</v>
      </c>
    </row>
    <row r="8" spans="2:6">
      <c r="B8" s="35" t="s">
        <v>426</v>
      </c>
      <c r="C8" s="35" t="s">
        <v>338</v>
      </c>
      <c r="D8" s="122" t="str">
        <f>+'NOTA H CARGOS DIFERIDOS'!B12</f>
        <v>Total al 31/12/2021</v>
      </c>
    </row>
    <row r="9" spans="2:6">
      <c r="B9" s="116" t="s">
        <v>427</v>
      </c>
      <c r="C9" s="116" t="s">
        <v>428</v>
      </c>
      <c r="D9" s="123">
        <v>900000</v>
      </c>
    </row>
    <row r="10" spans="2:6">
      <c r="B10" s="116" t="s">
        <v>427</v>
      </c>
      <c r="C10" s="116" t="s">
        <v>719</v>
      </c>
      <c r="D10" s="123">
        <f>+'[6]EEFF 31 12 2021'!$B$95-D9</f>
        <v>22088235</v>
      </c>
    </row>
    <row r="11" spans="2:6">
      <c r="B11" s="116" t="s">
        <v>429</v>
      </c>
      <c r="C11" s="116" t="s">
        <v>430</v>
      </c>
      <c r="D11" s="124">
        <v>104084949</v>
      </c>
    </row>
    <row r="12" spans="2:6">
      <c r="B12" s="116" t="s">
        <v>431</v>
      </c>
      <c r="C12" s="116" t="s">
        <v>432</v>
      </c>
      <c r="D12" s="124">
        <f>+'[6]EEFF 31 12 2021'!$B$96+'[6]EEFF 31 12 2021'!$B$100</f>
        <v>2752296184</v>
      </c>
      <c r="E12" s="115"/>
      <c r="F12" s="115"/>
    </row>
    <row r="13" spans="2:6">
      <c r="B13" s="116" t="s">
        <v>120</v>
      </c>
      <c r="C13" s="116" t="s">
        <v>120</v>
      </c>
      <c r="D13" s="124">
        <v>27866433</v>
      </c>
    </row>
    <row r="14" spans="2:6">
      <c r="B14" s="116" t="s">
        <v>433</v>
      </c>
      <c r="C14" s="116" t="s">
        <v>433</v>
      </c>
      <c r="D14" s="124">
        <v>76495056</v>
      </c>
    </row>
    <row r="15" spans="2:6">
      <c r="B15" s="116" t="s">
        <v>717</v>
      </c>
      <c r="C15" s="116" t="s">
        <v>718</v>
      </c>
      <c r="D15" s="124">
        <v>4448595000</v>
      </c>
    </row>
    <row r="16" spans="2:6">
      <c r="B16" s="116" t="s">
        <v>987</v>
      </c>
      <c r="C16" s="116"/>
      <c r="D16" s="124">
        <f>+'Balance Gral. Resol. 30'!D71</f>
        <v>-2634196428</v>
      </c>
    </row>
    <row r="17" spans="2:14">
      <c r="B17" s="121" t="str">
        <f>+'NOTA H CARGOS DIFERIDOS'!B12</f>
        <v>Total al 31/12/2021</v>
      </c>
      <c r="C17" s="121"/>
      <c r="D17" s="125">
        <f>SUM(D9:D16)</f>
        <v>4798129429</v>
      </c>
      <c r="E17" s="115"/>
      <c r="F17" s="115"/>
    </row>
    <row r="18" spans="2:14">
      <c r="B18" s="121" t="str">
        <f>+'NOTA H CARGOS DIFERIDOS'!B13</f>
        <v>Total al 31/12/2020</v>
      </c>
      <c r="C18" s="125"/>
      <c r="D18" s="125">
        <v>1218844177</v>
      </c>
      <c r="E18" s="115"/>
    </row>
    <row r="20" spans="2:14">
      <c r="D20" s="39">
        <f>+D17-'Balance Gral. Resol. 30'!D72</f>
        <v>0</v>
      </c>
    </row>
    <row r="21" spans="2:14">
      <c r="D21" s="55">
        <v>0</v>
      </c>
    </row>
    <row r="22" spans="2:14">
      <c r="G22" s="39"/>
      <c r="K22" s="25" t="s">
        <v>376</v>
      </c>
      <c r="N22" s="25" t="s">
        <v>376</v>
      </c>
    </row>
    <row r="23" spans="2:14">
      <c r="G23" s="39"/>
      <c r="K23" s="25" t="s">
        <v>376</v>
      </c>
      <c r="N23" s="25" t="s">
        <v>376</v>
      </c>
    </row>
    <row r="24" spans="2:14">
      <c r="G24" s="39"/>
      <c r="K24" s="25" t="s">
        <v>376</v>
      </c>
      <c r="N24" s="25" t="s">
        <v>376</v>
      </c>
    </row>
    <row r="25" spans="2:14">
      <c r="G25" s="39"/>
      <c r="K25" s="25" t="s">
        <v>376</v>
      </c>
      <c r="N25" s="25" t="s">
        <v>376</v>
      </c>
    </row>
    <row r="26" spans="2:14">
      <c r="G26" s="39"/>
      <c r="H26" s="55"/>
      <c r="K26" s="25" t="s">
        <v>376</v>
      </c>
      <c r="N26" s="25" t="s">
        <v>376</v>
      </c>
    </row>
    <row r="27" spans="2:14">
      <c r="G27" s="39"/>
      <c r="K27" s="25" t="s">
        <v>376</v>
      </c>
      <c r="N27" s="25" t="s">
        <v>376</v>
      </c>
    </row>
    <row r="28" spans="2:14">
      <c r="G28" s="39"/>
      <c r="H28" s="55"/>
      <c r="K28" s="25" t="s">
        <v>376</v>
      </c>
      <c r="N28" s="25" t="s">
        <v>376</v>
      </c>
    </row>
    <row r="29" spans="2:14">
      <c r="G29" s="39"/>
      <c r="K29" s="25" t="s">
        <v>376</v>
      </c>
      <c r="N29" s="25" t="s">
        <v>376</v>
      </c>
    </row>
    <row r="30" spans="2:14">
      <c r="G30" s="39"/>
      <c r="H30" s="55"/>
      <c r="K30" s="25" t="s">
        <v>376</v>
      </c>
      <c r="N30" s="25" t="s">
        <v>376</v>
      </c>
    </row>
    <row r="31" spans="2:14">
      <c r="G31" s="39"/>
      <c r="K31" s="25" t="s">
        <v>376</v>
      </c>
      <c r="N31" s="25" t="s">
        <v>376</v>
      </c>
    </row>
    <row r="32" spans="2:14">
      <c r="G32" s="39"/>
      <c r="H32" s="55"/>
      <c r="K32" s="25" t="s">
        <v>376</v>
      </c>
      <c r="N32" s="25" t="s">
        <v>376</v>
      </c>
    </row>
  </sheetData>
  <sheetProtection algorithmName="SHA-512" hashValue="FdR6rBb+OK0In1Tp6RUqnVrV6KMNHUpF8ncsYFhVzgbpNYuZE3cWiPaGQTBpy43Y/lgnLDgm3y674LFZp9wOiA==" saltValue="4EoUvI4kG3COTMWoaaK5qw==" spinCount="100000" sheet="1" objects="1" scenarios="1"/>
  <mergeCells count="1">
    <mergeCell ref="B4:D4"/>
  </mergeCells>
  <hyperlinks>
    <hyperlink ref="B7" location="'Balance Gral. Resol. 30'!A1" display="'Balance Gral. Resol. 30'!A1" xr:uid="{9E1CC5ED-94AF-4099-85D1-1D9A26A2412D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1:G13"/>
  <sheetViews>
    <sheetView showGridLines="0" workbookViewId="0">
      <selection activeCell="C71" sqref="C71"/>
    </sheetView>
  </sheetViews>
  <sheetFormatPr baseColWidth="10" defaultColWidth="11.42578125" defaultRowHeight="12"/>
  <cols>
    <col min="1" max="1" width="8.28515625" style="25" customWidth="1"/>
    <col min="2" max="2" width="37.85546875" style="25" bestFit="1" customWidth="1"/>
    <col min="3" max="3" width="11.28515625" style="25" bestFit="1" customWidth="1"/>
    <col min="4" max="4" width="10.28515625" style="25" bestFit="1" customWidth="1"/>
    <col min="5" max="5" width="14" style="25" bestFit="1" customWidth="1"/>
    <col min="6" max="6" width="14.85546875" style="25" bestFit="1" customWidth="1"/>
    <col min="7" max="7" width="8.140625" style="25" customWidth="1"/>
    <col min="8" max="16384" width="11.42578125" style="25"/>
  </cols>
  <sheetData>
    <row r="1" spans="2:7" ht="42" customHeight="1">
      <c r="B1" s="109"/>
    </row>
    <row r="2" spans="2:7">
      <c r="B2" s="109"/>
    </row>
    <row r="3" spans="2:7">
      <c r="B3" s="109" t="s">
        <v>520</v>
      </c>
    </row>
    <row r="4" spans="2:7">
      <c r="B4" s="109"/>
    </row>
    <row r="5" spans="2:7" ht="15">
      <c r="B5" s="466" t="s">
        <v>702</v>
      </c>
    </row>
    <row r="6" spans="2:7">
      <c r="B6" s="119" t="s">
        <v>338</v>
      </c>
      <c r="C6" s="119" t="s">
        <v>422</v>
      </c>
      <c r="D6" s="119" t="s">
        <v>423</v>
      </c>
      <c r="E6" s="119" t="s">
        <v>424</v>
      </c>
      <c r="F6" s="119" t="s">
        <v>425</v>
      </c>
    </row>
    <row r="7" spans="2:7">
      <c r="B7" s="33" t="s">
        <v>324</v>
      </c>
      <c r="C7" s="126">
        <v>0</v>
      </c>
      <c r="D7" s="126">
        <v>0</v>
      </c>
      <c r="E7" s="126">
        <v>0</v>
      </c>
      <c r="F7" s="126">
        <f t="shared" ref="F7:F12" si="0">+C7+D7-E7</f>
        <v>0</v>
      </c>
    </row>
    <row r="8" spans="2:7">
      <c r="B8" s="33" t="s">
        <v>434</v>
      </c>
      <c r="C8" s="126">
        <v>0</v>
      </c>
      <c r="D8" s="126">
        <v>0</v>
      </c>
      <c r="E8" s="126">
        <v>0</v>
      </c>
      <c r="F8" s="126">
        <f t="shared" si="0"/>
        <v>0</v>
      </c>
    </row>
    <row r="9" spans="2:7">
      <c r="B9" s="33" t="s">
        <v>435</v>
      </c>
      <c r="C9" s="126">
        <v>0</v>
      </c>
      <c r="D9" s="126">
        <v>0</v>
      </c>
      <c r="E9" s="126">
        <v>0</v>
      </c>
      <c r="F9" s="126">
        <f t="shared" si="0"/>
        <v>0</v>
      </c>
    </row>
    <row r="10" spans="2:7">
      <c r="B10" s="33" t="s">
        <v>436</v>
      </c>
      <c r="C10" s="126">
        <v>0</v>
      </c>
      <c r="D10" s="126">
        <v>0</v>
      </c>
      <c r="E10" s="126">
        <v>0</v>
      </c>
      <c r="F10" s="126">
        <f t="shared" si="0"/>
        <v>0</v>
      </c>
    </row>
    <row r="11" spans="2:7">
      <c r="B11" s="33" t="s">
        <v>437</v>
      </c>
      <c r="C11" s="126">
        <v>0</v>
      </c>
      <c r="D11" s="126">
        <v>0</v>
      </c>
      <c r="E11" s="126">
        <v>0</v>
      </c>
      <c r="F11" s="126">
        <f t="shared" si="0"/>
        <v>0</v>
      </c>
    </row>
    <row r="12" spans="2:7">
      <c r="B12" s="121" t="str">
        <f>+' NOTA I INTANGIBLES'!B17</f>
        <v>Total al 31/12/2021</v>
      </c>
      <c r="C12" s="127">
        <f>SUM(C7:C11)</f>
        <v>0</v>
      </c>
      <c r="D12" s="127">
        <f>SUM(D7:D11)</f>
        <v>0</v>
      </c>
      <c r="E12" s="127">
        <f>SUM(E7:E11)</f>
        <v>0</v>
      </c>
      <c r="F12" s="127">
        <f t="shared" si="0"/>
        <v>0</v>
      </c>
      <c r="G12" s="128"/>
    </row>
    <row r="13" spans="2:7">
      <c r="B13" s="121" t="str">
        <f>+'NOTA H CARGOS DIFERIDOS'!B13</f>
        <v>Total al 31/12/2020</v>
      </c>
      <c r="C13" s="127">
        <v>0</v>
      </c>
      <c r="D13" s="127">
        <v>0</v>
      </c>
      <c r="E13" s="127">
        <v>0</v>
      </c>
      <c r="F13" s="127">
        <v>0</v>
      </c>
      <c r="G13" s="128"/>
    </row>
  </sheetData>
  <sheetProtection algorithmName="SHA-512" hashValue="2UFHIpBirnJlgJ/Ilu8yADu3o2uPPt7Ie2YxobLPnXJDrRyghIT+akfHxHUmzz4Tz6w1S6xeAhrJ4ETPLjgEEQ==" saltValue="KRJ32RL3IuEnTVxlPD2ptQ==" spinCount="100000" sheet="1" objects="1" scenarios="1"/>
  <hyperlinks>
    <hyperlink ref="B5" location="'Balance Gral. Resol. 30'!A1" display="'Balance Gral. Resol. 30'!A1" xr:uid="{E1596322-78CB-43DC-A236-0CAF359D5F2F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B1:E57"/>
  <sheetViews>
    <sheetView showGridLines="0" zoomScale="125" workbookViewId="0">
      <selection activeCell="C71" sqref="C71"/>
    </sheetView>
  </sheetViews>
  <sheetFormatPr baseColWidth="10" defaultColWidth="11.42578125" defaultRowHeight="12"/>
  <cols>
    <col min="1" max="1" width="4.7109375" style="25" customWidth="1"/>
    <col min="2" max="2" width="42.42578125" style="25" bestFit="1" customWidth="1"/>
    <col min="3" max="4" width="13.85546875" style="25" bestFit="1" customWidth="1"/>
    <col min="5" max="5" width="2.42578125" style="25" bestFit="1" customWidth="1"/>
    <col min="6" max="16384" width="11.42578125" style="25"/>
  </cols>
  <sheetData>
    <row r="1" spans="2:4" ht="27.6" customHeight="1"/>
    <row r="5" spans="2:4">
      <c r="B5" s="109" t="s">
        <v>521</v>
      </c>
    </row>
    <row r="7" spans="2:4">
      <c r="B7" s="29" t="s">
        <v>438</v>
      </c>
      <c r="C7" s="194" t="s">
        <v>439</v>
      </c>
      <c r="D7" s="29" t="s">
        <v>440</v>
      </c>
    </row>
    <row r="8" spans="2:4">
      <c r="B8" s="29" t="s">
        <v>720</v>
      </c>
      <c r="C8" s="468">
        <f>SUM(C9:C17)</f>
        <v>29505799800</v>
      </c>
      <c r="D8" s="29"/>
    </row>
    <row r="9" spans="2:4">
      <c r="B9" s="33" t="s">
        <v>988</v>
      </c>
      <c r="C9" s="190">
        <v>1400000000</v>
      </c>
      <c r="D9" s="97">
        <v>0</v>
      </c>
    </row>
    <row r="10" spans="2:4">
      <c r="B10" s="33" t="s">
        <v>988</v>
      </c>
      <c r="C10" s="190">
        <v>1100000000</v>
      </c>
      <c r="D10" s="97">
        <v>0</v>
      </c>
    </row>
    <row r="11" spans="2:4">
      <c r="B11" s="33" t="s">
        <v>989</v>
      </c>
      <c r="C11" s="190">
        <v>1000000000</v>
      </c>
      <c r="D11" s="97">
        <v>0</v>
      </c>
    </row>
    <row r="12" spans="2:4">
      <c r="B12" s="33" t="s">
        <v>990</v>
      </c>
      <c r="C12" s="649">
        <v>4500000000</v>
      </c>
      <c r="D12" s="97">
        <v>0</v>
      </c>
    </row>
    <row r="13" spans="2:4">
      <c r="B13" s="33" t="s">
        <v>991</v>
      </c>
      <c r="C13" s="424">
        <v>3300000000</v>
      </c>
      <c r="D13" s="97">
        <v>0</v>
      </c>
    </row>
    <row r="14" spans="2:4">
      <c r="B14" s="33" t="s">
        <v>990</v>
      </c>
      <c r="C14" s="424">
        <v>3000000000</v>
      </c>
      <c r="D14" s="97">
        <v>0</v>
      </c>
    </row>
    <row r="15" spans="2:4">
      <c r="B15" s="33" t="s">
        <v>990</v>
      </c>
      <c r="C15" s="424">
        <v>2500000000</v>
      </c>
      <c r="D15" s="97">
        <v>0</v>
      </c>
    </row>
    <row r="16" spans="2:4">
      <c r="B16" s="33" t="s">
        <v>991</v>
      </c>
      <c r="C16" s="424">
        <v>1500000000</v>
      </c>
      <c r="D16" s="97">
        <v>0</v>
      </c>
    </row>
    <row r="17" spans="2:4">
      <c r="B17" s="33" t="s">
        <v>998</v>
      </c>
      <c r="C17" s="180">
        <f>+'[7]201020101 PRESTAMOS BANCARIOS'!$E$24</f>
        <v>11205799800</v>
      </c>
      <c r="D17" s="97">
        <v>0</v>
      </c>
    </row>
    <row r="18" spans="2:4">
      <c r="B18" s="29" t="s">
        <v>441</v>
      </c>
      <c r="C18" s="467">
        <f>SUM(C19:C43)</f>
        <v>101801147484.74202</v>
      </c>
      <c r="D18" s="97">
        <v>0</v>
      </c>
    </row>
    <row r="19" spans="2:4">
      <c r="B19" s="91" t="s">
        <v>992</v>
      </c>
      <c r="C19" s="180">
        <v>4737632172</v>
      </c>
      <c r="D19" s="97">
        <v>0</v>
      </c>
    </row>
    <row r="20" spans="2:4">
      <c r="B20" s="91" t="s">
        <v>992</v>
      </c>
      <c r="C20" s="180">
        <v>1350295890.4100001</v>
      </c>
      <c r="D20" s="97">
        <v>0</v>
      </c>
    </row>
    <row r="21" spans="2:4">
      <c r="B21" s="91" t="s">
        <v>992</v>
      </c>
      <c r="C21" s="180">
        <v>4500875342.4700003</v>
      </c>
      <c r="D21" s="97">
        <v>0</v>
      </c>
    </row>
    <row r="22" spans="2:4">
      <c r="B22" s="91" t="s">
        <v>992</v>
      </c>
      <c r="C22" s="180">
        <v>4500875342.4700003</v>
      </c>
      <c r="D22" s="97">
        <v>0</v>
      </c>
    </row>
    <row r="23" spans="2:4">
      <c r="B23" s="91" t="s">
        <v>992</v>
      </c>
      <c r="C23" s="180">
        <v>4566180821.9200001</v>
      </c>
      <c r="D23" s="97">
        <v>0</v>
      </c>
    </row>
    <row r="24" spans="2:4">
      <c r="B24" s="91" t="s">
        <v>992</v>
      </c>
      <c r="C24" s="180">
        <v>1125619520.54</v>
      </c>
      <c r="D24" s="97"/>
    </row>
    <row r="25" spans="2:4">
      <c r="B25" s="91" t="s">
        <v>993</v>
      </c>
      <c r="C25" s="180">
        <v>2254500000</v>
      </c>
      <c r="D25" s="97"/>
    </row>
    <row r="26" spans="2:4">
      <c r="B26" s="91" t="s">
        <v>994</v>
      </c>
      <c r="C26" s="180">
        <v>4000000000</v>
      </c>
      <c r="D26" s="97"/>
    </row>
    <row r="27" spans="2:4">
      <c r="B27" s="91" t="s">
        <v>995</v>
      </c>
      <c r="C27" s="180">
        <v>3500313609</v>
      </c>
      <c r="D27" s="97"/>
    </row>
    <row r="28" spans="2:4">
      <c r="B28" s="91" t="s">
        <v>992</v>
      </c>
      <c r="C28" s="180">
        <v>4593698630.1400003</v>
      </c>
      <c r="D28" s="97"/>
    </row>
    <row r="29" spans="2:4">
      <c r="B29" s="91" t="s">
        <v>992</v>
      </c>
      <c r="C29" s="180">
        <v>4596657534.2399998</v>
      </c>
      <c r="D29" s="97"/>
    </row>
    <row r="30" spans="2:4">
      <c r="B30" s="91" t="s">
        <v>992</v>
      </c>
      <c r="C30" s="180">
        <v>4634617808.2200003</v>
      </c>
      <c r="D30" s="97"/>
    </row>
    <row r="31" spans="2:4">
      <c r="B31" s="91" t="s">
        <v>992</v>
      </c>
      <c r="C31" s="180">
        <v>4634617808.2200003</v>
      </c>
      <c r="D31" s="97"/>
    </row>
    <row r="32" spans="2:4">
      <c r="B32" s="91" t="s">
        <v>992</v>
      </c>
      <c r="C32" s="180">
        <v>6951926712.3299999</v>
      </c>
      <c r="D32" s="97">
        <v>0</v>
      </c>
    </row>
    <row r="33" spans="2:5">
      <c r="B33" s="91" t="s">
        <v>992</v>
      </c>
      <c r="C33" s="180">
        <v>6951926712.3299999</v>
      </c>
      <c r="D33" s="97">
        <v>0</v>
      </c>
    </row>
    <row r="34" spans="2:5">
      <c r="B34" s="91" t="s">
        <v>996</v>
      </c>
      <c r="C34" s="180">
        <v>2000405607</v>
      </c>
      <c r="D34" s="97">
        <v>0</v>
      </c>
    </row>
    <row r="35" spans="2:5">
      <c r="B35" s="91" t="s">
        <v>966</v>
      </c>
      <c r="C35" s="180">
        <v>4500000000</v>
      </c>
      <c r="D35" s="97">
        <v>0</v>
      </c>
    </row>
    <row r="36" spans="2:5">
      <c r="B36" s="116" t="s">
        <v>994</v>
      </c>
      <c r="C36" s="180">
        <v>3004657605.48</v>
      </c>
      <c r="D36" s="97">
        <v>0</v>
      </c>
    </row>
    <row r="37" spans="2:5">
      <c r="B37" s="116" t="s">
        <v>992</v>
      </c>
      <c r="C37" s="180">
        <v>2487266506.8499999</v>
      </c>
      <c r="D37" s="97"/>
    </row>
    <row r="38" spans="2:5">
      <c r="B38" s="116" t="s">
        <v>992</v>
      </c>
      <c r="C38" s="180">
        <v>4523128767.1300001</v>
      </c>
      <c r="D38" s="97"/>
    </row>
    <row r="39" spans="2:5">
      <c r="B39" s="116" t="s">
        <v>995</v>
      </c>
      <c r="C39" s="180">
        <v>4010061267.1300001</v>
      </c>
      <c r="D39" s="97"/>
    </row>
    <row r="40" spans="2:5">
      <c r="B40" s="116" t="s">
        <v>995</v>
      </c>
      <c r="C40" s="180">
        <v>3000274950.1300001</v>
      </c>
      <c r="D40" s="97"/>
    </row>
    <row r="41" spans="2:5">
      <c r="B41" s="116" t="s">
        <v>996</v>
      </c>
      <c r="C41" s="180">
        <v>4000860336.3299999</v>
      </c>
      <c r="D41" s="97"/>
    </row>
    <row r="42" spans="2:5">
      <c r="B42" s="116" t="s">
        <v>997</v>
      </c>
      <c r="C42" s="180">
        <v>6650000000</v>
      </c>
      <c r="D42" s="97"/>
    </row>
    <row r="43" spans="2:5">
      <c r="B43" s="116" t="s">
        <v>995</v>
      </c>
      <c r="C43" s="180">
        <f>685999.73*6887.4</f>
        <v>4724754540.4019995</v>
      </c>
      <c r="D43" s="97"/>
    </row>
    <row r="44" spans="2:5">
      <c r="B44" s="121" t="str">
        <f>+'NOTA J OTROS ACTIVOS CTES y NO '!B12</f>
        <v>Total al 31/12/2021</v>
      </c>
      <c r="C44" s="305">
        <f>+C18+C8</f>
        <v>131306947284.74202</v>
      </c>
      <c r="D44" s="97">
        <v>0</v>
      </c>
      <c r="E44" s="39"/>
    </row>
    <row r="45" spans="2:5">
      <c r="B45" s="121" t="str">
        <f>+'NOTA J OTROS ACTIVOS CTES y NO '!B13</f>
        <v>Total al 31/12/2020</v>
      </c>
      <c r="C45" s="305">
        <v>51531019826</v>
      </c>
      <c r="D45" s="97">
        <v>0</v>
      </c>
      <c r="E45" s="39"/>
    </row>
    <row r="46" spans="2:5">
      <c r="C46" s="39"/>
    </row>
    <row r="47" spans="2:5">
      <c r="C47" s="39">
        <f>+C44-'Balance Gral. Resol. 30'!G19-'Balance Gral. Resol. 30'!G21</f>
        <v>-0.2579803466796875</v>
      </c>
      <c r="D47" s="39"/>
    </row>
    <row r="48" spans="2:5">
      <c r="B48" s="29" t="s">
        <v>338</v>
      </c>
      <c r="C48" s="129" t="s">
        <v>439</v>
      </c>
      <c r="D48" s="129" t="s">
        <v>440</v>
      </c>
    </row>
    <row r="49" spans="2:4">
      <c r="B49" s="33" t="s">
        <v>999</v>
      </c>
      <c r="C49" s="53">
        <v>376465622</v>
      </c>
      <c r="D49" s="53"/>
    </row>
    <row r="50" spans="2:4">
      <c r="B50" s="33" t="s">
        <v>1000</v>
      </c>
      <c r="C50" s="53">
        <v>303938207</v>
      </c>
      <c r="D50" s="53">
        <v>0</v>
      </c>
    </row>
    <row r="51" spans="2:4">
      <c r="B51" s="33" t="s">
        <v>1001</v>
      </c>
      <c r="C51" s="53">
        <v>1190628569</v>
      </c>
      <c r="D51" s="53">
        <v>0</v>
      </c>
    </row>
    <row r="52" spans="2:4">
      <c r="B52" s="33" t="s">
        <v>1002</v>
      </c>
      <c r="C52" s="53">
        <v>2491792</v>
      </c>
      <c r="D52" s="53"/>
    </row>
    <row r="53" spans="2:4">
      <c r="B53" s="33" t="s">
        <v>52</v>
      </c>
      <c r="C53" s="53">
        <f>+'[7]EEFF 31 12 2021'!$B$124+'[7]EEFF 31 12 2021'!$B$125</f>
        <v>-2113767518</v>
      </c>
      <c r="D53" s="53"/>
    </row>
    <row r="54" spans="2:4">
      <c r="B54" s="121" t="str">
        <f>+B44</f>
        <v>Total al 31/12/2021</v>
      </c>
      <c r="C54" s="118">
        <f>SUM(C49:C53)</f>
        <v>-240243328</v>
      </c>
      <c r="D54" s="53">
        <v>0</v>
      </c>
    </row>
    <row r="55" spans="2:4">
      <c r="B55" s="121" t="str">
        <f>+B45</f>
        <v>Total al 31/12/2020</v>
      </c>
      <c r="C55" s="118">
        <v>0</v>
      </c>
      <c r="D55" s="118">
        <v>0</v>
      </c>
    </row>
    <row r="57" spans="2:4">
      <c r="C57" s="55">
        <f>+C54-'Balance Gral. Resol. 30'!G20</f>
        <v>0</v>
      </c>
    </row>
  </sheetData>
  <sheetProtection algorithmName="SHA-512" hashValue="30eZ12L6hnFrsCwzXk1BL287wcT2/X0obncJT0ebQQyIiH6VLrSmmJYuJiGfZ8g5/kE4b7+jEVOD31jm0uC8tQ==" saltValue="ZM5/uQniV0RvdaG7Nn2Iig==" spinCount="100000" sheet="1" objects="1" scenario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1:H17"/>
  <sheetViews>
    <sheetView showGridLines="0" zoomScale="112" zoomScaleNormal="112" workbookViewId="0">
      <selection activeCell="C71" sqref="C71"/>
    </sheetView>
  </sheetViews>
  <sheetFormatPr baseColWidth="10" defaultColWidth="11.42578125" defaultRowHeight="12"/>
  <cols>
    <col min="1" max="1" width="4.7109375" style="25" customWidth="1"/>
    <col min="2" max="2" width="28" style="25" bestFit="1" customWidth="1"/>
    <col min="3" max="3" width="15" style="25" customWidth="1"/>
    <col min="4" max="4" width="15" style="112" customWidth="1"/>
    <col min="5" max="5" width="13.42578125" style="25" customWidth="1"/>
    <col min="6" max="6" width="14" style="25" customWidth="1"/>
    <col min="7" max="7" width="23.28515625" style="25" customWidth="1"/>
    <col min="8" max="9" width="14.28515625" style="25" customWidth="1"/>
    <col min="10" max="16384" width="11.42578125" style="25"/>
  </cols>
  <sheetData>
    <row r="1" spans="2:8" ht="37.15" customHeight="1">
      <c r="C1" s="204"/>
    </row>
    <row r="2" spans="2:8" ht="15">
      <c r="C2" s="381"/>
    </row>
    <row r="3" spans="2:8">
      <c r="B3" s="669" t="s">
        <v>522</v>
      </c>
      <c r="C3" s="669"/>
      <c r="D3" s="669"/>
    </row>
    <row r="4" spans="2:8">
      <c r="B4" s="380"/>
      <c r="C4" s="380"/>
      <c r="D4" s="380"/>
    </row>
    <row r="5" spans="2:8" ht="15">
      <c r="B5" s="466" t="s">
        <v>702</v>
      </c>
    </row>
    <row r="6" spans="2:8" ht="34.5" customHeight="1">
      <c r="B6" s="29" t="s">
        <v>338</v>
      </c>
      <c r="C6" s="129" t="s">
        <v>439</v>
      </c>
      <c r="D6" s="129" t="s">
        <v>440</v>
      </c>
    </row>
    <row r="7" spans="2:8">
      <c r="B7" s="33" t="s">
        <v>1003</v>
      </c>
      <c r="C7" s="53">
        <v>513940258</v>
      </c>
      <c r="D7" s="53"/>
      <c r="H7" s="130"/>
    </row>
    <row r="8" spans="2:8">
      <c r="B8" s="33" t="s">
        <v>1004</v>
      </c>
      <c r="C8" s="53">
        <v>10150933</v>
      </c>
      <c r="D8" s="53">
        <v>0</v>
      </c>
      <c r="H8" s="130"/>
    </row>
    <row r="9" spans="2:8">
      <c r="B9" s="33" t="s">
        <v>1005</v>
      </c>
      <c r="C9" s="53">
        <v>4221843</v>
      </c>
      <c r="D9" s="53">
        <v>0</v>
      </c>
      <c r="H9" s="130"/>
    </row>
    <row r="10" spans="2:8">
      <c r="B10" s="33" t="s">
        <v>1006</v>
      </c>
      <c r="C10" s="53">
        <v>1818256</v>
      </c>
      <c r="D10" s="53"/>
      <c r="E10" s="115"/>
      <c r="F10" s="115"/>
      <c r="H10" s="130"/>
    </row>
    <row r="11" spans="2:8">
      <c r="B11" s="33" t="s">
        <v>1007</v>
      </c>
      <c r="C11" s="53">
        <v>2390732</v>
      </c>
      <c r="D11" s="53"/>
      <c r="E11" s="115"/>
      <c r="F11" s="115"/>
      <c r="H11" s="130"/>
    </row>
    <row r="12" spans="2:8">
      <c r="B12" s="33" t="s">
        <v>1008</v>
      </c>
      <c r="C12" s="53">
        <v>2783908</v>
      </c>
      <c r="D12" s="53"/>
      <c r="E12" s="115"/>
      <c r="F12" s="115"/>
      <c r="H12" s="130"/>
    </row>
    <row r="13" spans="2:8">
      <c r="B13" s="121" t="str">
        <f>+'NOTA K PRESTAMOS'!B44</f>
        <v>Total al 31/12/2021</v>
      </c>
      <c r="C13" s="118">
        <f>SUM(C7:C12)</f>
        <v>535305930</v>
      </c>
      <c r="D13" s="53">
        <v>0</v>
      </c>
      <c r="E13" s="39">
        <v>0</v>
      </c>
      <c r="F13" s="131"/>
      <c r="G13" s="55"/>
    </row>
    <row r="14" spans="2:8">
      <c r="B14" s="121" t="str">
        <f>+'NOTA K PRESTAMOS'!B45</f>
        <v>Total al 31/12/2020</v>
      </c>
      <c r="C14" s="118">
        <v>11861121838</v>
      </c>
      <c r="D14" s="118">
        <v>0</v>
      </c>
      <c r="E14" s="39"/>
    </row>
    <row r="15" spans="2:8">
      <c r="C15" s="112"/>
    </row>
    <row r="16" spans="2:8">
      <c r="C16" s="55">
        <f>+C13-'Balance Gral. Resol. 30'!G12</f>
        <v>0</v>
      </c>
    </row>
    <row r="17" spans="3:3">
      <c r="C17" s="55"/>
    </row>
  </sheetData>
  <sheetProtection algorithmName="SHA-512" hashValue="nrGyYgaBGfS3aC0YIiUszeupT+GaXwnFN2VGB6KnC9ccQAlJtaglmHnD+nNltnmgBmCfaLUCeUp6hWQb1klJzg==" saltValue="EdcE4PPiWhx0me7eiER5NA==" spinCount="100000" sheet="1" objects="1" scenarios="1"/>
  <mergeCells count="1">
    <mergeCell ref="B3:D3"/>
  </mergeCells>
  <hyperlinks>
    <hyperlink ref="B5" location="'Balance Gral. Resol. 30'!A1" display="'Balance Gral. Resol. 30'!A1" xr:uid="{9FADE930-F96F-4CF8-946A-5697F40695CB}"/>
  </hyperlink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1:G41"/>
  <sheetViews>
    <sheetView showGridLines="0" zoomScale="125" zoomScaleNormal="85" workbookViewId="0">
      <selection activeCell="C71" sqref="C71"/>
    </sheetView>
  </sheetViews>
  <sheetFormatPr baseColWidth="10" defaultColWidth="11.42578125" defaultRowHeight="12"/>
  <cols>
    <col min="1" max="1" width="4.7109375" style="132" customWidth="1"/>
    <col min="2" max="2" width="47.140625" style="132" customWidth="1"/>
    <col min="3" max="4" width="20.7109375" style="132" customWidth="1"/>
    <col min="5" max="5" width="11.42578125" style="132"/>
    <col min="6" max="6" width="10.7109375" style="132" bestFit="1" customWidth="1"/>
    <col min="7" max="7" width="13.28515625" style="132" bestFit="1" customWidth="1"/>
    <col min="8" max="8" width="16.42578125" style="132" bestFit="1" customWidth="1"/>
    <col min="9" max="9" width="11.42578125" style="132"/>
    <col min="10" max="10" width="13.42578125" style="132" customWidth="1"/>
    <col min="11" max="16384" width="11.42578125" style="132"/>
  </cols>
  <sheetData>
    <row r="1" spans="2:4" ht="49.9" customHeight="1">
      <c r="C1" s="204"/>
    </row>
    <row r="2" spans="2:4" ht="15">
      <c r="B2" s="469" t="s">
        <v>702</v>
      </c>
      <c r="C2" s="381"/>
    </row>
    <row r="3" spans="2:4" ht="15">
      <c r="B3" s="469"/>
      <c r="C3" s="381"/>
    </row>
    <row r="4" spans="2:4">
      <c r="B4" s="133" t="s">
        <v>523</v>
      </c>
    </row>
    <row r="6" spans="2:4">
      <c r="B6" s="122" t="s">
        <v>338</v>
      </c>
      <c r="C6" s="122" t="s">
        <v>442</v>
      </c>
      <c r="D6" s="122" t="s">
        <v>443</v>
      </c>
    </row>
    <row r="7" spans="2:4">
      <c r="B7" s="134" t="s">
        <v>1009</v>
      </c>
      <c r="C7" s="135">
        <f>+'[7]EEFF 31 12 2021'!$B$107</f>
        <v>1870652344</v>
      </c>
      <c r="D7" s="136">
        <v>0</v>
      </c>
    </row>
    <row r="8" spans="2:4">
      <c r="B8" s="134" t="s">
        <v>1010</v>
      </c>
      <c r="C8" s="135">
        <f>+'[7]EEFF 31 12 2021'!$B$109</f>
        <v>3856193824</v>
      </c>
      <c r="D8" s="136"/>
    </row>
    <row r="9" spans="2:4">
      <c r="B9" s="137" t="str">
        <f>+'NOTA L DOCUM y CTAS A PAG'!B13</f>
        <v>Total al 31/12/2021</v>
      </c>
      <c r="C9" s="138">
        <f>SUM(C7:C8)</f>
        <v>5726846168</v>
      </c>
      <c r="D9" s="136">
        <v>0</v>
      </c>
    </row>
    <row r="10" spans="2:4">
      <c r="B10" s="137" t="str">
        <f>+'NOTA L DOCUM y CTAS A PAG'!B14</f>
        <v>Total al 31/12/2020</v>
      </c>
      <c r="C10" s="139">
        <v>5810989127</v>
      </c>
      <c r="D10" s="136">
        <v>0</v>
      </c>
    </row>
    <row r="11" spans="2:4">
      <c r="C11" s="151">
        <f>+C9-'Balance Gral. Resol. 30'!G11</f>
        <v>0</v>
      </c>
    </row>
    <row r="12" spans="2:4">
      <c r="B12" s="133" t="s">
        <v>524</v>
      </c>
      <c r="C12" s="662">
        <f>+C10-'Balance Gral. Resol. 30'!H11</f>
        <v>0</v>
      </c>
    </row>
    <row r="13" spans="2:4" ht="24" customHeight="1">
      <c r="B13" s="742" t="s">
        <v>444</v>
      </c>
      <c r="C13" s="742"/>
      <c r="D13" s="742"/>
    </row>
    <row r="14" spans="2:4">
      <c r="B14" s="140"/>
    </row>
    <row r="15" spans="2:4" ht="24" customHeight="1">
      <c r="B15" s="743" t="s">
        <v>525</v>
      </c>
      <c r="C15" s="743"/>
      <c r="D15" s="743"/>
    </row>
    <row r="16" spans="2:4">
      <c r="B16" s="133"/>
    </row>
    <row r="17" spans="2:7" ht="24">
      <c r="B17" s="122" t="s">
        <v>450</v>
      </c>
      <c r="C17" s="122" t="s">
        <v>451</v>
      </c>
      <c r="D17" s="122" t="s">
        <v>452</v>
      </c>
      <c r="E17" s="122" t="s">
        <v>457</v>
      </c>
      <c r="F17" s="122" t="s">
        <v>442</v>
      </c>
      <c r="G17" s="122" t="s">
        <v>443</v>
      </c>
    </row>
    <row r="18" spans="2:7" ht="24">
      <c r="B18" s="134" t="s">
        <v>629</v>
      </c>
      <c r="C18" s="134" t="s">
        <v>1011</v>
      </c>
      <c r="D18" s="134" t="s">
        <v>1013</v>
      </c>
      <c r="E18" s="470" t="s">
        <v>1012</v>
      </c>
      <c r="F18" s="135">
        <f>+'[7]201010301 CTAS A PAGAR ER ML'!$E$5</f>
        <v>110000</v>
      </c>
      <c r="G18" s="135">
        <v>0</v>
      </c>
    </row>
    <row r="19" spans="2:7">
      <c r="B19" s="134"/>
      <c r="C19" s="134"/>
      <c r="D19" s="134"/>
      <c r="E19" s="470">
        <v>0</v>
      </c>
      <c r="F19" s="135">
        <v>0</v>
      </c>
      <c r="G19" s="135">
        <v>0</v>
      </c>
    </row>
    <row r="20" spans="2:7">
      <c r="B20" s="137" t="str">
        <f>+B9</f>
        <v>Total al 31/12/2021</v>
      </c>
      <c r="C20" s="137"/>
      <c r="D20" s="137"/>
      <c r="E20" s="471"/>
      <c r="F20" s="370">
        <f>SUM(F18:F19)</f>
        <v>110000</v>
      </c>
      <c r="G20" s="370">
        <v>0</v>
      </c>
    </row>
    <row r="21" spans="2:7">
      <c r="B21" s="137" t="str">
        <f>+B10</f>
        <v>Total al 31/12/2020</v>
      </c>
      <c r="C21" s="137"/>
      <c r="D21" s="137"/>
      <c r="E21" s="137"/>
      <c r="F21" s="139">
        <v>48353641</v>
      </c>
      <c r="G21" s="139">
        <v>0</v>
      </c>
    </row>
    <row r="22" spans="2:7">
      <c r="F22" s="161">
        <f>+F20-'Balance Gral. Resol. 30'!G13</f>
        <v>0</v>
      </c>
    </row>
    <row r="23" spans="2:7">
      <c r="B23" s="141"/>
      <c r="C23" s="142"/>
      <c r="D23" s="143"/>
      <c r="F23" s="662">
        <f>+F21-'Balance Gral. Resol. 30'!H13</f>
        <v>0</v>
      </c>
    </row>
    <row r="24" spans="2:7" ht="24" customHeight="1">
      <c r="B24" s="743" t="s">
        <v>526</v>
      </c>
      <c r="C24" s="743"/>
      <c r="D24" s="743"/>
      <c r="E24" s="743"/>
      <c r="F24" s="743"/>
      <c r="G24" s="743"/>
    </row>
    <row r="25" spans="2:7">
      <c r="B25" s="742" t="s">
        <v>445</v>
      </c>
      <c r="C25" s="742"/>
      <c r="D25" s="742"/>
      <c r="E25" s="742"/>
      <c r="F25" s="742"/>
      <c r="G25" s="742"/>
    </row>
    <row r="27" spans="2:7">
      <c r="B27" s="133" t="s">
        <v>527</v>
      </c>
    </row>
    <row r="29" spans="2:7">
      <c r="B29" s="35" t="s">
        <v>338</v>
      </c>
      <c r="C29" s="129" t="s">
        <v>446</v>
      </c>
      <c r="D29" s="129" t="s">
        <v>447</v>
      </c>
    </row>
    <row r="30" spans="2:7">
      <c r="B30" s="144" t="s">
        <v>722</v>
      </c>
      <c r="C30" s="145">
        <v>49908898</v>
      </c>
      <c r="D30" s="146">
        <v>0</v>
      </c>
    </row>
    <row r="31" spans="2:7">
      <c r="B31" s="144" t="s">
        <v>544</v>
      </c>
      <c r="C31" s="147">
        <v>0</v>
      </c>
      <c r="D31" s="146">
        <v>0</v>
      </c>
    </row>
    <row r="32" spans="2:7">
      <c r="B32" s="144" t="s">
        <v>332</v>
      </c>
      <c r="C32" s="148">
        <v>1740678436</v>
      </c>
      <c r="D32" s="146">
        <v>0</v>
      </c>
    </row>
    <row r="33" spans="2:4">
      <c r="B33" s="137" t="str">
        <f>+B20</f>
        <v>Total al 31/12/2021</v>
      </c>
      <c r="C33" s="138">
        <f>SUM(C30:C32)</f>
        <v>1790587334</v>
      </c>
      <c r="D33" s="146">
        <v>0</v>
      </c>
    </row>
    <row r="34" spans="2:4">
      <c r="B34" s="137" t="str">
        <f>+B21</f>
        <v>Total al 31/12/2020</v>
      </c>
      <c r="C34" s="149">
        <v>35305818</v>
      </c>
      <c r="D34" s="146">
        <v>0</v>
      </c>
    </row>
    <row r="36" spans="2:4">
      <c r="C36" s="151">
        <f>+C33-'Balance Gral. Resol. 30'!G29</f>
        <v>0</v>
      </c>
    </row>
    <row r="37" spans="2:4">
      <c r="C37" s="662">
        <f>+C34-'Balance Gral. Resol. 30'!H29</f>
        <v>0</v>
      </c>
    </row>
    <row r="38" spans="2:4">
      <c r="B38" s="35" t="s">
        <v>338</v>
      </c>
      <c r="C38" s="129" t="s">
        <v>446</v>
      </c>
      <c r="D38" s="129" t="s">
        <v>447</v>
      </c>
    </row>
    <row r="39" spans="2:4">
      <c r="B39" s="144" t="s">
        <v>740</v>
      </c>
      <c r="C39" s="145">
        <f>+'Balance Gral. Resol. 30'!G38</f>
        <v>14244884</v>
      </c>
      <c r="D39" s="146">
        <v>0</v>
      </c>
    </row>
    <row r="40" spans="2:4">
      <c r="B40" s="137" t="str">
        <f>+B33</f>
        <v>Total al 31/12/2021</v>
      </c>
      <c r="C40" s="138">
        <f>SUM(C39:C39)</f>
        <v>14244884</v>
      </c>
      <c r="D40" s="146">
        <v>0</v>
      </c>
    </row>
    <row r="41" spans="2:4">
      <c r="B41" s="137" t="str">
        <f>+B34</f>
        <v>Total al 31/12/2020</v>
      </c>
      <c r="C41" s="149">
        <v>0</v>
      </c>
      <c r="D41" s="146">
        <v>0</v>
      </c>
    </row>
  </sheetData>
  <sheetProtection algorithmName="SHA-512" hashValue="vNfmuSE1pbhON4Q0Cm3tdmuCmFswqnHqrfqq0gFLRUE1k3OmSsd3F0wA1lnlqEUZQ/1RGJtr5SENUCFGBn0G+g==" saltValue="Xu4rb0kEIyDF10toEXhRVA==" spinCount="100000" sheet="1" objects="1" scenarios="1"/>
  <mergeCells count="4">
    <mergeCell ref="B13:D13"/>
    <mergeCell ref="B15:D15"/>
    <mergeCell ref="B24:G24"/>
    <mergeCell ref="B25:G25"/>
  </mergeCells>
  <hyperlinks>
    <hyperlink ref="B2" location="'Balance Gral. Resol. 30'!A1" display="'Balance Gral. Resol. 30'!A1" xr:uid="{56D1AB62-AF76-4B2F-9533-7100AAC9D14F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6BF8-57EF-42BC-9BD9-138242237D99}">
  <sheetPr codeName="Hoja2">
    <tabColor rgb="FF002060"/>
  </sheetPr>
  <dimension ref="A1:K286"/>
  <sheetViews>
    <sheetView showGridLines="0" topLeftCell="A130" zoomScale="148" zoomScaleNormal="148" workbookViewId="0">
      <selection activeCell="C71" sqref="C71"/>
    </sheetView>
  </sheetViews>
  <sheetFormatPr baseColWidth="10" defaultColWidth="11.5703125" defaultRowHeight="15"/>
  <cols>
    <col min="1" max="1" width="29.42578125" style="346" customWidth="1"/>
    <col min="2" max="2" width="24.28515625" style="346" customWidth="1"/>
    <col min="3" max="3" width="23.140625" style="346" bestFit="1" customWidth="1"/>
    <col min="4" max="4" width="20" style="346" bestFit="1" customWidth="1"/>
    <col min="5" max="5" width="16" style="346" customWidth="1"/>
    <col min="6" max="6" width="11.5703125" style="343"/>
    <col min="7" max="7" width="22.140625" style="343" customWidth="1"/>
    <col min="8" max="8" width="11.5703125" style="343"/>
    <col min="9" max="9" width="14.85546875" style="367" bestFit="1" customWidth="1"/>
    <col min="10" max="10" width="12" style="343" bestFit="1" customWidth="1"/>
    <col min="11" max="16384" width="11.5703125" style="343"/>
  </cols>
  <sheetData>
    <row r="1" spans="1:6" ht="70.150000000000006" customHeight="1">
      <c r="A1" s="345"/>
    </row>
    <row r="2" spans="1:6" ht="21">
      <c r="A2" s="347" t="s">
        <v>585</v>
      </c>
    </row>
    <row r="3" spans="1:6" ht="15.75" thickBot="1">
      <c r="A3" s="374"/>
      <c r="B3" s="360"/>
      <c r="C3" s="360"/>
      <c r="D3" s="360"/>
      <c r="E3" s="360"/>
      <c r="F3" s="361"/>
    </row>
    <row r="4" spans="1:6" ht="20.45" customHeight="1">
      <c r="A4" s="693" t="s">
        <v>557</v>
      </c>
      <c r="B4" s="694"/>
      <c r="C4" s="695" t="s">
        <v>558</v>
      </c>
      <c r="D4" s="695"/>
      <c r="E4" s="695"/>
      <c r="F4" s="359"/>
    </row>
    <row r="5" spans="1:6" ht="20.45" customHeight="1">
      <c r="A5" s="678"/>
      <c r="B5" s="684"/>
      <c r="C5" s="679" t="s">
        <v>586</v>
      </c>
      <c r="D5" s="679"/>
      <c r="E5" s="679"/>
      <c r="F5" s="362"/>
    </row>
    <row r="6" spans="1:6" ht="20.45" customHeight="1">
      <c r="A6" s="678"/>
      <c r="B6" s="684"/>
      <c r="C6" s="679" t="s">
        <v>587</v>
      </c>
      <c r="D6" s="679"/>
      <c r="E6" s="679"/>
      <c r="F6" s="362"/>
    </row>
    <row r="7" spans="1:6" ht="20.45" customHeight="1">
      <c r="A7" s="678"/>
      <c r="B7" s="684"/>
      <c r="C7" s="679" t="s">
        <v>588</v>
      </c>
      <c r="D7" s="679"/>
      <c r="E7" s="679"/>
      <c r="F7" s="362"/>
    </row>
    <row r="8" spans="1:6" ht="20.45" customHeight="1">
      <c r="A8" s="678"/>
      <c r="B8" s="684"/>
      <c r="C8" s="679" t="s">
        <v>589</v>
      </c>
      <c r="D8" s="679"/>
      <c r="E8" s="679"/>
      <c r="F8" s="362"/>
    </row>
    <row r="9" spans="1:6">
      <c r="A9" s="678"/>
      <c r="B9" s="684"/>
      <c r="C9" s="679" t="s">
        <v>590</v>
      </c>
      <c r="D9" s="679"/>
      <c r="E9" s="679"/>
      <c r="F9" s="362"/>
    </row>
    <row r="10" spans="1:6" ht="14.45" customHeight="1">
      <c r="A10" s="678"/>
      <c r="B10" s="684"/>
      <c r="C10" s="696" t="s">
        <v>559</v>
      </c>
      <c r="D10" s="696"/>
      <c r="E10" s="696"/>
      <c r="F10" s="362"/>
    </row>
    <row r="11" spans="1:6">
      <c r="A11" s="678"/>
      <c r="B11" s="684"/>
      <c r="C11" s="679" t="s">
        <v>591</v>
      </c>
      <c r="D11" s="679"/>
      <c r="E11" s="679"/>
      <c r="F11" s="362"/>
    </row>
    <row r="12" spans="1:6">
      <c r="A12" s="687"/>
      <c r="B12" s="688"/>
      <c r="C12" s="692" t="s">
        <v>592</v>
      </c>
      <c r="D12" s="692"/>
      <c r="E12" s="692"/>
      <c r="F12" s="396"/>
    </row>
    <row r="13" spans="1:6" ht="20.45" customHeight="1">
      <c r="A13" s="685" t="s">
        <v>560</v>
      </c>
      <c r="B13" s="686"/>
      <c r="C13" s="689" t="s">
        <v>744</v>
      </c>
      <c r="D13" s="689"/>
      <c r="E13" s="689"/>
      <c r="F13" s="397"/>
    </row>
    <row r="14" spans="1:6" ht="20.45" customHeight="1">
      <c r="A14" s="678"/>
      <c r="B14" s="684"/>
      <c r="C14" s="679" t="s">
        <v>593</v>
      </c>
      <c r="D14" s="679"/>
      <c r="E14" s="679"/>
      <c r="F14" s="362"/>
    </row>
    <row r="15" spans="1:6" ht="40.9" customHeight="1">
      <c r="A15" s="687"/>
      <c r="B15" s="688"/>
      <c r="C15" s="690" t="s">
        <v>594</v>
      </c>
      <c r="D15" s="690"/>
      <c r="E15" s="690"/>
      <c r="F15" s="396"/>
    </row>
    <row r="16" spans="1:6">
      <c r="A16" s="685" t="s">
        <v>561</v>
      </c>
      <c r="B16" s="686"/>
      <c r="C16" s="689" t="s">
        <v>595</v>
      </c>
      <c r="D16" s="689"/>
      <c r="E16" s="689"/>
      <c r="F16" s="397"/>
    </row>
    <row r="17" spans="1:6">
      <c r="A17" s="678"/>
      <c r="B17" s="684"/>
      <c r="C17" s="679" t="s">
        <v>596</v>
      </c>
      <c r="D17" s="679"/>
      <c r="E17" s="679"/>
      <c r="F17" s="362"/>
    </row>
    <row r="18" spans="1:6">
      <c r="A18" s="678"/>
      <c r="B18" s="684"/>
      <c r="C18" s="679" t="s">
        <v>597</v>
      </c>
      <c r="D18" s="679"/>
      <c r="E18" s="679"/>
      <c r="F18" s="362"/>
    </row>
    <row r="19" spans="1:6">
      <c r="A19" s="678"/>
      <c r="B19" s="684"/>
      <c r="C19" s="679" t="s">
        <v>598</v>
      </c>
      <c r="D19" s="679"/>
      <c r="E19" s="679"/>
      <c r="F19" s="362"/>
    </row>
    <row r="20" spans="1:6">
      <c r="A20" s="678"/>
      <c r="B20" s="684"/>
      <c r="C20" s="679" t="s">
        <v>599</v>
      </c>
      <c r="D20" s="679"/>
      <c r="E20" s="679"/>
      <c r="F20" s="362"/>
    </row>
    <row r="21" spans="1:6">
      <c r="A21" s="678"/>
      <c r="B21" s="684"/>
      <c r="C21" s="679" t="s">
        <v>600</v>
      </c>
      <c r="D21" s="679"/>
      <c r="E21" s="679"/>
      <c r="F21" s="362"/>
    </row>
    <row r="22" spans="1:6">
      <c r="A22" s="687"/>
      <c r="B22" s="688"/>
      <c r="C22" s="691"/>
      <c r="D22" s="691"/>
      <c r="E22" s="691"/>
      <c r="F22" s="396"/>
    </row>
    <row r="23" spans="1:6" ht="20.45" customHeight="1">
      <c r="A23" s="685" t="s">
        <v>562</v>
      </c>
      <c r="B23" s="686"/>
      <c r="C23" s="689" t="s">
        <v>601</v>
      </c>
      <c r="D23" s="689"/>
      <c r="E23" s="689"/>
      <c r="F23" s="397"/>
    </row>
    <row r="24" spans="1:6" ht="20.45" customHeight="1">
      <c r="A24" s="687"/>
      <c r="B24" s="688"/>
      <c r="C24" s="692" t="s">
        <v>602</v>
      </c>
      <c r="D24" s="692"/>
      <c r="E24" s="692"/>
      <c r="F24" s="396"/>
    </row>
    <row r="25" spans="1:6">
      <c r="A25" s="678"/>
      <c r="B25" s="684"/>
      <c r="C25" s="680"/>
      <c r="D25" s="680"/>
      <c r="E25" s="680"/>
      <c r="F25" s="362"/>
    </row>
    <row r="26" spans="1:6">
      <c r="A26" s="678" t="s">
        <v>563</v>
      </c>
      <c r="B26" s="684"/>
      <c r="C26" s="389" t="s">
        <v>564</v>
      </c>
      <c r="D26" s="390" t="s">
        <v>565</v>
      </c>
      <c r="E26" s="391" t="s">
        <v>748</v>
      </c>
      <c r="F26" s="362"/>
    </row>
    <row r="27" spans="1:6">
      <c r="A27" s="681"/>
      <c r="B27" s="682"/>
      <c r="C27" s="385" t="s">
        <v>566</v>
      </c>
      <c r="D27" s="387" t="s">
        <v>567</v>
      </c>
      <c r="E27" s="392">
        <v>7173993</v>
      </c>
      <c r="F27" s="362"/>
    </row>
    <row r="28" spans="1:6">
      <c r="A28" s="681"/>
      <c r="B28" s="682"/>
      <c r="C28" s="385" t="s">
        <v>552</v>
      </c>
      <c r="D28" s="387" t="s">
        <v>568</v>
      </c>
      <c r="E28" s="392">
        <v>2034661</v>
      </c>
      <c r="F28" s="362"/>
    </row>
    <row r="29" spans="1:6">
      <c r="A29" s="681"/>
      <c r="B29" s="682"/>
      <c r="C29" s="385" t="s">
        <v>569</v>
      </c>
      <c r="D29" s="387" t="s">
        <v>570</v>
      </c>
      <c r="E29" s="392">
        <v>2040166</v>
      </c>
      <c r="F29" s="362"/>
    </row>
    <row r="30" spans="1:6">
      <c r="A30" s="681"/>
      <c r="B30" s="682"/>
      <c r="C30" s="385" t="s">
        <v>571</v>
      </c>
      <c r="D30" s="387" t="s">
        <v>572</v>
      </c>
      <c r="E30" s="392">
        <v>1488472</v>
      </c>
      <c r="F30" s="362"/>
    </row>
    <row r="31" spans="1:6">
      <c r="A31" s="681"/>
      <c r="B31" s="682"/>
      <c r="C31" s="385" t="s">
        <v>573</v>
      </c>
      <c r="D31" s="387" t="s">
        <v>572</v>
      </c>
      <c r="E31" s="392">
        <v>3357156</v>
      </c>
      <c r="F31" s="362"/>
    </row>
    <row r="32" spans="1:6">
      <c r="A32" s="681"/>
      <c r="B32" s="682"/>
      <c r="C32" s="385" t="s">
        <v>574</v>
      </c>
      <c r="D32" s="387" t="s">
        <v>575</v>
      </c>
      <c r="E32" s="392">
        <v>1246577</v>
      </c>
      <c r="F32" s="362"/>
    </row>
    <row r="33" spans="1:11">
      <c r="A33" s="681"/>
      <c r="B33" s="682"/>
      <c r="C33" s="385" t="s">
        <v>571</v>
      </c>
      <c r="D33" s="387" t="s">
        <v>576</v>
      </c>
      <c r="E33" s="392">
        <v>1488472</v>
      </c>
      <c r="F33" s="362"/>
    </row>
    <row r="34" spans="1:11">
      <c r="A34" s="681"/>
      <c r="B34" s="682"/>
      <c r="C34" s="385" t="s">
        <v>552</v>
      </c>
      <c r="D34" s="387" t="s">
        <v>577</v>
      </c>
      <c r="E34" s="392">
        <v>2034661</v>
      </c>
      <c r="F34" s="362"/>
    </row>
    <row r="35" spans="1:11">
      <c r="A35" s="681"/>
      <c r="B35" s="682"/>
      <c r="C35" s="386" t="s">
        <v>745</v>
      </c>
      <c r="D35" s="388" t="s">
        <v>578</v>
      </c>
      <c r="E35" s="393">
        <v>3830885</v>
      </c>
      <c r="F35" s="362"/>
    </row>
    <row r="36" spans="1:11">
      <c r="A36" s="681"/>
      <c r="B36" s="682"/>
      <c r="C36" s="671"/>
      <c r="D36" s="671"/>
      <c r="E36" s="671"/>
      <c r="F36" s="362"/>
    </row>
    <row r="37" spans="1:11">
      <c r="A37" s="681"/>
      <c r="B37" s="682"/>
      <c r="C37" s="389" t="s">
        <v>579</v>
      </c>
      <c r="D37" s="390" t="s">
        <v>639</v>
      </c>
      <c r="E37" s="390" t="s">
        <v>640</v>
      </c>
      <c r="F37" s="398" t="s">
        <v>580</v>
      </c>
      <c r="H37" s="367"/>
      <c r="I37" s="343"/>
      <c r="K37" s="367"/>
    </row>
    <row r="38" spans="1:11">
      <c r="A38" s="681"/>
      <c r="B38" s="682"/>
      <c r="C38" s="394" t="s">
        <v>581</v>
      </c>
      <c r="D38" s="395" t="s">
        <v>641</v>
      </c>
      <c r="E38" s="395" t="s">
        <v>643</v>
      </c>
      <c r="F38" s="399">
        <v>0.85</v>
      </c>
      <c r="H38" s="367"/>
      <c r="I38" s="343"/>
      <c r="K38" s="367"/>
    </row>
    <row r="39" spans="1:11">
      <c r="A39" s="681"/>
      <c r="B39" s="682"/>
      <c r="C39" s="385" t="s">
        <v>540</v>
      </c>
      <c r="D39" s="387" t="s">
        <v>641</v>
      </c>
      <c r="E39" s="387" t="s">
        <v>644</v>
      </c>
      <c r="F39" s="400">
        <v>0.7</v>
      </c>
      <c r="H39" s="367"/>
      <c r="I39" s="343"/>
      <c r="K39" s="367"/>
    </row>
    <row r="40" spans="1:11">
      <c r="A40" s="372"/>
      <c r="B40" s="384"/>
      <c r="C40" s="385" t="s">
        <v>582</v>
      </c>
      <c r="D40" s="387" t="s">
        <v>641</v>
      </c>
      <c r="E40" s="387" t="s">
        <v>642</v>
      </c>
      <c r="F40" s="400">
        <v>0.998</v>
      </c>
      <c r="H40" s="367"/>
      <c r="I40" s="343"/>
      <c r="K40" s="367"/>
    </row>
    <row r="41" spans="1:11">
      <c r="A41" s="493"/>
      <c r="B41" s="494"/>
      <c r="C41" s="385" t="s">
        <v>604</v>
      </c>
      <c r="D41" s="387" t="s">
        <v>641</v>
      </c>
      <c r="E41" s="387" t="s">
        <v>746</v>
      </c>
      <c r="F41" s="400">
        <v>0.7</v>
      </c>
      <c r="H41" s="367"/>
      <c r="I41" s="343"/>
      <c r="K41" s="367"/>
    </row>
    <row r="42" spans="1:11" ht="15.75" thickBot="1">
      <c r="A42" s="683"/>
      <c r="B42" s="682"/>
      <c r="C42" s="385" t="s">
        <v>803</v>
      </c>
      <c r="D42" s="387" t="s">
        <v>641</v>
      </c>
      <c r="E42" s="387" t="s">
        <v>804</v>
      </c>
      <c r="F42" s="400">
        <v>0.503</v>
      </c>
      <c r="H42" s="367"/>
      <c r="I42" s="343"/>
      <c r="K42" s="367"/>
    </row>
    <row r="43" spans="1:11">
      <c r="A43" s="371"/>
      <c r="B43" s="674"/>
      <c r="C43" s="675"/>
      <c r="D43" s="675"/>
      <c r="E43" s="675"/>
      <c r="F43" s="359"/>
      <c r="H43" s="367"/>
    </row>
    <row r="44" spans="1:11" ht="66" customHeight="1">
      <c r="A44" s="371" t="s">
        <v>583</v>
      </c>
      <c r="B44" s="676" t="s">
        <v>603</v>
      </c>
      <c r="C44" s="677"/>
      <c r="D44" s="677"/>
      <c r="E44" s="677"/>
      <c r="F44" s="362"/>
      <c r="H44" s="367"/>
    </row>
    <row r="45" spans="1:11" ht="26.45" customHeight="1">
      <c r="A45" s="371"/>
      <c r="B45" s="678" t="s">
        <v>805</v>
      </c>
      <c r="C45" s="679"/>
      <c r="D45" s="679"/>
      <c r="E45" s="679"/>
      <c r="F45" s="362"/>
    </row>
    <row r="46" spans="1:11" ht="26.45" customHeight="1">
      <c r="A46" s="372"/>
      <c r="B46" s="678" t="s">
        <v>806</v>
      </c>
      <c r="C46" s="679"/>
      <c r="D46" s="679"/>
      <c r="E46" s="679"/>
      <c r="F46" s="362"/>
    </row>
    <row r="47" spans="1:11" ht="26.45" customHeight="1">
      <c r="A47" s="372"/>
      <c r="B47" s="678" t="s">
        <v>807</v>
      </c>
      <c r="C47" s="679"/>
      <c r="D47" s="679"/>
      <c r="E47" s="679"/>
      <c r="F47" s="362"/>
    </row>
    <row r="48" spans="1:11" ht="26.45" customHeight="1">
      <c r="A48" s="372"/>
      <c r="B48" s="678" t="s">
        <v>808</v>
      </c>
      <c r="C48" s="679"/>
      <c r="D48" s="679"/>
      <c r="E48" s="679"/>
      <c r="F48" s="362"/>
    </row>
    <row r="49" spans="1:10">
      <c r="A49" s="372"/>
      <c r="B49" s="670"/>
      <c r="C49" s="671"/>
      <c r="D49" s="671"/>
      <c r="E49" s="671"/>
      <c r="F49" s="362"/>
    </row>
    <row r="50" spans="1:10" ht="15.75" thickBot="1">
      <c r="A50" s="373"/>
      <c r="B50" s="672"/>
      <c r="C50" s="673"/>
      <c r="D50" s="673"/>
      <c r="E50" s="673"/>
      <c r="F50" s="401"/>
    </row>
    <row r="51" spans="1:10">
      <c r="A51" s="348"/>
      <c r="B51" s="348"/>
      <c r="C51" s="671"/>
      <c r="D51" s="671"/>
      <c r="E51" s="671"/>
    </row>
    <row r="52" spans="1:10">
      <c r="A52" s="348"/>
      <c r="B52" s="108"/>
      <c r="C52" s="108"/>
      <c r="D52" s="108"/>
      <c r="E52" s="108"/>
    </row>
    <row r="53" spans="1:10">
      <c r="A53" s="344" t="s">
        <v>584</v>
      </c>
      <c r="B53" s="108"/>
      <c r="C53" s="108"/>
      <c r="D53" s="108"/>
      <c r="E53" s="108"/>
    </row>
    <row r="54" spans="1:10" ht="15.75" thickBot="1">
      <c r="A54" s="108"/>
      <c r="B54" s="108"/>
      <c r="C54" s="108"/>
      <c r="D54" s="108"/>
      <c r="E54" s="108"/>
    </row>
    <row r="55" spans="1:10" s="415" customFormat="1" ht="48.75" thickBot="1">
      <c r="A55" s="413" t="s">
        <v>620</v>
      </c>
      <c r="B55" s="366" t="s">
        <v>621</v>
      </c>
      <c r="C55" s="366" t="s">
        <v>622</v>
      </c>
      <c r="D55" s="366" t="s">
        <v>623</v>
      </c>
      <c r="E55" s="366" t="s">
        <v>624</v>
      </c>
      <c r="F55" s="153" t="s">
        <v>625</v>
      </c>
      <c r="G55" s="153" t="s">
        <v>626</v>
      </c>
      <c r="H55" s="153" t="s">
        <v>627</v>
      </c>
      <c r="I55" s="414" t="s">
        <v>628</v>
      </c>
      <c r="J55" s="154" t="s">
        <v>747</v>
      </c>
    </row>
    <row r="56" spans="1:10" s="342" customFormat="1" ht="12">
      <c r="A56" s="371">
        <v>1</v>
      </c>
      <c r="B56" s="360" t="s">
        <v>629</v>
      </c>
      <c r="C56" s="408">
        <v>1</v>
      </c>
      <c r="D56" s="408">
        <v>126</v>
      </c>
      <c r="E56" s="408">
        <v>126</v>
      </c>
      <c r="F56" s="407">
        <v>126</v>
      </c>
      <c r="G56" s="407" t="s">
        <v>630</v>
      </c>
      <c r="H56" s="408">
        <v>126</v>
      </c>
      <c r="I56" s="408">
        <v>126000000</v>
      </c>
      <c r="J56" s="409">
        <v>0.46652843601895733</v>
      </c>
    </row>
    <row r="57" spans="1:10" s="342" customFormat="1" ht="12">
      <c r="A57" s="371">
        <v>2</v>
      </c>
      <c r="B57" s="360" t="s">
        <v>629</v>
      </c>
      <c r="C57" s="408">
        <v>127</v>
      </c>
      <c r="D57" s="408">
        <v>252</v>
      </c>
      <c r="E57" s="408">
        <v>126</v>
      </c>
      <c r="F57" s="407">
        <v>126</v>
      </c>
      <c r="G57" s="407" t="s">
        <v>630</v>
      </c>
      <c r="H57" s="408">
        <v>126</v>
      </c>
      <c r="I57" s="408">
        <v>126000000</v>
      </c>
      <c r="J57" s="409">
        <v>0.46652843601895733</v>
      </c>
    </row>
    <row r="58" spans="1:10" s="342" customFormat="1" ht="12">
      <c r="A58" s="371">
        <v>3</v>
      </c>
      <c r="B58" s="360" t="s">
        <v>629</v>
      </c>
      <c r="C58" s="408">
        <v>253</v>
      </c>
      <c r="D58" s="408">
        <v>378</v>
      </c>
      <c r="E58" s="408">
        <v>126</v>
      </c>
      <c r="F58" s="407">
        <v>126</v>
      </c>
      <c r="G58" s="407" t="s">
        <v>630</v>
      </c>
      <c r="H58" s="408">
        <v>126</v>
      </c>
      <c r="I58" s="408">
        <v>126000000</v>
      </c>
      <c r="J58" s="409">
        <v>0.46652843601895733</v>
      </c>
    </row>
    <row r="59" spans="1:10" s="342" customFormat="1" ht="12">
      <c r="A59" s="371">
        <v>4</v>
      </c>
      <c r="B59" s="360" t="s">
        <v>629</v>
      </c>
      <c r="C59" s="408">
        <v>379</v>
      </c>
      <c r="D59" s="408">
        <v>441</v>
      </c>
      <c r="E59" s="408">
        <v>63</v>
      </c>
      <c r="F59" s="407">
        <v>63</v>
      </c>
      <c r="G59" s="407" t="s">
        <v>630</v>
      </c>
      <c r="H59" s="408">
        <v>63</v>
      </c>
      <c r="I59" s="408">
        <v>63000000</v>
      </c>
      <c r="J59" s="409">
        <v>0.23326421800947866</v>
      </c>
    </row>
    <row r="60" spans="1:10" s="342" customFormat="1" ht="12">
      <c r="A60" s="371">
        <v>5</v>
      </c>
      <c r="B60" s="360" t="s">
        <v>631</v>
      </c>
      <c r="C60" s="408">
        <v>442</v>
      </c>
      <c r="D60" s="408">
        <v>448</v>
      </c>
      <c r="E60" s="408">
        <v>7</v>
      </c>
      <c r="F60" s="407">
        <v>7</v>
      </c>
      <c r="G60" s="407" t="s">
        <v>630</v>
      </c>
      <c r="H60" s="408">
        <v>7</v>
      </c>
      <c r="I60" s="408">
        <v>7000000</v>
      </c>
      <c r="J60" s="409">
        <v>2.5918246445497631E-2</v>
      </c>
    </row>
    <row r="61" spans="1:10" s="342" customFormat="1" ht="12">
      <c r="A61" s="416">
        <v>6</v>
      </c>
      <c r="B61" s="360" t="s">
        <v>631</v>
      </c>
      <c r="C61" s="408">
        <v>449</v>
      </c>
      <c r="D61" s="408">
        <v>489</v>
      </c>
      <c r="E61" s="408">
        <v>41</v>
      </c>
      <c r="F61" s="407">
        <v>41</v>
      </c>
      <c r="G61" s="407" t="s">
        <v>630</v>
      </c>
      <c r="H61" s="408">
        <v>41</v>
      </c>
      <c r="I61" s="408">
        <v>41000000</v>
      </c>
      <c r="J61" s="409">
        <v>0.15180687203791471</v>
      </c>
    </row>
    <row r="62" spans="1:10" s="342" customFormat="1" ht="12">
      <c r="A62" s="371">
        <v>7</v>
      </c>
      <c r="B62" s="360" t="s">
        <v>632</v>
      </c>
      <c r="C62" s="408">
        <v>490</v>
      </c>
      <c r="D62" s="408">
        <v>504</v>
      </c>
      <c r="E62" s="408">
        <v>15</v>
      </c>
      <c r="F62" s="407">
        <v>15</v>
      </c>
      <c r="G62" s="407" t="s">
        <v>630</v>
      </c>
      <c r="H62" s="408">
        <v>15</v>
      </c>
      <c r="I62" s="408">
        <v>15000000</v>
      </c>
      <c r="J62" s="409">
        <v>5.5539099526066352E-2</v>
      </c>
    </row>
    <row r="63" spans="1:10" s="342" customFormat="1" ht="12">
      <c r="A63" s="416">
        <v>8</v>
      </c>
      <c r="B63" s="360" t="s">
        <v>631</v>
      </c>
      <c r="C63" s="408">
        <v>505</v>
      </c>
      <c r="D63" s="408">
        <v>567</v>
      </c>
      <c r="E63" s="408">
        <v>63</v>
      </c>
      <c r="F63" s="407">
        <v>63</v>
      </c>
      <c r="G63" s="407" t="s">
        <v>630</v>
      </c>
      <c r="H63" s="408">
        <v>63</v>
      </c>
      <c r="I63" s="408">
        <v>63000000</v>
      </c>
      <c r="J63" s="409">
        <v>0.23326421800947866</v>
      </c>
    </row>
    <row r="64" spans="1:10" s="342" customFormat="1" ht="12">
      <c r="A64" s="371">
        <v>9</v>
      </c>
      <c r="B64" s="360" t="s">
        <v>632</v>
      </c>
      <c r="C64" s="408">
        <v>568</v>
      </c>
      <c r="D64" s="408">
        <v>630</v>
      </c>
      <c r="E64" s="408">
        <v>63</v>
      </c>
      <c r="F64" s="407">
        <v>63</v>
      </c>
      <c r="G64" s="407" t="s">
        <v>630</v>
      </c>
      <c r="H64" s="408">
        <v>63</v>
      </c>
      <c r="I64" s="408">
        <v>63000000</v>
      </c>
      <c r="J64" s="409">
        <v>0.23326421800947866</v>
      </c>
    </row>
    <row r="65" spans="1:10" s="342" customFormat="1" ht="12">
      <c r="A65" s="371">
        <v>10</v>
      </c>
      <c r="B65" s="360" t="s">
        <v>629</v>
      </c>
      <c r="C65" s="408">
        <v>631</v>
      </c>
      <c r="D65" s="408">
        <v>670</v>
      </c>
      <c r="E65" s="408">
        <v>40</v>
      </c>
      <c r="F65" s="407">
        <v>40</v>
      </c>
      <c r="G65" s="407" t="s">
        <v>630</v>
      </c>
      <c r="H65" s="408">
        <v>40</v>
      </c>
      <c r="I65" s="408">
        <v>40000000</v>
      </c>
      <c r="J65" s="409">
        <v>0.1481042654028436</v>
      </c>
    </row>
    <row r="66" spans="1:10" s="342" customFormat="1" ht="12">
      <c r="A66" s="371">
        <v>11</v>
      </c>
      <c r="B66" s="360" t="s">
        <v>629</v>
      </c>
      <c r="C66" s="408">
        <v>671</v>
      </c>
      <c r="D66" s="408">
        <v>710</v>
      </c>
      <c r="E66" s="408">
        <v>40</v>
      </c>
      <c r="F66" s="407">
        <v>40</v>
      </c>
      <c r="G66" s="407" t="s">
        <v>630</v>
      </c>
      <c r="H66" s="408">
        <v>40</v>
      </c>
      <c r="I66" s="408">
        <v>40000000</v>
      </c>
      <c r="J66" s="409">
        <v>0.1481042654028436</v>
      </c>
    </row>
    <row r="67" spans="1:10" s="342" customFormat="1" ht="12">
      <c r="A67" s="371">
        <v>12</v>
      </c>
      <c r="B67" s="360" t="s">
        <v>629</v>
      </c>
      <c r="C67" s="408">
        <v>711</v>
      </c>
      <c r="D67" s="408">
        <v>750</v>
      </c>
      <c r="E67" s="408">
        <v>40</v>
      </c>
      <c r="F67" s="407">
        <v>40</v>
      </c>
      <c r="G67" s="407" t="s">
        <v>630</v>
      </c>
      <c r="H67" s="408">
        <v>40</v>
      </c>
      <c r="I67" s="408">
        <v>40000000</v>
      </c>
      <c r="J67" s="409">
        <v>0.1481042654028436</v>
      </c>
    </row>
    <row r="68" spans="1:10" s="342" customFormat="1" ht="12">
      <c r="A68" s="371">
        <v>13</v>
      </c>
      <c r="B68" s="360" t="s">
        <v>629</v>
      </c>
      <c r="C68" s="408">
        <v>751</v>
      </c>
      <c r="D68" s="408">
        <v>770</v>
      </c>
      <c r="E68" s="408">
        <v>20</v>
      </c>
      <c r="F68" s="407">
        <v>20</v>
      </c>
      <c r="G68" s="407" t="s">
        <v>630</v>
      </c>
      <c r="H68" s="408">
        <v>20</v>
      </c>
      <c r="I68" s="408">
        <v>20000000</v>
      </c>
      <c r="J68" s="409">
        <v>7.4052132701421802E-2</v>
      </c>
    </row>
    <row r="69" spans="1:10" s="342" customFormat="1" ht="12">
      <c r="A69" s="371">
        <v>14</v>
      </c>
      <c r="B69" s="360" t="s">
        <v>631</v>
      </c>
      <c r="C69" s="408">
        <v>771</v>
      </c>
      <c r="D69" s="408">
        <v>780</v>
      </c>
      <c r="E69" s="408">
        <v>10</v>
      </c>
      <c r="F69" s="407">
        <v>10</v>
      </c>
      <c r="G69" s="407" t="s">
        <v>630</v>
      </c>
      <c r="H69" s="408">
        <v>10</v>
      </c>
      <c r="I69" s="408">
        <v>10000000</v>
      </c>
      <c r="J69" s="409">
        <v>3.7026066350710901E-2</v>
      </c>
    </row>
    <row r="70" spans="1:10" s="342" customFormat="1" ht="12">
      <c r="A70" s="371">
        <v>15</v>
      </c>
      <c r="B70" s="360" t="s">
        <v>632</v>
      </c>
      <c r="C70" s="408">
        <v>781</v>
      </c>
      <c r="D70" s="408">
        <v>790</v>
      </c>
      <c r="E70" s="408">
        <v>10</v>
      </c>
      <c r="F70" s="407">
        <v>10</v>
      </c>
      <c r="G70" s="407" t="s">
        <v>630</v>
      </c>
      <c r="H70" s="408">
        <v>10</v>
      </c>
      <c r="I70" s="408">
        <v>10000000</v>
      </c>
      <c r="J70" s="409">
        <v>3.7026066350710901E-2</v>
      </c>
    </row>
    <row r="71" spans="1:10" s="342" customFormat="1" ht="12">
      <c r="A71" s="371">
        <v>16</v>
      </c>
      <c r="B71" s="360" t="s">
        <v>631</v>
      </c>
      <c r="C71" s="408">
        <v>791</v>
      </c>
      <c r="D71" s="408">
        <v>810</v>
      </c>
      <c r="E71" s="408">
        <v>20</v>
      </c>
      <c r="F71" s="407">
        <v>20</v>
      </c>
      <c r="G71" s="407" t="s">
        <v>630</v>
      </c>
      <c r="H71" s="408">
        <v>20</v>
      </c>
      <c r="I71" s="408">
        <v>20000000</v>
      </c>
      <c r="J71" s="409">
        <v>7.4052132701421802E-2</v>
      </c>
    </row>
    <row r="72" spans="1:10" s="342" customFormat="1" ht="12">
      <c r="A72" s="371">
        <v>17</v>
      </c>
      <c r="B72" s="360" t="s">
        <v>632</v>
      </c>
      <c r="C72" s="408">
        <v>811</v>
      </c>
      <c r="D72" s="408">
        <v>830</v>
      </c>
      <c r="E72" s="408">
        <v>20</v>
      </c>
      <c r="F72" s="407">
        <v>20</v>
      </c>
      <c r="G72" s="407" t="s">
        <v>630</v>
      </c>
      <c r="H72" s="408">
        <v>20</v>
      </c>
      <c r="I72" s="408">
        <v>20000000</v>
      </c>
      <c r="J72" s="409">
        <v>7.4052132701421802E-2</v>
      </c>
    </row>
    <row r="73" spans="1:10" s="342" customFormat="1" ht="12">
      <c r="A73" s="371">
        <v>18</v>
      </c>
      <c r="B73" s="360" t="s">
        <v>629</v>
      </c>
      <c r="C73" s="408">
        <v>831</v>
      </c>
      <c r="D73" s="408">
        <v>941</v>
      </c>
      <c r="E73" s="408">
        <v>111</v>
      </c>
      <c r="F73" s="407">
        <v>111</v>
      </c>
      <c r="G73" s="407" t="s">
        <v>630</v>
      </c>
      <c r="H73" s="408">
        <v>111</v>
      </c>
      <c r="I73" s="408">
        <v>111000000</v>
      </c>
      <c r="J73" s="409">
        <v>0.41098933649289099</v>
      </c>
    </row>
    <row r="74" spans="1:10" s="342" customFormat="1" ht="12">
      <c r="A74" s="371">
        <v>19</v>
      </c>
      <c r="B74" s="360" t="s">
        <v>629</v>
      </c>
      <c r="C74" s="408">
        <v>942</v>
      </c>
      <c r="D74" s="408">
        <v>1089</v>
      </c>
      <c r="E74" s="408">
        <v>148</v>
      </c>
      <c r="F74" s="407">
        <v>148</v>
      </c>
      <c r="G74" s="407" t="s">
        <v>630</v>
      </c>
      <c r="H74" s="408">
        <v>148</v>
      </c>
      <c r="I74" s="408">
        <v>148000000</v>
      </c>
      <c r="J74" s="409">
        <v>0.54798578199052139</v>
      </c>
    </row>
    <row r="75" spans="1:10" s="342" customFormat="1" ht="12">
      <c r="A75" s="371">
        <v>20</v>
      </c>
      <c r="B75" s="360" t="s">
        <v>631</v>
      </c>
      <c r="C75" s="408">
        <v>1090</v>
      </c>
      <c r="D75" s="408">
        <v>1133</v>
      </c>
      <c r="E75" s="408">
        <v>44</v>
      </c>
      <c r="F75" s="407">
        <v>44</v>
      </c>
      <c r="G75" s="407" t="s">
        <v>630</v>
      </c>
      <c r="H75" s="408">
        <v>44</v>
      </c>
      <c r="I75" s="408">
        <v>44000000</v>
      </c>
      <c r="J75" s="409">
        <v>0.16291469194312796</v>
      </c>
    </row>
    <row r="76" spans="1:10" s="342" customFormat="1" ht="12">
      <c r="A76" s="371">
        <v>21</v>
      </c>
      <c r="B76" s="360" t="s">
        <v>632</v>
      </c>
      <c r="C76" s="408">
        <v>1134</v>
      </c>
      <c r="D76" s="408">
        <v>1181</v>
      </c>
      <c r="E76" s="408">
        <v>48</v>
      </c>
      <c r="F76" s="407">
        <v>48</v>
      </c>
      <c r="G76" s="407" t="s">
        <v>630</v>
      </c>
      <c r="H76" s="408">
        <v>48</v>
      </c>
      <c r="I76" s="408">
        <v>48000000</v>
      </c>
      <c r="J76" s="409">
        <v>0.17772511848341233</v>
      </c>
    </row>
    <row r="77" spans="1:10" s="342" customFormat="1" ht="12">
      <c r="A77" s="371">
        <v>22</v>
      </c>
      <c r="B77" s="360" t="s">
        <v>632</v>
      </c>
      <c r="C77" s="408">
        <v>1182</v>
      </c>
      <c r="D77" s="408">
        <v>1200</v>
      </c>
      <c r="E77" s="408">
        <v>19</v>
      </c>
      <c r="F77" s="407">
        <v>19</v>
      </c>
      <c r="G77" s="407" t="s">
        <v>630</v>
      </c>
      <c r="H77" s="408">
        <v>19</v>
      </c>
      <c r="I77" s="408">
        <v>19000000</v>
      </c>
      <c r="J77" s="409">
        <v>7.0349526066350712E-2</v>
      </c>
    </row>
    <row r="78" spans="1:10" s="342" customFormat="1" ht="12">
      <c r="A78" s="371">
        <v>23</v>
      </c>
      <c r="B78" s="360" t="s">
        <v>629</v>
      </c>
      <c r="C78" s="408">
        <v>1201</v>
      </c>
      <c r="D78" s="408">
        <v>1440</v>
      </c>
      <c r="E78" s="408">
        <v>240</v>
      </c>
      <c r="F78" s="407">
        <v>240</v>
      </c>
      <c r="G78" s="407" t="s">
        <v>630</v>
      </c>
      <c r="H78" s="408">
        <v>240</v>
      </c>
      <c r="I78" s="408">
        <v>240000000</v>
      </c>
      <c r="J78" s="409">
        <v>0.88862559241706163</v>
      </c>
    </row>
    <row r="79" spans="1:10" s="342" customFormat="1" ht="12">
      <c r="A79" s="371">
        <v>24</v>
      </c>
      <c r="B79" s="360" t="s">
        <v>629</v>
      </c>
      <c r="C79" s="408">
        <v>1441</v>
      </c>
      <c r="D79" s="408">
        <v>1620</v>
      </c>
      <c r="E79" s="408">
        <v>180</v>
      </c>
      <c r="F79" s="407">
        <v>180</v>
      </c>
      <c r="G79" s="407" t="s">
        <v>630</v>
      </c>
      <c r="H79" s="408">
        <v>180</v>
      </c>
      <c r="I79" s="408">
        <v>180000000</v>
      </c>
      <c r="J79" s="409">
        <v>0.66646919431279628</v>
      </c>
    </row>
    <row r="80" spans="1:10" s="342" customFormat="1" ht="12">
      <c r="A80" s="371">
        <v>25</v>
      </c>
      <c r="B80" s="360" t="s">
        <v>632</v>
      </c>
      <c r="C80" s="408">
        <v>1621</v>
      </c>
      <c r="D80" s="408">
        <v>1698</v>
      </c>
      <c r="E80" s="408">
        <v>78</v>
      </c>
      <c r="F80" s="407">
        <v>78</v>
      </c>
      <c r="G80" s="407" t="s">
        <v>630</v>
      </c>
      <c r="H80" s="408">
        <v>78</v>
      </c>
      <c r="I80" s="408">
        <v>78000000</v>
      </c>
      <c r="J80" s="409">
        <v>0.288803317535545</v>
      </c>
    </row>
    <row r="81" spans="1:10" s="342" customFormat="1" ht="12">
      <c r="A81" s="371">
        <v>26</v>
      </c>
      <c r="B81" s="360" t="s">
        <v>631</v>
      </c>
      <c r="C81" s="408">
        <v>1699</v>
      </c>
      <c r="D81" s="408">
        <v>1770</v>
      </c>
      <c r="E81" s="408">
        <v>72</v>
      </c>
      <c r="F81" s="407">
        <v>72</v>
      </c>
      <c r="G81" s="407" t="s">
        <v>630</v>
      </c>
      <c r="H81" s="408">
        <v>72</v>
      </c>
      <c r="I81" s="408">
        <v>72000000</v>
      </c>
      <c r="J81" s="409">
        <v>0.26658767772511849</v>
      </c>
    </row>
    <row r="82" spans="1:10" s="342" customFormat="1" ht="12">
      <c r="A82" s="371">
        <v>27</v>
      </c>
      <c r="B82" s="360" t="s">
        <v>632</v>
      </c>
      <c r="C82" s="408">
        <v>1771</v>
      </c>
      <c r="D82" s="408">
        <v>1800</v>
      </c>
      <c r="E82" s="408">
        <v>30</v>
      </c>
      <c r="F82" s="407">
        <v>30</v>
      </c>
      <c r="G82" s="407" t="s">
        <v>630</v>
      </c>
      <c r="H82" s="408">
        <v>30</v>
      </c>
      <c r="I82" s="408">
        <v>30000000</v>
      </c>
      <c r="J82" s="409">
        <v>0.1110781990521327</v>
      </c>
    </row>
    <row r="83" spans="1:10" s="342" customFormat="1" ht="12">
      <c r="A83" s="371">
        <v>28</v>
      </c>
      <c r="B83" s="360" t="s">
        <v>629</v>
      </c>
      <c r="C83" s="408">
        <v>1801</v>
      </c>
      <c r="D83" s="408">
        <v>1898</v>
      </c>
      <c r="E83" s="408">
        <v>98</v>
      </c>
      <c r="F83" s="407">
        <v>98</v>
      </c>
      <c r="G83" s="407" t="s">
        <v>630</v>
      </c>
      <c r="H83" s="408">
        <v>98</v>
      </c>
      <c r="I83" s="408">
        <v>98000000</v>
      </c>
      <c r="J83" s="409">
        <v>0.36285545023696686</v>
      </c>
    </row>
    <row r="84" spans="1:10" s="342" customFormat="1" ht="12">
      <c r="A84" s="371">
        <v>29</v>
      </c>
      <c r="B84" s="360" t="s">
        <v>631</v>
      </c>
      <c r="C84" s="408">
        <v>1899</v>
      </c>
      <c r="D84" s="408">
        <v>2141</v>
      </c>
      <c r="E84" s="408">
        <v>243</v>
      </c>
      <c r="F84" s="407">
        <v>243</v>
      </c>
      <c r="G84" s="407" t="s">
        <v>630</v>
      </c>
      <c r="H84" s="408">
        <v>243</v>
      </c>
      <c r="I84" s="408">
        <v>243000000</v>
      </c>
      <c r="J84" s="409">
        <v>0.89973341232227488</v>
      </c>
    </row>
    <row r="85" spans="1:10" s="342" customFormat="1" ht="12">
      <c r="A85" s="371">
        <v>30</v>
      </c>
      <c r="B85" s="360" t="s">
        <v>632</v>
      </c>
      <c r="C85" s="408">
        <v>2142</v>
      </c>
      <c r="D85" s="408">
        <v>2384</v>
      </c>
      <c r="E85" s="408">
        <v>243</v>
      </c>
      <c r="F85" s="407">
        <v>243</v>
      </c>
      <c r="G85" s="407" t="s">
        <v>630</v>
      </c>
      <c r="H85" s="408">
        <v>243</v>
      </c>
      <c r="I85" s="408">
        <v>243000000</v>
      </c>
      <c r="J85" s="409">
        <v>0.89973341232227488</v>
      </c>
    </row>
    <row r="86" spans="1:10" s="342" customFormat="1" ht="12">
      <c r="A86" s="371">
        <v>31</v>
      </c>
      <c r="B86" s="360" t="s">
        <v>629</v>
      </c>
      <c r="C86" s="408">
        <v>2385</v>
      </c>
      <c r="D86" s="408">
        <v>2480</v>
      </c>
      <c r="E86" s="408">
        <v>96</v>
      </c>
      <c r="F86" s="407">
        <v>96</v>
      </c>
      <c r="G86" s="407" t="s">
        <v>630</v>
      </c>
      <c r="H86" s="408">
        <v>96</v>
      </c>
      <c r="I86" s="408">
        <v>96000000</v>
      </c>
      <c r="J86" s="409">
        <v>0.35545023696682465</v>
      </c>
    </row>
    <row r="87" spans="1:10" s="342" customFormat="1" ht="12">
      <c r="A87" s="371">
        <v>32</v>
      </c>
      <c r="B87" s="360" t="s">
        <v>629</v>
      </c>
      <c r="C87" s="408">
        <v>2481</v>
      </c>
      <c r="D87" s="408">
        <v>2990</v>
      </c>
      <c r="E87" s="408">
        <v>510</v>
      </c>
      <c r="F87" s="407">
        <v>510</v>
      </c>
      <c r="G87" s="407" t="s">
        <v>630</v>
      </c>
      <c r="H87" s="408">
        <v>510</v>
      </c>
      <c r="I87" s="408">
        <v>510000000</v>
      </c>
      <c r="J87" s="409">
        <v>1.8883293838862558</v>
      </c>
    </row>
    <row r="88" spans="1:10" s="342" customFormat="1" ht="12">
      <c r="A88" s="371">
        <v>33</v>
      </c>
      <c r="B88" s="360" t="s">
        <v>632</v>
      </c>
      <c r="C88" s="408">
        <v>2991</v>
      </c>
      <c r="D88" s="408">
        <v>3211</v>
      </c>
      <c r="E88" s="408">
        <v>221</v>
      </c>
      <c r="F88" s="407">
        <v>221</v>
      </c>
      <c r="G88" s="407" t="s">
        <v>630</v>
      </c>
      <c r="H88" s="408">
        <v>221</v>
      </c>
      <c r="I88" s="408">
        <v>221000000</v>
      </c>
      <c r="J88" s="409">
        <v>0.81827606635071093</v>
      </c>
    </row>
    <row r="89" spans="1:10" s="342" customFormat="1" ht="12">
      <c r="A89" s="371">
        <v>34</v>
      </c>
      <c r="B89" s="360" t="s">
        <v>631</v>
      </c>
      <c r="C89" s="408">
        <v>3212</v>
      </c>
      <c r="D89" s="408">
        <v>3415</v>
      </c>
      <c r="E89" s="408">
        <v>204</v>
      </c>
      <c r="F89" s="407">
        <v>204</v>
      </c>
      <c r="G89" s="407" t="s">
        <v>630</v>
      </c>
      <c r="H89" s="408">
        <v>204</v>
      </c>
      <c r="I89" s="408">
        <v>204000000</v>
      </c>
      <c r="J89" s="409">
        <v>0.75533175355450233</v>
      </c>
    </row>
    <row r="90" spans="1:10" s="342" customFormat="1" ht="12">
      <c r="A90" s="371">
        <v>35</v>
      </c>
      <c r="B90" s="360" t="s">
        <v>632</v>
      </c>
      <c r="C90" s="408">
        <v>3416</v>
      </c>
      <c r="D90" s="408">
        <v>3448</v>
      </c>
      <c r="E90" s="408">
        <v>33</v>
      </c>
      <c r="F90" s="407">
        <v>33</v>
      </c>
      <c r="G90" s="407" t="s">
        <v>630</v>
      </c>
      <c r="H90" s="408">
        <v>33</v>
      </c>
      <c r="I90" s="408">
        <v>33000000</v>
      </c>
      <c r="J90" s="409">
        <v>0.12218601895734597</v>
      </c>
    </row>
    <row r="91" spans="1:10" s="342" customFormat="1" ht="12">
      <c r="A91" s="371">
        <v>36</v>
      </c>
      <c r="B91" s="360" t="s">
        <v>631</v>
      </c>
      <c r="C91" s="408">
        <v>3449</v>
      </c>
      <c r="D91" s="408">
        <v>3500</v>
      </c>
      <c r="E91" s="408">
        <v>52</v>
      </c>
      <c r="F91" s="407">
        <v>52</v>
      </c>
      <c r="G91" s="407" t="s">
        <v>630</v>
      </c>
      <c r="H91" s="408">
        <v>52</v>
      </c>
      <c r="I91" s="408">
        <v>52000000</v>
      </c>
      <c r="J91" s="409">
        <v>0.19253554502369669</v>
      </c>
    </row>
    <row r="92" spans="1:10" s="342" customFormat="1" ht="12">
      <c r="A92" s="371">
        <v>37</v>
      </c>
      <c r="B92" s="360" t="s">
        <v>629</v>
      </c>
      <c r="C92" s="408">
        <v>3501</v>
      </c>
      <c r="D92" s="408">
        <v>3558</v>
      </c>
      <c r="E92" s="408">
        <v>58</v>
      </c>
      <c r="F92" s="407">
        <v>58</v>
      </c>
      <c r="G92" s="407" t="s">
        <v>630</v>
      </c>
      <c r="H92" s="408">
        <v>58</v>
      </c>
      <c r="I92" s="408">
        <v>58000000</v>
      </c>
      <c r="J92" s="409">
        <v>0.21475118483412323</v>
      </c>
    </row>
    <row r="93" spans="1:10" s="342" customFormat="1" ht="12">
      <c r="A93" s="371">
        <v>38</v>
      </c>
      <c r="B93" s="360" t="s">
        <v>631</v>
      </c>
      <c r="C93" s="408">
        <v>3559</v>
      </c>
      <c r="D93" s="408">
        <v>3740</v>
      </c>
      <c r="E93" s="408">
        <v>182</v>
      </c>
      <c r="F93" s="407">
        <v>182</v>
      </c>
      <c r="G93" s="407" t="s">
        <v>630</v>
      </c>
      <c r="H93" s="408">
        <v>182</v>
      </c>
      <c r="I93" s="408">
        <v>182000000</v>
      </c>
      <c r="J93" s="409">
        <v>0.67387440758293837</v>
      </c>
    </row>
    <row r="94" spans="1:10" s="342" customFormat="1" ht="12">
      <c r="A94" s="371">
        <v>39</v>
      </c>
      <c r="B94" s="360" t="s">
        <v>629</v>
      </c>
      <c r="C94" s="408">
        <v>3741</v>
      </c>
      <c r="D94" s="408">
        <v>3920</v>
      </c>
      <c r="E94" s="408">
        <v>180</v>
      </c>
      <c r="F94" s="407">
        <v>180</v>
      </c>
      <c r="G94" s="407" t="s">
        <v>630</v>
      </c>
      <c r="H94" s="408">
        <v>180</v>
      </c>
      <c r="I94" s="408">
        <v>180000000</v>
      </c>
      <c r="J94" s="409">
        <v>0.66646919431279628</v>
      </c>
    </row>
    <row r="95" spans="1:10" s="342" customFormat="1" ht="12">
      <c r="A95" s="416">
        <v>40</v>
      </c>
      <c r="B95" s="360" t="s">
        <v>632</v>
      </c>
      <c r="C95" s="408">
        <v>3921</v>
      </c>
      <c r="D95" s="408">
        <v>3998</v>
      </c>
      <c r="E95" s="408">
        <v>78</v>
      </c>
      <c r="F95" s="407">
        <v>78</v>
      </c>
      <c r="G95" s="407" t="s">
        <v>630</v>
      </c>
      <c r="H95" s="408">
        <v>78</v>
      </c>
      <c r="I95" s="408">
        <v>78000000</v>
      </c>
      <c r="J95" s="409">
        <v>0.288803317535545</v>
      </c>
    </row>
    <row r="96" spans="1:10" s="342" customFormat="1" ht="12">
      <c r="A96" s="416">
        <v>41</v>
      </c>
      <c r="B96" s="360" t="s">
        <v>631</v>
      </c>
      <c r="C96" s="408">
        <v>3999</v>
      </c>
      <c r="D96" s="408">
        <v>4070</v>
      </c>
      <c r="E96" s="408">
        <v>72</v>
      </c>
      <c r="F96" s="407">
        <v>72</v>
      </c>
      <c r="G96" s="407" t="s">
        <v>630</v>
      </c>
      <c r="H96" s="408">
        <v>72</v>
      </c>
      <c r="I96" s="408">
        <v>72000000</v>
      </c>
      <c r="J96" s="409">
        <v>0.26658767772511849</v>
      </c>
    </row>
    <row r="97" spans="1:10" s="342" customFormat="1" ht="12">
      <c r="A97" s="416">
        <v>42</v>
      </c>
      <c r="B97" s="360" t="s">
        <v>631</v>
      </c>
      <c r="C97" s="408">
        <v>4071</v>
      </c>
      <c r="D97" s="408">
        <v>4100</v>
      </c>
      <c r="E97" s="408">
        <v>30</v>
      </c>
      <c r="F97" s="407">
        <v>30</v>
      </c>
      <c r="G97" s="407" t="s">
        <v>630</v>
      </c>
      <c r="H97" s="408">
        <v>30</v>
      </c>
      <c r="I97" s="408">
        <v>30000000</v>
      </c>
      <c r="J97" s="409">
        <v>0.1110781990521327</v>
      </c>
    </row>
    <row r="98" spans="1:10" s="342" customFormat="1" ht="12">
      <c r="A98" s="416">
        <v>43</v>
      </c>
      <c r="B98" s="360" t="s">
        <v>631</v>
      </c>
      <c r="C98" s="408">
        <v>4101</v>
      </c>
      <c r="D98" s="408">
        <v>4161</v>
      </c>
      <c r="E98" s="408">
        <v>61</v>
      </c>
      <c r="F98" s="407">
        <v>61</v>
      </c>
      <c r="G98" s="407" t="s">
        <v>630</v>
      </c>
      <c r="H98" s="408">
        <v>61</v>
      </c>
      <c r="I98" s="408">
        <v>61000000</v>
      </c>
      <c r="J98" s="409">
        <v>0.22585900473933648</v>
      </c>
    </row>
    <row r="99" spans="1:10" s="342" customFormat="1" ht="12">
      <c r="A99" s="416">
        <v>44</v>
      </c>
      <c r="B99" s="360" t="s">
        <v>632</v>
      </c>
      <c r="C99" s="408">
        <v>4162</v>
      </c>
      <c r="D99" s="408">
        <v>4404</v>
      </c>
      <c r="E99" s="408">
        <v>243</v>
      </c>
      <c r="F99" s="407">
        <v>243</v>
      </c>
      <c r="G99" s="407" t="s">
        <v>630</v>
      </c>
      <c r="H99" s="408">
        <v>243</v>
      </c>
      <c r="I99" s="408">
        <v>243000000</v>
      </c>
      <c r="J99" s="409">
        <v>0.89973341232227488</v>
      </c>
    </row>
    <row r="100" spans="1:10" s="342" customFormat="1" ht="12">
      <c r="A100" s="416">
        <v>45</v>
      </c>
      <c r="B100" s="360" t="s">
        <v>629</v>
      </c>
      <c r="C100" s="408">
        <v>4405</v>
      </c>
      <c r="D100" s="408">
        <v>4632</v>
      </c>
      <c r="E100" s="408">
        <v>228</v>
      </c>
      <c r="F100" s="407">
        <v>228</v>
      </c>
      <c r="G100" s="407" t="s">
        <v>630</v>
      </c>
      <c r="H100" s="408">
        <v>228</v>
      </c>
      <c r="I100" s="408">
        <v>228000000</v>
      </c>
      <c r="J100" s="409">
        <v>0.8441943127962086</v>
      </c>
    </row>
    <row r="101" spans="1:10" s="342" customFormat="1" ht="12">
      <c r="A101" s="416">
        <v>46</v>
      </c>
      <c r="B101" s="360" t="s">
        <v>632</v>
      </c>
      <c r="C101" s="408">
        <v>4633</v>
      </c>
      <c r="D101" s="408">
        <v>4746</v>
      </c>
      <c r="E101" s="408">
        <v>114</v>
      </c>
      <c r="F101" s="407">
        <v>114</v>
      </c>
      <c r="G101" s="407" t="s">
        <v>630</v>
      </c>
      <c r="H101" s="408">
        <v>114</v>
      </c>
      <c r="I101" s="408">
        <v>114000000</v>
      </c>
      <c r="J101" s="409">
        <v>0.4220971563981043</v>
      </c>
    </row>
    <row r="102" spans="1:10" s="342" customFormat="1" ht="12">
      <c r="A102" s="416">
        <v>47</v>
      </c>
      <c r="B102" s="360" t="s">
        <v>631</v>
      </c>
      <c r="C102" s="408">
        <v>4747</v>
      </c>
      <c r="D102" s="408">
        <v>4860</v>
      </c>
      <c r="E102" s="408">
        <v>114</v>
      </c>
      <c r="F102" s="407">
        <v>114</v>
      </c>
      <c r="G102" s="407" t="s">
        <v>630</v>
      </c>
      <c r="H102" s="408">
        <v>114</v>
      </c>
      <c r="I102" s="408">
        <v>114000000</v>
      </c>
      <c r="J102" s="409">
        <v>0.4220971563981043</v>
      </c>
    </row>
    <row r="103" spans="1:10" s="342" customFormat="1" ht="12">
      <c r="A103" s="416">
        <v>48</v>
      </c>
      <c r="B103" s="360" t="s">
        <v>552</v>
      </c>
      <c r="C103" s="408">
        <v>4861</v>
      </c>
      <c r="D103" s="408">
        <v>5116</v>
      </c>
      <c r="E103" s="408">
        <v>256</v>
      </c>
      <c r="F103" s="407">
        <v>256</v>
      </c>
      <c r="G103" s="407" t="s">
        <v>630</v>
      </c>
      <c r="H103" s="408">
        <v>256</v>
      </c>
      <c r="I103" s="408">
        <v>256000000</v>
      </c>
      <c r="J103" s="409">
        <v>0.94786729857819907</v>
      </c>
    </row>
    <row r="104" spans="1:10" s="342" customFormat="1" ht="12">
      <c r="A104" s="363">
        <v>49</v>
      </c>
      <c r="B104" s="360" t="s">
        <v>629</v>
      </c>
      <c r="C104" s="408">
        <v>5117</v>
      </c>
      <c r="D104" s="408">
        <v>6790</v>
      </c>
      <c r="E104" s="408">
        <v>1674</v>
      </c>
      <c r="F104" s="407">
        <v>1674</v>
      </c>
      <c r="G104" s="407" t="s">
        <v>630</v>
      </c>
      <c r="H104" s="408">
        <v>1674</v>
      </c>
      <c r="I104" s="408">
        <v>1674000000</v>
      </c>
      <c r="J104" s="409">
        <v>6.1981635071090047</v>
      </c>
    </row>
    <row r="105" spans="1:10" s="342" customFormat="1" ht="12">
      <c r="A105" s="416">
        <v>50</v>
      </c>
      <c r="B105" s="360" t="s">
        <v>631</v>
      </c>
      <c r="C105" s="408">
        <v>6791</v>
      </c>
      <c r="D105" s="408">
        <v>7627</v>
      </c>
      <c r="E105" s="408">
        <v>837</v>
      </c>
      <c r="F105" s="407">
        <v>837</v>
      </c>
      <c r="G105" s="407" t="s">
        <v>630</v>
      </c>
      <c r="H105" s="408">
        <v>837</v>
      </c>
      <c r="I105" s="408">
        <v>837000000</v>
      </c>
      <c r="J105" s="409">
        <v>3.0990817535545023</v>
      </c>
    </row>
    <row r="106" spans="1:10" s="342" customFormat="1" ht="12">
      <c r="A106" s="416">
        <v>51</v>
      </c>
      <c r="B106" s="360" t="s">
        <v>632</v>
      </c>
      <c r="C106" s="408">
        <v>7628</v>
      </c>
      <c r="D106" s="408">
        <v>8464</v>
      </c>
      <c r="E106" s="408">
        <v>837</v>
      </c>
      <c r="F106" s="407">
        <v>837</v>
      </c>
      <c r="G106" s="407" t="s">
        <v>630</v>
      </c>
      <c r="H106" s="408">
        <v>837</v>
      </c>
      <c r="I106" s="408">
        <v>837000000</v>
      </c>
      <c r="J106" s="409">
        <v>3.0990817535545023</v>
      </c>
    </row>
    <row r="107" spans="1:10" s="342" customFormat="1" ht="12">
      <c r="A107" s="416">
        <v>52</v>
      </c>
      <c r="B107" s="360" t="s">
        <v>552</v>
      </c>
      <c r="C107" s="408">
        <v>8465</v>
      </c>
      <c r="D107" s="408">
        <v>8640</v>
      </c>
      <c r="E107" s="408">
        <v>176</v>
      </c>
      <c r="F107" s="407">
        <v>176</v>
      </c>
      <c r="G107" s="407" t="s">
        <v>630</v>
      </c>
      <c r="H107" s="408">
        <v>176</v>
      </c>
      <c r="I107" s="408">
        <v>176000000</v>
      </c>
      <c r="J107" s="409">
        <v>0.65165876777251186</v>
      </c>
    </row>
    <row r="108" spans="1:10" s="342" customFormat="1" ht="12">
      <c r="A108" s="416">
        <v>53</v>
      </c>
      <c r="B108" s="360" t="s">
        <v>629</v>
      </c>
      <c r="C108" s="408">
        <v>8641</v>
      </c>
      <c r="D108" s="408">
        <v>8666</v>
      </c>
      <c r="E108" s="408">
        <v>26</v>
      </c>
      <c r="F108" s="407">
        <v>26</v>
      </c>
      <c r="G108" s="407" t="s">
        <v>630</v>
      </c>
      <c r="H108" s="408">
        <v>26</v>
      </c>
      <c r="I108" s="408">
        <v>26000000</v>
      </c>
      <c r="J108" s="409">
        <v>9.6267772511848343E-2</v>
      </c>
    </row>
    <row r="109" spans="1:10" s="342" customFormat="1" ht="12">
      <c r="A109" s="416">
        <v>54</v>
      </c>
      <c r="B109" s="360" t="s">
        <v>631</v>
      </c>
      <c r="C109" s="408">
        <v>8667</v>
      </c>
      <c r="D109" s="408">
        <v>8679</v>
      </c>
      <c r="E109" s="408">
        <v>13</v>
      </c>
      <c r="F109" s="407">
        <v>13</v>
      </c>
      <c r="G109" s="407" t="s">
        <v>630</v>
      </c>
      <c r="H109" s="408">
        <v>13</v>
      </c>
      <c r="I109" s="408">
        <v>13000000</v>
      </c>
      <c r="J109" s="409">
        <v>4.8133886255924171E-2</v>
      </c>
    </row>
    <row r="110" spans="1:10" s="342" customFormat="1" ht="12">
      <c r="A110" s="416">
        <v>55</v>
      </c>
      <c r="B110" s="360" t="s">
        <v>632</v>
      </c>
      <c r="C110" s="408">
        <v>8680</v>
      </c>
      <c r="D110" s="408">
        <v>8692</v>
      </c>
      <c r="E110" s="408">
        <v>13</v>
      </c>
      <c r="F110" s="407">
        <v>13</v>
      </c>
      <c r="G110" s="407" t="s">
        <v>630</v>
      </c>
      <c r="H110" s="408">
        <v>13</v>
      </c>
      <c r="I110" s="408">
        <v>13000000</v>
      </c>
      <c r="J110" s="409">
        <v>4.8133886255924171E-2</v>
      </c>
    </row>
    <row r="111" spans="1:10" s="342" customFormat="1" ht="12">
      <c r="A111" s="416">
        <v>56</v>
      </c>
      <c r="B111" s="360" t="s">
        <v>552</v>
      </c>
      <c r="C111" s="408">
        <v>8693</v>
      </c>
      <c r="D111" s="408">
        <v>8732</v>
      </c>
      <c r="E111" s="408">
        <v>40</v>
      </c>
      <c r="F111" s="407">
        <v>40</v>
      </c>
      <c r="G111" s="407" t="s">
        <v>630</v>
      </c>
      <c r="H111" s="408">
        <v>40</v>
      </c>
      <c r="I111" s="408">
        <v>40000000</v>
      </c>
      <c r="J111" s="409">
        <v>0.1481042654028436</v>
      </c>
    </row>
    <row r="112" spans="1:10" s="342" customFormat="1" ht="12">
      <c r="A112" s="416">
        <v>57</v>
      </c>
      <c r="B112" s="360" t="s">
        <v>633</v>
      </c>
      <c r="C112" s="408">
        <v>8733</v>
      </c>
      <c r="D112" s="408">
        <v>9204</v>
      </c>
      <c r="E112" s="408">
        <v>472</v>
      </c>
      <c r="F112" s="407">
        <v>472</v>
      </c>
      <c r="G112" s="407" t="s">
        <v>630</v>
      </c>
      <c r="H112" s="408">
        <v>472</v>
      </c>
      <c r="I112" s="408">
        <v>472000000</v>
      </c>
      <c r="J112" s="409">
        <v>1.7476303317535544</v>
      </c>
    </row>
    <row r="113" spans="1:10" s="342" customFormat="1" ht="12">
      <c r="A113" s="416">
        <v>58</v>
      </c>
      <c r="B113" s="360" t="s">
        <v>552</v>
      </c>
      <c r="C113" s="408">
        <v>9205</v>
      </c>
      <c r="D113" s="408">
        <v>9380</v>
      </c>
      <c r="E113" s="408">
        <v>176</v>
      </c>
      <c r="F113" s="407">
        <v>176</v>
      </c>
      <c r="G113" s="407" t="s">
        <v>630</v>
      </c>
      <c r="H113" s="408">
        <v>176</v>
      </c>
      <c r="I113" s="408">
        <v>176000000</v>
      </c>
      <c r="J113" s="409">
        <v>0.65165876777251186</v>
      </c>
    </row>
    <row r="114" spans="1:10" s="342" customFormat="1" ht="12">
      <c r="A114" s="416">
        <v>59</v>
      </c>
      <c r="B114" s="360" t="s">
        <v>633</v>
      </c>
      <c r="C114" s="408">
        <v>9381</v>
      </c>
      <c r="D114" s="408">
        <v>9440</v>
      </c>
      <c r="E114" s="408">
        <v>60</v>
      </c>
      <c r="F114" s="407">
        <v>60</v>
      </c>
      <c r="G114" s="407" t="s">
        <v>630</v>
      </c>
      <c r="H114" s="408">
        <v>60</v>
      </c>
      <c r="I114" s="408">
        <v>60000000</v>
      </c>
      <c r="J114" s="409">
        <v>0.22215639810426541</v>
      </c>
    </row>
    <row r="115" spans="1:10" s="342" customFormat="1" ht="12">
      <c r="A115" s="416">
        <v>60</v>
      </c>
      <c r="B115" s="360" t="s">
        <v>629</v>
      </c>
      <c r="C115" s="408">
        <v>9441</v>
      </c>
      <c r="D115" s="408">
        <v>11470</v>
      </c>
      <c r="E115" s="408">
        <v>2030</v>
      </c>
      <c r="F115" s="407">
        <v>2030</v>
      </c>
      <c r="G115" s="407" t="s">
        <v>630</v>
      </c>
      <c r="H115" s="408">
        <v>2030</v>
      </c>
      <c r="I115" s="408">
        <v>2030000000</v>
      </c>
      <c r="J115" s="409">
        <v>7.5162914691943126</v>
      </c>
    </row>
    <row r="116" spans="1:10" s="342" customFormat="1" ht="12">
      <c r="A116" s="416">
        <v>61</v>
      </c>
      <c r="B116" s="360" t="s">
        <v>631</v>
      </c>
      <c r="C116" s="408">
        <v>11471</v>
      </c>
      <c r="D116" s="408">
        <v>12485</v>
      </c>
      <c r="E116" s="408">
        <v>1015</v>
      </c>
      <c r="F116" s="407">
        <v>1015</v>
      </c>
      <c r="G116" s="407" t="s">
        <v>630</v>
      </c>
      <c r="H116" s="408">
        <v>1015</v>
      </c>
      <c r="I116" s="408">
        <v>1015000000</v>
      </c>
      <c r="J116" s="409">
        <v>3.7581457345971563</v>
      </c>
    </row>
    <row r="117" spans="1:10" s="342" customFormat="1" ht="12">
      <c r="A117" s="416">
        <v>62</v>
      </c>
      <c r="B117" s="360" t="s">
        <v>632</v>
      </c>
      <c r="C117" s="408">
        <v>12486</v>
      </c>
      <c r="D117" s="408">
        <v>13500</v>
      </c>
      <c r="E117" s="408">
        <v>1015</v>
      </c>
      <c r="F117" s="407">
        <v>1015</v>
      </c>
      <c r="G117" s="407" t="s">
        <v>630</v>
      </c>
      <c r="H117" s="408">
        <v>1015</v>
      </c>
      <c r="I117" s="408">
        <v>1015000000</v>
      </c>
      <c r="J117" s="409">
        <v>3.7581457345971563</v>
      </c>
    </row>
    <row r="118" spans="1:10" s="342" customFormat="1" ht="12">
      <c r="A118" s="416">
        <v>63</v>
      </c>
      <c r="B118" s="360" t="s">
        <v>552</v>
      </c>
      <c r="C118" s="408">
        <v>13501</v>
      </c>
      <c r="D118" s="408">
        <v>13732</v>
      </c>
      <c r="E118" s="408">
        <v>232</v>
      </c>
      <c r="F118" s="407">
        <v>232</v>
      </c>
      <c r="G118" s="407" t="s">
        <v>630</v>
      </c>
      <c r="H118" s="408">
        <v>232</v>
      </c>
      <c r="I118" s="408">
        <v>232000000</v>
      </c>
      <c r="J118" s="409">
        <v>0.85900473933649291</v>
      </c>
    </row>
    <row r="119" spans="1:10" s="342" customFormat="1" ht="12">
      <c r="A119" s="416">
        <v>64</v>
      </c>
      <c r="B119" s="360" t="s">
        <v>633</v>
      </c>
      <c r="C119" s="408">
        <v>13733</v>
      </c>
      <c r="D119" s="408">
        <v>13964</v>
      </c>
      <c r="E119" s="408">
        <v>232</v>
      </c>
      <c r="F119" s="407">
        <v>232</v>
      </c>
      <c r="G119" s="407" t="s">
        <v>630</v>
      </c>
      <c r="H119" s="408">
        <v>232</v>
      </c>
      <c r="I119" s="408">
        <v>232000000</v>
      </c>
      <c r="J119" s="409">
        <v>0.85900473933649291</v>
      </c>
    </row>
    <row r="120" spans="1:10" s="342" customFormat="1" ht="12">
      <c r="A120" s="416">
        <v>65</v>
      </c>
      <c r="B120" s="360" t="s">
        <v>633</v>
      </c>
      <c r="C120" s="408">
        <v>13965</v>
      </c>
      <c r="D120" s="408">
        <v>14080</v>
      </c>
      <c r="E120" s="408">
        <v>116</v>
      </c>
      <c r="F120" s="407">
        <v>116</v>
      </c>
      <c r="G120" s="407" t="s">
        <v>630</v>
      </c>
      <c r="H120" s="408">
        <v>116</v>
      </c>
      <c r="I120" s="408">
        <v>116000000</v>
      </c>
      <c r="J120" s="409">
        <v>0.42950236966824645</v>
      </c>
    </row>
    <row r="121" spans="1:10" s="342" customFormat="1" ht="12">
      <c r="A121" s="416">
        <v>66</v>
      </c>
      <c r="B121" s="360" t="s">
        <v>629</v>
      </c>
      <c r="C121" s="408">
        <v>14081</v>
      </c>
      <c r="D121" s="408">
        <v>15970</v>
      </c>
      <c r="E121" s="408">
        <v>1890</v>
      </c>
      <c r="F121" s="407">
        <v>1890</v>
      </c>
      <c r="G121" s="407" t="s">
        <v>630</v>
      </c>
      <c r="H121" s="408">
        <v>1890</v>
      </c>
      <c r="I121" s="408">
        <v>1890000000</v>
      </c>
      <c r="J121" s="409">
        <v>6.9979265402843609</v>
      </c>
    </row>
    <row r="122" spans="1:10" s="342" customFormat="1" ht="12">
      <c r="A122" s="416">
        <v>67</v>
      </c>
      <c r="B122" s="360" t="s">
        <v>631</v>
      </c>
      <c r="C122" s="408">
        <v>15971</v>
      </c>
      <c r="D122" s="408">
        <v>16915</v>
      </c>
      <c r="E122" s="408">
        <v>945</v>
      </c>
      <c r="F122" s="407">
        <v>945</v>
      </c>
      <c r="G122" s="407" t="s">
        <v>630</v>
      </c>
      <c r="H122" s="408">
        <v>945</v>
      </c>
      <c r="I122" s="408">
        <v>945000000</v>
      </c>
      <c r="J122" s="409">
        <v>3.4989632701421804</v>
      </c>
    </row>
    <row r="123" spans="1:10" s="342" customFormat="1" ht="12">
      <c r="A123" s="416">
        <v>68</v>
      </c>
      <c r="B123" s="360" t="s">
        <v>632</v>
      </c>
      <c r="C123" s="408">
        <v>16916</v>
      </c>
      <c r="D123" s="408">
        <v>17860</v>
      </c>
      <c r="E123" s="408">
        <v>945</v>
      </c>
      <c r="F123" s="407">
        <v>945</v>
      </c>
      <c r="G123" s="407" t="s">
        <v>630</v>
      </c>
      <c r="H123" s="408">
        <v>945</v>
      </c>
      <c r="I123" s="408">
        <v>945000000</v>
      </c>
      <c r="J123" s="409">
        <v>3.4989632701421804</v>
      </c>
    </row>
    <row r="124" spans="1:10" s="342" customFormat="1" ht="12">
      <c r="A124" s="416">
        <v>69</v>
      </c>
      <c r="B124" s="360" t="s">
        <v>552</v>
      </c>
      <c r="C124" s="408">
        <v>17861</v>
      </c>
      <c r="D124" s="408">
        <v>18130</v>
      </c>
      <c r="E124" s="408">
        <v>270</v>
      </c>
      <c r="F124" s="407">
        <v>270</v>
      </c>
      <c r="G124" s="407" t="s">
        <v>630</v>
      </c>
      <c r="H124" s="408">
        <v>270</v>
      </c>
      <c r="I124" s="408">
        <v>270000000</v>
      </c>
      <c r="J124" s="409">
        <v>0.99970379146919419</v>
      </c>
    </row>
    <row r="125" spans="1:10" s="342" customFormat="1" ht="12">
      <c r="A125" s="416">
        <v>70</v>
      </c>
      <c r="B125" s="360" t="s">
        <v>633</v>
      </c>
      <c r="C125" s="408">
        <v>18131</v>
      </c>
      <c r="D125" s="408">
        <v>18400</v>
      </c>
      <c r="E125" s="408">
        <v>270</v>
      </c>
      <c r="F125" s="407">
        <v>270</v>
      </c>
      <c r="G125" s="407" t="s">
        <v>630</v>
      </c>
      <c r="H125" s="408">
        <v>270</v>
      </c>
      <c r="I125" s="408">
        <v>270000000</v>
      </c>
      <c r="J125" s="409">
        <v>0.99970379146919419</v>
      </c>
    </row>
    <row r="126" spans="1:10" s="342" customFormat="1" ht="12">
      <c r="A126" s="416">
        <v>71</v>
      </c>
      <c r="B126" s="360" t="s">
        <v>629</v>
      </c>
      <c r="C126" s="408">
        <v>18401</v>
      </c>
      <c r="D126" s="408">
        <v>20976</v>
      </c>
      <c r="E126" s="408">
        <v>2576</v>
      </c>
      <c r="F126" s="407">
        <v>2576</v>
      </c>
      <c r="G126" s="407" t="s">
        <v>630</v>
      </c>
      <c r="H126" s="408">
        <v>2576</v>
      </c>
      <c r="I126" s="408">
        <v>2576000000</v>
      </c>
      <c r="J126" s="409">
        <v>9.5379146919431275</v>
      </c>
    </row>
    <row r="127" spans="1:10" s="342" customFormat="1" ht="12">
      <c r="A127" s="416">
        <v>72</v>
      </c>
      <c r="B127" s="360" t="s">
        <v>631</v>
      </c>
      <c r="C127" s="408">
        <v>20977</v>
      </c>
      <c r="D127" s="408">
        <v>22264</v>
      </c>
      <c r="E127" s="408">
        <v>1288</v>
      </c>
      <c r="F127" s="407">
        <v>1288</v>
      </c>
      <c r="G127" s="407" t="s">
        <v>630</v>
      </c>
      <c r="H127" s="408">
        <v>1288</v>
      </c>
      <c r="I127" s="408">
        <v>1288000000</v>
      </c>
      <c r="J127" s="409">
        <v>4.7689573459715637</v>
      </c>
    </row>
    <row r="128" spans="1:10" s="342" customFormat="1" ht="12">
      <c r="A128" s="416">
        <v>73</v>
      </c>
      <c r="B128" s="360" t="s">
        <v>632</v>
      </c>
      <c r="C128" s="408">
        <v>22265</v>
      </c>
      <c r="D128" s="408">
        <v>23552</v>
      </c>
      <c r="E128" s="408">
        <v>1288</v>
      </c>
      <c r="F128" s="407">
        <v>1288</v>
      </c>
      <c r="G128" s="407" t="s">
        <v>630</v>
      </c>
      <c r="H128" s="408">
        <v>1288</v>
      </c>
      <c r="I128" s="408">
        <v>1288000000</v>
      </c>
      <c r="J128" s="409">
        <v>4.7689573459715637</v>
      </c>
    </row>
    <row r="129" spans="1:10" s="342" customFormat="1" ht="12">
      <c r="A129" s="416">
        <v>74</v>
      </c>
      <c r="B129" s="360" t="s">
        <v>552</v>
      </c>
      <c r="C129" s="408">
        <v>23553</v>
      </c>
      <c r="D129" s="408">
        <v>23920</v>
      </c>
      <c r="E129" s="408">
        <v>368</v>
      </c>
      <c r="F129" s="407">
        <v>368</v>
      </c>
      <c r="G129" s="407" t="s">
        <v>630</v>
      </c>
      <c r="H129" s="408">
        <v>368</v>
      </c>
      <c r="I129" s="408">
        <v>368000000</v>
      </c>
      <c r="J129" s="409">
        <v>1.3625592417061612</v>
      </c>
    </row>
    <row r="130" spans="1:10" s="342" customFormat="1" ht="12">
      <c r="A130" s="416">
        <v>75</v>
      </c>
      <c r="B130" s="360" t="s">
        <v>633</v>
      </c>
      <c r="C130" s="408">
        <v>23921</v>
      </c>
      <c r="D130" s="408">
        <v>24288</v>
      </c>
      <c r="E130" s="408">
        <v>368</v>
      </c>
      <c r="F130" s="407">
        <v>368</v>
      </c>
      <c r="G130" s="407" t="s">
        <v>630</v>
      </c>
      <c r="H130" s="408">
        <v>368</v>
      </c>
      <c r="I130" s="408">
        <v>368000000</v>
      </c>
      <c r="J130" s="409">
        <v>1.3625592417061612</v>
      </c>
    </row>
    <row r="131" spans="1:10" s="342" customFormat="1" ht="12">
      <c r="A131" s="416">
        <v>76</v>
      </c>
      <c r="B131" s="360" t="s">
        <v>629</v>
      </c>
      <c r="C131" s="408">
        <v>24289</v>
      </c>
      <c r="D131" s="408">
        <v>25478</v>
      </c>
      <c r="E131" s="408">
        <v>1190</v>
      </c>
      <c r="F131" s="407">
        <v>1190</v>
      </c>
      <c r="G131" s="407" t="s">
        <v>630</v>
      </c>
      <c r="H131" s="408">
        <v>1190</v>
      </c>
      <c r="I131" s="408">
        <v>1190000000</v>
      </c>
      <c r="J131" s="409">
        <v>4.4061018957345972</v>
      </c>
    </row>
    <row r="132" spans="1:10" s="342" customFormat="1" ht="12">
      <c r="A132" s="416">
        <v>77</v>
      </c>
      <c r="B132" s="360" t="s">
        <v>631</v>
      </c>
      <c r="C132" s="408">
        <v>25479</v>
      </c>
      <c r="D132" s="408">
        <v>26073</v>
      </c>
      <c r="E132" s="408">
        <v>595</v>
      </c>
      <c r="F132" s="407">
        <v>595</v>
      </c>
      <c r="G132" s="407" t="s">
        <v>630</v>
      </c>
      <c r="H132" s="408">
        <v>595</v>
      </c>
      <c r="I132" s="408">
        <v>595000000</v>
      </c>
      <c r="J132" s="409">
        <v>2.2030509478672986</v>
      </c>
    </row>
    <row r="133" spans="1:10" s="342" customFormat="1" ht="12">
      <c r="A133" s="416">
        <v>78</v>
      </c>
      <c r="B133" s="360" t="s">
        <v>632</v>
      </c>
      <c r="C133" s="408">
        <v>26074</v>
      </c>
      <c r="D133" s="408">
        <v>26668</v>
      </c>
      <c r="E133" s="408">
        <v>595</v>
      </c>
      <c r="F133" s="407">
        <v>595</v>
      </c>
      <c r="G133" s="407" t="s">
        <v>630</v>
      </c>
      <c r="H133" s="408">
        <v>595</v>
      </c>
      <c r="I133" s="408">
        <v>595000000</v>
      </c>
      <c r="J133" s="409">
        <v>2.2030509478672986</v>
      </c>
    </row>
    <row r="134" spans="1:10" s="342" customFormat="1" ht="12">
      <c r="A134" s="416">
        <v>79</v>
      </c>
      <c r="B134" s="360" t="s">
        <v>552</v>
      </c>
      <c r="C134" s="408">
        <v>26669</v>
      </c>
      <c r="D134" s="408">
        <v>26838</v>
      </c>
      <c r="E134" s="408">
        <v>170</v>
      </c>
      <c r="F134" s="407">
        <v>170</v>
      </c>
      <c r="G134" s="407" t="s">
        <v>630</v>
      </c>
      <c r="H134" s="408">
        <v>170</v>
      </c>
      <c r="I134" s="408">
        <v>170000000</v>
      </c>
      <c r="J134" s="409">
        <v>0.62944312796208535</v>
      </c>
    </row>
    <row r="135" spans="1:10" s="342" customFormat="1" ht="12">
      <c r="A135" s="416">
        <v>80</v>
      </c>
      <c r="B135" s="360" t="s">
        <v>633</v>
      </c>
      <c r="C135" s="408">
        <v>26839</v>
      </c>
      <c r="D135" s="408">
        <v>27008</v>
      </c>
      <c r="E135" s="408">
        <v>170</v>
      </c>
      <c r="F135" s="407">
        <v>170</v>
      </c>
      <c r="G135" s="407" t="s">
        <v>630</v>
      </c>
      <c r="H135" s="408">
        <v>170</v>
      </c>
      <c r="I135" s="408">
        <v>170000000</v>
      </c>
      <c r="J135" s="409">
        <v>0.62944312796208535</v>
      </c>
    </row>
    <row r="136" spans="1:10" s="342" customFormat="1" ht="12">
      <c r="A136" s="416">
        <v>81</v>
      </c>
      <c r="B136" s="360" t="s">
        <v>552</v>
      </c>
      <c r="C136" s="408">
        <v>27009</v>
      </c>
      <c r="D136" s="408">
        <v>27018</v>
      </c>
      <c r="E136" s="408">
        <v>10</v>
      </c>
      <c r="F136" s="501">
        <f>+E136</f>
        <v>10</v>
      </c>
      <c r="G136" s="407" t="s">
        <v>630</v>
      </c>
      <c r="H136" s="408">
        <f>+F136</f>
        <v>10</v>
      </c>
      <c r="I136" s="408">
        <f>+H136*1000000</f>
        <v>10000000</v>
      </c>
      <c r="J136" s="502">
        <f>+I136/$I$139</f>
        <v>3.681342953909586E-4</v>
      </c>
    </row>
    <row r="137" spans="1:10" s="342" customFormat="1" ht="12">
      <c r="A137" s="416">
        <v>82</v>
      </c>
      <c r="B137" s="360" t="s">
        <v>633</v>
      </c>
      <c r="C137" s="408">
        <v>27019</v>
      </c>
      <c r="D137" s="408">
        <v>27028</v>
      </c>
      <c r="E137" s="408">
        <v>10</v>
      </c>
      <c r="F137" s="501">
        <f>+E137</f>
        <v>10</v>
      </c>
      <c r="G137" s="407" t="s">
        <v>630</v>
      </c>
      <c r="H137" s="408">
        <f t="shared" ref="H137:H138" si="0">+F137</f>
        <v>10</v>
      </c>
      <c r="I137" s="408">
        <f t="shared" ref="I137:I138" si="1">+H137*1000000</f>
        <v>10000000</v>
      </c>
      <c r="J137" s="502">
        <f t="shared" ref="J137:J138" si="2">+I137/$I$139</f>
        <v>3.681342953909586E-4</v>
      </c>
    </row>
    <row r="138" spans="1:10" s="342" customFormat="1" ht="12">
      <c r="A138" s="416">
        <v>83</v>
      </c>
      <c r="B138" s="360" t="s">
        <v>809</v>
      </c>
      <c r="C138" s="408">
        <v>27029</v>
      </c>
      <c r="D138" s="408">
        <v>27164</v>
      </c>
      <c r="E138" s="408">
        <v>136</v>
      </c>
      <c r="F138" s="501">
        <f>+E138</f>
        <v>136</v>
      </c>
      <c r="G138" s="407" t="s">
        <v>630</v>
      </c>
      <c r="H138" s="408">
        <f t="shared" si="0"/>
        <v>136</v>
      </c>
      <c r="I138" s="408">
        <f t="shared" si="1"/>
        <v>136000000</v>
      </c>
      <c r="J138" s="502">
        <f t="shared" si="2"/>
        <v>5.006626417317037E-3</v>
      </c>
    </row>
    <row r="139" spans="1:10" s="406" customFormat="1" ht="12.75" thickBot="1">
      <c r="A139" s="402"/>
      <c r="B139" s="403" t="s">
        <v>480</v>
      </c>
      <c r="C139" s="403"/>
      <c r="D139" s="403"/>
      <c r="E139" s="403">
        <f>SUM(E56:E138)</f>
        <v>27164</v>
      </c>
      <c r="F139" s="403">
        <f>SUM(F56:F138)</f>
        <v>27164</v>
      </c>
      <c r="G139" s="404"/>
      <c r="H139" s="404">
        <v>27008</v>
      </c>
      <c r="I139" s="404">
        <f>SUM(I56:I138)</f>
        <v>27164000000</v>
      </c>
      <c r="J139" s="405">
        <f>SUM(J56:J138)</f>
        <v>100.00574289500808</v>
      </c>
    </row>
    <row r="140" spans="1:10" ht="15.75" thickTop="1">
      <c r="A140" s="108"/>
      <c r="B140" s="108"/>
      <c r="C140" s="108"/>
      <c r="D140" s="108"/>
      <c r="E140" s="108"/>
    </row>
    <row r="141" spans="1:10" ht="15.75" thickBot="1">
      <c r="A141" s="108"/>
      <c r="B141" s="108"/>
      <c r="C141" s="108"/>
      <c r="D141" s="108"/>
      <c r="E141" s="108"/>
    </row>
    <row r="142" spans="1:10" ht="15.75" thickBot="1">
      <c r="A142" s="364" t="s">
        <v>645</v>
      </c>
      <c r="B142" s="357"/>
      <c r="C142" s="357"/>
      <c r="D142" s="357"/>
      <c r="E142" s="357"/>
      <c r="F142" s="358"/>
      <c r="G142" s="358"/>
      <c r="H142" s="359"/>
    </row>
    <row r="143" spans="1:10" s="342" customFormat="1" ht="48.75" thickBot="1">
      <c r="A143" s="365" t="s">
        <v>620</v>
      </c>
      <c r="B143" s="366" t="s">
        <v>621</v>
      </c>
      <c r="C143" s="366" t="s">
        <v>622</v>
      </c>
      <c r="D143" s="366" t="s">
        <v>625</v>
      </c>
      <c r="E143" s="366" t="s">
        <v>626</v>
      </c>
      <c r="F143" s="153" t="s">
        <v>634</v>
      </c>
      <c r="G143" s="153" t="s">
        <v>628</v>
      </c>
      <c r="H143" s="154" t="s">
        <v>747</v>
      </c>
      <c r="I143" s="410"/>
    </row>
    <row r="144" spans="1:10" s="342" customFormat="1" ht="12">
      <c r="A144" s="416">
        <v>1</v>
      </c>
      <c r="B144" s="360" t="s">
        <v>629</v>
      </c>
      <c r="C144" s="360">
        <v>1</v>
      </c>
      <c r="D144" s="412">
        <v>11816</v>
      </c>
      <c r="E144" s="360" t="s">
        <v>630</v>
      </c>
      <c r="F144" s="408">
        <f>+D144</f>
        <v>11816</v>
      </c>
      <c r="G144" s="408">
        <f t="shared" ref="G144:G148" si="3">+F144*1000000</f>
        <v>11816000000</v>
      </c>
      <c r="H144" s="503">
        <v>43.498748343395668</v>
      </c>
      <c r="I144" s="410"/>
    </row>
    <row r="145" spans="1:9" s="342" customFormat="1" ht="12">
      <c r="A145" s="416">
        <v>2</v>
      </c>
      <c r="B145" s="360" t="s">
        <v>631</v>
      </c>
      <c r="C145" s="360">
        <v>1</v>
      </c>
      <c r="D145" s="412">
        <v>5908</v>
      </c>
      <c r="E145" s="360" t="s">
        <v>630</v>
      </c>
      <c r="F145" s="408">
        <f t="shared" ref="F145:F148" si="4">+D145</f>
        <v>5908</v>
      </c>
      <c r="G145" s="408">
        <f t="shared" si="3"/>
        <v>5908000000</v>
      </c>
      <c r="H145" s="503">
        <v>21.749374171697834</v>
      </c>
      <c r="I145" s="410"/>
    </row>
    <row r="146" spans="1:9" s="342" customFormat="1" ht="12">
      <c r="A146" s="416">
        <v>3</v>
      </c>
      <c r="B146" s="360" t="s">
        <v>632</v>
      </c>
      <c r="C146" s="360">
        <v>1</v>
      </c>
      <c r="D146" s="412">
        <v>5908</v>
      </c>
      <c r="E146" s="360" t="s">
        <v>630</v>
      </c>
      <c r="F146" s="408">
        <f t="shared" si="4"/>
        <v>5908</v>
      </c>
      <c r="G146" s="408">
        <f t="shared" si="3"/>
        <v>5908000000</v>
      </c>
      <c r="H146" s="503">
        <v>21.749374171697834</v>
      </c>
      <c r="I146" s="410"/>
    </row>
    <row r="147" spans="1:9" s="342" customFormat="1" ht="12">
      <c r="A147" s="416">
        <v>4</v>
      </c>
      <c r="B147" s="360" t="s">
        <v>552</v>
      </c>
      <c r="C147" s="360">
        <v>1</v>
      </c>
      <c r="D147" s="412">
        <v>1698</v>
      </c>
      <c r="E147" s="360" t="s">
        <v>630</v>
      </c>
      <c r="F147" s="408">
        <f t="shared" si="4"/>
        <v>1698</v>
      </c>
      <c r="G147" s="408">
        <f t="shared" si="3"/>
        <v>1698000000</v>
      </c>
      <c r="H147" s="503">
        <v>6.2509203357384777</v>
      </c>
      <c r="I147" s="410"/>
    </row>
    <row r="148" spans="1:9" s="342" customFormat="1" ht="12">
      <c r="A148" s="416">
        <v>5</v>
      </c>
      <c r="B148" s="360" t="s">
        <v>633</v>
      </c>
      <c r="C148" s="360">
        <v>1</v>
      </c>
      <c r="D148" s="412">
        <v>1698</v>
      </c>
      <c r="E148" s="360" t="s">
        <v>630</v>
      </c>
      <c r="F148" s="408">
        <f t="shared" si="4"/>
        <v>1698</v>
      </c>
      <c r="G148" s="408">
        <f t="shared" si="3"/>
        <v>1698000000</v>
      </c>
      <c r="H148" s="503">
        <v>6.2509203357384777</v>
      </c>
      <c r="I148" s="410"/>
    </row>
    <row r="149" spans="1:9" s="342" customFormat="1" ht="12">
      <c r="A149" s="416">
        <v>6</v>
      </c>
      <c r="B149" s="360" t="s">
        <v>809</v>
      </c>
      <c r="C149" s="360">
        <v>1</v>
      </c>
      <c r="D149" s="412">
        <v>136</v>
      </c>
      <c r="E149" s="360" t="s">
        <v>630</v>
      </c>
      <c r="F149" s="408">
        <f>+D149</f>
        <v>136</v>
      </c>
      <c r="G149" s="408">
        <f>+F149*1000000</f>
        <v>136000000</v>
      </c>
      <c r="H149" s="503">
        <v>0.50066264173170372</v>
      </c>
      <c r="I149" s="410"/>
    </row>
    <row r="150" spans="1:9" s="411" customFormat="1" ht="12.75" thickBot="1">
      <c r="A150" s="368"/>
      <c r="B150" s="369" t="s">
        <v>480</v>
      </c>
      <c r="C150" s="369"/>
      <c r="D150" s="403">
        <f>SUM(D144:D149)</f>
        <v>27164</v>
      </c>
      <c r="E150" s="369"/>
      <c r="F150" s="404"/>
      <c r="G150" s="404">
        <f>SUM(G144:G149)</f>
        <v>27164000000</v>
      </c>
      <c r="H150" s="504">
        <f>SUM(H144:H149)</f>
        <v>100</v>
      </c>
      <c r="I150" s="406"/>
    </row>
    <row r="151" spans="1:9" ht="15.75" thickTop="1">
      <c r="A151" s="108"/>
      <c r="B151" s="108"/>
      <c r="C151" s="108"/>
      <c r="D151" s="108"/>
      <c r="E151" s="108"/>
    </row>
    <row r="152" spans="1:9">
      <c r="A152" s="108"/>
      <c r="B152" s="108"/>
      <c r="C152" s="108"/>
      <c r="D152" s="108"/>
      <c r="E152" s="108"/>
    </row>
    <row r="153" spans="1:9">
      <c r="A153" s="108"/>
      <c r="B153" s="108"/>
      <c r="C153" s="108"/>
      <c r="D153" s="108"/>
      <c r="E153" s="108"/>
    </row>
    <row r="154" spans="1:9">
      <c r="A154" s="108"/>
      <c r="B154" s="108"/>
      <c r="C154" s="108"/>
      <c r="D154" s="108"/>
      <c r="E154" s="108"/>
    </row>
    <row r="155" spans="1:9">
      <c r="A155" s="108"/>
      <c r="B155" s="108"/>
      <c r="C155" s="108"/>
      <c r="D155" s="108"/>
      <c r="E155" s="108"/>
    </row>
    <row r="156" spans="1:9">
      <c r="A156" s="108"/>
      <c r="B156" s="108"/>
      <c r="C156" s="108"/>
      <c r="D156" s="108"/>
      <c r="E156" s="108"/>
    </row>
    <row r="157" spans="1:9">
      <c r="A157" s="108"/>
      <c r="B157" s="108"/>
      <c r="C157" s="108"/>
      <c r="D157" s="108"/>
      <c r="E157" s="108"/>
    </row>
    <row r="158" spans="1:9">
      <c r="A158" s="108"/>
      <c r="B158" s="108"/>
      <c r="C158" s="108"/>
      <c r="D158" s="108"/>
      <c r="E158" s="108"/>
    </row>
    <row r="159" spans="1:9">
      <c r="A159" s="108"/>
      <c r="B159" s="108"/>
      <c r="C159" s="108"/>
      <c r="D159" s="108"/>
      <c r="E159" s="108"/>
    </row>
    <row r="160" spans="1:9">
      <c r="A160" s="108"/>
      <c r="B160" s="108"/>
      <c r="C160" s="108"/>
      <c r="D160" s="108"/>
      <c r="E160" s="108"/>
    </row>
    <row r="161" spans="1:5">
      <c r="A161" s="108"/>
      <c r="B161" s="108"/>
      <c r="C161" s="108"/>
      <c r="D161" s="108"/>
      <c r="E161" s="108"/>
    </row>
    <row r="162" spans="1:5">
      <c r="A162" s="108"/>
      <c r="B162" s="108"/>
      <c r="C162" s="108"/>
      <c r="D162" s="108"/>
      <c r="E162" s="108"/>
    </row>
    <row r="163" spans="1:5">
      <c r="A163" s="108"/>
      <c r="B163" s="108"/>
      <c r="C163" s="108"/>
      <c r="D163" s="108"/>
      <c r="E163" s="108"/>
    </row>
    <row r="164" spans="1:5">
      <c r="A164" s="108"/>
      <c r="B164" s="108"/>
      <c r="C164" s="108"/>
      <c r="D164" s="108"/>
      <c r="E164" s="108"/>
    </row>
    <row r="165" spans="1:5">
      <c r="A165" s="108"/>
      <c r="B165" s="108"/>
      <c r="C165" s="108"/>
      <c r="D165" s="108"/>
      <c r="E165" s="108"/>
    </row>
    <row r="166" spans="1:5">
      <c r="A166" s="108"/>
      <c r="B166" s="108"/>
      <c r="C166" s="108"/>
      <c r="D166" s="108"/>
      <c r="E166" s="108"/>
    </row>
    <row r="167" spans="1:5">
      <c r="A167" s="108"/>
      <c r="B167" s="108"/>
      <c r="C167" s="108"/>
      <c r="D167" s="108"/>
      <c r="E167" s="108"/>
    </row>
    <row r="168" spans="1:5">
      <c r="A168" s="108"/>
      <c r="B168" s="108"/>
      <c r="C168" s="108"/>
      <c r="D168" s="108"/>
      <c r="E168" s="108"/>
    </row>
    <row r="169" spans="1:5">
      <c r="A169" s="108"/>
      <c r="B169" s="108"/>
      <c r="C169" s="108"/>
      <c r="D169" s="108"/>
      <c r="E169" s="108"/>
    </row>
    <row r="170" spans="1:5">
      <c r="A170" s="108"/>
      <c r="B170" s="108"/>
      <c r="C170" s="108"/>
      <c r="D170" s="108"/>
      <c r="E170" s="108"/>
    </row>
    <row r="171" spans="1:5">
      <c r="A171" s="108"/>
      <c r="B171" s="108"/>
      <c r="C171" s="108"/>
      <c r="D171" s="108"/>
      <c r="E171" s="108"/>
    </row>
    <row r="172" spans="1:5">
      <c r="A172" s="108"/>
      <c r="B172" s="108"/>
      <c r="C172" s="108"/>
      <c r="D172" s="108"/>
      <c r="E172" s="108"/>
    </row>
    <row r="173" spans="1:5">
      <c r="A173" s="108"/>
      <c r="B173" s="108"/>
      <c r="C173" s="108"/>
      <c r="D173" s="108"/>
      <c r="E173" s="108"/>
    </row>
    <row r="174" spans="1:5">
      <c r="A174" s="108"/>
      <c r="B174" s="108"/>
      <c r="C174" s="108"/>
      <c r="D174" s="108"/>
      <c r="E174" s="108"/>
    </row>
    <row r="175" spans="1:5">
      <c r="A175" s="108"/>
      <c r="B175" s="108"/>
      <c r="C175" s="108"/>
      <c r="D175" s="108"/>
      <c r="E175" s="108"/>
    </row>
    <row r="176" spans="1:5">
      <c r="A176" s="108"/>
      <c r="B176" s="108"/>
      <c r="C176" s="108"/>
      <c r="D176" s="108"/>
      <c r="E176" s="108"/>
    </row>
    <row r="177" spans="1:5">
      <c r="A177" s="108"/>
      <c r="B177" s="108"/>
      <c r="C177" s="108"/>
      <c r="D177" s="108"/>
      <c r="E177" s="108"/>
    </row>
    <row r="178" spans="1:5">
      <c r="A178" s="108"/>
      <c r="B178" s="108"/>
      <c r="C178" s="108"/>
      <c r="D178" s="108"/>
      <c r="E178" s="108"/>
    </row>
    <row r="179" spans="1:5">
      <c r="A179" s="108"/>
      <c r="B179" s="108"/>
      <c r="C179" s="108"/>
      <c r="D179" s="108"/>
      <c r="E179" s="108"/>
    </row>
    <row r="180" spans="1:5">
      <c r="A180" s="108"/>
      <c r="B180" s="108"/>
      <c r="C180" s="108"/>
      <c r="D180" s="108"/>
      <c r="E180" s="108"/>
    </row>
    <row r="181" spans="1:5">
      <c r="A181" s="108"/>
      <c r="B181" s="108"/>
      <c r="C181" s="108"/>
      <c r="D181" s="108"/>
      <c r="E181" s="108"/>
    </row>
    <row r="182" spans="1:5">
      <c r="A182" s="108"/>
      <c r="B182" s="108"/>
      <c r="C182" s="108"/>
      <c r="D182" s="108"/>
      <c r="E182" s="108"/>
    </row>
    <row r="183" spans="1:5">
      <c r="A183" s="108"/>
      <c r="B183" s="108"/>
      <c r="C183" s="108"/>
      <c r="D183" s="108"/>
      <c r="E183" s="108"/>
    </row>
    <row r="184" spans="1:5">
      <c r="A184" s="108"/>
      <c r="B184" s="108"/>
      <c r="C184" s="108"/>
      <c r="D184" s="108"/>
      <c r="E184" s="108"/>
    </row>
    <row r="185" spans="1:5">
      <c r="A185" s="108"/>
      <c r="B185" s="108"/>
      <c r="C185" s="108"/>
      <c r="D185" s="108"/>
      <c r="E185" s="108"/>
    </row>
    <row r="186" spans="1:5">
      <c r="A186" s="108"/>
      <c r="B186" s="108"/>
      <c r="C186" s="108"/>
      <c r="D186" s="108"/>
      <c r="E186" s="108"/>
    </row>
    <row r="187" spans="1:5">
      <c r="A187" s="108"/>
      <c r="B187" s="108"/>
      <c r="C187" s="108"/>
      <c r="D187" s="108"/>
      <c r="E187" s="108"/>
    </row>
    <row r="188" spans="1:5">
      <c r="A188" s="108"/>
      <c r="B188" s="108"/>
      <c r="C188" s="108"/>
      <c r="D188" s="108"/>
      <c r="E188" s="108"/>
    </row>
    <row r="189" spans="1:5">
      <c r="A189" s="108"/>
      <c r="B189" s="108"/>
      <c r="C189" s="108"/>
      <c r="D189" s="108"/>
      <c r="E189" s="108"/>
    </row>
    <row r="190" spans="1:5">
      <c r="A190" s="108"/>
      <c r="B190" s="108"/>
      <c r="C190" s="108"/>
      <c r="D190" s="108"/>
      <c r="E190" s="108"/>
    </row>
    <row r="191" spans="1:5">
      <c r="A191" s="108"/>
      <c r="B191" s="108"/>
      <c r="C191" s="108"/>
      <c r="D191" s="108"/>
      <c r="E191" s="108"/>
    </row>
    <row r="192" spans="1:5">
      <c r="A192" s="108"/>
      <c r="B192" s="108"/>
      <c r="C192" s="108"/>
      <c r="D192" s="108"/>
      <c r="E192" s="108"/>
    </row>
    <row r="193" spans="1:5">
      <c r="A193" s="108"/>
      <c r="B193" s="108"/>
      <c r="C193" s="108"/>
      <c r="D193" s="108"/>
      <c r="E193" s="108"/>
    </row>
    <row r="194" spans="1:5">
      <c r="A194" s="108"/>
      <c r="B194" s="108"/>
      <c r="C194" s="108"/>
      <c r="D194" s="108"/>
      <c r="E194" s="108"/>
    </row>
    <row r="195" spans="1:5">
      <c r="A195" s="108"/>
      <c r="B195" s="108"/>
      <c r="C195" s="108"/>
      <c r="D195" s="108"/>
      <c r="E195" s="108"/>
    </row>
    <row r="196" spans="1:5">
      <c r="A196" s="108"/>
      <c r="B196" s="108"/>
      <c r="C196" s="108"/>
      <c r="D196" s="108"/>
      <c r="E196" s="108"/>
    </row>
    <row r="197" spans="1:5">
      <c r="A197" s="108"/>
      <c r="B197" s="108"/>
      <c r="C197" s="108"/>
      <c r="D197" s="108"/>
      <c r="E197" s="108"/>
    </row>
    <row r="198" spans="1:5">
      <c r="A198" s="108"/>
      <c r="B198" s="108"/>
      <c r="C198" s="108"/>
      <c r="D198" s="108"/>
      <c r="E198" s="108"/>
    </row>
    <row r="199" spans="1:5">
      <c r="A199" s="108"/>
      <c r="B199" s="108"/>
      <c r="C199" s="108"/>
      <c r="D199" s="108"/>
      <c r="E199" s="108"/>
    </row>
    <row r="200" spans="1:5">
      <c r="A200" s="108"/>
      <c r="B200" s="108"/>
      <c r="C200" s="108"/>
      <c r="D200" s="108"/>
      <c r="E200" s="108"/>
    </row>
    <row r="201" spans="1:5">
      <c r="A201" s="108"/>
      <c r="B201" s="108"/>
      <c r="C201" s="108"/>
      <c r="D201" s="108"/>
      <c r="E201" s="108"/>
    </row>
    <row r="202" spans="1:5">
      <c r="A202" s="108"/>
      <c r="B202" s="108"/>
      <c r="C202" s="108"/>
      <c r="D202" s="108"/>
      <c r="E202" s="108"/>
    </row>
    <row r="203" spans="1:5">
      <c r="A203" s="108"/>
      <c r="B203" s="108"/>
      <c r="C203" s="108"/>
      <c r="D203" s="108"/>
      <c r="E203" s="108"/>
    </row>
    <row r="204" spans="1:5">
      <c r="A204" s="108"/>
      <c r="B204" s="108"/>
      <c r="C204" s="108"/>
      <c r="D204" s="108"/>
      <c r="E204" s="108"/>
    </row>
    <row r="205" spans="1:5">
      <c r="A205" s="108"/>
      <c r="B205" s="108"/>
      <c r="C205" s="108"/>
      <c r="D205" s="108"/>
      <c r="E205" s="108"/>
    </row>
    <row r="206" spans="1:5">
      <c r="A206" s="108"/>
      <c r="B206" s="108"/>
      <c r="C206" s="108"/>
      <c r="D206" s="108"/>
      <c r="E206" s="108"/>
    </row>
    <row r="207" spans="1:5">
      <c r="A207" s="108"/>
      <c r="B207" s="108"/>
      <c r="C207" s="108"/>
      <c r="D207" s="108"/>
      <c r="E207" s="108"/>
    </row>
    <row r="208" spans="1:5">
      <c r="A208" s="108"/>
      <c r="B208" s="108"/>
      <c r="C208" s="108"/>
      <c r="D208" s="108"/>
      <c r="E208" s="108"/>
    </row>
    <row r="209" spans="1:5">
      <c r="A209" s="108"/>
      <c r="B209" s="108"/>
      <c r="C209" s="108"/>
      <c r="D209" s="108"/>
      <c r="E209" s="108"/>
    </row>
    <row r="210" spans="1:5">
      <c r="A210" s="108"/>
      <c r="B210" s="108"/>
      <c r="C210" s="108"/>
      <c r="D210" s="108"/>
      <c r="E210" s="108"/>
    </row>
    <row r="211" spans="1:5">
      <c r="A211" s="108"/>
      <c r="B211" s="108"/>
      <c r="C211" s="108"/>
      <c r="D211" s="108"/>
      <c r="E211" s="108"/>
    </row>
    <row r="212" spans="1:5">
      <c r="A212" s="108"/>
      <c r="B212" s="108"/>
      <c r="C212" s="108"/>
      <c r="D212" s="108"/>
      <c r="E212" s="108"/>
    </row>
    <row r="213" spans="1:5">
      <c r="A213" s="108"/>
      <c r="B213" s="108"/>
      <c r="C213" s="108"/>
      <c r="D213" s="108"/>
      <c r="E213" s="108"/>
    </row>
    <row r="214" spans="1:5">
      <c r="A214" s="108"/>
      <c r="B214" s="108"/>
      <c r="C214" s="108"/>
      <c r="D214" s="108"/>
      <c r="E214" s="108"/>
    </row>
    <row r="215" spans="1:5">
      <c r="A215" s="108"/>
      <c r="B215" s="108"/>
      <c r="C215" s="108"/>
      <c r="D215" s="108"/>
      <c r="E215" s="108"/>
    </row>
    <row r="216" spans="1:5">
      <c r="A216" s="108"/>
      <c r="B216" s="108"/>
      <c r="C216" s="108"/>
      <c r="D216" s="108"/>
      <c r="E216" s="108"/>
    </row>
    <row r="217" spans="1:5">
      <c r="A217" s="108"/>
      <c r="B217" s="108"/>
      <c r="C217" s="108"/>
      <c r="D217" s="108"/>
      <c r="E217" s="108"/>
    </row>
    <row r="218" spans="1:5">
      <c r="A218" s="108"/>
      <c r="B218" s="108"/>
      <c r="C218" s="108"/>
      <c r="D218" s="108"/>
      <c r="E218" s="108"/>
    </row>
    <row r="219" spans="1:5">
      <c r="A219" s="108"/>
      <c r="B219" s="108"/>
      <c r="C219" s="108"/>
      <c r="D219" s="108"/>
      <c r="E219" s="108"/>
    </row>
    <row r="220" spans="1:5">
      <c r="A220" s="108"/>
      <c r="B220" s="108"/>
      <c r="C220" s="108"/>
      <c r="D220" s="108"/>
      <c r="E220" s="108"/>
    </row>
    <row r="221" spans="1:5">
      <c r="A221" s="108"/>
      <c r="B221" s="108"/>
      <c r="C221" s="108"/>
      <c r="D221" s="108"/>
      <c r="E221" s="108"/>
    </row>
    <row r="222" spans="1:5">
      <c r="A222" s="108"/>
      <c r="B222" s="108"/>
      <c r="C222" s="108"/>
      <c r="D222" s="108"/>
      <c r="E222" s="108"/>
    </row>
    <row r="223" spans="1:5">
      <c r="A223" s="108"/>
      <c r="B223" s="108"/>
      <c r="C223" s="108"/>
      <c r="D223" s="108"/>
      <c r="E223" s="108"/>
    </row>
    <row r="224" spans="1:5">
      <c r="A224" s="108"/>
      <c r="B224" s="108"/>
      <c r="C224" s="108"/>
      <c r="D224" s="108"/>
      <c r="E224" s="108"/>
    </row>
    <row r="225" spans="1:5">
      <c r="A225" s="108"/>
      <c r="B225" s="108"/>
      <c r="C225" s="108"/>
      <c r="D225" s="108"/>
      <c r="E225" s="108"/>
    </row>
    <row r="226" spans="1:5">
      <c r="A226" s="108"/>
      <c r="B226" s="108"/>
      <c r="C226" s="108"/>
      <c r="D226" s="108"/>
      <c r="E226" s="108"/>
    </row>
    <row r="227" spans="1:5">
      <c r="A227" s="108"/>
      <c r="B227" s="108"/>
      <c r="C227" s="108"/>
      <c r="D227" s="108"/>
      <c r="E227" s="108"/>
    </row>
    <row r="228" spans="1:5">
      <c r="A228" s="108"/>
      <c r="B228" s="108"/>
      <c r="C228" s="108"/>
      <c r="D228" s="108"/>
      <c r="E228" s="108"/>
    </row>
    <row r="229" spans="1:5">
      <c r="A229" s="108"/>
      <c r="B229" s="108"/>
      <c r="C229" s="108"/>
      <c r="D229" s="108"/>
      <c r="E229" s="108"/>
    </row>
    <row r="230" spans="1:5">
      <c r="A230" s="108"/>
      <c r="B230" s="108"/>
      <c r="C230" s="108"/>
      <c r="D230" s="108"/>
      <c r="E230" s="108"/>
    </row>
    <row r="231" spans="1:5">
      <c r="A231" s="108"/>
      <c r="B231" s="108"/>
      <c r="C231" s="108"/>
      <c r="D231" s="108"/>
      <c r="E231" s="108"/>
    </row>
    <row r="232" spans="1:5">
      <c r="A232" s="108"/>
      <c r="B232" s="108"/>
      <c r="C232" s="108"/>
      <c r="D232" s="108"/>
      <c r="E232" s="108"/>
    </row>
    <row r="233" spans="1:5">
      <c r="A233" s="108"/>
      <c r="B233" s="108"/>
      <c r="C233" s="108"/>
      <c r="D233" s="108"/>
      <c r="E233" s="108"/>
    </row>
    <row r="234" spans="1:5">
      <c r="A234" s="108"/>
      <c r="B234" s="108"/>
      <c r="C234" s="108"/>
      <c r="D234" s="108"/>
      <c r="E234" s="108"/>
    </row>
    <row r="235" spans="1:5">
      <c r="A235" s="108"/>
      <c r="B235" s="108"/>
      <c r="C235" s="108"/>
      <c r="D235" s="108"/>
      <c r="E235" s="108"/>
    </row>
    <row r="236" spans="1:5">
      <c r="A236" s="108"/>
      <c r="B236" s="108"/>
      <c r="C236" s="108"/>
      <c r="D236" s="108"/>
      <c r="E236" s="108"/>
    </row>
    <row r="237" spans="1:5">
      <c r="A237" s="108"/>
      <c r="B237" s="108"/>
      <c r="C237" s="108"/>
      <c r="D237" s="108"/>
      <c r="E237" s="108"/>
    </row>
    <row r="238" spans="1:5">
      <c r="A238" s="108"/>
      <c r="B238" s="108"/>
      <c r="C238" s="108"/>
      <c r="D238" s="108"/>
      <c r="E238" s="108"/>
    </row>
    <row r="239" spans="1:5">
      <c r="A239" s="108"/>
      <c r="B239" s="108"/>
      <c r="C239" s="108"/>
      <c r="D239" s="108"/>
      <c r="E239" s="108"/>
    </row>
    <row r="240" spans="1:5">
      <c r="A240" s="108"/>
      <c r="B240" s="108"/>
      <c r="C240" s="108"/>
      <c r="D240" s="108"/>
      <c r="E240" s="108"/>
    </row>
    <row r="241" spans="1:5">
      <c r="A241" s="108"/>
      <c r="B241" s="108"/>
      <c r="C241" s="108"/>
      <c r="D241" s="108"/>
      <c r="E241" s="108"/>
    </row>
    <row r="242" spans="1:5">
      <c r="A242" s="108"/>
      <c r="B242" s="108"/>
      <c r="C242" s="108"/>
      <c r="D242" s="108"/>
      <c r="E242" s="108"/>
    </row>
    <row r="243" spans="1:5">
      <c r="A243" s="108"/>
      <c r="B243" s="108"/>
      <c r="C243" s="108"/>
      <c r="D243" s="108"/>
      <c r="E243" s="108"/>
    </row>
    <row r="244" spans="1:5">
      <c r="A244" s="108"/>
      <c r="B244" s="108"/>
      <c r="C244" s="108"/>
      <c r="D244" s="108"/>
      <c r="E244" s="108"/>
    </row>
    <row r="245" spans="1:5">
      <c r="A245" s="108"/>
      <c r="B245" s="108"/>
      <c r="C245" s="108"/>
      <c r="D245" s="108"/>
      <c r="E245" s="108"/>
    </row>
    <row r="246" spans="1:5">
      <c r="A246" s="108"/>
      <c r="B246" s="108"/>
      <c r="C246" s="108"/>
      <c r="D246" s="108"/>
      <c r="E246" s="108"/>
    </row>
    <row r="247" spans="1:5">
      <c r="A247" s="108"/>
      <c r="B247" s="108"/>
      <c r="C247" s="108"/>
      <c r="D247" s="108"/>
      <c r="E247" s="108"/>
    </row>
    <row r="248" spans="1:5">
      <c r="A248" s="108"/>
      <c r="B248" s="108"/>
      <c r="C248" s="108"/>
      <c r="D248" s="108"/>
      <c r="E248" s="108"/>
    </row>
    <row r="249" spans="1:5">
      <c r="A249" s="108"/>
      <c r="B249" s="108"/>
      <c r="C249" s="108"/>
      <c r="D249" s="108"/>
      <c r="E249" s="108"/>
    </row>
    <row r="250" spans="1:5">
      <c r="A250" s="108"/>
      <c r="B250" s="108"/>
      <c r="C250" s="108"/>
      <c r="D250" s="108"/>
      <c r="E250" s="108"/>
    </row>
    <row r="251" spans="1:5">
      <c r="A251" s="108"/>
      <c r="B251" s="108"/>
      <c r="C251" s="108"/>
      <c r="D251" s="108"/>
      <c r="E251" s="108"/>
    </row>
    <row r="252" spans="1:5">
      <c r="A252" s="108"/>
      <c r="B252" s="108"/>
      <c r="C252" s="108"/>
      <c r="D252" s="108"/>
      <c r="E252" s="108"/>
    </row>
    <row r="253" spans="1:5">
      <c r="A253" s="108"/>
      <c r="B253" s="108"/>
      <c r="C253" s="108"/>
      <c r="D253" s="108"/>
      <c r="E253" s="108"/>
    </row>
    <row r="254" spans="1:5">
      <c r="A254" s="108"/>
      <c r="B254" s="108"/>
      <c r="C254" s="108"/>
      <c r="D254" s="108"/>
      <c r="E254" s="108"/>
    </row>
    <row r="255" spans="1:5">
      <c r="A255" s="108"/>
      <c r="B255" s="108"/>
      <c r="C255" s="108"/>
      <c r="D255" s="108"/>
      <c r="E255" s="108"/>
    </row>
    <row r="256" spans="1:5">
      <c r="A256" s="108"/>
      <c r="B256" s="108"/>
      <c r="C256" s="108"/>
      <c r="D256" s="108"/>
      <c r="E256" s="108"/>
    </row>
    <row r="257" spans="1:5">
      <c r="A257" s="108"/>
      <c r="B257" s="108"/>
      <c r="C257" s="108"/>
      <c r="D257" s="108"/>
      <c r="E257" s="108"/>
    </row>
    <row r="258" spans="1:5">
      <c r="A258" s="108"/>
      <c r="B258" s="108"/>
      <c r="C258" s="108"/>
      <c r="D258" s="108"/>
      <c r="E258" s="108"/>
    </row>
    <row r="259" spans="1:5">
      <c r="A259" s="108"/>
      <c r="B259" s="108"/>
      <c r="C259" s="108"/>
      <c r="D259" s="108"/>
      <c r="E259" s="108"/>
    </row>
    <row r="260" spans="1:5">
      <c r="A260" s="108"/>
      <c r="B260" s="108"/>
      <c r="C260" s="108"/>
      <c r="D260" s="108"/>
      <c r="E260" s="108"/>
    </row>
    <row r="261" spans="1:5">
      <c r="A261" s="108"/>
      <c r="B261" s="108"/>
      <c r="C261" s="108"/>
      <c r="D261" s="108"/>
      <c r="E261" s="108"/>
    </row>
    <row r="262" spans="1:5">
      <c r="A262" s="108"/>
      <c r="B262" s="108"/>
      <c r="C262" s="108"/>
      <c r="D262" s="108"/>
      <c r="E262" s="108"/>
    </row>
    <row r="263" spans="1:5">
      <c r="A263" s="108"/>
      <c r="B263" s="108"/>
      <c r="C263" s="108"/>
      <c r="D263" s="108"/>
      <c r="E263" s="108"/>
    </row>
    <row r="264" spans="1:5">
      <c r="A264" s="108"/>
      <c r="B264" s="108"/>
      <c r="C264" s="108"/>
      <c r="D264" s="108"/>
      <c r="E264" s="108"/>
    </row>
    <row r="265" spans="1:5">
      <c r="A265" s="108"/>
      <c r="B265" s="108"/>
      <c r="C265" s="108"/>
      <c r="D265" s="108"/>
      <c r="E265" s="108"/>
    </row>
    <row r="266" spans="1:5">
      <c r="A266" s="108"/>
      <c r="B266" s="108"/>
      <c r="C266" s="108"/>
      <c r="D266" s="108"/>
      <c r="E266" s="108"/>
    </row>
    <row r="267" spans="1:5">
      <c r="A267" s="108"/>
      <c r="B267" s="108"/>
      <c r="C267" s="108"/>
      <c r="D267" s="108"/>
      <c r="E267" s="108"/>
    </row>
    <row r="268" spans="1:5">
      <c r="A268" s="108"/>
      <c r="B268" s="108"/>
      <c r="C268" s="108"/>
      <c r="D268" s="108"/>
      <c r="E268" s="108"/>
    </row>
    <row r="269" spans="1:5">
      <c r="A269" s="108"/>
      <c r="B269" s="108"/>
      <c r="C269" s="108"/>
      <c r="D269" s="108"/>
      <c r="E269" s="108"/>
    </row>
    <row r="270" spans="1:5">
      <c r="A270" s="108"/>
      <c r="B270" s="108"/>
      <c r="C270" s="108"/>
      <c r="D270" s="108"/>
      <c r="E270" s="108"/>
    </row>
    <row r="271" spans="1:5">
      <c r="A271" s="108"/>
      <c r="B271" s="108"/>
      <c r="C271" s="108"/>
      <c r="D271" s="108"/>
      <c r="E271" s="108"/>
    </row>
    <row r="272" spans="1:5">
      <c r="A272" s="108"/>
      <c r="B272" s="108"/>
      <c r="C272" s="108"/>
      <c r="D272" s="108"/>
      <c r="E272" s="108"/>
    </row>
    <row r="273" spans="1:5">
      <c r="A273" s="108"/>
      <c r="B273" s="108"/>
      <c r="C273" s="108"/>
      <c r="D273" s="108"/>
      <c r="E273" s="108"/>
    </row>
    <row r="274" spans="1:5">
      <c r="A274" s="108"/>
      <c r="B274" s="108"/>
      <c r="C274" s="108"/>
      <c r="D274" s="108"/>
      <c r="E274" s="108"/>
    </row>
    <row r="275" spans="1:5">
      <c r="A275" s="108"/>
      <c r="B275" s="108"/>
      <c r="C275" s="108"/>
      <c r="D275" s="108"/>
      <c r="E275" s="108"/>
    </row>
    <row r="276" spans="1:5">
      <c r="A276" s="108"/>
      <c r="B276" s="108"/>
      <c r="C276" s="108"/>
      <c r="D276" s="108"/>
      <c r="E276" s="108"/>
    </row>
    <row r="277" spans="1:5">
      <c r="A277" s="108"/>
      <c r="B277" s="108"/>
      <c r="C277" s="108"/>
      <c r="D277" s="108"/>
      <c r="E277" s="108"/>
    </row>
    <row r="278" spans="1:5">
      <c r="A278" s="108"/>
      <c r="B278" s="108"/>
      <c r="C278" s="108"/>
      <c r="D278" s="108"/>
      <c r="E278" s="108"/>
    </row>
    <row r="279" spans="1:5">
      <c r="A279" s="108"/>
      <c r="B279" s="108"/>
      <c r="C279" s="108"/>
      <c r="D279" s="108"/>
      <c r="E279" s="108"/>
    </row>
    <row r="280" spans="1:5">
      <c r="A280" s="108"/>
      <c r="B280" s="108"/>
      <c r="C280" s="108"/>
      <c r="D280" s="108"/>
      <c r="E280" s="108"/>
    </row>
    <row r="281" spans="1:5">
      <c r="A281" s="108"/>
      <c r="B281" s="108"/>
      <c r="C281" s="108"/>
      <c r="D281" s="108"/>
      <c r="E281" s="108"/>
    </row>
    <row r="282" spans="1:5">
      <c r="A282" s="108"/>
      <c r="B282" s="108"/>
      <c r="C282" s="108"/>
      <c r="D282" s="108"/>
      <c r="E282" s="108"/>
    </row>
    <row r="283" spans="1:5">
      <c r="A283" s="108"/>
      <c r="B283" s="108"/>
      <c r="C283" s="108"/>
      <c r="D283" s="108"/>
      <c r="E283" s="108"/>
    </row>
    <row r="284" spans="1:5">
      <c r="A284" s="108"/>
      <c r="B284" s="108"/>
      <c r="C284" s="108"/>
      <c r="D284" s="108"/>
      <c r="E284" s="108"/>
    </row>
    <row r="285" spans="1:5">
      <c r="A285" s="108"/>
      <c r="B285" s="108"/>
      <c r="C285" s="108"/>
      <c r="D285" s="108"/>
      <c r="E285" s="108"/>
    </row>
    <row r="286" spans="1:5">
      <c r="A286" s="108"/>
      <c r="B286" s="108"/>
      <c r="C286" s="108"/>
      <c r="D286" s="108"/>
      <c r="E286" s="108"/>
    </row>
  </sheetData>
  <mergeCells count="52">
    <mergeCell ref="C24:E24"/>
    <mergeCell ref="A4:B1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A31:B31"/>
    <mergeCell ref="A25:B25"/>
    <mergeCell ref="A13:B15"/>
    <mergeCell ref="C13:E13"/>
    <mergeCell ref="C14:E14"/>
    <mergeCell ref="C15:E15"/>
    <mergeCell ref="A16:B22"/>
    <mergeCell ref="C16:E16"/>
    <mergeCell ref="C17:E17"/>
    <mergeCell ref="C18:E18"/>
    <mergeCell ref="C19:E19"/>
    <mergeCell ref="C20:E20"/>
    <mergeCell ref="C21:E21"/>
    <mergeCell ref="C22:E22"/>
    <mergeCell ref="A23:B24"/>
    <mergeCell ref="C23:E23"/>
    <mergeCell ref="C25:E25"/>
    <mergeCell ref="C36:E36"/>
    <mergeCell ref="A38:B38"/>
    <mergeCell ref="A39:B39"/>
    <mergeCell ref="A42:B42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B49:E49"/>
    <mergeCell ref="B50:E50"/>
    <mergeCell ref="C51:E51"/>
    <mergeCell ref="B43:E43"/>
    <mergeCell ref="B44:E44"/>
    <mergeCell ref="B45:E45"/>
    <mergeCell ref="B46:E46"/>
    <mergeCell ref="B47:E47"/>
    <mergeCell ref="B48:E48"/>
  </mergeCells>
  <hyperlinks>
    <hyperlink ref="C10" r:id="rId1" display="mailto:aacosta@investor.com.py" xr:uid="{A93F1D3C-0B89-444B-9580-31AD9B179C4D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K26"/>
  <sheetViews>
    <sheetView showGridLines="0" zoomScale="106" zoomScaleNormal="80" workbookViewId="0">
      <selection activeCell="C71" sqref="C71"/>
    </sheetView>
  </sheetViews>
  <sheetFormatPr baseColWidth="10" defaultColWidth="11.42578125" defaultRowHeight="12"/>
  <cols>
    <col min="1" max="1" width="4.7109375" style="132" customWidth="1"/>
    <col min="2" max="2" width="37.7109375" style="132" customWidth="1"/>
    <col min="3" max="3" width="27" style="132" bestFit="1" customWidth="1"/>
    <col min="4" max="4" width="23.28515625" style="132" bestFit="1" customWidth="1"/>
    <col min="5" max="5" width="13.7109375" style="132" customWidth="1"/>
    <col min="6" max="6" width="12.28515625" style="132" customWidth="1"/>
    <col min="7" max="7" width="18.140625" style="150" customWidth="1"/>
    <col min="8" max="8" width="14.140625" style="150" bestFit="1" customWidth="1"/>
    <col min="9" max="9" width="14.28515625" style="132" bestFit="1" customWidth="1"/>
    <col min="10" max="10" width="14" style="151" bestFit="1" customWidth="1"/>
    <col min="11" max="16384" width="11.42578125" style="132"/>
  </cols>
  <sheetData>
    <row r="1" spans="2:8" ht="44.1" customHeight="1">
      <c r="C1" s="204"/>
    </row>
    <row r="3" spans="2:8" ht="36" customHeight="1">
      <c r="B3" s="746" t="s">
        <v>448</v>
      </c>
      <c r="C3" s="746"/>
      <c r="D3" s="746"/>
      <c r="E3" s="746"/>
      <c r="F3" s="746"/>
      <c r="G3" s="746"/>
      <c r="H3" s="746"/>
    </row>
    <row r="4" spans="2:8" ht="15.75" thickBot="1">
      <c r="B4" s="469" t="s">
        <v>702</v>
      </c>
    </row>
    <row r="5" spans="2:8" ht="35.25" customHeight="1" thickBot="1">
      <c r="B5" s="152"/>
      <c r="C5" s="153"/>
      <c r="D5" s="154"/>
      <c r="E5" s="153"/>
      <c r="F5" s="153"/>
      <c r="G5" s="744" t="s">
        <v>449</v>
      </c>
      <c r="H5" s="745"/>
    </row>
    <row r="6" spans="2:8" ht="24">
      <c r="B6" s="155" t="s">
        <v>450</v>
      </c>
      <c r="C6" s="155" t="s">
        <v>451</v>
      </c>
      <c r="D6" s="155" t="s">
        <v>452</v>
      </c>
      <c r="E6" s="155" t="s">
        <v>457</v>
      </c>
      <c r="F6" s="155" t="s">
        <v>407</v>
      </c>
      <c r="G6" s="650">
        <f>+Indice!G7</f>
        <v>44561</v>
      </c>
      <c r="H6" s="650">
        <f>+Indice!H6</f>
        <v>44196</v>
      </c>
    </row>
    <row r="7" spans="2:8">
      <c r="B7" s="156" t="s">
        <v>461</v>
      </c>
      <c r="C7" s="156" t="s">
        <v>453</v>
      </c>
      <c r="D7" s="156" t="s">
        <v>454</v>
      </c>
      <c r="E7" s="474">
        <v>44196</v>
      </c>
      <c r="F7" s="474">
        <v>44561</v>
      </c>
      <c r="G7" s="157">
        <f>107025112+35369418</f>
        <v>142394530</v>
      </c>
      <c r="H7" s="157">
        <v>107025112</v>
      </c>
    </row>
    <row r="8" spans="2:8">
      <c r="B8" s="156" t="s">
        <v>545</v>
      </c>
      <c r="C8" s="156" t="s">
        <v>453</v>
      </c>
      <c r="D8" s="156" t="s">
        <v>454</v>
      </c>
      <c r="E8" s="474">
        <v>44197</v>
      </c>
      <c r="F8" s="474">
        <v>44561</v>
      </c>
      <c r="G8" s="157">
        <f>65623318+10105587</f>
        <v>75728905</v>
      </c>
      <c r="H8" s="157">
        <v>10905379</v>
      </c>
    </row>
    <row r="9" spans="2:8">
      <c r="B9" s="156" t="s">
        <v>546</v>
      </c>
      <c r="C9" s="156" t="s">
        <v>453</v>
      </c>
      <c r="D9" s="156" t="s">
        <v>454</v>
      </c>
      <c r="E9" s="474">
        <v>44198</v>
      </c>
      <c r="F9" s="474">
        <v>44561</v>
      </c>
      <c r="G9" s="157">
        <f>271294257.926+21230803</f>
        <v>292525060.926</v>
      </c>
      <c r="H9" s="157">
        <v>268217258</v>
      </c>
    </row>
    <row r="10" spans="2:8">
      <c r="B10" s="156" t="s">
        <v>547</v>
      </c>
      <c r="C10" s="156" t="s">
        <v>455</v>
      </c>
      <c r="D10" s="156" t="s">
        <v>1014</v>
      </c>
      <c r="E10" s="474">
        <v>44560</v>
      </c>
      <c r="F10" s="474">
        <v>44561</v>
      </c>
      <c r="G10" s="157">
        <v>110000</v>
      </c>
      <c r="H10" s="157">
        <v>534179697</v>
      </c>
    </row>
    <row r="11" spans="2:8">
      <c r="B11" s="156" t="s">
        <v>501</v>
      </c>
      <c r="C11" s="156" t="s">
        <v>455</v>
      </c>
      <c r="D11" s="156" t="s">
        <v>454</v>
      </c>
      <c r="E11" s="486">
        <v>43508</v>
      </c>
      <c r="F11" s="474">
        <v>43830</v>
      </c>
      <c r="G11" s="157">
        <v>0</v>
      </c>
      <c r="H11" s="157">
        <v>5326230</v>
      </c>
    </row>
    <row r="12" spans="2:8">
      <c r="B12" s="156" t="s">
        <v>548</v>
      </c>
      <c r="C12" s="156" t="s">
        <v>453</v>
      </c>
      <c r="D12" s="156" t="s">
        <v>454</v>
      </c>
      <c r="E12" s="474">
        <v>43465</v>
      </c>
      <c r="F12" s="474">
        <v>43830</v>
      </c>
      <c r="G12" s="157">
        <v>59860685</v>
      </c>
      <c r="H12" s="157">
        <v>59860685</v>
      </c>
    </row>
    <row r="13" spans="2:8">
      <c r="B13" s="144" t="s">
        <v>462</v>
      </c>
      <c r="C13" s="144" t="s">
        <v>453</v>
      </c>
      <c r="D13" s="156" t="s">
        <v>454</v>
      </c>
      <c r="E13" s="474">
        <v>44196</v>
      </c>
      <c r="F13" s="474">
        <v>44561</v>
      </c>
      <c r="G13" s="157">
        <f>520850857+35199297+1</f>
        <v>556050155</v>
      </c>
      <c r="H13" s="157">
        <v>404376988</v>
      </c>
    </row>
    <row r="14" spans="2:8">
      <c r="B14" s="156" t="s">
        <v>549</v>
      </c>
      <c r="C14" s="156" t="s">
        <v>455</v>
      </c>
      <c r="D14" s="156" t="s">
        <v>454</v>
      </c>
      <c r="E14" s="499">
        <v>0</v>
      </c>
      <c r="F14" s="499">
        <v>0</v>
      </c>
      <c r="G14" s="157">
        <v>0</v>
      </c>
      <c r="H14" s="157">
        <v>1020000000</v>
      </c>
    </row>
    <row r="15" spans="2:8">
      <c r="B15" s="158" t="s">
        <v>550</v>
      </c>
      <c r="C15" s="156" t="s">
        <v>456</v>
      </c>
      <c r="D15" s="156" t="s">
        <v>454</v>
      </c>
      <c r="E15" s="474">
        <v>43830</v>
      </c>
      <c r="F15" s="156" t="s">
        <v>723</v>
      </c>
      <c r="G15" s="157">
        <v>46185063.769999996</v>
      </c>
      <c r="H15" s="157">
        <v>46185064</v>
      </c>
    </row>
    <row r="16" spans="2:8">
      <c r="B16" s="158" t="s">
        <v>551</v>
      </c>
      <c r="C16" s="156" t="s">
        <v>456</v>
      </c>
      <c r="D16" s="156" t="s">
        <v>454</v>
      </c>
      <c r="E16" s="474">
        <v>43830</v>
      </c>
      <c r="F16" s="156" t="s">
        <v>723</v>
      </c>
      <c r="G16" s="157">
        <v>10939076.34</v>
      </c>
      <c r="H16" s="157">
        <v>10939076</v>
      </c>
    </row>
    <row r="17" spans="2:11">
      <c r="B17" s="158" t="s">
        <v>552</v>
      </c>
      <c r="C17" s="156" t="s">
        <v>455</v>
      </c>
      <c r="D17" s="156" t="s">
        <v>454</v>
      </c>
      <c r="E17" s="499">
        <v>0</v>
      </c>
      <c r="F17" s="499">
        <v>0</v>
      </c>
      <c r="G17" s="157">
        <v>0</v>
      </c>
      <c r="H17" s="157">
        <v>1020000000</v>
      </c>
      <c r="I17" s="151"/>
    </row>
    <row r="18" spans="2:11">
      <c r="B18" s="158" t="s">
        <v>502</v>
      </c>
      <c r="C18" s="156" t="s">
        <v>455</v>
      </c>
      <c r="D18" s="156" t="s">
        <v>454</v>
      </c>
      <c r="E18" s="499">
        <v>0</v>
      </c>
      <c r="F18" s="499">
        <v>0</v>
      </c>
      <c r="G18" s="157">
        <v>0</v>
      </c>
      <c r="H18" s="157">
        <v>266000000</v>
      </c>
      <c r="I18" s="151"/>
    </row>
    <row r="19" spans="2:11">
      <c r="B19" s="158" t="s">
        <v>553</v>
      </c>
      <c r="C19" s="156" t="s">
        <v>453</v>
      </c>
      <c r="D19" s="156" t="s">
        <v>454</v>
      </c>
      <c r="E19" s="499">
        <v>0</v>
      </c>
      <c r="F19" s="156" t="s">
        <v>723</v>
      </c>
      <c r="G19" s="157">
        <v>125545847</v>
      </c>
      <c r="H19" s="157">
        <v>0</v>
      </c>
      <c r="I19" s="151"/>
    </row>
    <row r="20" spans="2:11">
      <c r="B20" s="137" t="str">
        <f>+'NOTAS M-Q ACREED y CTAS A PAG'!B33</f>
        <v>Total al 31/12/2021</v>
      </c>
      <c r="C20" s="51"/>
      <c r="D20" s="156"/>
      <c r="E20" s="156"/>
      <c r="F20" s="156"/>
      <c r="G20" s="159">
        <f>SUM(G7:G19)</f>
        <v>1309339323.036</v>
      </c>
      <c r="H20" s="160">
        <v>0</v>
      </c>
      <c r="I20" s="161"/>
      <c r="K20" s="161"/>
    </row>
    <row r="21" spans="2:11">
      <c r="B21" s="137" t="str">
        <f>+'NOTAS M-Q ACREED y CTAS A PAG'!B10</f>
        <v>Total al 31/12/2020</v>
      </c>
      <c r="C21" s="51"/>
      <c r="D21" s="51"/>
      <c r="E21" s="51"/>
      <c r="F21" s="51"/>
      <c r="G21" s="159">
        <v>0</v>
      </c>
      <c r="H21" s="159">
        <f>SUM(H7:H20)</f>
        <v>3753015489</v>
      </c>
      <c r="K21" s="161"/>
    </row>
    <row r="23" spans="2:11">
      <c r="G23" s="150">
        <f>+G20-'Balance Gral. Resol. 30'!D28-'Balance Gral. Resol. 30'!G13</f>
        <v>3.600001335144043E-2</v>
      </c>
      <c r="H23" s="150">
        <f>+H21-'Balance Gral. Resol. 30'!E28</f>
        <v>0</v>
      </c>
    </row>
    <row r="26" spans="2:11">
      <c r="E26" s="475"/>
      <c r="F26" s="475"/>
    </row>
  </sheetData>
  <sheetProtection algorithmName="SHA-512" hashValue="BEjquJgo49E76iJdMXq+USM/KfhapbTyPGu73FVAjWPKjgGDsB28cLHSIVvlf3qKWPKhYpZTckuYPTrOtscq0A==" saltValue="WrIHaxrEWFWtHYLFY6ShKA==" spinCount="100000" sheet="1" objects="1" scenarios="1"/>
  <autoFilter ref="B6:H21" xr:uid="{00000000-0009-0000-0000-000011000000}"/>
  <mergeCells count="2">
    <mergeCell ref="G5:H5"/>
    <mergeCell ref="B3:H3"/>
  </mergeCells>
  <phoneticPr fontId="47" type="noConversion"/>
  <hyperlinks>
    <hyperlink ref="B4" location="'Balance Gral. Resol. 30'!A1" display="'Balance Gral. Resol. 30'!A1" xr:uid="{AA1054E2-2C21-42A9-BC04-A19ECEC770E2}"/>
  </hyperlinks>
  <pageMargins left="0.7" right="0.7" top="0.75" bottom="0.75" header="0.3" footer="0.3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36"/>
  <sheetViews>
    <sheetView showGridLines="0" workbookViewId="0">
      <selection activeCell="C71" sqref="C71"/>
    </sheetView>
  </sheetViews>
  <sheetFormatPr baseColWidth="10" defaultColWidth="11.42578125" defaultRowHeight="12"/>
  <cols>
    <col min="1" max="1" width="4.7109375" style="25" customWidth="1"/>
    <col min="2" max="2" width="50.85546875" style="25" bestFit="1" customWidth="1"/>
    <col min="3" max="3" width="13" style="39" bestFit="1" customWidth="1"/>
    <col min="4" max="4" width="13" style="25" bestFit="1" customWidth="1"/>
    <col min="5" max="5" width="11.42578125" style="25"/>
    <col min="6" max="6" width="12" style="25" bestFit="1" customWidth="1"/>
    <col min="7" max="8" width="11.42578125" style="25"/>
    <col min="9" max="9" width="12.42578125" style="25" bestFit="1" customWidth="1"/>
    <col min="10" max="16384" width="11.42578125" style="25"/>
  </cols>
  <sheetData>
    <row r="1" spans="2:8" ht="40.15" customHeight="1">
      <c r="B1" s="204"/>
    </row>
    <row r="2" spans="2:8" ht="40.15" customHeight="1">
      <c r="B2" s="500"/>
    </row>
    <row r="3" spans="2:8" ht="30.6" customHeight="1">
      <c r="B3" s="706" t="s">
        <v>738</v>
      </c>
      <c r="C3" s="706"/>
      <c r="D3" s="706"/>
    </row>
    <row r="4" spans="2:8">
      <c r="B4" s="109"/>
    </row>
    <row r="5" spans="2:8">
      <c r="B5" s="88" t="s">
        <v>458</v>
      </c>
      <c r="C5" s="162" t="s">
        <v>459</v>
      </c>
      <c r="D5" s="88" t="s">
        <v>460</v>
      </c>
      <c r="H5" s="39"/>
    </row>
    <row r="6" spans="2:8">
      <c r="B6" s="163" t="s">
        <v>613</v>
      </c>
      <c r="C6" s="164">
        <f>2595354361-17248396</f>
        <v>2578105965</v>
      </c>
      <c r="D6" s="165">
        <f>92092822/1.1</f>
        <v>83720747.272727266</v>
      </c>
      <c r="F6" s="39"/>
      <c r="G6" s="39"/>
      <c r="H6" s="39"/>
    </row>
    <row r="7" spans="2:8">
      <c r="B7" s="163" t="s">
        <v>615</v>
      </c>
      <c r="C7" s="165">
        <f>372576897-2627399</f>
        <v>369949498</v>
      </c>
      <c r="D7" s="165">
        <f>651365614/1.1</f>
        <v>592150558.18181813</v>
      </c>
      <c r="F7" s="39"/>
      <c r="G7" s="39"/>
      <c r="H7" s="39"/>
    </row>
    <row r="8" spans="2:8">
      <c r="B8" s="163" t="s">
        <v>614</v>
      </c>
      <c r="C8" s="165">
        <f>370801322-2465983</f>
        <v>368335339</v>
      </c>
      <c r="D8" s="97">
        <f>728151064/1.1</f>
        <v>661955512.72727263</v>
      </c>
      <c r="F8" s="39"/>
      <c r="G8" s="39"/>
      <c r="H8" s="55"/>
    </row>
    <row r="9" spans="2:8">
      <c r="B9" s="163" t="s">
        <v>501</v>
      </c>
      <c r="C9" s="165">
        <f>1216165966-1214087</f>
        <v>1214951879</v>
      </c>
      <c r="D9" s="97">
        <v>0</v>
      </c>
      <c r="F9" s="39"/>
      <c r="G9" s="39"/>
      <c r="H9" s="55"/>
    </row>
    <row r="10" spans="2:8">
      <c r="B10" s="163" t="s">
        <v>502</v>
      </c>
      <c r="C10" s="165">
        <f>1208739156-538923</f>
        <v>1208200233</v>
      </c>
      <c r="D10" s="97">
        <v>0</v>
      </c>
      <c r="F10" s="39"/>
      <c r="G10" s="39"/>
      <c r="H10" s="55"/>
    </row>
    <row r="11" spans="2:8">
      <c r="B11" s="163" t="s">
        <v>1016</v>
      </c>
      <c r="C11" s="165">
        <f>702778823-58554966</f>
        <v>644223857</v>
      </c>
      <c r="D11" s="97">
        <f>82955360/1.1</f>
        <v>75413963.636363626</v>
      </c>
      <c r="F11" s="39"/>
      <c r="G11" s="39"/>
      <c r="H11" s="55"/>
    </row>
    <row r="12" spans="2:8">
      <c r="B12" s="163" t="s">
        <v>1015</v>
      </c>
      <c r="C12" s="97">
        <v>0</v>
      </c>
      <c r="D12" s="165">
        <f>1320000/1.1</f>
        <v>1200000</v>
      </c>
      <c r="E12" s="115"/>
      <c r="F12" s="39"/>
      <c r="G12" s="39"/>
      <c r="H12" s="55"/>
    </row>
    <row r="13" spans="2:8">
      <c r="B13" s="163" t="s">
        <v>462</v>
      </c>
      <c r="C13" s="97">
        <f>223334145-15503676</f>
        <v>207830469</v>
      </c>
      <c r="D13" s="165">
        <v>0</v>
      </c>
      <c r="E13" s="115"/>
      <c r="F13" s="39"/>
      <c r="G13" s="39"/>
    </row>
    <row r="14" spans="2:8">
      <c r="B14" s="163" t="s">
        <v>463</v>
      </c>
      <c r="C14" s="97">
        <f>5056094121-8394251</f>
        <v>5047699870</v>
      </c>
      <c r="D14" s="165">
        <f>10027063/1.1</f>
        <v>9115511.8181818184</v>
      </c>
      <c r="F14" s="39"/>
      <c r="G14" s="39"/>
    </row>
    <row r="15" spans="2:8">
      <c r="B15" s="163" t="s">
        <v>511</v>
      </c>
      <c r="C15" s="97">
        <f>33929780-3084525</f>
        <v>30845255</v>
      </c>
      <c r="D15" s="165">
        <f>638738259/1.1</f>
        <v>580671144.5454545</v>
      </c>
      <c r="F15" s="39"/>
      <c r="G15" s="39"/>
    </row>
    <row r="16" spans="2:8">
      <c r="B16" s="163" t="s">
        <v>616</v>
      </c>
      <c r="C16" s="97">
        <v>0</v>
      </c>
      <c r="D16" s="165">
        <v>0</v>
      </c>
      <c r="F16" s="39"/>
      <c r="G16" s="39"/>
    </row>
    <row r="17" spans="2:15">
      <c r="B17" s="163" t="s">
        <v>617</v>
      </c>
      <c r="C17" s="97">
        <v>0</v>
      </c>
      <c r="D17" s="165">
        <f>550699279/1.1</f>
        <v>500635708.18181813</v>
      </c>
      <c r="F17" s="39"/>
      <c r="G17" s="39"/>
    </row>
    <row r="18" spans="2:15">
      <c r="B18" s="163" t="s">
        <v>618</v>
      </c>
      <c r="C18" s="97">
        <f>108000-9818</f>
        <v>98182</v>
      </c>
      <c r="D18" s="165">
        <v>262240000</v>
      </c>
      <c r="F18" s="39"/>
      <c r="G18" s="39"/>
    </row>
    <row r="19" spans="2:15">
      <c r="B19" s="163" t="s">
        <v>724</v>
      </c>
      <c r="C19" s="97">
        <f>115062044-10460179</f>
        <v>104601865</v>
      </c>
      <c r="D19" s="165">
        <v>0</v>
      </c>
      <c r="F19" s="39"/>
      <c r="G19" s="39"/>
    </row>
    <row r="20" spans="2:15">
      <c r="B20" s="163" t="s">
        <v>725</v>
      </c>
      <c r="C20" s="97">
        <f>4509325733-738702</f>
        <v>4508587031</v>
      </c>
      <c r="D20" s="165">
        <v>0</v>
      </c>
      <c r="F20" s="39"/>
      <c r="G20" s="39"/>
    </row>
    <row r="21" spans="2:15">
      <c r="B21" s="163" t="s">
        <v>1017</v>
      </c>
      <c r="C21" s="97">
        <v>0</v>
      </c>
      <c r="D21" s="165">
        <f>100210000/1.1</f>
        <v>91100000</v>
      </c>
      <c r="F21" s="39"/>
      <c r="G21" s="39"/>
    </row>
    <row r="22" spans="2:15">
      <c r="B22" s="163" t="s">
        <v>1018</v>
      </c>
      <c r="C22" s="97">
        <f>197658650-16619994</f>
        <v>181038656</v>
      </c>
      <c r="D22" s="165">
        <f>6447252957-63696147</f>
        <v>6383556810</v>
      </c>
      <c r="F22" s="39"/>
      <c r="G22" s="39"/>
    </row>
    <row r="23" spans="2:15">
      <c r="B23" s="163" t="s">
        <v>1019</v>
      </c>
      <c r="C23" s="97">
        <v>0</v>
      </c>
      <c r="D23" s="165">
        <f>88200000/1.1</f>
        <v>80181818.181818172</v>
      </c>
      <c r="F23" s="39"/>
      <c r="G23" s="39"/>
    </row>
    <row r="24" spans="2:15">
      <c r="B24" s="163" t="s">
        <v>1020</v>
      </c>
      <c r="C24" s="97">
        <v>0</v>
      </c>
      <c r="D24" s="165">
        <v>0</v>
      </c>
      <c r="F24" s="39"/>
      <c r="G24" s="39"/>
    </row>
    <row r="25" spans="2:15">
      <c r="B25" s="121" t="str">
        <f>+'NOTA R SALDOS Y TRANSACC'!B20</f>
        <v>Total al 31/12/2021</v>
      </c>
      <c r="C25" s="166">
        <f>SUM(C6:C24)</f>
        <v>16464468099</v>
      </c>
      <c r="D25" s="166">
        <f>SUM(D6:D24)</f>
        <v>9321941774.545454</v>
      </c>
    </row>
    <row r="26" spans="2:15">
      <c r="B26" s="121" t="str">
        <f>+'NOTA R SALDOS Y TRANSACC'!B21</f>
        <v>Total al 31/12/2020</v>
      </c>
      <c r="C26" s="167">
        <v>711902317</v>
      </c>
      <c r="D26" s="166">
        <v>1665966928</v>
      </c>
    </row>
    <row r="29" spans="2:15">
      <c r="K29" s="168"/>
      <c r="M29" s="169"/>
      <c r="O29" s="169"/>
    </row>
    <row r="30" spans="2:15">
      <c r="K30" s="168"/>
      <c r="M30" s="169"/>
      <c r="O30" s="169"/>
    </row>
    <row r="31" spans="2:15">
      <c r="K31" s="168"/>
      <c r="M31" s="169"/>
      <c r="O31" s="170"/>
    </row>
    <row r="36" spans="7:7">
      <c r="G36" s="169"/>
    </row>
  </sheetData>
  <sheetProtection algorithmName="SHA-512" hashValue="WKgr0Spyu2NXX/Tsbl2kQfZIZyXm3jS0kLQrBY/qyaZo6rMMOliWiTERW+9UNwAYcbzOnuhS/RXY7cmj0lBsjA==" saltValue="WbPPYMnIhxxM3E/n10kVRg==" spinCount="100000" sheet="1" objects="1" scenarios="1"/>
  <mergeCells count="1">
    <mergeCell ref="B3:D3"/>
  </mergeCell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17"/>
  <sheetViews>
    <sheetView showGridLines="0" zoomScale="113" zoomScaleNormal="85" workbookViewId="0">
      <selection activeCell="C71" sqref="C71"/>
    </sheetView>
  </sheetViews>
  <sheetFormatPr baseColWidth="10" defaultColWidth="11.42578125" defaultRowHeight="12"/>
  <cols>
    <col min="1" max="1" width="4.7109375" style="84" customWidth="1"/>
    <col min="2" max="2" width="32.42578125" style="84" customWidth="1"/>
    <col min="3" max="3" width="22.140625" style="84" bestFit="1" customWidth="1"/>
    <col min="4" max="4" width="14.42578125" style="84" bestFit="1" customWidth="1"/>
    <col min="5" max="5" width="14.140625" style="84" bestFit="1" customWidth="1"/>
    <col min="6" max="6" width="14.42578125" style="84" bestFit="1" customWidth="1"/>
    <col min="7" max="7" width="14.140625" style="84" bestFit="1" customWidth="1"/>
    <col min="8" max="9" width="12.140625" style="84" bestFit="1" customWidth="1"/>
    <col min="10" max="16384" width="11.42578125" style="84"/>
  </cols>
  <sheetData>
    <row r="1" spans="2:8" ht="37.9" customHeight="1">
      <c r="C1" s="204"/>
    </row>
    <row r="2" spans="2:8" ht="15">
      <c r="C2" s="381"/>
    </row>
    <row r="3" spans="2:8" ht="15.75">
      <c r="B3" s="747" t="s">
        <v>464</v>
      </c>
      <c r="C3" s="747"/>
      <c r="D3" s="747"/>
      <c r="E3" s="747"/>
      <c r="F3" s="747"/>
    </row>
    <row r="4" spans="2:8" ht="15.75">
      <c r="B4" s="476"/>
      <c r="C4" s="476"/>
      <c r="D4" s="476"/>
      <c r="E4" s="476"/>
      <c r="F4" s="476"/>
    </row>
    <row r="5" spans="2:8" ht="15">
      <c r="B5" s="477" t="s">
        <v>702</v>
      </c>
    </row>
    <row r="6" spans="2:8" ht="24">
      <c r="B6" s="35" t="s">
        <v>338</v>
      </c>
      <c r="C6" s="35" t="s">
        <v>465</v>
      </c>
      <c r="D6" s="35" t="s">
        <v>423</v>
      </c>
      <c r="E6" s="35" t="s">
        <v>466</v>
      </c>
      <c r="F6" s="651">
        <f>+Indice!G6</f>
        <v>44561</v>
      </c>
    </row>
    <row r="7" spans="2:8">
      <c r="B7" s="91" t="s">
        <v>467</v>
      </c>
      <c r="C7" s="171">
        <v>24288000001</v>
      </c>
      <c r="D7" s="172">
        <f>+F7-C7</f>
        <v>2876000000</v>
      </c>
      <c r="E7" s="172">
        <v>0</v>
      </c>
      <c r="F7" s="171">
        <f>+'Balance Gral. Resol. 30'!$G$65</f>
        <v>27164000001</v>
      </c>
      <c r="G7" s="173"/>
      <c r="H7" s="175"/>
    </row>
    <row r="8" spans="2:8">
      <c r="B8" s="91" t="s">
        <v>468</v>
      </c>
      <c r="C8" s="172">
        <v>0</v>
      </c>
      <c r="D8" s="172">
        <f>+F8-C8</f>
        <v>8933184</v>
      </c>
      <c r="E8" s="172">
        <f>+C8</f>
        <v>0</v>
      </c>
      <c r="F8" s="171">
        <f>+'Balance Gral. Resol. 30'!G74</f>
        <v>8933184</v>
      </c>
      <c r="G8" s="173"/>
      <c r="H8" s="175"/>
    </row>
    <row r="9" spans="2:8">
      <c r="B9" s="91" t="s">
        <v>111</v>
      </c>
      <c r="C9" s="171">
        <v>1648520013</v>
      </c>
      <c r="D9" s="174">
        <v>0</v>
      </c>
      <c r="E9" s="172">
        <v>52946670</v>
      </c>
      <c r="F9" s="171">
        <f>+'Balance Gral. Resol. 30'!$G$70</f>
        <v>1595573343</v>
      </c>
      <c r="G9" s="173"/>
      <c r="H9" s="175"/>
    </row>
    <row r="10" spans="2:8">
      <c r="B10" s="91" t="s">
        <v>122</v>
      </c>
      <c r="C10" s="172">
        <v>8062247026</v>
      </c>
      <c r="D10" s="172">
        <v>0</v>
      </c>
      <c r="E10" s="172">
        <f>+C10-F10</f>
        <v>8052835939</v>
      </c>
      <c r="F10" s="172">
        <f>+'Balance Gral. Resol. 30'!$G$76</f>
        <v>9411087</v>
      </c>
      <c r="G10" s="173"/>
      <c r="H10" s="175"/>
    </row>
    <row r="11" spans="2:8">
      <c r="B11" s="91" t="s">
        <v>124</v>
      </c>
      <c r="C11" s="171">
        <v>0</v>
      </c>
      <c r="D11" s="172">
        <f>+'Balance Gral. Resol. 30'!$G$77</f>
        <v>23332346890.369999</v>
      </c>
      <c r="E11" s="172">
        <f>+C11</f>
        <v>0</v>
      </c>
      <c r="F11" s="171">
        <f>+'Balance Gral. Resol. 30'!$G$77</f>
        <v>23332346890.369999</v>
      </c>
      <c r="G11" s="173"/>
      <c r="H11" s="175"/>
    </row>
    <row r="12" spans="2:8">
      <c r="B12" s="121" t="str">
        <f>+'NOTA S RESULTADOS CON PERS'!B25</f>
        <v>Total al 31/12/2021</v>
      </c>
      <c r="C12" s="176">
        <f>SUM(C7:C11)</f>
        <v>33998767040</v>
      </c>
      <c r="D12" s="176">
        <f>SUM(D7:D11)</f>
        <v>26217280074.369999</v>
      </c>
      <c r="E12" s="176">
        <f>SUM(E7:E11)</f>
        <v>8105782609</v>
      </c>
      <c r="F12" s="176">
        <f>SUM(F7:F11)</f>
        <v>52110264505.369995</v>
      </c>
      <c r="G12" s="173"/>
      <c r="H12" s="175"/>
    </row>
    <row r="13" spans="2:8">
      <c r="B13" s="121" t="str">
        <f>+'NOTA S RESULTADOS CON PERS'!B26</f>
        <v>Total al 31/12/2020</v>
      </c>
      <c r="C13" s="176">
        <v>26371191313</v>
      </c>
      <c r="D13" s="176">
        <v>14475575818</v>
      </c>
      <c r="E13" s="177">
        <v>6848000091</v>
      </c>
      <c r="F13" s="176">
        <v>33998767040</v>
      </c>
    </row>
    <row r="14" spans="2:8">
      <c r="D14" s="175"/>
      <c r="F14" s="173"/>
    </row>
    <row r="15" spans="2:8">
      <c r="D15" s="175"/>
      <c r="E15" s="85"/>
      <c r="F15" s="178">
        <f>+F12-'Balance Gral. Resol. 30'!G79</f>
        <v>0</v>
      </c>
      <c r="G15" s="173">
        <f>+F13-'Balance Gral. Resol. 30'!H79</f>
        <v>0</v>
      </c>
    </row>
    <row r="16" spans="2:8" ht="15.75">
      <c r="B16" s="747" t="s">
        <v>528</v>
      </c>
      <c r="C16" s="747"/>
      <c r="D16" s="747"/>
      <c r="E16" s="747"/>
      <c r="F16" s="747"/>
    </row>
    <row r="17" spans="2:5">
      <c r="B17" s="179" t="s">
        <v>469</v>
      </c>
      <c r="E17" s="85"/>
    </row>
  </sheetData>
  <sheetProtection algorithmName="SHA-512" hashValue="oZF7+3866I2KZeo384ViZywk/AKx3ryLbZx6EqZfczg8IrWpE6HeQ0AZv3hWowElOnviKiK7Cm1bvJvJEeK/3w==" saltValue="KaKQXaci+QlqjIcWjh3xCA==" spinCount="100000" sheet="1" objects="1" scenarios="1"/>
  <mergeCells count="2">
    <mergeCell ref="B3:F3"/>
    <mergeCell ref="B16:F16"/>
  </mergeCells>
  <hyperlinks>
    <hyperlink ref="B5" location="'Balance Gral. Resol. 30'!A1" display="'Balance Gral. Resol. 30'!A1" xr:uid="{FA80B25E-16E3-4E5B-A107-987BDEBA2B9B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E26"/>
  <sheetViews>
    <sheetView showGridLines="0" zoomScale="119" zoomScaleNormal="85" workbookViewId="0">
      <selection activeCell="C71" sqref="C71"/>
    </sheetView>
  </sheetViews>
  <sheetFormatPr baseColWidth="10" defaultColWidth="20.28515625" defaultRowHeight="12"/>
  <cols>
    <col min="1" max="1" width="4.7109375" style="25" customWidth="1"/>
    <col min="2" max="2" width="35" style="25" bestFit="1" customWidth="1"/>
    <col min="3" max="16384" width="20.28515625" style="25"/>
  </cols>
  <sheetData>
    <row r="1" spans="2:4" ht="28.15" customHeight="1">
      <c r="B1" s="204"/>
    </row>
    <row r="4" spans="2:4" ht="15.75">
      <c r="B4" s="706" t="s">
        <v>726</v>
      </c>
      <c r="C4" s="706"/>
      <c r="D4" s="706"/>
    </row>
    <row r="6" spans="2:4" ht="15">
      <c r="B6" s="466" t="s">
        <v>727</v>
      </c>
    </row>
    <row r="7" spans="2:4" ht="15.75">
      <c r="B7" s="748" t="s">
        <v>470</v>
      </c>
      <c r="C7" s="748"/>
      <c r="D7" s="748"/>
    </row>
    <row r="8" spans="2:4">
      <c r="B8" s="119" t="s">
        <v>338</v>
      </c>
      <c r="C8" s="496">
        <f>+Indice!G7</f>
        <v>44561</v>
      </c>
      <c r="D8" s="496">
        <f>+Indice!H7</f>
        <v>44196</v>
      </c>
    </row>
    <row r="9" spans="2:4">
      <c r="B9" s="33" t="s">
        <v>471</v>
      </c>
      <c r="C9" s="180"/>
      <c r="D9" s="180">
        <v>30698389</v>
      </c>
    </row>
    <row r="10" spans="2:4">
      <c r="B10" s="33" t="s">
        <v>472</v>
      </c>
      <c r="C10" s="126">
        <f>+'Estado de Resultado Resol. 30'!D14</f>
        <v>1016926461</v>
      </c>
      <c r="D10" s="126">
        <v>1822627565</v>
      </c>
    </row>
    <row r="11" spans="2:4">
      <c r="B11" s="33" t="s">
        <v>473</v>
      </c>
      <c r="C11" s="126">
        <f>+'Estado de Resultado Resol. 30'!D26</f>
        <v>920959974</v>
      </c>
      <c r="D11" s="126">
        <v>2315331955</v>
      </c>
    </row>
    <row r="12" spans="2:4">
      <c r="B12" s="33" t="s">
        <v>474</v>
      </c>
      <c r="C12" s="126">
        <f>+'Estado de Resultado Resol. 30'!D28</f>
        <v>9010398655</v>
      </c>
      <c r="D12" s="180">
        <v>7778417164</v>
      </c>
    </row>
    <row r="13" spans="2:4">
      <c r="B13" s="33" t="s">
        <v>475</v>
      </c>
      <c r="C13" s="126">
        <f>+'Estado de Resultado Resol. 30'!D27</f>
        <v>0</v>
      </c>
      <c r="D13" s="180">
        <v>1534861436</v>
      </c>
    </row>
    <row r="14" spans="2:4" ht="24">
      <c r="B14" s="51" t="s">
        <v>619</v>
      </c>
      <c r="C14" s="126">
        <f>+'Estado de Resultado Resol. 30'!D29</f>
        <v>16081095000</v>
      </c>
      <c r="D14" s="180"/>
    </row>
    <row r="15" spans="2:4" ht="24">
      <c r="B15" s="51" t="str">
        <f>+'Estado de Resultado Resol. 30'!B30</f>
        <v>Ingresos por Operciones y Servicios a personas relacionadas</v>
      </c>
      <c r="C15" s="126">
        <f>+'Estado de Resultado Resol. 30'!D30</f>
        <v>577968562</v>
      </c>
      <c r="D15" s="180"/>
    </row>
    <row r="16" spans="2:4">
      <c r="B16" s="49" t="s">
        <v>476</v>
      </c>
      <c r="C16" s="127">
        <f>SUM(C10:C15)</f>
        <v>27607348652</v>
      </c>
      <c r="D16" s="127">
        <f>SUM(D9:D15)</f>
        <v>13481936509</v>
      </c>
    </row>
    <row r="18" spans="2:5" ht="15.75">
      <c r="B18" s="748" t="s">
        <v>191</v>
      </c>
      <c r="C18" s="748"/>
      <c r="D18" s="748"/>
    </row>
    <row r="19" spans="2:5">
      <c r="B19" s="119" t="s">
        <v>338</v>
      </c>
      <c r="C19" s="496">
        <f>+C8</f>
        <v>44561</v>
      </c>
      <c r="D19" s="496">
        <f>+D8</f>
        <v>44196</v>
      </c>
    </row>
    <row r="20" spans="2:5">
      <c r="B20" s="33" t="s">
        <v>477</v>
      </c>
      <c r="C20" s="97">
        <f>+'Estado de Resultado Resol. 30'!D35</f>
        <v>0</v>
      </c>
      <c r="D20" s="53">
        <v>0</v>
      </c>
    </row>
    <row r="21" spans="2:5">
      <c r="B21" s="33" t="s">
        <v>478</v>
      </c>
      <c r="C21" s="97">
        <f>+'Estado de Resultado Resol. 30'!D36</f>
        <v>0</v>
      </c>
      <c r="D21" s="97">
        <v>308095630</v>
      </c>
    </row>
    <row r="22" spans="2:5">
      <c r="B22" s="33" t="s">
        <v>479</v>
      </c>
      <c r="C22" s="97">
        <f>+'Estado de Resultado Resol. 30'!D37</f>
        <v>6815155350</v>
      </c>
      <c r="D22" s="97">
        <v>1276087808</v>
      </c>
    </row>
    <row r="23" spans="2:5">
      <c r="B23" s="49" t="s">
        <v>476</v>
      </c>
      <c r="C23" s="118">
        <f>SUM(C20:C22)</f>
        <v>6815155350</v>
      </c>
      <c r="D23" s="118">
        <f>SUM(D20:D22)</f>
        <v>1584183438</v>
      </c>
    </row>
    <row r="25" spans="2:5">
      <c r="C25" s="39">
        <f>+C23-'Estado de Resultado Resol. 30'!D34</f>
        <v>0</v>
      </c>
      <c r="D25" s="39">
        <f>+D23-'Estado de Resultado Resol. 30'!E34</f>
        <v>0</v>
      </c>
      <c r="E25" s="39"/>
    </row>
    <row r="26" spans="2:5">
      <c r="C26" s="39">
        <f>+C23+C16-'Estado de Resultado Resol. 30'!G11</f>
        <v>0</v>
      </c>
      <c r="D26" s="39">
        <f>+D23+D16-'Estado de Resultado Resol. 30'!H11</f>
        <v>0</v>
      </c>
      <c r="E26" s="39"/>
    </row>
  </sheetData>
  <sheetProtection algorithmName="SHA-512" hashValue="e70/ccNuu06YrnpjC2j12pWZmGLP5SisAnS4tK111+AM+zSHsd6f4thYxkuwcl56K7dj22cVKqVHJJMq7tlp0g==" saltValue="rbwUsx61LuZsTjkoSzMwrQ==" spinCount="100000" sheet="1" objects="1" scenarios="1"/>
  <mergeCells count="3">
    <mergeCell ref="B4:D4"/>
    <mergeCell ref="B7:D7"/>
    <mergeCell ref="B18:D18"/>
  </mergeCells>
  <hyperlinks>
    <hyperlink ref="B6" location="'Estado de Resultado Resol. 30'!A1" display="'Estado de Resultado Resol. 30'!A1" xr:uid="{DA776F78-BA3E-4CBB-8DFD-766F93640C7A}"/>
  </hyperlinks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G53"/>
  <sheetViews>
    <sheetView showGridLines="0" zoomScale="133" zoomScaleNormal="100" workbookViewId="0">
      <selection activeCell="C71" sqref="C71"/>
    </sheetView>
  </sheetViews>
  <sheetFormatPr baseColWidth="10" defaultColWidth="11.42578125" defaultRowHeight="12"/>
  <cols>
    <col min="1" max="1" width="4.7109375" style="25" customWidth="1"/>
    <col min="2" max="2" width="37.42578125" style="25" customWidth="1"/>
    <col min="3" max="3" width="13.42578125" style="25" bestFit="1" customWidth="1"/>
    <col min="4" max="4" width="14.28515625" style="25" customWidth="1"/>
    <col min="5" max="5" width="15.140625" style="25" bestFit="1" customWidth="1"/>
    <col min="6" max="16384" width="11.42578125" style="25"/>
  </cols>
  <sheetData>
    <row r="1" spans="2:7" s="59" customFormat="1" ht="15">
      <c r="B1" s="749"/>
      <c r="C1" s="740"/>
      <c r="D1" s="740"/>
    </row>
    <row r="2" spans="2:7" s="59" customFormat="1">
      <c r="B2" s="181"/>
      <c r="C2" s="181"/>
      <c r="D2" s="181"/>
    </row>
    <row r="3" spans="2:7" s="59" customFormat="1">
      <c r="B3" s="181"/>
      <c r="C3" s="181"/>
      <c r="D3" s="181"/>
    </row>
    <row r="4" spans="2:7" s="59" customFormat="1">
      <c r="B4" s="181"/>
      <c r="C4" s="181"/>
      <c r="D4" s="181"/>
    </row>
    <row r="5" spans="2:7" s="59" customFormat="1" ht="15.75">
      <c r="B5" s="747" t="s">
        <v>481</v>
      </c>
      <c r="C5" s="747"/>
      <c r="D5" s="747"/>
    </row>
    <row r="6" spans="2:7" s="59" customFormat="1">
      <c r="B6" s="181"/>
      <c r="C6" s="181"/>
      <c r="D6" s="181"/>
    </row>
    <row r="7" spans="2:7" ht="15">
      <c r="B7" s="480" t="s">
        <v>727</v>
      </c>
      <c r="C7" s="182"/>
      <c r="D7" s="182"/>
    </row>
    <row r="8" spans="2:7">
      <c r="B8" s="197" t="s">
        <v>338</v>
      </c>
      <c r="C8" s="496">
        <f>+'NOTA V INGRESOS OPERATIVOS'!C8</f>
        <v>44561</v>
      </c>
      <c r="D8" s="496">
        <f>+'NOTA V INGRESOS OPERATIVOS'!D8</f>
        <v>44196</v>
      </c>
    </row>
    <row r="9" spans="2:7">
      <c r="B9" s="49" t="s">
        <v>482</v>
      </c>
      <c r="C9" s="1">
        <f>+'Estado de Resultado Resol. 30'!D39</f>
        <v>722930444</v>
      </c>
      <c r="D9" s="1">
        <f>+'Estado de Resultado Resol. 30'!E39</f>
        <v>1082690744</v>
      </c>
      <c r="E9" s="55"/>
      <c r="F9" s="55">
        <f>+C9-'Estado de Resultado Resol. 30'!D39</f>
        <v>0</v>
      </c>
      <c r="G9" s="55">
        <f>+D9-'Estado de Resultado Resol. 30'!E39</f>
        <v>0</v>
      </c>
    </row>
    <row r="10" spans="2:7">
      <c r="B10" s="33" t="s">
        <v>193</v>
      </c>
      <c r="C10" s="355">
        <f>+'Estado de Resultado Resol. 30'!D40</f>
        <v>0</v>
      </c>
      <c r="D10" s="183">
        <f>+'Estado de Resultado Resol. 30'!E40</f>
        <v>618727138</v>
      </c>
    </row>
    <row r="11" spans="2:7">
      <c r="B11" s="33" t="s">
        <v>194</v>
      </c>
      <c r="C11" s="355">
        <f>+'Estado de Resultado Resol. 30'!D41</f>
        <v>516132100</v>
      </c>
      <c r="D11" s="183">
        <f>+'Estado de Resultado Resol. 30'!E41</f>
        <v>463963606</v>
      </c>
    </row>
    <row r="12" spans="2:7">
      <c r="B12" s="33" t="s">
        <v>483</v>
      </c>
      <c r="C12" s="39">
        <f>+'Estado de Resultado Resol. 30'!D42</f>
        <v>206798344</v>
      </c>
      <c r="D12" s="183">
        <f>+'Estado de Resultado Resol. 30'!E42</f>
        <v>0</v>
      </c>
    </row>
    <row r="13" spans="2:7">
      <c r="B13" s="184" t="s">
        <v>482</v>
      </c>
      <c r="C13" s="355">
        <f>+'Estado de Resultado Resol. 30'!D43</f>
        <v>33699573558</v>
      </c>
      <c r="D13" s="185">
        <f>+'Estado de Resultado Resol. 30'!E43</f>
        <v>13983429203</v>
      </c>
    </row>
    <row r="14" spans="2:7">
      <c r="B14" s="49"/>
      <c r="C14" s="186">
        <f>+'Estado de Resultado Resol. 30'!D44</f>
        <v>0</v>
      </c>
      <c r="D14" s="186">
        <f>+'Estado de Resultado Resol. 30'!E44</f>
        <v>0</v>
      </c>
      <c r="F14" s="55">
        <f>+C15-'Estado de Resultado Resol. 30'!D45</f>
        <v>0</v>
      </c>
      <c r="G14" s="55">
        <f>+D15-'Estado de Resultado Resol. 30'!E45</f>
        <v>0</v>
      </c>
    </row>
    <row r="15" spans="2:7">
      <c r="B15" s="49" t="s">
        <v>196</v>
      </c>
      <c r="C15" s="1">
        <f>+'Estado de Resultado Resol. 30'!D45</f>
        <v>1303556645</v>
      </c>
      <c r="D15" s="1">
        <f>+'Estado de Resultado Resol. 30'!E45</f>
        <v>22553799</v>
      </c>
    </row>
    <row r="16" spans="2:7">
      <c r="B16" s="33" t="s">
        <v>197</v>
      </c>
      <c r="C16" s="183">
        <f>+'Estado de Resultado Resol. 30'!D46</f>
        <v>0</v>
      </c>
      <c r="D16" s="183">
        <f>+'Estado de Resultado Resol. 30'!E46</f>
        <v>0</v>
      </c>
    </row>
    <row r="17" spans="2:7">
      <c r="B17" s="33" t="s">
        <v>198</v>
      </c>
      <c r="C17" s="183">
        <f>+'Estado de Resultado Resol. 30'!D47</f>
        <v>589464306</v>
      </c>
      <c r="D17" s="183">
        <f>+'Estado de Resultado Resol. 30'!E47</f>
        <v>0</v>
      </c>
    </row>
    <row r="18" spans="2:7">
      <c r="B18" s="33" t="s">
        <v>199</v>
      </c>
      <c r="C18" s="183">
        <f>+'Estado de Resultado Resol. 30'!D48</f>
        <v>714092339</v>
      </c>
      <c r="D18" s="183">
        <f>+'Estado de Resultado Resol. 30'!E48</f>
        <v>22553799</v>
      </c>
    </row>
    <row r="19" spans="2:7">
      <c r="B19" s="49"/>
      <c r="C19" s="186">
        <f>+'Estado de Resultado Resol. 30'!D49</f>
        <v>0</v>
      </c>
      <c r="D19" s="186">
        <f>+'Estado de Resultado Resol. 30'!E49</f>
        <v>0</v>
      </c>
    </row>
    <row r="20" spans="2:7">
      <c r="B20" s="49" t="s">
        <v>200</v>
      </c>
      <c r="C20" s="1">
        <f>+'Estado de Resultado Resol. 30'!D50</f>
        <v>7979538644</v>
      </c>
      <c r="D20" s="1">
        <f>+'Estado de Resultado Resol. 30'!E50</f>
        <v>4660274962</v>
      </c>
      <c r="F20" s="55">
        <f>+C20-'Estado de Resultado Resol. 30'!D50</f>
        <v>0</v>
      </c>
      <c r="G20" s="55">
        <f>+D20-'Estado de Resultado Resol. 30'!E50</f>
        <v>0</v>
      </c>
    </row>
    <row r="21" spans="2:7">
      <c r="B21" s="653" t="str">
        <f>+'Estado de Resultado Resol. 30'!B52</f>
        <v>Sueldos Y Otras Remuneraciones Al Person</v>
      </c>
      <c r="C21" s="186">
        <f>+'Estado de Resultado Resol. 30'!D51</f>
        <v>4235591095</v>
      </c>
      <c r="D21" s="183">
        <v>0</v>
      </c>
    </row>
    <row r="22" spans="2:7">
      <c r="B22" s="33" t="str">
        <f>+'Estado de Resultado Resol. 30'!B53</f>
        <v>Sueldos Y Jornales</v>
      </c>
      <c r="C22" s="183">
        <f>+'Estado de Resultado Resol. 30'!D52</f>
        <v>2948027507</v>
      </c>
      <c r="D22" s="183">
        <f>+'Estado de Resultado Resol. 30'!E53</f>
        <v>1783376709</v>
      </c>
    </row>
    <row r="23" spans="2:7">
      <c r="B23" s="33" t="str">
        <f>+'Estado de Resultado Resol. 30'!B54</f>
        <v>Aporte Patronal</v>
      </c>
      <c r="C23" s="183">
        <f>+'Estado de Resultado Resol. 30'!D53</f>
        <v>2222732762</v>
      </c>
      <c r="D23" s="183">
        <f>+'Estado de Resultado Resol. 30'!E54</f>
        <v>294257157</v>
      </c>
    </row>
    <row r="24" spans="2:7">
      <c r="B24" s="33" t="str">
        <f>+'Estado de Resultado Resol. 30'!B55</f>
        <v>Otros Beneficios Al Personal</v>
      </c>
      <c r="C24" s="183">
        <f>+'Estado de Resultado Resol. 30'!D54</f>
        <v>373820609</v>
      </c>
      <c r="D24" s="183">
        <f>+'Estado de Resultado Resol. 30'!E55</f>
        <v>0</v>
      </c>
    </row>
    <row r="25" spans="2:7">
      <c r="B25" s="33" t="str">
        <f>+'Estado de Resultado Resol. 30'!B56</f>
        <v>Aguinaldos</v>
      </c>
      <c r="C25" s="183">
        <f>+'Estado de Resultado Resol. 30'!D55</f>
        <v>93269443</v>
      </c>
      <c r="D25" s="183">
        <f>+'Estado de Resultado Resol. 30'!E56</f>
        <v>147695241</v>
      </c>
    </row>
    <row r="26" spans="2:7">
      <c r="B26" s="33" t="str">
        <f>+'Estado de Resultado Resol. 30'!B57</f>
        <v>Capacitacion Al Personal</v>
      </c>
      <c r="C26" s="183">
        <f>+'Estado de Resultado Resol. 30'!D56</f>
        <v>173795275</v>
      </c>
      <c r="D26" s="183">
        <f>+'Estado de Resultado Resol. 30'!E57</f>
        <v>863636</v>
      </c>
    </row>
    <row r="27" spans="2:7">
      <c r="B27" s="33" t="str">
        <f>+'Estado de Resultado Resol. 30'!B58</f>
        <v>Otros Beneficios al Personal Administración GND</v>
      </c>
      <c r="C27" s="183">
        <f>+'Estado de Resultado Resol. 30'!D57</f>
        <v>10516414</v>
      </c>
      <c r="D27" s="183">
        <f>+'Estado de Resultado Resol. 30'!E58</f>
        <v>0</v>
      </c>
    </row>
    <row r="28" spans="2:7">
      <c r="B28" s="33" t="str">
        <f>+'Estado de Resultado Resol. 30'!B59</f>
        <v>Bonificación Familiar</v>
      </c>
      <c r="C28" s="183">
        <f>+'Estado de Resultado Resol. 30'!D58</f>
        <v>65825110</v>
      </c>
      <c r="D28" s="183">
        <f>+'Estado de Resultado Resol. 30'!E59</f>
        <v>8990644</v>
      </c>
    </row>
    <row r="29" spans="2:7">
      <c r="B29" s="49" t="str">
        <f>+'Estado de Resultado Resol. 30'!B60</f>
        <v>Remuneración Personal Superior</v>
      </c>
      <c r="C29" s="186">
        <f>+'Estado de Resultado Resol. 30'!D59</f>
        <v>8067894</v>
      </c>
      <c r="D29" s="187">
        <f>+'Estado de Resultado Resol. 30'!E60</f>
        <v>0</v>
      </c>
    </row>
    <row r="30" spans="2:7">
      <c r="B30" s="33" t="str">
        <f>+'Estado de Resultado Resol. 30'!B61</f>
        <v>Remuneración Personal Superior</v>
      </c>
      <c r="C30" s="183">
        <f>+'Estado de Resultado Resol. 30'!D60</f>
        <v>1287563588</v>
      </c>
      <c r="D30" s="183">
        <f>+'Estado de Resultado Resol. 30'!E61</f>
        <v>397840908</v>
      </c>
    </row>
    <row r="31" spans="2:7">
      <c r="B31" s="33" t="str">
        <f>+'Estado de Resultado Resol. 30'!B62</f>
        <v>Gastos De Representación</v>
      </c>
      <c r="C31" s="183">
        <f>+'Estado de Resultado Resol. 30'!D61</f>
        <v>1221671304</v>
      </c>
      <c r="D31" s="183">
        <f>+'Estado de Resultado Resol. 30'!E62</f>
        <v>0</v>
      </c>
      <c r="F31" s="55"/>
    </row>
    <row r="32" spans="2:7">
      <c r="B32" s="49" t="str">
        <f>+'Estado de Resultado Resol. 30'!B63</f>
        <v>Servicios Prestados Por Terceros</v>
      </c>
      <c r="C32" s="186">
        <f>+'Estado de Resultado Resol. 30'!D62</f>
        <v>65892284</v>
      </c>
      <c r="D32" s="187">
        <f>+'Estado de Resultado Resol. 30'!E63</f>
        <v>0</v>
      </c>
    </row>
    <row r="33" spans="2:4">
      <c r="B33" s="33" t="str">
        <f>+'Estado de Resultado Resol. 30'!B64</f>
        <v>Honorarios Profesionales</v>
      </c>
      <c r="C33" s="183">
        <f>+'Estado de Resultado Resol. 30'!D63</f>
        <v>3743947549</v>
      </c>
      <c r="D33" s="183">
        <f>+'Estado de Resultado Resol. 30'!E64</f>
        <v>96741210</v>
      </c>
    </row>
    <row r="34" spans="2:4">
      <c r="B34" s="33" t="str">
        <f>+'Estado de Resultado Resol. 30'!B65</f>
        <v>Servicios Contratados Ire</v>
      </c>
      <c r="C34" s="183">
        <f>+'Estado de Resultado Resol. 30'!D64</f>
        <v>725205272</v>
      </c>
      <c r="D34" s="183">
        <f>+'Estado de Resultado Resol. 30'!E65</f>
        <v>589843713</v>
      </c>
    </row>
    <row r="35" spans="2:4">
      <c r="B35" s="33" t="str">
        <f>+'Estado de Resultado Resol. 30'!B66</f>
        <v>Servicios Personales Irp</v>
      </c>
      <c r="C35" s="183">
        <f>+'Estado de Resultado Resol. 30'!D65</f>
        <v>522025338</v>
      </c>
      <c r="D35" s="183">
        <f>+'Estado de Resultado Resol. 30'!E66</f>
        <v>627553636</v>
      </c>
    </row>
    <row r="36" spans="2:4">
      <c r="B36" s="33" t="str">
        <f>+'Estado de Resultado Resol. 30'!B67</f>
        <v>Agua, Luz, Teléfono E Internet</v>
      </c>
      <c r="C36" s="183">
        <f>+'Estado de Resultado Resol. 30'!D66</f>
        <v>1013117622</v>
      </c>
      <c r="D36" s="183">
        <f>+'Estado de Resultado Resol. 30'!E67</f>
        <v>0</v>
      </c>
    </row>
    <row r="37" spans="2:4">
      <c r="B37" s="33" t="str">
        <f>+'Estado de Resultado Resol. 30'!B68</f>
        <v>Movilidad Y Viaticos</v>
      </c>
      <c r="C37" s="183">
        <f>+'Estado de Resultado Resol. 30'!D67</f>
        <v>131837193</v>
      </c>
      <c r="D37" s="183">
        <f>+'Estado de Resultado Resol. 30'!E68</f>
        <v>0</v>
      </c>
    </row>
    <row r="38" spans="2:4">
      <c r="B38" s="33" t="str">
        <f>+'Estado de Resultado Resol. 30'!B69</f>
        <v>Combustibles Y Lubricantes</v>
      </c>
      <c r="C38" s="183">
        <f>+'Estado de Resultado Resol. 30'!D68</f>
        <v>2138113</v>
      </c>
      <c r="D38" s="183">
        <f>+'Estado de Resultado Resol. 30'!E69</f>
        <v>0</v>
      </c>
    </row>
    <row r="39" spans="2:4">
      <c r="B39" s="33" t="str">
        <f>+'Estado de Resultado Resol. 30'!B70</f>
        <v>Reparaciones Y Mantenimientos</v>
      </c>
      <c r="C39" s="183">
        <f>+'Estado de Resultado Resol. 30'!D69</f>
        <v>32439979</v>
      </c>
      <c r="D39" s="183">
        <f>+'Estado de Resultado Resol. 30'!E70</f>
        <v>40557803</v>
      </c>
    </row>
    <row r="40" spans="2:4">
      <c r="B40" s="33" t="str">
        <f>+'Estado de Resultado Resol. 30'!B71</f>
        <v>Seguros Devengados</v>
      </c>
      <c r="C40" s="183">
        <f>+'Estado de Resultado Resol. 30'!D70</f>
        <v>39023677</v>
      </c>
      <c r="D40" s="183">
        <f>+'Estado de Resultado Resol. 30'!E71</f>
        <v>28754317</v>
      </c>
    </row>
    <row r="41" spans="2:4">
      <c r="B41" s="33" t="str">
        <f>+'Estado de Resultado Resol. 30'!B72</f>
        <v>Refrigerio Y Cafeteria</v>
      </c>
      <c r="C41" s="183">
        <f>+'Estado de Resultado Resol. 30'!D71</f>
        <v>28753458</v>
      </c>
      <c r="D41" s="183">
        <f>+'Estado de Resultado Resol. 30'!E72</f>
        <v>0</v>
      </c>
    </row>
    <row r="42" spans="2:4">
      <c r="B42" s="652" t="str">
        <f>+'Estado de Resultado Resol. 30'!B73</f>
        <v>Comunicaciones Y Propagandas</v>
      </c>
      <c r="C42" s="183">
        <f>+'Estado de Resultado Resol. 30'!D72</f>
        <v>89907774</v>
      </c>
      <c r="D42" s="183">
        <f>+'Estado de Resultado Resol. 30'!E73</f>
        <v>0</v>
      </c>
    </row>
    <row r="43" spans="2:4">
      <c r="B43" s="33" t="str">
        <f>+'Estado de Resultado Resol. 30'!B74</f>
        <v>Papeleria E Impresos</v>
      </c>
      <c r="C43" s="183">
        <f>+'Estado de Resultado Resol. 30'!D73</f>
        <v>63636</v>
      </c>
      <c r="D43" s="183">
        <f>+'Estado de Resultado Resol. 30'!E74</f>
        <v>0</v>
      </c>
    </row>
    <row r="44" spans="2:4">
      <c r="B44" s="33" t="str">
        <f>+'Estado de Resultado Resol. 30'!B75</f>
        <v>Gastos No Deducibles</v>
      </c>
      <c r="C44" s="183">
        <f>+'Estado de Resultado Resol. 30'!D74</f>
        <v>36181532</v>
      </c>
      <c r="D44" s="183">
        <f>+'Estado de Resultado Resol. 30'!E75</f>
        <v>0</v>
      </c>
    </row>
    <row r="45" spans="2:4">
      <c r="B45" s="652" t="str">
        <f>+'Estado de Resultado Resol. 30'!B76</f>
        <v>Dominios Y Suscripciones</v>
      </c>
      <c r="C45" s="183">
        <f>+'Estado de Resultado Resol. 30'!D75</f>
        <v>280365654</v>
      </c>
      <c r="D45" s="183">
        <f>+'Estado de Resultado Resol. 30'!E76</f>
        <v>0</v>
      </c>
    </row>
    <row r="46" spans="2:4">
      <c r="B46" s="33" t="str">
        <f>+'Estado de Resultado Resol. 30'!B77</f>
        <v>Gastos Varios</v>
      </c>
      <c r="C46" s="183">
        <f>+'Estado de Resultado Resol. 30'!D76</f>
        <v>984342</v>
      </c>
      <c r="D46" s="183">
        <f>+'Estado de Resultado Resol. 30'!E77</f>
        <v>598463203</v>
      </c>
    </row>
    <row r="47" spans="2:4">
      <c r="B47" s="652" t="str">
        <f>+'Estado de Resultado Resol. 30'!B78</f>
        <v>Gastos de encomiendas y envíos</v>
      </c>
      <c r="C47" s="183">
        <f>+'Estado de Resultado Resol. 30'!D77</f>
        <v>1342000</v>
      </c>
      <c r="D47" s="183">
        <f>+'Estado de Resultado Resol. 30'!E78</f>
        <v>0</v>
      </c>
    </row>
    <row r="48" spans="2:4">
      <c r="B48" s="652" t="str">
        <f>+'Estado de Resultado Resol. 30'!B79</f>
        <v>Gastos De Escribania</v>
      </c>
      <c r="C48" s="183">
        <f>+'Estado de Resultado Resol. 30'!D78</f>
        <v>14641019</v>
      </c>
      <c r="D48" s="183">
        <f>+'Estado de Resultado Resol. 30'!E79</f>
        <v>0</v>
      </c>
    </row>
    <row r="49" spans="2:4">
      <c r="B49" s="33" t="str">
        <f>+'Estado de Resultado Resol. 30'!B80</f>
        <v>Gastos Informaticos</v>
      </c>
      <c r="C49" s="183">
        <f>+'Estado de Resultado Resol. 30'!D79</f>
        <v>13462995</v>
      </c>
      <c r="D49" s="183">
        <f>+'Estado de Resultado Resol. 30'!E80</f>
        <v>0</v>
      </c>
    </row>
    <row r="50" spans="2:4">
      <c r="B50" s="652" t="str">
        <f>+'Estado de Resultado Resol. 30'!B81</f>
        <v>Gastos De Impuestos</v>
      </c>
      <c r="C50" s="183">
        <f>+'Estado de Resultado Resol. 30'!D80</f>
        <v>27411287</v>
      </c>
      <c r="D50" s="183">
        <f>+'Estado de Resultado Resol. 30'!E81</f>
        <v>0</v>
      </c>
    </row>
    <row r="51" spans="2:4">
      <c r="B51" s="33" t="str">
        <f>+'Estado de Resultado Resol. 30'!B82</f>
        <v>Iva Gnd</v>
      </c>
      <c r="C51" s="183">
        <f>+'Estado de Resultado Resol. 30'!D81</f>
        <v>785046657</v>
      </c>
      <c r="D51" s="183">
        <f>+'Estado de Resultado Resol. 30'!E82</f>
        <v>0</v>
      </c>
    </row>
    <row r="52" spans="2:4">
      <c r="B52" s="652" t="str">
        <f>+'Estado de Resultado Resol. 30'!B83</f>
        <v>Multas Y Sanciones</v>
      </c>
      <c r="C52" s="183">
        <f>+'Estado de Resultado Resol. 30'!D82</f>
        <v>675863456</v>
      </c>
      <c r="D52" s="183">
        <f>+'Estado de Resultado Resol. 30'!E83</f>
        <v>0</v>
      </c>
    </row>
    <row r="53" spans="2:4">
      <c r="B53" s="652" t="str">
        <f>+'Estado de Resultado Resol. 30'!B84</f>
        <v>Impuestos, Patentes, Tasas Y Otras Contr</v>
      </c>
      <c r="C53" s="183">
        <f>+'Estado de Resultado Resol. 30'!D83</f>
        <v>14729702</v>
      </c>
      <c r="D53" s="183">
        <f>+'Estado de Resultado Resol. 30'!E84</f>
        <v>45336785</v>
      </c>
    </row>
  </sheetData>
  <sheetProtection algorithmName="SHA-512" hashValue="hXXCeapeb85e0lYhW7ThX2LaXG6rzNv/a4Vp/E3vGRzZSgW5YwYGcgOebIbwjP/V+1NoGkbo3XscQMvEIfP2nQ==" saltValue="aqVfsiLsosAflbhbybnI8Q==" spinCount="100000" sheet="1" objects="1" scenarios="1"/>
  <mergeCells count="2">
    <mergeCell ref="B1:D1"/>
    <mergeCell ref="B5:D5"/>
  </mergeCells>
  <hyperlinks>
    <hyperlink ref="B7" location="'Estado de Resultado Resol. 30'!A1" display="'Estado de Resultado Resol. 30'!A1" xr:uid="{1E3DBD14-B4B1-40E3-9630-349FCFAD2EC6}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3"/>
  <sheetViews>
    <sheetView showGridLines="0" zoomScaleNormal="100" workbookViewId="0">
      <selection activeCell="C71" sqref="C71"/>
    </sheetView>
  </sheetViews>
  <sheetFormatPr baseColWidth="10" defaultColWidth="11.42578125" defaultRowHeight="12"/>
  <cols>
    <col min="1" max="1" width="4.7109375" style="25" customWidth="1"/>
    <col min="2" max="2" width="37.7109375" style="25" bestFit="1" customWidth="1"/>
    <col min="3" max="3" width="13.7109375" style="25" bestFit="1" customWidth="1"/>
    <col min="4" max="4" width="13.28515625" style="25" bestFit="1" customWidth="1"/>
    <col min="5" max="16384" width="11.42578125" style="25"/>
  </cols>
  <sheetData>
    <row r="1" spans="2:4" ht="48" customHeight="1">
      <c r="B1" s="204"/>
    </row>
    <row r="2" spans="2:4" ht="15">
      <c r="B2" s="381"/>
    </row>
    <row r="3" spans="2:4" ht="15.75">
      <c r="B3" s="706" t="s">
        <v>732</v>
      </c>
      <c r="C3" s="706"/>
      <c r="D3" s="706"/>
    </row>
    <row r="5" spans="2:4" ht="15">
      <c r="B5" s="466" t="s">
        <v>727</v>
      </c>
    </row>
    <row r="6" spans="2:4">
      <c r="B6" s="197" t="s">
        <v>338</v>
      </c>
      <c r="C6" s="496">
        <f>+'NOTA W OTROS GASTOS OPER'!C8</f>
        <v>44561</v>
      </c>
      <c r="D6" s="197" t="s">
        <v>1021</v>
      </c>
    </row>
    <row r="7" spans="2:4">
      <c r="B7" s="49" t="s">
        <v>204</v>
      </c>
      <c r="C7" s="188">
        <f>+C8</f>
        <v>14122882</v>
      </c>
      <c r="D7" s="118">
        <v>0</v>
      </c>
    </row>
    <row r="8" spans="2:4">
      <c r="B8" s="33" t="s">
        <v>204</v>
      </c>
      <c r="C8" s="189">
        <f>+'Estado de Resultado Resol. 30'!D90</f>
        <v>14122882</v>
      </c>
      <c r="D8" s="53">
        <v>0</v>
      </c>
    </row>
    <row r="9" spans="2:4">
      <c r="B9" s="49" t="s">
        <v>203</v>
      </c>
      <c r="C9" s="188">
        <f>+C10</f>
        <v>615925306</v>
      </c>
      <c r="D9" s="118">
        <v>0</v>
      </c>
    </row>
    <row r="10" spans="2:4">
      <c r="B10" s="33" t="s">
        <v>203</v>
      </c>
      <c r="C10" s="189">
        <f>+'Estado de Resultado Resol. 30'!D89</f>
        <v>615925306</v>
      </c>
      <c r="D10" s="53">
        <v>0</v>
      </c>
    </row>
    <row r="11" spans="2:4">
      <c r="B11" s="49" t="s">
        <v>476</v>
      </c>
      <c r="C11" s="188">
        <f>+C9-C7</f>
        <v>601802424</v>
      </c>
      <c r="D11" s="118">
        <v>0</v>
      </c>
    </row>
    <row r="13" spans="2:4">
      <c r="C13" s="55">
        <f>+C11-'Estado de Resultado Resol. 30'!D88</f>
        <v>0</v>
      </c>
      <c r="D13" s="55">
        <f>+D11-'Estado de Resultado Resol. 30'!E88</f>
        <v>0</v>
      </c>
    </row>
  </sheetData>
  <sheetProtection algorithmName="SHA-512" hashValue="1YGJrVTd37fR1658On+Zgq0FLcSxAjbuALHuisY4IBt9ZJcYFPQLhYopOcQMwrba9lS4ekK/p51cxWdX3L0Aiw==" saltValue="irByYTH7+/0nQ6zOgwlTbA==" spinCount="100000" sheet="1" objects="1" scenarios="1"/>
  <mergeCells count="1">
    <mergeCell ref="B3:D3"/>
  </mergeCells>
  <hyperlinks>
    <hyperlink ref="B5" location="'Estado de Resultado Resol. 30'!A1" display="'Estado de Resultado Resol. 30'!A1" xr:uid="{1DE1265E-1B71-4495-964A-66B0E27CE4CF}"/>
  </hyperlinks>
  <pageMargins left="0.7" right="0.7" top="0.75" bottom="0.75" header="0.3" footer="0.3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6"/>
  <sheetViews>
    <sheetView showGridLines="0" zoomScale="115" zoomScaleNormal="115" workbookViewId="0">
      <selection activeCell="C71" sqref="C71"/>
    </sheetView>
  </sheetViews>
  <sheetFormatPr baseColWidth="10" defaultColWidth="11.42578125" defaultRowHeight="12"/>
  <cols>
    <col min="1" max="1" width="4.7109375" style="25" customWidth="1"/>
    <col min="2" max="2" width="37.7109375" style="25" bestFit="1" customWidth="1"/>
    <col min="3" max="4" width="14.28515625" style="25" bestFit="1" customWidth="1"/>
    <col min="5" max="16384" width="11.42578125" style="25"/>
  </cols>
  <sheetData>
    <row r="1" spans="2:4" ht="30" customHeight="1">
      <c r="B1" s="204"/>
    </row>
    <row r="2" spans="2:4" ht="17.45" customHeight="1"/>
    <row r="3" spans="2:4" ht="15.75">
      <c r="B3" s="706" t="s">
        <v>735</v>
      </c>
      <c r="C3" s="706"/>
      <c r="D3" s="706"/>
    </row>
    <row r="4" spans="2:4" ht="15.75">
      <c r="B4" s="417"/>
      <c r="C4" s="417"/>
      <c r="D4" s="417"/>
    </row>
    <row r="5" spans="2:4" ht="15">
      <c r="B5" s="466" t="s">
        <v>727</v>
      </c>
    </row>
    <row r="6" spans="2:4">
      <c r="B6" s="119" t="s">
        <v>338</v>
      </c>
      <c r="C6" s="496">
        <f>+'NOTA X OTROS INGRESOS Y EGR'!C6</f>
        <v>44561</v>
      </c>
      <c r="D6" s="119" t="s">
        <v>1021</v>
      </c>
    </row>
    <row r="7" spans="2:4">
      <c r="B7" s="49" t="s">
        <v>484</v>
      </c>
      <c r="C7" s="53"/>
      <c r="D7" s="53"/>
    </row>
    <row r="8" spans="2:4">
      <c r="B8" s="33" t="s">
        <v>485</v>
      </c>
      <c r="C8" s="53">
        <f>+'Estado de Resultado Resol. 30'!D95</f>
        <v>2730045590</v>
      </c>
      <c r="D8" s="53">
        <v>0</v>
      </c>
    </row>
    <row r="9" spans="2:4">
      <c r="B9" s="33" t="s">
        <v>207</v>
      </c>
      <c r="C9" s="53">
        <f>+'Estado de Resultado Resol. 30'!D96</f>
        <v>3661891086</v>
      </c>
      <c r="D9" s="53">
        <v>2097554781</v>
      </c>
    </row>
    <row r="10" spans="2:4">
      <c r="B10" s="49" t="s">
        <v>476</v>
      </c>
      <c r="C10" s="118">
        <f>SUM(C8:C9)</f>
        <v>6391936676</v>
      </c>
      <c r="D10" s="118">
        <f>SUM(D8:D9)</f>
        <v>2097554781</v>
      </c>
    </row>
    <row r="11" spans="2:4">
      <c r="B11" s="49" t="s">
        <v>486</v>
      </c>
      <c r="C11" s="53"/>
      <c r="D11" s="53"/>
    </row>
    <row r="12" spans="2:4">
      <c r="B12" s="33" t="s">
        <v>487</v>
      </c>
      <c r="C12" s="97">
        <f>'Estado de Resultado Resol. 30'!D98</f>
        <v>2993148816</v>
      </c>
      <c r="D12" s="97">
        <v>1192146329</v>
      </c>
    </row>
    <row r="13" spans="2:4">
      <c r="B13" s="33" t="s">
        <v>207</v>
      </c>
      <c r="C13" s="97">
        <f>'Estado de Resultado Resol. 30'!D99</f>
        <v>1327959864</v>
      </c>
      <c r="D13" s="97">
        <v>741722493</v>
      </c>
    </row>
    <row r="14" spans="2:4">
      <c r="B14" s="49" t="s">
        <v>476</v>
      </c>
      <c r="C14" s="186">
        <f>SUM(C12:C13)</f>
        <v>4321108680</v>
      </c>
      <c r="D14" s="186">
        <f>SUM(D12:D13)</f>
        <v>1933868822</v>
      </c>
    </row>
    <row r="15" spans="2:4">
      <c r="B15" s="49" t="s">
        <v>1022</v>
      </c>
      <c r="C15" s="186">
        <f>+C10-C14</f>
        <v>2070827996</v>
      </c>
      <c r="D15" s="186">
        <f>+D10-D14</f>
        <v>163685959</v>
      </c>
    </row>
    <row r="16" spans="2:4">
      <c r="C16" s="55">
        <f>+C15-'Estado de Resultado Resol. 30'!D92</f>
        <v>0</v>
      </c>
      <c r="D16" s="55">
        <f>+D15-'Estado de Resultado Resol. 30'!E92</f>
        <v>0</v>
      </c>
    </row>
  </sheetData>
  <sheetProtection algorithmName="SHA-512" hashValue="sMBh5xD+xrFkp55MsTcJDv42qKjghfEDz5jcmjWHme/v+2z3YjZcA0CelUkBmMi+EvgR1E3ZsSS3KKcAM9nQxQ==" saltValue="9Of3nruS3LtMOQbtQtOLKA==" spinCount="100000" sheet="1" objects="1" scenarios="1"/>
  <mergeCells count="1">
    <mergeCell ref="B3:D3"/>
  </mergeCells>
  <hyperlinks>
    <hyperlink ref="B5" location="'Estado de Resultado Resol. 30'!A1" display="'Estado de Resultado Resol. 30'!A1" xr:uid="{26560F6C-8025-482F-BEC5-0BF3EB2DF50D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6"/>
  <sheetViews>
    <sheetView showGridLines="0" zoomScaleNormal="100" workbookViewId="0">
      <selection activeCell="C71" sqref="C71"/>
    </sheetView>
  </sheetViews>
  <sheetFormatPr baseColWidth="10" defaultColWidth="11.42578125" defaultRowHeight="12"/>
  <cols>
    <col min="1" max="1" width="4.7109375" style="25" customWidth="1"/>
    <col min="2" max="2" width="37.7109375" style="25" bestFit="1" customWidth="1"/>
    <col min="3" max="3" width="13.7109375" style="25" bestFit="1" customWidth="1"/>
    <col min="4" max="4" width="13.28515625" style="25" bestFit="1" customWidth="1"/>
    <col min="5" max="16384" width="11.42578125" style="25"/>
  </cols>
  <sheetData>
    <row r="1" spans="2:4" ht="34.15" customHeight="1">
      <c r="B1" s="204"/>
    </row>
    <row r="4" spans="2:4" ht="15.75">
      <c r="B4" s="750" t="s">
        <v>736</v>
      </c>
      <c r="C4" s="750"/>
      <c r="D4" s="750"/>
    </row>
    <row r="5" spans="2:4" ht="15.75">
      <c r="B5" s="454"/>
      <c r="C5" s="454"/>
      <c r="D5" s="454"/>
    </row>
    <row r="6" spans="2:4" ht="15">
      <c r="B6" s="466" t="s">
        <v>727</v>
      </c>
    </row>
    <row r="7" spans="2:4">
      <c r="B7" s="197" t="s">
        <v>338</v>
      </c>
      <c r="C7" s="496">
        <f>+'NOTA Y RESULTADOS FINANC'!C6</f>
        <v>44561</v>
      </c>
      <c r="D7" s="197" t="s">
        <v>1021</v>
      </c>
    </row>
    <row r="8" spans="2:4">
      <c r="B8" s="49" t="s">
        <v>488</v>
      </c>
      <c r="C8" s="49"/>
      <c r="D8" s="49"/>
    </row>
    <row r="9" spans="2:4">
      <c r="B9" s="33" t="s">
        <v>489</v>
      </c>
      <c r="C9" s="190">
        <v>0</v>
      </c>
      <c r="D9" s="189">
        <v>0</v>
      </c>
    </row>
    <row r="10" spans="2:4">
      <c r="B10" s="33" t="s">
        <v>1023</v>
      </c>
      <c r="C10" s="190"/>
      <c r="D10" s="189"/>
    </row>
    <row r="11" spans="2:4">
      <c r="B11" s="49" t="s">
        <v>476</v>
      </c>
      <c r="C11" s="191">
        <f>SUM(C9)</f>
        <v>0</v>
      </c>
      <c r="D11" s="191">
        <v>0</v>
      </c>
    </row>
    <row r="12" spans="2:4">
      <c r="B12" s="49" t="s">
        <v>490</v>
      </c>
      <c r="C12" s="49"/>
      <c r="D12" s="49"/>
    </row>
    <row r="13" spans="2:4">
      <c r="B13" s="33" t="s">
        <v>491</v>
      </c>
      <c r="C13" s="49"/>
      <c r="D13" s="49"/>
    </row>
    <row r="14" spans="2:4">
      <c r="B14" s="33" t="s">
        <v>1024</v>
      </c>
      <c r="C14" s="190">
        <f>+'Estado de Resultado Resol. 30'!D103</f>
        <v>1700451588</v>
      </c>
      <c r="D14" s="190">
        <f>+'Estado de Resultado Resol. 30'!E103</f>
        <v>662058212</v>
      </c>
    </row>
    <row r="15" spans="2:4">
      <c r="B15" s="49" t="s">
        <v>476</v>
      </c>
      <c r="C15" s="191">
        <f>SUM(C14)</f>
        <v>1700451588</v>
      </c>
      <c r="D15" s="191">
        <f>SUM(D14)</f>
        <v>662058212</v>
      </c>
    </row>
    <row r="16" spans="2:4" ht="15.6" customHeight="1">
      <c r="C16" s="55">
        <f>+C15+'Estado de Resultado Resol. 30'!D101</f>
        <v>0</v>
      </c>
      <c r="D16" s="55">
        <f>+D15+'Estado de Resultado Resol. 30'!E101</f>
        <v>0</v>
      </c>
    </row>
  </sheetData>
  <sheetProtection algorithmName="SHA-512" hashValue="hc+NFwlxXYoOccQyAIpwtybZVyHU4gtYylRtGO0sDc5wUYfZWyu+JCGM51k3aA0fGwPryz8NgZYrbNLCVb90Tg==" saltValue="H+J1mLCrKQzkY/nVcDP8Yw==" spinCount="100000" sheet="1" objects="1" scenarios="1"/>
  <mergeCells count="1">
    <mergeCell ref="B4:D4"/>
  </mergeCells>
  <hyperlinks>
    <hyperlink ref="B6" location="'Estado de Resultado Resol. 30'!A1" display="'Estado de Resultado Resol. 30'!A1" xr:uid="{27177368-0E60-4E82-99CC-282FBB40AB3A}"/>
  </hyperlinks>
  <pageMargins left="0.7" right="0.7" top="0.75" bottom="0.75" header="0.3" footer="0.3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22"/>
  <sheetViews>
    <sheetView showGridLines="0" zoomScaleNormal="100" workbookViewId="0">
      <selection activeCell="C71" sqref="C71"/>
    </sheetView>
  </sheetViews>
  <sheetFormatPr baseColWidth="10" defaultColWidth="9.140625" defaultRowHeight="12"/>
  <cols>
    <col min="1" max="1" width="4.7109375" style="25" customWidth="1"/>
    <col min="2" max="2" width="93.140625" style="342" customWidth="1"/>
    <col min="3" max="255" width="11.42578125" style="25" customWidth="1"/>
    <col min="256" max="16384" width="9.140625" style="25"/>
  </cols>
  <sheetData>
    <row r="1" spans="2:2" ht="42" customHeight="1">
      <c r="B1" s="204"/>
    </row>
    <row r="5" spans="2:2" ht="15.75">
      <c r="B5" s="483" t="s">
        <v>492</v>
      </c>
    </row>
    <row r="6" spans="2:2">
      <c r="B6" s="26" t="s">
        <v>554</v>
      </c>
    </row>
    <row r="7" spans="2:2">
      <c r="B7" s="84" t="s">
        <v>493</v>
      </c>
    </row>
    <row r="8" spans="2:2">
      <c r="B8" s="26" t="s">
        <v>555</v>
      </c>
    </row>
    <row r="9" spans="2:2">
      <c r="B9" s="84" t="s">
        <v>493</v>
      </c>
    </row>
    <row r="10" spans="2:2">
      <c r="B10" s="26" t="s">
        <v>556</v>
      </c>
    </row>
    <row r="11" spans="2:2" ht="54.75" customHeight="1">
      <c r="B11" s="485" t="s">
        <v>1025</v>
      </c>
    </row>
    <row r="12" spans="2:2" ht="54.75" customHeight="1">
      <c r="B12" s="485" t="s">
        <v>1026</v>
      </c>
    </row>
    <row r="13" spans="2:2" ht="15.75">
      <c r="B13" s="483" t="s">
        <v>494</v>
      </c>
    </row>
    <row r="14" spans="2:2">
      <c r="B14" s="84" t="s">
        <v>495</v>
      </c>
    </row>
    <row r="15" spans="2:2" ht="33.75" customHeight="1">
      <c r="B15" s="484" t="s">
        <v>1038</v>
      </c>
    </row>
    <row r="16" spans="2:2">
      <c r="B16" s="84" t="s">
        <v>496</v>
      </c>
    </row>
    <row r="17" spans="2:2" ht="15.75">
      <c r="B17" s="484" t="s">
        <v>497</v>
      </c>
    </row>
    <row r="18" spans="2:2">
      <c r="B18" s="84" t="s">
        <v>496</v>
      </c>
    </row>
    <row r="19" spans="2:2" ht="15.75">
      <c r="B19" s="484" t="s">
        <v>498</v>
      </c>
    </row>
    <row r="20" spans="2:2">
      <c r="B20" s="84" t="s">
        <v>496</v>
      </c>
    </row>
    <row r="21" spans="2:2" ht="15.75">
      <c r="B21" s="484" t="s">
        <v>499</v>
      </c>
    </row>
    <row r="22" spans="2:2">
      <c r="B22" s="84" t="s">
        <v>500</v>
      </c>
    </row>
  </sheetData>
  <sheetProtection algorithmName="SHA-512" hashValue="MLUq6yEt77Wm9KKGFES50H0Eea4AvP+rGvV298Z8Xyl2bAdhV0CSFmFUE1zyslTHhtJIfmrtZeIeNm1WDQ3VPg==" saltValue="t+cRwxt7HRIwBwao2xR0C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2:K149"/>
  <sheetViews>
    <sheetView showGridLines="0" tabSelected="1" topLeftCell="A64" zoomScale="115" zoomScaleNormal="115" workbookViewId="0">
      <selection activeCell="C71" sqref="C71"/>
    </sheetView>
  </sheetViews>
  <sheetFormatPr baseColWidth="10" defaultColWidth="11.42578125" defaultRowHeight="12"/>
  <cols>
    <col min="1" max="1" width="5.7109375" style="205" customWidth="1"/>
    <col min="2" max="2" width="20.85546875" style="205" hidden="1" customWidth="1"/>
    <col min="3" max="3" width="42.7109375" style="205" customWidth="1"/>
    <col min="4" max="5" width="13.7109375" style="205" customWidth="1"/>
    <col min="6" max="6" width="42.7109375" style="205" customWidth="1"/>
    <col min="7" max="8" width="13.7109375" style="205" customWidth="1"/>
    <col min="9" max="9" width="24.42578125" style="205" bestFit="1" customWidth="1"/>
    <col min="10" max="16384" width="11.42578125" style="205"/>
  </cols>
  <sheetData>
    <row r="2" spans="2:8">
      <c r="E2" s="195"/>
    </row>
    <row r="3" spans="2:8" ht="21.95" customHeight="1">
      <c r="E3" s="195"/>
    </row>
    <row r="4" spans="2:8" s="207" customFormat="1" ht="18.75">
      <c r="B4" s="206">
        <v>1</v>
      </c>
      <c r="C4" s="668" t="s">
        <v>0</v>
      </c>
      <c r="D4" s="668"/>
      <c r="E4" s="668"/>
      <c r="F4" s="668"/>
      <c r="G4" s="668"/>
      <c r="H4" s="668"/>
    </row>
    <row r="5" spans="2:8" s="207" customFormat="1" ht="11.25" customHeight="1">
      <c r="C5" s="668" t="s">
        <v>504</v>
      </c>
      <c r="D5" s="668"/>
      <c r="E5" s="668"/>
      <c r="F5" s="668"/>
      <c r="G5" s="668"/>
      <c r="H5" s="668"/>
    </row>
    <row r="6" spans="2:8" s="207" customFormat="1" ht="27" customHeight="1">
      <c r="B6" s="208" t="s">
        <v>29</v>
      </c>
      <c r="C6" s="697" t="s">
        <v>810</v>
      </c>
      <c r="D6" s="697"/>
      <c r="E6" s="697"/>
      <c r="F6" s="697"/>
      <c r="G6" s="697"/>
      <c r="H6" s="697"/>
    </row>
    <row r="7" spans="2:8" s="207" customFormat="1" ht="12" customHeight="1">
      <c r="B7" s="209" t="s">
        <v>30</v>
      </c>
      <c r="C7" s="698" t="s">
        <v>31</v>
      </c>
      <c r="D7" s="698"/>
      <c r="E7" s="698"/>
      <c r="F7" s="698"/>
      <c r="G7" s="698"/>
      <c r="H7" s="698"/>
    </row>
    <row r="8" spans="2:8" s="207" customFormat="1" ht="32.450000000000003" customHeight="1">
      <c r="B8" s="209"/>
      <c r="C8" s="418" t="s">
        <v>32</v>
      </c>
      <c r="D8" s="210" t="s">
        <v>854</v>
      </c>
      <c r="E8" s="210" t="s">
        <v>950</v>
      </c>
      <c r="F8" s="418" t="s">
        <v>33</v>
      </c>
      <c r="G8" s="210" t="str">
        <f>+D8</f>
        <v>PERIODO ACTUAL 31/12/ 2021</v>
      </c>
      <c r="H8" s="210" t="str">
        <f>+E8</f>
        <v>PERIODO ANTERIOR   31/12/ 2020</v>
      </c>
    </row>
    <row r="9" spans="2:8" s="207" customFormat="1" ht="11.25" customHeight="1">
      <c r="B9" s="209" t="s">
        <v>34</v>
      </c>
      <c r="C9" s="458" t="s">
        <v>35</v>
      </c>
      <c r="D9" s="212"/>
      <c r="E9" s="213">
        <v>0</v>
      </c>
      <c r="F9" s="214" t="s">
        <v>36</v>
      </c>
      <c r="G9" s="215"/>
      <c r="H9" s="216"/>
    </row>
    <row r="10" spans="2:8" s="207" customFormat="1" ht="11.25" customHeight="1">
      <c r="B10" s="209" t="s">
        <v>37</v>
      </c>
      <c r="C10" s="458" t="s">
        <v>38</v>
      </c>
      <c r="D10" s="217"/>
      <c r="E10" s="216"/>
      <c r="F10" s="214" t="s">
        <v>646</v>
      </c>
      <c r="G10" s="215"/>
      <c r="H10" s="216"/>
    </row>
    <row r="11" spans="2:8" s="207" customFormat="1" ht="11.25" customHeight="1">
      <c r="B11" s="209"/>
      <c r="C11" s="218" t="s">
        <v>39</v>
      </c>
      <c r="D11" s="217">
        <v>3819055348</v>
      </c>
      <c r="E11" s="216">
        <v>0</v>
      </c>
      <c r="F11" s="472" t="s">
        <v>541</v>
      </c>
      <c r="G11" s="215">
        <v>5726846168</v>
      </c>
      <c r="H11" s="216">
        <v>5810989127</v>
      </c>
    </row>
    <row r="12" spans="2:8" s="207" customFormat="1" ht="11.25" customHeight="1">
      <c r="B12" s="209"/>
      <c r="C12" s="218" t="s">
        <v>40</v>
      </c>
      <c r="D12" s="217">
        <v>0</v>
      </c>
      <c r="E12" s="216">
        <v>0</v>
      </c>
      <c r="F12" s="472" t="s">
        <v>41</v>
      </c>
      <c r="G12" s="215">
        <v>535305930</v>
      </c>
      <c r="H12" s="216">
        <v>11861121838</v>
      </c>
    </row>
    <row r="13" spans="2:8" s="207" customFormat="1" ht="11.25" customHeight="1">
      <c r="B13" s="209"/>
      <c r="C13" s="218" t="s">
        <v>42</v>
      </c>
      <c r="D13" s="217">
        <v>2226806832</v>
      </c>
      <c r="E13" s="216">
        <v>3899258412</v>
      </c>
      <c r="F13" s="472" t="s">
        <v>542</v>
      </c>
      <c r="G13" s="216">
        <v>110000</v>
      </c>
      <c r="H13" s="220">
        <v>48353641</v>
      </c>
    </row>
    <row r="14" spans="2:8" s="207" customFormat="1" ht="11.25" customHeight="1">
      <c r="B14" s="209"/>
      <c r="C14" s="221"/>
      <c r="D14" s="222">
        <v>6045862180</v>
      </c>
      <c r="E14" s="222">
        <v>3899258412</v>
      </c>
      <c r="F14" s="219" t="s">
        <v>530</v>
      </c>
      <c r="G14" s="215">
        <v>0</v>
      </c>
      <c r="H14" s="216">
        <v>0</v>
      </c>
    </row>
    <row r="15" spans="2:8" s="207" customFormat="1" ht="11.25" customHeight="1">
      <c r="B15" s="209"/>
      <c r="C15" s="221"/>
      <c r="D15" s="217"/>
      <c r="E15" s="216"/>
      <c r="F15" s="219" t="s">
        <v>43</v>
      </c>
      <c r="G15" s="215">
        <v>0</v>
      </c>
      <c r="H15" s="216">
        <v>0</v>
      </c>
    </row>
    <row r="16" spans="2:8" s="207" customFormat="1" ht="11.25" customHeight="1">
      <c r="B16" s="209"/>
      <c r="C16" s="221"/>
      <c r="D16" s="217"/>
      <c r="E16" s="216"/>
      <c r="F16" s="214"/>
      <c r="G16" s="222">
        <v>6262262098</v>
      </c>
      <c r="H16" s="222">
        <v>17720464606</v>
      </c>
    </row>
    <row r="17" spans="2:11" s="207" customFormat="1" ht="11.25" customHeight="1">
      <c r="B17" s="209" t="s">
        <v>44</v>
      </c>
      <c r="C17" s="458" t="s">
        <v>647</v>
      </c>
      <c r="D17" s="217">
        <v>0</v>
      </c>
      <c r="E17" s="216">
        <v>0</v>
      </c>
      <c r="F17" s="473" t="s">
        <v>45</v>
      </c>
      <c r="G17" s="215"/>
      <c r="H17" s="216"/>
    </row>
    <row r="18" spans="2:11" s="207" customFormat="1" ht="11.25" customHeight="1">
      <c r="B18" s="209" t="s">
        <v>46</v>
      </c>
      <c r="C18" s="221" t="s">
        <v>47</v>
      </c>
      <c r="D18" s="217">
        <v>1250020000</v>
      </c>
      <c r="E18" s="216">
        <v>4674585000</v>
      </c>
      <c r="F18" s="219" t="s">
        <v>48</v>
      </c>
      <c r="G18" s="215">
        <v>0</v>
      </c>
      <c r="H18" s="216">
        <v>0</v>
      </c>
    </row>
    <row r="19" spans="2:11" s="207" customFormat="1" ht="11.25" customHeight="1">
      <c r="B19" s="209"/>
      <c r="C19" s="221" t="s">
        <v>49</v>
      </c>
      <c r="D19" s="217">
        <v>123897600576</v>
      </c>
      <c r="E19" s="216">
        <v>25632660840</v>
      </c>
      <c r="F19" s="219" t="s">
        <v>50</v>
      </c>
      <c r="G19" s="215">
        <v>29505799800</v>
      </c>
      <c r="H19" s="216">
        <v>50651839120</v>
      </c>
    </row>
    <row r="20" spans="2:11" s="207" customFormat="1" ht="11.25" customHeight="1">
      <c r="B20" s="209"/>
      <c r="C20" s="221" t="s">
        <v>811</v>
      </c>
      <c r="D20" s="217">
        <v>1811764209</v>
      </c>
      <c r="E20" s="216"/>
      <c r="F20" s="219" t="s">
        <v>52</v>
      </c>
      <c r="G20" s="215">
        <v>-240243328</v>
      </c>
      <c r="H20" s="216">
        <v>879180706</v>
      </c>
    </row>
    <row r="21" spans="2:11" s="207" customFormat="1" ht="11.25" customHeight="1">
      <c r="B21" s="209"/>
      <c r="C21" s="223" t="s">
        <v>51</v>
      </c>
      <c r="D21" s="217">
        <v>0</v>
      </c>
      <c r="E21" s="216">
        <v>0</v>
      </c>
      <c r="F21" s="219" t="s">
        <v>812</v>
      </c>
      <c r="G21" s="215">
        <v>101801147485</v>
      </c>
      <c r="H21" s="216">
        <v>0</v>
      </c>
    </row>
    <row r="22" spans="2:11" s="207" customFormat="1" ht="11.25" customHeight="1">
      <c r="B22" s="209"/>
      <c r="C22" s="221"/>
      <c r="D22" s="226">
        <v>126959384785</v>
      </c>
      <c r="E22" s="226">
        <v>30307245840</v>
      </c>
      <c r="F22" s="227"/>
      <c r="G22" s="228">
        <v>131066703957</v>
      </c>
      <c r="H22" s="228">
        <v>51531019826</v>
      </c>
    </row>
    <row r="23" spans="2:11" s="207" customFormat="1" ht="11.25" customHeight="1">
      <c r="B23" s="209"/>
      <c r="C23" s="458" t="s">
        <v>53</v>
      </c>
      <c r="D23" s="217"/>
      <c r="E23" s="216"/>
      <c r="F23" s="473" t="s">
        <v>543</v>
      </c>
      <c r="G23" s="215"/>
      <c r="H23" s="216"/>
    </row>
    <row r="24" spans="2:11" s="207" customFormat="1" ht="11.25" customHeight="1">
      <c r="B24" s="209"/>
      <c r="C24" s="218" t="s">
        <v>55</v>
      </c>
      <c r="D24" s="217">
        <v>11358134441</v>
      </c>
      <c r="E24" s="220">
        <v>7820553857</v>
      </c>
      <c r="F24" s="219" t="s">
        <v>56</v>
      </c>
      <c r="G24" s="215">
        <v>1740657839</v>
      </c>
      <c r="H24" s="216"/>
    </row>
    <row r="25" spans="2:11" s="207" customFormat="1" ht="11.25" customHeight="1">
      <c r="B25" s="209"/>
      <c r="C25" s="218" t="s">
        <v>57</v>
      </c>
      <c r="D25" s="217">
        <v>922158467</v>
      </c>
      <c r="E25" s="216">
        <v>2286612140</v>
      </c>
      <c r="F25" s="219" t="s">
        <v>58</v>
      </c>
      <c r="G25" s="215">
        <v>0</v>
      </c>
      <c r="H25" s="216">
        <v>0</v>
      </c>
    </row>
    <row r="26" spans="2:11" s="207" customFormat="1" ht="14.1" customHeight="1">
      <c r="B26" s="209"/>
      <c r="C26" s="218" t="s">
        <v>59</v>
      </c>
      <c r="D26" s="217">
        <v>3200000</v>
      </c>
      <c r="E26" s="216">
        <v>0</v>
      </c>
      <c r="F26" s="219" t="s">
        <v>60</v>
      </c>
      <c r="G26" s="215">
        <v>0</v>
      </c>
      <c r="H26" s="216">
        <v>0</v>
      </c>
    </row>
    <row r="27" spans="2:11" s="207" customFormat="1" ht="11.25" customHeight="1">
      <c r="B27" s="209"/>
      <c r="C27" s="223" t="s">
        <v>61</v>
      </c>
      <c r="D27" s="217">
        <v>0</v>
      </c>
      <c r="E27" s="216">
        <v>0</v>
      </c>
      <c r="F27" s="219" t="s">
        <v>62</v>
      </c>
      <c r="G27" s="215">
        <v>49929495</v>
      </c>
      <c r="H27" s="216">
        <v>35305818</v>
      </c>
    </row>
    <row r="28" spans="2:11" s="207" customFormat="1" ht="11.25" customHeight="1">
      <c r="B28" s="209"/>
      <c r="C28" s="218" t="s">
        <v>63</v>
      </c>
      <c r="D28" s="217">
        <v>1309229323</v>
      </c>
      <c r="E28" s="216">
        <v>3753015489</v>
      </c>
      <c r="F28" s="219" t="s">
        <v>64</v>
      </c>
      <c r="G28" s="224">
        <v>0</v>
      </c>
      <c r="H28" s="225">
        <v>0</v>
      </c>
    </row>
    <row r="29" spans="2:11" s="207" customFormat="1" ht="11.25" customHeight="1">
      <c r="B29" s="209" t="s">
        <v>65</v>
      </c>
      <c r="C29" s="223" t="s">
        <v>66</v>
      </c>
      <c r="D29" s="217">
        <v>0</v>
      </c>
      <c r="E29" s="216">
        <v>0</v>
      </c>
      <c r="F29" s="219"/>
      <c r="G29" s="228">
        <v>1790587334</v>
      </c>
      <c r="H29" s="228">
        <v>35305818</v>
      </c>
    </row>
    <row r="30" spans="2:11" s="207" customFormat="1" ht="11.25" customHeight="1">
      <c r="B30" s="209" t="s">
        <v>67</v>
      </c>
      <c r="C30" s="218" t="s">
        <v>68</v>
      </c>
      <c r="D30" s="217">
        <v>0</v>
      </c>
      <c r="E30" s="216">
        <v>0</v>
      </c>
      <c r="F30" s="219"/>
      <c r="G30" s="215"/>
      <c r="H30" s="216"/>
      <c r="J30" s="229"/>
      <c r="K30" s="229"/>
    </row>
    <row r="31" spans="2:11" s="207" customFormat="1" ht="11.25" customHeight="1">
      <c r="B31" s="209" t="s">
        <v>69</v>
      </c>
      <c r="C31" s="218"/>
      <c r="D31" s="222">
        <v>13592722231</v>
      </c>
      <c r="E31" s="222">
        <v>13860181486</v>
      </c>
      <c r="F31" s="219"/>
      <c r="G31" s="215"/>
      <c r="H31" s="216"/>
      <c r="I31" s="229"/>
      <c r="J31" s="229"/>
      <c r="K31" s="229"/>
    </row>
    <row r="32" spans="2:11" s="207" customFormat="1" ht="11.25" customHeight="1">
      <c r="B32" s="209"/>
      <c r="C32" s="211" t="s">
        <v>70</v>
      </c>
      <c r="D32" s="217"/>
      <c r="E32" s="216"/>
      <c r="F32" s="473" t="s">
        <v>741</v>
      </c>
      <c r="G32" s="215"/>
      <c r="H32" s="216"/>
      <c r="I32" s="230"/>
    </row>
    <row r="33" spans="2:9" s="207" customFormat="1" ht="11.25" customHeight="1">
      <c r="B33" s="209" t="s">
        <v>72</v>
      </c>
      <c r="C33" s="459" t="s">
        <v>704</v>
      </c>
      <c r="D33" s="212"/>
      <c r="E33" s="213"/>
      <c r="F33" s="231" t="s">
        <v>814</v>
      </c>
      <c r="G33" s="232"/>
      <c r="H33" s="213"/>
    </row>
    <row r="34" spans="2:9" s="207" customFormat="1" ht="11.25" customHeight="1">
      <c r="B34" s="209" t="s">
        <v>73</v>
      </c>
      <c r="C34" s="218" t="s">
        <v>703</v>
      </c>
      <c r="D34" s="217">
        <v>452015256</v>
      </c>
      <c r="E34" s="216">
        <v>748414347</v>
      </c>
      <c r="F34" s="219" t="s">
        <v>739</v>
      </c>
      <c r="G34" s="215">
        <v>14244884</v>
      </c>
      <c r="H34" s="216">
        <v>0</v>
      </c>
    </row>
    <row r="35" spans="2:9" s="207" customFormat="1" ht="11.25" customHeight="1">
      <c r="B35" s="209" t="s">
        <v>74</v>
      </c>
      <c r="C35" s="218" t="s">
        <v>705</v>
      </c>
      <c r="D35" s="217">
        <v>6582803</v>
      </c>
      <c r="E35" s="216">
        <v>6313088</v>
      </c>
      <c r="F35" s="219" t="s">
        <v>75</v>
      </c>
      <c r="G35" s="215">
        <v>0</v>
      </c>
      <c r="H35" s="216">
        <v>0</v>
      </c>
      <c r="I35" s="230"/>
    </row>
    <row r="36" spans="2:9" s="207" customFormat="1" ht="11.25" customHeight="1">
      <c r="B36" s="209" t="s">
        <v>76</v>
      </c>
      <c r="C36" s="218" t="s">
        <v>605</v>
      </c>
      <c r="D36" s="217">
        <v>0</v>
      </c>
      <c r="E36" s="216"/>
      <c r="F36" s="219" t="s">
        <v>77</v>
      </c>
      <c r="G36" s="215">
        <v>0</v>
      </c>
      <c r="H36" s="216">
        <v>0</v>
      </c>
    </row>
    <row r="37" spans="2:9" s="207" customFormat="1" ht="11.25" customHeight="1">
      <c r="B37" s="209"/>
      <c r="C37" s="218"/>
      <c r="D37" s="217"/>
      <c r="E37" s="216"/>
      <c r="F37" s="219"/>
      <c r="G37" s="215"/>
      <c r="H37" s="225"/>
    </row>
    <row r="38" spans="2:9" s="207" customFormat="1" ht="11.25" customHeight="1">
      <c r="B38" s="209"/>
      <c r="C38" s="211"/>
      <c r="D38" s="222">
        <v>458598059</v>
      </c>
      <c r="E38" s="222">
        <v>754727435</v>
      </c>
      <c r="F38" s="219"/>
      <c r="G38" s="233">
        <v>14244884</v>
      </c>
      <c r="H38" s="228">
        <v>0</v>
      </c>
    </row>
    <row r="39" spans="2:9" s="207" customFormat="1" ht="11.25" customHeight="1" thickBot="1">
      <c r="B39" s="209" t="s">
        <v>78</v>
      </c>
      <c r="C39" s="234" t="s">
        <v>79</v>
      </c>
      <c r="D39" s="235">
        <v>147056567255</v>
      </c>
      <c r="E39" s="235">
        <v>48821413173</v>
      </c>
      <c r="F39" s="236" t="s">
        <v>80</v>
      </c>
      <c r="G39" s="237">
        <v>139133798273</v>
      </c>
      <c r="H39" s="238">
        <v>69286790250</v>
      </c>
    </row>
    <row r="40" spans="2:9" s="207" customFormat="1" ht="11.25" customHeight="1" thickTop="1">
      <c r="B40" s="209"/>
      <c r="C40" s="218"/>
      <c r="D40" s="239"/>
      <c r="E40" s="216"/>
      <c r="F40" s="227"/>
      <c r="G40" s="215"/>
      <c r="H40" s="216"/>
    </row>
    <row r="41" spans="2:9" s="207" customFormat="1" ht="11.25" customHeight="1">
      <c r="B41" s="209" t="s">
        <v>81</v>
      </c>
      <c r="C41" s="211" t="s">
        <v>82</v>
      </c>
      <c r="D41" s="217"/>
      <c r="E41" s="216"/>
      <c r="F41" s="214" t="s">
        <v>83</v>
      </c>
      <c r="G41" s="215"/>
      <c r="H41" s="216"/>
    </row>
    <row r="42" spans="2:9" s="207" customFormat="1" ht="11.25" customHeight="1">
      <c r="B42" s="209" t="s">
        <v>84</v>
      </c>
      <c r="C42" s="458" t="s">
        <v>85</v>
      </c>
      <c r="D42" s="217"/>
      <c r="E42" s="216"/>
      <c r="F42" s="214" t="s">
        <v>646</v>
      </c>
      <c r="G42" s="215"/>
      <c r="H42" s="216"/>
    </row>
    <row r="43" spans="2:9" s="207" customFormat="1" ht="11.25" customHeight="1">
      <c r="B43" s="209"/>
      <c r="C43" s="218" t="s">
        <v>47</v>
      </c>
      <c r="D43" s="217">
        <v>25108500000</v>
      </c>
      <c r="E43" s="216">
        <v>10238451703</v>
      </c>
      <c r="F43" s="219" t="s">
        <v>541</v>
      </c>
      <c r="G43" s="215">
        <v>0</v>
      </c>
      <c r="H43" s="216">
        <v>0</v>
      </c>
    </row>
    <row r="44" spans="2:9" s="207" customFormat="1" ht="11.25" customHeight="1">
      <c r="B44" s="209"/>
      <c r="C44" s="218" t="s">
        <v>88</v>
      </c>
      <c r="D44" s="217"/>
      <c r="E44" s="216">
        <v>0</v>
      </c>
      <c r="F44" s="219" t="s">
        <v>41</v>
      </c>
      <c r="G44" s="215">
        <v>0</v>
      </c>
      <c r="H44" s="216">
        <v>0</v>
      </c>
    </row>
    <row r="45" spans="2:9" s="207" customFormat="1" ht="11.25" customHeight="1">
      <c r="B45" s="209"/>
      <c r="C45" s="218" t="s">
        <v>89</v>
      </c>
      <c r="D45" s="217">
        <v>900000000</v>
      </c>
      <c r="E45" s="216">
        <v>851000000</v>
      </c>
      <c r="F45" s="219" t="s">
        <v>542</v>
      </c>
      <c r="G45" s="216">
        <v>0</v>
      </c>
      <c r="H45" s="220">
        <v>0</v>
      </c>
    </row>
    <row r="46" spans="2:9" s="207" customFormat="1" ht="11.25" customHeight="1">
      <c r="B46" s="209"/>
      <c r="C46" s="218" t="s">
        <v>90</v>
      </c>
      <c r="D46" s="217">
        <v>1000000000</v>
      </c>
      <c r="E46" s="216">
        <v>0</v>
      </c>
      <c r="F46" s="219" t="s">
        <v>530</v>
      </c>
      <c r="G46" s="215">
        <v>0</v>
      </c>
      <c r="H46" s="216">
        <v>0</v>
      </c>
    </row>
    <row r="47" spans="2:9" s="207" customFormat="1" ht="11.25" customHeight="1">
      <c r="B47" s="241" t="s">
        <v>92</v>
      </c>
      <c r="C47" s="218" t="s">
        <v>93</v>
      </c>
      <c r="D47" s="217">
        <v>0</v>
      </c>
      <c r="E47" s="216">
        <v>29657421380</v>
      </c>
      <c r="F47" s="219" t="s">
        <v>43</v>
      </c>
      <c r="G47" s="215">
        <v>0</v>
      </c>
      <c r="H47" s="216">
        <v>0</v>
      </c>
    </row>
    <row r="48" spans="2:9" s="207" customFormat="1" ht="11.25" customHeight="1">
      <c r="B48" s="209" t="s">
        <v>94</v>
      </c>
      <c r="C48" s="218" t="s">
        <v>813</v>
      </c>
      <c r="D48" s="217">
        <v>47451703</v>
      </c>
      <c r="E48" s="216"/>
      <c r="F48" s="219"/>
      <c r="G48" s="215"/>
      <c r="H48" s="216"/>
    </row>
    <row r="49" spans="2:8" s="207" customFormat="1" ht="11.25" customHeight="1">
      <c r="B49" s="209" t="s">
        <v>96</v>
      </c>
      <c r="C49" s="223" t="s">
        <v>61</v>
      </c>
      <c r="D49" s="217">
        <v>0</v>
      </c>
      <c r="E49" s="216">
        <v>0</v>
      </c>
      <c r="F49" s="214"/>
      <c r="G49" s="215"/>
      <c r="H49" s="216"/>
    </row>
    <row r="50" spans="2:8" s="207" customFormat="1" ht="11.25" customHeight="1">
      <c r="B50" s="209"/>
      <c r="C50" s="221"/>
      <c r="D50" s="222">
        <v>27055951703</v>
      </c>
      <c r="E50" s="222">
        <v>40746873083</v>
      </c>
      <c r="F50" s="214"/>
      <c r="G50" s="222">
        <v>0</v>
      </c>
      <c r="H50" s="222">
        <v>17720464606</v>
      </c>
    </row>
    <row r="51" spans="2:8" s="207" customFormat="1" ht="11.25" customHeight="1">
      <c r="B51" s="209"/>
      <c r="C51" s="458" t="s">
        <v>53</v>
      </c>
      <c r="D51" s="217"/>
      <c r="E51" s="216"/>
      <c r="F51" s="214" t="s">
        <v>45</v>
      </c>
      <c r="G51" s="215"/>
      <c r="H51" s="216"/>
    </row>
    <row r="52" spans="2:8" s="207" customFormat="1" ht="11.25" customHeight="1">
      <c r="B52" s="209" t="s">
        <v>100</v>
      </c>
      <c r="C52" s="218" t="s">
        <v>55</v>
      </c>
      <c r="D52" s="217">
        <v>0</v>
      </c>
      <c r="E52" s="217">
        <v>0</v>
      </c>
      <c r="F52" s="219" t="s">
        <v>87</v>
      </c>
      <c r="G52" s="215">
        <v>0</v>
      </c>
      <c r="H52" s="216">
        <v>0</v>
      </c>
    </row>
    <row r="53" spans="2:8" s="207" customFormat="1" ht="11.25" customHeight="1">
      <c r="B53" s="209" t="s">
        <v>101</v>
      </c>
      <c r="C53" s="218" t="s">
        <v>59</v>
      </c>
      <c r="D53" s="217">
        <v>0</v>
      </c>
      <c r="E53" s="217">
        <v>0</v>
      </c>
      <c r="F53" s="219" t="s">
        <v>52</v>
      </c>
      <c r="G53" s="215">
        <v>0</v>
      </c>
      <c r="H53" s="216">
        <v>0</v>
      </c>
    </row>
    <row r="54" spans="2:8" s="207" customFormat="1" ht="11.25" customHeight="1">
      <c r="B54" s="209" t="s">
        <v>104</v>
      </c>
      <c r="C54" s="218" t="s">
        <v>102</v>
      </c>
      <c r="D54" s="217"/>
      <c r="E54" s="217">
        <v>0</v>
      </c>
      <c r="F54" s="240"/>
      <c r="G54" s="222">
        <v>0</v>
      </c>
      <c r="H54" s="226">
        <v>0</v>
      </c>
    </row>
    <row r="55" spans="2:8" s="207" customFormat="1" ht="11.25" customHeight="1">
      <c r="B55" s="209" t="s">
        <v>106</v>
      </c>
      <c r="C55" s="223" t="s">
        <v>61</v>
      </c>
      <c r="D55" s="217"/>
      <c r="E55" s="217">
        <v>0</v>
      </c>
      <c r="F55" s="214" t="s">
        <v>91</v>
      </c>
      <c r="G55" s="215"/>
      <c r="H55" s="216"/>
    </row>
    <row r="56" spans="2:8" s="207" customFormat="1" ht="11.25" customHeight="1">
      <c r="B56" s="209"/>
      <c r="C56" s="218" t="s">
        <v>63</v>
      </c>
      <c r="D56" s="217"/>
      <c r="E56" s="217">
        <v>0</v>
      </c>
      <c r="F56" s="219" t="s">
        <v>95</v>
      </c>
      <c r="G56" s="215">
        <v>0</v>
      </c>
      <c r="H56" s="216">
        <v>0</v>
      </c>
    </row>
    <row r="57" spans="2:8" s="207" customFormat="1" ht="11.25" customHeight="1">
      <c r="B57" s="209"/>
      <c r="C57" s="223" t="s">
        <v>66</v>
      </c>
      <c r="D57" s="217"/>
      <c r="E57" s="217">
        <v>0</v>
      </c>
      <c r="F57" s="219" t="s">
        <v>97</v>
      </c>
      <c r="G57" s="215">
        <v>0</v>
      </c>
      <c r="H57" s="216">
        <v>0</v>
      </c>
    </row>
    <row r="58" spans="2:8" s="207" customFormat="1" ht="11.25" customHeight="1">
      <c r="B58" s="209"/>
      <c r="C58" s="218" t="s">
        <v>68</v>
      </c>
      <c r="D58" s="217"/>
      <c r="E58" s="217">
        <v>0</v>
      </c>
      <c r="F58" s="219" t="s">
        <v>99</v>
      </c>
      <c r="G58" s="215"/>
      <c r="H58" s="216"/>
    </row>
    <row r="59" spans="2:8" s="207" customFormat="1" ht="11.25" customHeight="1">
      <c r="B59" s="209" t="s">
        <v>109</v>
      </c>
      <c r="C59" s="218"/>
      <c r="D59" s="217"/>
      <c r="E59" s="216"/>
      <c r="F59" s="227"/>
      <c r="G59" s="215">
        <v>0</v>
      </c>
      <c r="H59" s="216">
        <v>0</v>
      </c>
    </row>
    <row r="60" spans="2:8" s="207" customFormat="1" ht="11.25" customHeight="1" thickBot="1">
      <c r="B60" s="209"/>
      <c r="C60" s="221"/>
      <c r="D60" s="222">
        <v>0</v>
      </c>
      <c r="E60" s="222">
        <v>0</v>
      </c>
      <c r="F60" s="236" t="s">
        <v>103</v>
      </c>
      <c r="G60" s="235">
        <v>0</v>
      </c>
      <c r="H60" s="235">
        <v>0</v>
      </c>
    </row>
    <row r="61" spans="2:8" s="207" customFormat="1" ht="11.25" customHeight="1" thickTop="1">
      <c r="B61" s="209"/>
      <c r="C61" s="458" t="s">
        <v>110</v>
      </c>
      <c r="D61" s="217"/>
      <c r="E61" s="216"/>
      <c r="F61" s="242" t="s">
        <v>105</v>
      </c>
      <c r="G61" s="243">
        <v>139133798273</v>
      </c>
      <c r="H61" s="243">
        <v>69286790250</v>
      </c>
    </row>
    <row r="62" spans="2:8" s="207" customFormat="1" ht="11.25" customHeight="1">
      <c r="B62" s="209"/>
      <c r="C62" s="218" t="s">
        <v>112</v>
      </c>
      <c r="D62" s="217">
        <v>13290773438</v>
      </c>
      <c r="E62" s="216">
        <v>13114620162</v>
      </c>
      <c r="F62" s="473" t="s">
        <v>107</v>
      </c>
      <c r="G62" s="215"/>
      <c r="H62" s="216"/>
    </row>
    <row r="63" spans="2:8" s="207" customFormat="1" ht="11.25" customHeight="1">
      <c r="B63" s="209"/>
      <c r="C63" s="218" t="s">
        <v>114</v>
      </c>
      <c r="D63" s="217">
        <v>-957359047</v>
      </c>
      <c r="E63" s="216">
        <v>-616193305</v>
      </c>
      <c r="F63" s="214" t="s">
        <v>249</v>
      </c>
      <c r="G63" s="215"/>
      <c r="H63" s="216"/>
    </row>
    <row r="64" spans="2:8" s="207" customFormat="1" ht="11.25" customHeight="1">
      <c r="B64" s="209"/>
      <c r="C64" s="218"/>
      <c r="D64" s="222">
        <v>12333414391</v>
      </c>
      <c r="E64" s="222">
        <v>12498426857</v>
      </c>
      <c r="F64" s="219" t="s">
        <v>108</v>
      </c>
      <c r="G64" s="215">
        <v>27164000001</v>
      </c>
      <c r="H64" s="216">
        <v>24288000001</v>
      </c>
    </row>
    <row r="65" spans="2:8" s="207" customFormat="1" ht="11.25" customHeight="1">
      <c r="B65" s="209"/>
      <c r="C65" s="458" t="s">
        <v>117</v>
      </c>
      <c r="D65" s="217"/>
      <c r="E65" s="216"/>
      <c r="F65" s="219"/>
      <c r="G65" s="222">
        <v>27164000001</v>
      </c>
      <c r="H65" s="222">
        <v>24288000001</v>
      </c>
    </row>
    <row r="66" spans="2:8" s="207" customFormat="1" ht="11.25" customHeight="1">
      <c r="B66" s="209"/>
      <c r="C66" s="218" t="s">
        <v>118</v>
      </c>
      <c r="D66" s="217">
        <v>180580005</v>
      </c>
      <c r="E66" s="216">
        <v>180580005</v>
      </c>
      <c r="F66" s="214" t="s">
        <v>250</v>
      </c>
      <c r="G66" s="215"/>
      <c r="H66" s="216"/>
    </row>
    <row r="67" spans="2:8" s="207" customFormat="1" ht="11.25" customHeight="1">
      <c r="B67" s="209"/>
      <c r="C67" s="218" t="s">
        <v>119</v>
      </c>
      <c r="D67" s="217">
        <v>22988235</v>
      </c>
      <c r="E67" s="216">
        <v>900000</v>
      </c>
      <c r="F67" s="219" t="s">
        <v>113</v>
      </c>
      <c r="G67" s="215">
        <v>1546573343</v>
      </c>
      <c r="H67" s="216">
        <v>1546573343</v>
      </c>
    </row>
    <row r="68" spans="2:8" s="207" customFormat="1" ht="11.25" customHeight="1">
      <c r="B68" s="209"/>
      <c r="C68" s="218" t="s">
        <v>120</v>
      </c>
      <c r="D68" s="217">
        <v>27866433</v>
      </c>
      <c r="E68" s="216">
        <v>27866433</v>
      </c>
      <c r="F68" s="219" t="s">
        <v>115</v>
      </c>
      <c r="G68" s="215">
        <v>0</v>
      </c>
      <c r="H68" s="217">
        <v>946670</v>
      </c>
    </row>
    <row r="69" spans="2:8" s="207" customFormat="1" ht="11.25" customHeight="1">
      <c r="B69" s="209"/>
      <c r="C69" s="218" t="s">
        <v>121</v>
      </c>
      <c r="D69" s="217">
        <v>2752296184</v>
      </c>
      <c r="E69" s="216">
        <v>2258520554</v>
      </c>
      <c r="F69" s="219" t="s">
        <v>116</v>
      </c>
      <c r="G69" s="215">
        <v>49000000</v>
      </c>
      <c r="H69" s="216">
        <v>101000000</v>
      </c>
    </row>
    <row r="70" spans="2:8" s="207" customFormat="1" ht="11.25" customHeight="1">
      <c r="B70" s="209"/>
      <c r="C70" s="218" t="s">
        <v>649</v>
      </c>
      <c r="D70" s="217">
        <v>4448595000</v>
      </c>
      <c r="E70" s="216">
        <v>2258520554</v>
      </c>
      <c r="G70" s="222">
        <v>1595573343</v>
      </c>
      <c r="H70" s="222">
        <v>1648520013</v>
      </c>
    </row>
    <row r="71" spans="2:8" s="207" customFormat="1" ht="11.25" customHeight="1">
      <c r="B71" s="209"/>
      <c r="C71" s="218" t="s">
        <v>123</v>
      </c>
      <c r="D71" s="244">
        <v>-2634196428</v>
      </c>
      <c r="E71" s="225">
        <v>-1249022815</v>
      </c>
      <c r="F71" s="231" t="s">
        <v>815</v>
      </c>
      <c r="G71" s="215"/>
      <c r="H71" s="217"/>
    </row>
    <row r="72" spans="2:8" s="207" customFormat="1" ht="11.25" customHeight="1">
      <c r="B72" s="209" t="s">
        <v>125</v>
      </c>
      <c r="C72" s="221"/>
      <c r="D72" s="222">
        <v>4798129429</v>
      </c>
      <c r="E72" s="222">
        <v>1218844177</v>
      </c>
      <c r="F72" s="219" t="s">
        <v>816</v>
      </c>
      <c r="G72" s="215">
        <v>0</v>
      </c>
      <c r="H72" s="216">
        <v>0</v>
      </c>
    </row>
    <row r="73" spans="2:8" s="207" customFormat="1" ht="11.25" customHeight="1">
      <c r="B73" s="209" t="s">
        <v>127</v>
      </c>
      <c r="C73" s="211" t="s">
        <v>70</v>
      </c>
      <c r="D73" s="217"/>
      <c r="E73" s="216"/>
      <c r="F73" s="207" t="s">
        <v>817</v>
      </c>
      <c r="G73" s="215">
        <v>8933184</v>
      </c>
      <c r="H73" s="216">
        <v>0</v>
      </c>
    </row>
    <row r="74" spans="2:8" s="207" customFormat="1" ht="11.25" customHeight="1">
      <c r="B74" s="209"/>
      <c r="C74" s="458" t="s">
        <v>707</v>
      </c>
      <c r="D74" s="217"/>
      <c r="E74" s="216"/>
      <c r="F74" s="214"/>
      <c r="G74" s="222">
        <v>8933184</v>
      </c>
      <c r="H74" s="222">
        <v>0</v>
      </c>
    </row>
    <row r="75" spans="2:8" s="207" customFormat="1" ht="11.25" customHeight="1">
      <c r="B75" s="209" t="s">
        <v>129</v>
      </c>
      <c r="C75" s="218" t="s">
        <v>706</v>
      </c>
      <c r="D75" s="217">
        <v>0</v>
      </c>
      <c r="E75" s="216">
        <v>0</v>
      </c>
      <c r="F75" s="214" t="s">
        <v>648</v>
      </c>
      <c r="G75" s="232"/>
      <c r="H75" s="213"/>
    </row>
    <row r="76" spans="2:8" ht="11.25" customHeight="1">
      <c r="B76" s="250" t="s">
        <v>131</v>
      </c>
      <c r="C76" s="218" t="s">
        <v>130</v>
      </c>
      <c r="D76" s="217">
        <v>0</v>
      </c>
      <c r="E76" s="216">
        <v>0</v>
      </c>
      <c r="F76" s="227" t="s">
        <v>122</v>
      </c>
      <c r="G76" s="215">
        <v>9411087</v>
      </c>
      <c r="H76" s="216">
        <v>0</v>
      </c>
    </row>
    <row r="77" spans="2:8" ht="11.25" customHeight="1">
      <c r="B77" s="250" t="s">
        <v>133</v>
      </c>
      <c r="C77" s="218" t="s">
        <v>132</v>
      </c>
      <c r="D77" s="217">
        <v>0</v>
      </c>
      <c r="E77" s="216">
        <v>0</v>
      </c>
      <c r="F77" s="227" t="s">
        <v>124</v>
      </c>
      <c r="G77" s="245">
        <v>23332346890.369999</v>
      </c>
      <c r="H77" s="245">
        <v>8062247026</v>
      </c>
    </row>
    <row r="78" spans="2:8" ht="11.25" customHeight="1">
      <c r="B78" s="250" t="s">
        <v>134</v>
      </c>
      <c r="C78" s="221"/>
      <c r="D78" s="251">
        <v>0</v>
      </c>
      <c r="E78" s="251">
        <v>0</v>
      </c>
      <c r="F78" s="227"/>
      <c r="G78" s="246">
        <v>23341757977.369999</v>
      </c>
      <c r="H78" s="246">
        <v>8062247026</v>
      </c>
    </row>
    <row r="79" spans="2:8" ht="11.25" customHeight="1">
      <c r="B79" s="250" t="s">
        <v>136</v>
      </c>
      <c r="C79" s="252" t="s">
        <v>135</v>
      </c>
      <c r="D79" s="248">
        <v>44187495523</v>
      </c>
      <c r="E79" s="248">
        <v>54464144117</v>
      </c>
      <c r="F79" s="247" t="s">
        <v>126</v>
      </c>
      <c r="G79" s="248">
        <v>52110264505.369995</v>
      </c>
      <c r="H79" s="248">
        <v>33998767040</v>
      </c>
    </row>
    <row r="80" spans="2:8" ht="11.25" customHeight="1">
      <c r="B80" s="250"/>
      <c r="C80" s="252" t="s">
        <v>137</v>
      </c>
      <c r="D80" s="249">
        <v>191244062778</v>
      </c>
      <c r="E80" s="249">
        <v>103285557290</v>
      </c>
      <c r="F80" s="247" t="s">
        <v>128</v>
      </c>
      <c r="G80" s="249">
        <v>191244062778.37</v>
      </c>
      <c r="H80" s="249">
        <v>103285557290</v>
      </c>
    </row>
    <row r="81" spans="2:8" ht="11.25" hidden="1" customHeight="1">
      <c r="B81" s="250" t="s">
        <v>138</v>
      </c>
      <c r="C81" s="699" t="s">
        <v>742</v>
      </c>
      <c r="D81" s="699"/>
      <c r="E81" s="699"/>
      <c r="F81" s="699"/>
      <c r="G81" s="699"/>
      <c r="H81" s="699"/>
    </row>
    <row r="82" spans="2:8" ht="11.25" customHeight="1">
      <c r="B82" s="250" t="s">
        <v>139</v>
      </c>
      <c r="D82" s="217">
        <f>+D80-G80</f>
        <v>-0.3699951171875</v>
      </c>
      <c r="G82" s="253"/>
    </row>
    <row r="83" spans="2:8" ht="11.25" customHeight="1">
      <c r="B83" s="250" t="s">
        <v>140</v>
      </c>
      <c r="D83" s="254"/>
      <c r="G83" s="254"/>
    </row>
    <row r="84" spans="2:8" ht="11.25" customHeight="1">
      <c r="B84" s="250"/>
      <c r="D84" s="254"/>
      <c r="G84" s="254"/>
    </row>
    <row r="85" spans="2:8" ht="11.25" customHeight="1">
      <c r="B85" s="250" t="s">
        <v>141</v>
      </c>
    </row>
    <row r="86" spans="2:8" ht="11.25" customHeight="1">
      <c r="B86" s="250"/>
    </row>
    <row r="87" spans="2:8" ht="11.25" customHeight="1">
      <c r="B87" s="250"/>
      <c r="F87" s="25"/>
      <c r="G87" s="25"/>
      <c r="H87" s="25"/>
    </row>
    <row r="88" spans="2:8" ht="11.25" customHeight="1">
      <c r="B88" s="250"/>
    </row>
    <row r="89" spans="2:8" ht="11.25" customHeight="1">
      <c r="B89" s="250"/>
    </row>
    <row r="90" spans="2:8" ht="11.25" customHeight="1">
      <c r="B90" s="255">
        <v>2</v>
      </c>
    </row>
    <row r="91" spans="2:8" ht="11.25" customHeight="1">
      <c r="B91" s="256" t="s">
        <v>142</v>
      </c>
    </row>
    <row r="92" spans="2:8" ht="11.25" customHeight="1">
      <c r="B92" s="250" t="s">
        <v>143</v>
      </c>
      <c r="C92" s="257"/>
      <c r="D92" s="258"/>
      <c r="E92" s="258"/>
    </row>
    <row r="93" spans="2:8" ht="11.25" customHeight="1">
      <c r="B93" s="250" t="s">
        <v>144</v>
      </c>
    </row>
    <row r="94" spans="2:8" ht="11.25" customHeight="1">
      <c r="B94" s="250" t="s">
        <v>145</v>
      </c>
    </row>
    <row r="95" spans="2:8" ht="11.25" customHeight="1">
      <c r="B95" s="250"/>
    </row>
    <row r="96" spans="2:8" ht="11.25" customHeight="1">
      <c r="B96" s="250" t="s">
        <v>146</v>
      </c>
    </row>
    <row r="97" spans="2:7" ht="11.25" customHeight="1">
      <c r="B97" s="250" t="s">
        <v>147</v>
      </c>
    </row>
    <row r="98" spans="2:7" ht="11.25" customHeight="1">
      <c r="B98" s="250" t="s">
        <v>148</v>
      </c>
      <c r="G98" s="259"/>
    </row>
    <row r="99" spans="2:7" ht="11.25" customHeight="1">
      <c r="B99" s="250" t="s">
        <v>149</v>
      </c>
    </row>
    <row r="100" spans="2:7" ht="11.25" customHeight="1">
      <c r="B100" s="250"/>
    </row>
    <row r="101" spans="2:7" ht="11.25" customHeight="1">
      <c r="B101" s="250" t="s">
        <v>150</v>
      </c>
    </row>
    <row r="102" spans="2:7" ht="11.25" customHeight="1">
      <c r="B102" s="250" t="s">
        <v>151</v>
      </c>
    </row>
    <row r="103" spans="2:7" ht="11.25" customHeight="1">
      <c r="B103" s="250" t="s">
        <v>152</v>
      </c>
    </row>
    <row r="104" spans="2:7" ht="11.25" customHeight="1">
      <c r="B104" s="250" t="s">
        <v>153</v>
      </c>
    </row>
    <row r="105" spans="2:7" ht="11.25" customHeight="1">
      <c r="B105" s="250"/>
    </row>
    <row r="106" spans="2:7" ht="11.25" customHeight="1">
      <c r="B106" s="250" t="s">
        <v>154</v>
      </c>
    </row>
    <row r="107" spans="2:7" ht="11.25" customHeight="1">
      <c r="B107" s="250" t="s">
        <v>155</v>
      </c>
    </row>
    <row r="108" spans="2:7" ht="11.25" customHeight="1">
      <c r="B108" s="250"/>
    </row>
    <row r="109" spans="2:7" ht="11.25" customHeight="1">
      <c r="B109" s="250"/>
    </row>
    <row r="110" spans="2:7" ht="11.25" customHeight="1">
      <c r="B110" s="250"/>
    </row>
    <row r="111" spans="2:7" ht="11.25" customHeight="1">
      <c r="B111" s="250" t="s">
        <v>156</v>
      </c>
    </row>
    <row r="112" spans="2:7" ht="11.25" customHeight="1">
      <c r="B112" s="250"/>
    </row>
    <row r="113" spans="2:2" ht="11.25" customHeight="1">
      <c r="B113" s="250" t="s">
        <v>157</v>
      </c>
    </row>
    <row r="114" spans="2:2" ht="11.25" customHeight="1">
      <c r="B114" s="250" t="s">
        <v>158</v>
      </c>
    </row>
    <row r="115" spans="2:2" ht="11.25" customHeight="1">
      <c r="B115" s="250" t="s">
        <v>159</v>
      </c>
    </row>
    <row r="116" spans="2:2" ht="11.25" customHeight="1">
      <c r="B116" s="250"/>
    </row>
    <row r="117" spans="2:2" ht="11.25" customHeight="1">
      <c r="B117" s="250" t="s">
        <v>160</v>
      </c>
    </row>
    <row r="118" spans="2:2" ht="11.25" customHeight="1">
      <c r="B118" s="250" t="s">
        <v>161</v>
      </c>
    </row>
    <row r="119" spans="2:2" ht="11.25" customHeight="1">
      <c r="B119" s="250" t="s">
        <v>162</v>
      </c>
    </row>
    <row r="120" spans="2:2" ht="11.25" customHeight="1">
      <c r="B120" s="250"/>
    </row>
    <row r="121" spans="2:2" ht="11.25" customHeight="1">
      <c r="B121" s="250"/>
    </row>
    <row r="122" spans="2:2" ht="11.25" customHeight="1">
      <c r="B122" s="250"/>
    </row>
    <row r="123" spans="2:2" ht="11.25" customHeight="1">
      <c r="B123" s="250"/>
    </row>
    <row r="124" spans="2:2" ht="11.25" customHeight="1">
      <c r="B124" s="250"/>
    </row>
    <row r="125" spans="2:2" ht="11.25" customHeight="1">
      <c r="B125" s="250" t="s">
        <v>163</v>
      </c>
    </row>
    <row r="126" spans="2:2" ht="11.25" customHeight="1">
      <c r="B126" s="250" t="s">
        <v>164</v>
      </c>
    </row>
    <row r="127" spans="2:2" ht="11.25" customHeight="1">
      <c r="B127" s="250" t="s">
        <v>165</v>
      </c>
    </row>
    <row r="128" spans="2:2" ht="11.25" customHeight="1">
      <c r="B128" s="250" t="s">
        <v>166</v>
      </c>
    </row>
    <row r="129" spans="2:2" ht="11.25" customHeight="1">
      <c r="B129" s="250"/>
    </row>
    <row r="130" spans="2:2" ht="11.25" customHeight="1">
      <c r="B130" s="250" t="s">
        <v>167</v>
      </c>
    </row>
    <row r="131" spans="2:2" ht="11.25" customHeight="1">
      <c r="B131" s="250" t="s">
        <v>168</v>
      </c>
    </row>
    <row r="132" spans="2:2" ht="11.25" customHeight="1">
      <c r="B132" s="250" t="s">
        <v>169</v>
      </c>
    </row>
    <row r="133" spans="2:2" ht="11.25" customHeight="1">
      <c r="B133" s="250" t="s">
        <v>170</v>
      </c>
    </row>
    <row r="134" spans="2:2" ht="11.25" customHeight="1">
      <c r="B134" s="250" t="s">
        <v>171</v>
      </c>
    </row>
    <row r="135" spans="2:2" ht="11.25" customHeight="1">
      <c r="B135" s="250"/>
    </row>
    <row r="136" spans="2:2" ht="11.25" customHeight="1">
      <c r="B136" s="250" t="s">
        <v>172</v>
      </c>
    </row>
    <row r="137" spans="2:2" ht="11.25" customHeight="1">
      <c r="B137" s="250" t="s">
        <v>173</v>
      </c>
    </row>
    <row r="138" spans="2:2" ht="11.25" customHeight="1">
      <c r="B138" s="250" t="s">
        <v>174</v>
      </c>
    </row>
    <row r="139" spans="2:2" ht="11.25" customHeight="1">
      <c r="B139" s="250"/>
    </row>
    <row r="140" spans="2:2" ht="11.25" customHeight="1">
      <c r="B140" s="250"/>
    </row>
    <row r="141" spans="2:2" ht="11.25" customHeight="1">
      <c r="B141" s="250"/>
    </row>
    <row r="144" spans="2:2" ht="11.25" customHeight="1"/>
    <row r="145" spans="4:5" ht="11.25" customHeight="1">
      <c r="D145" s="260"/>
      <c r="E145" s="260"/>
    </row>
    <row r="146" spans="4:5">
      <c r="D146" s="261">
        <v>0</v>
      </c>
      <c r="E146" s="260">
        <v>0</v>
      </c>
    </row>
    <row r="148" spans="4:5" ht="11.25" customHeight="1"/>
    <row r="149" spans="4:5">
      <c r="D149" s="262"/>
    </row>
  </sheetData>
  <mergeCells count="5">
    <mergeCell ref="C4:H4"/>
    <mergeCell ref="C5:H5"/>
    <mergeCell ref="C6:H6"/>
    <mergeCell ref="C7:H7"/>
    <mergeCell ref="C81:H81"/>
  </mergeCells>
  <hyperlinks>
    <hyperlink ref="C10" location="'NOTA D - DISPONIBILIDADES'!A1" display="DISPONIBILIDADES Nota 5 d" xr:uid="{0AF29F11-92DF-47CC-BE35-D735F3E934F6}"/>
    <hyperlink ref="C9" location="'NOTA 5 A-C CRITERIOS ESPECIF.'!A1" display="ACTIVO CORRIENTE Nota 5 a" xr:uid="{1DC4A549-49DE-4FA5-ABCD-15D046DC6278}"/>
    <hyperlink ref="C17" location="'NOTA E - INVERSIONES'!A1" display="INVERSIONES TEMPORARIAS  NOTA 5 E" xr:uid="{2633F63C-B949-4F71-97D0-82FADFD0F5B7}"/>
    <hyperlink ref="C23" location="'NOTA F - CREDITOS'!A1" display="CREDITOS Nota 5 f" xr:uid="{620B51D4-094C-4BC5-AF0E-A7216D2A1098}"/>
    <hyperlink ref="C33" location="'NOTA H CARGOS DIFERIDOS'!A1" display="GASTOS NO DEVENGADOS - Nota 5 h" xr:uid="{1C75AE23-9A1A-44BC-831E-5D282AEB733D}"/>
    <hyperlink ref="C42" location="'NOTA E - INVERSIONES'!A1" display="INVERSIONES PERMANENTES Nota 5 e" xr:uid="{804FC301-198C-4BB6-A867-FA4D3F23393C}"/>
    <hyperlink ref="C51" location="'NOTA F - CREDITOS'!A1" display="CREDITOS Nota 5 f" xr:uid="{0709245F-181C-4A68-8C03-DE66AAF2F562}"/>
    <hyperlink ref="C61" location="'NOTA G BIENES DE USO'!A1" display="BIENES DE USO Nota 5 g" xr:uid="{087A21EE-DBCB-401B-8A1E-8FE270F3FF0E}"/>
    <hyperlink ref="C65" location="' NOTA I INTANGIBLES'!A1" display="ACTIVOS INTANGIBLES  Nota 5 i" xr:uid="{29207C6F-F832-4F39-8FDC-8DAB1901ABDF}"/>
    <hyperlink ref="C74" location="'NOTA J OTROS ACTIVOS CTES y NO '!A1" display="GASTOS NO DEVENGADOS  - Nota 5 j" xr:uid="{1B1FE1BB-8170-4D2D-AC48-1B289B835BA5}"/>
    <hyperlink ref="F11" location="'NOTAS M-Q ACREED y CTAS A PAG'!A1" display="Acreedores por Intermediación. Nota 5 m" xr:uid="{87329EB4-9B4C-4EA3-9789-A2B384D03B53}"/>
    <hyperlink ref="F12" location="'NOTA L DOCUM y CTAS A PAG'!A1" display="Acreedores Varios  - Nota 5 l" xr:uid="{141D7997-7A43-45D6-89C9-B81CF930CA76}"/>
    <hyperlink ref="F13" location="'NOTAS M-Q ACREED y CTAS A PAG'!A1" display="Cuentas por Pagar a Personas y Emp. Relacionadas. Nota o" xr:uid="{C21EE756-CF84-49DB-A39F-935AED5BE49B}"/>
    <hyperlink ref="F17" location="'NOTA K PRESTAMOS'!A1" display="PRESTAMOS FINANCIEROS - Nota 5 k" xr:uid="{6F56B1F9-3FF7-4A2C-9E5F-39F45CC25192}"/>
    <hyperlink ref="F23" location="'NOTAS M-Q ACREED y CTAS A PAG'!A1" display="PROVISIONES. Nota q" xr:uid="{4EFE3083-BED9-4447-8DD0-3B59CBF19CBB}"/>
    <hyperlink ref="F62" location="' NOTA T PATRIMONIO Y PREVIS'!A1" display="PATRIMONIO NETO  Nota 5 t" xr:uid="{2A991EDB-0806-4452-8708-D5B62590C8B1}"/>
    <hyperlink ref="F32" location="'NOTAS M-Q ACREED y CTAS A PAG'!A1" display="OTROS PASIVOS - Nota q" xr:uid="{E626726C-E6D3-476F-9E4F-FC046F49732E}"/>
  </hyperlinks>
  <pageMargins left="0.25" right="0.25" top="0.75" bottom="0.75" header="0.3" footer="0.3"/>
  <pageSetup paperSize="9" scale="6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B3:J115"/>
  <sheetViews>
    <sheetView showGridLines="0" zoomScale="120" zoomScaleNormal="120" workbookViewId="0">
      <selection activeCell="C71" sqref="C71"/>
    </sheetView>
  </sheetViews>
  <sheetFormatPr baseColWidth="10" defaultColWidth="11.42578125" defaultRowHeight="12"/>
  <cols>
    <col min="1" max="1" width="5.7109375" style="205" customWidth="1"/>
    <col min="2" max="2" width="50.7109375" style="205" customWidth="1"/>
    <col min="3" max="3" width="0.28515625" style="205" hidden="1" customWidth="1"/>
    <col min="4" max="5" width="25.7109375" style="205" customWidth="1"/>
    <col min="6" max="6" width="14.28515625" style="205" bestFit="1" customWidth="1"/>
    <col min="7" max="7" width="16" style="260" hidden="1" customWidth="1"/>
    <col min="8" max="8" width="15.140625" style="205" hidden="1" customWidth="1"/>
    <col min="9" max="9" width="16.7109375" style="205" bestFit="1" customWidth="1"/>
    <col min="10" max="10" width="13.5703125" style="205" bestFit="1" customWidth="1"/>
    <col min="11" max="16384" width="11.42578125" style="205"/>
  </cols>
  <sheetData>
    <row r="3" spans="2:8" ht="15" customHeight="1">
      <c r="B3" s="669"/>
      <c r="C3" s="669"/>
      <c r="D3" s="669"/>
      <c r="E3" s="669"/>
    </row>
    <row r="4" spans="2:8" ht="15" customHeight="1">
      <c r="B4" s="669"/>
      <c r="C4" s="669"/>
      <c r="D4" s="669"/>
      <c r="E4" s="669"/>
    </row>
    <row r="5" spans="2:8" ht="9.75" customHeight="1">
      <c r="B5" s="669" t="s">
        <v>0</v>
      </c>
      <c r="C5" s="669"/>
      <c r="D5" s="669"/>
      <c r="E5" s="669"/>
    </row>
    <row r="6" spans="2:8">
      <c r="B6" s="669" t="s">
        <v>175</v>
      </c>
      <c r="C6" s="669"/>
      <c r="D6" s="669"/>
      <c r="E6" s="669"/>
    </row>
    <row r="7" spans="2:8" ht="26.25" customHeight="1">
      <c r="B7" s="697" t="s">
        <v>818</v>
      </c>
      <c r="C7" s="697"/>
      <c r="D7" s="697"/>
      <c r="E7" s="697"/>
    </row>
    <row r="8" spans="2:8">
      <c r="B8" s="698" t="s">
        <v>176</v>
      </c>
      <c r="C8" s="698"/>
      <c r="D8" s="698"/>
      <c r="E8" s="698"/>
    </row>
    <row r="9" spans="2:8" ht="12.75" thickBot="1">
      <c r="B9" s="701"/>
      <c r="C9" s="701"/>
      <c r="D9" s="701"/>
      <c r="E9" s="701"/>
    </row>
    <row r="10" spans="2:8" ht="12.75" thickBot="1">
      <c r="B10" s="306"/>
      <c r="C10" s="307"/>
      <c r="D10" s="308" t="str">
        <f>+'Balance Gral. Resol. 30'!D8</f>
        <v>PERIODO ACTUAL 31/12/ 2021</v>
      </c>
      <c r="E10" s="308" t="str">
        <f>+'Balance Gral. Resol. 30'!E8</f>
        <v>PERIODO ANTERIOR   31/12/ 2020</v>
      </c>
    </row>
    <row r="11" spans="2:8" ht="15">
      <c r="B11" s="478" t="s">
        <v>728</v>
      </c>
      <c r="C11" s="419"/>
      <c r="D11" s="420"/>
      <c r="E11" s="421"/>
      <c r="G11" s="260">
        <f>+D12+D26+D28+D29+D30+D34</f>
        <v>34422504002</v>
      </c>
      <c r="H11" s="260">
        <f>+E12+E26+E28+E29+E30+E34+E27</f>
        <v>15066119947</v>
      </c>
    </row>
    <row r="12" spans="2:8" ht="9.75" customHeight="1">
      <c r="B12" s="309" t="s">
        <v>177</v>
      </c>
      <c r="C12" s="310"/>
      <c r="D12" s="313">
        <v>1016926461</v>
      </c>
      <c r="E12" s="314">
        <v>1853325954</v>
      </c>
    </row>
    <row r="13" spans="2:8" ht="9.75" customHeight="1">
      <c r="B13" s="315" t="s">
        <v>178</v>
      </c>
      <c r="C13" s="310"/>
      <c r="D13" s="316">
        <v>0</v>
      </c>
      <c r="E13" s="317">
        <v>30698389</v>
      </c>
    </row>
    <row r="14" spans="2:8" ht="9.75" customHeight="1">
      <c r="B14" s="315" t="s">
        <v>179</v>
      </c>
      <c r="C14" s="310"/>
      <c r="D14" s="316">
        <v>1016926461</v>
      </c>
      <c r="E14" s="317">
        <v>1822627565</v>
      </c>
    </row>
    <row r="15" spans="2:8" ht="9.75" customHeight="1">
      <c r="B15" s="315"/>
      <c r="C15" s="310"/>
      <c r="D15" s="316"/>
      <c r="E15" s="317"/>
    </row>
    <row r="16" spans="2:8" ht="9.75" customHeight="1">
      <c r="B16" s="309" t="s">
        <v>180</v>
      </c>
      <c r="C16" s="310"/>
      <c r="D16" s="316"/>
      <c r="E16" s="317"/>
    </row>
    <row r="17" spans="2:8" ht="9.75" customHeight="1">
      <c r="B17" s="315" t="s">
        <v>181</v>
      </c>
      <c r="C17" s="310"/>
      <c r="D17" s="316">
        <v>0</v>
      </c>
      <c r="E17" s="317">
        <v>0</v>
      </c>
    </row>
    <row r="18" spans="2:8" ht="9.75" customHeight="1">
      <c r="B18" s="315" t="s">
        <v>182</v>
      </c>
      <c r="C18" s="310"/>
      <c r="D18" s="316">
        <v>0</v>
      </c>
      <c r="E18" s="317">
        <v>0</v>
      </c>
    </row>
    <row r="19" spans="2:8" ht="9.75" customHeight="1">
      <c r="B19" s="315"/>
      <c r="C19" s="310"/>
      <c r="D19" s="316"/>
      <c r="E19" s="317"/>
    </row>
    <row r="20" spans="2:8" ht="9.75" customHeight="1">
      <c r="B20" s="309" t="s">
        <v>183</v>
      </c>
      <c r="C20" s="310"/>
      <c r="D20" s="316"/>
      <c r="E20" s="317"/>
    </row>
    <row r="21" spans="2:8" ht="9.75" customHeight="1">
      <c r="B21" s="315" t="s">
        <v>184</v>
      </c>
      <c r="C21" s="310"/>
      <c r="D21" s="316">
        <v>0</v>
      </c>
      <c r="E21" s="317">
        <v>0</v>
      </c>
    </row>
    <row r="22" spans="2:8" ht="9.75" customHeight="1">
      <c r="B22" s="315" t="s">
        <v>185</v>
      </c>
      <c r="C22" s="310"/>
      <c r="D22" s="316">
        <v>0</v>
      </c>
      <c r="E22" s="317">
        <v>0</v>
      </c>
    </row>
    <row r="23" spans="2:8" ht="9.75" customHeight="1">
      <c r="B23" s="315"/>
      <c r="C23" s="310"/>
      <c r="D23" s="316"/>
      <c r="E23" s="317"/>
    </row>
    <row r="24" spans="2:8" ht="9.75" customHeight="1">
      <c r="B24" s="309" t="s">
        <v>532</v>
      </c>
      <c r="C24" s="310"/>
      <c r="D24" s="316">
        <v>0</v>
      </c>
      <c r="E24" s="317">
        <v>0</v>
      </c>
    </row>
    <row r="25" spans="2:8" ht="9.75" customHeight="1">
      <c r="B25" s="309" t="s">
        <v>533</v>
      </c>
      <c r="C25" s="310"/>
      <c r="D25" s="313">
        <v>0</v>
      </c>
      <c r="E25" s="317">
        <v>0</v>
      </c>
    </row>
    <row r="26" spans="2:8" ht="9.75" customHeight="1">
      <c r="B26" s="309" t="s">
        <v>186</v>
      </c>
      <c r="C26" s="310"/>
      <c r="D26" s="313">
        <v>920959974</v>
      </c>
      <c r="E26" s="314">
        <v>2315331955</v>
      </c>
    </row>
    <row r="27" spans="2:8" ht="9.75" customHeight="1">
      <c r="B27" s="309" t="s">
        <v>187</v>
      </c>
      <c r="C27" s="310"/>
      <c r="D27" s="313">
        <v>0</v>
      </c>
      <c r="E27" s="314">
        <v>1534861436</v>
      </c>
    </row>
    <row r="28" spans="2:8" ht="9.75" customHeight="1">
      <c r="B28" s="309" t="s">
        <v>188</v>
      </c>
      <c r="C28" s="310"/>
      <c r="D28" s="313">
        <v>9010398655</v>
      </c>
      <c r="E28" s="314">
        <v>7778417164</v>
      </c>
      <c r="F28" s="259"/>
      <c r="H28" s="259"/>
    </row>
    <row r="29" spans="2:8" ht="9.75" customHeight="1">
      <c r="B29" s="309" t="s">
        <v>189</v>
      </c>
      <c r="C29" s="310"/>
      <c r="D29" s="313">
        <v>16081095000</v>
      </c>
      <c r="E29" s="317">
        <v>0</v>
      </c>
    </row>
    <row r="30" spans="2:8" ht="9.75" customHeight="1">
      <c r="B30" s="309" t="s">
        <v>190</v>
      </c>
      <c r="C30" s="310"/>
      <c r="D30" s="313">
        <v>577968562</v>
      </c>
      <c r="E30" s="317">
        <v>0</v>
      </c>
    </row>
    <row r="31" spans="2:8" ht="9.75" customHeight="1">
      <c r="B31" s="315"/>
      <c r="C31" s="311"/>
      <c r="D31" s="316"/>
      <c r="E31" s="317"/>
      <c r="F31" s="260"/>
    </row>
    <row r="32" spans="2:8" ht="9.75" customHeight="1">
      <c r="B32" s="309" t="s">
        <v>503</v>
      </c>
      <c r="C32" s="310"/>
      <c r="D32" s="316">
        <v>0</v>
      </c>
      <c r="E32" s="317">
        <v>0</v>
      </c>
      <c r="H32" s="260"/>
    </row>
    <row r="33" spans="2:10" ht="9.75" customHeight="1">
      <c r="B33" s="309"/>
      <c r="C33" s="310"/>
      <c r="D33" s="311"/>
      <c r="E33" s="317"/>
      <c r="H33" s="260"/>
    </row>
    <row r="34" spans="2:10" ht="9.75" customHeight="1">
      <c r="B34" s="309" t="s">
        <v>191</v>
      </c>
      <c r="C34" s="310"/>
      <c r="D34" s="313">
        <v>6815155350</v>
      </c>
      <c r="E34" s="314">
        <v>1584183438</v>
      </c>
    </row>
    <row r="35" spans="2:10" ht="9.75" customHeight="1">
      <c r="B35" s="315" t="s">
        <v>192</v>
      </c>
      <c r="C35" s="310"/>
      <c r="D35" s="313">
        <v>0</v>
      </c>
      <c r="E35" s="314">
        <v>0</v>
      </c>
    </row>
    <row r="36" spans="2:10" ht="9.75" customHeight="1">
      <c r="B36" s="318" t="s">
        <v>650</v>
      </c>
      <c r="C36" s="323"/>
      <c r="D36" s="316">
        <v>0</v>
      </c>
      <c r="E36" s="317">
        <v>308095630</v>
      </c>
    </row>
    <row r="37" spans="2:10" ht="9.75" customHeight="1">
      <c r="B37" s="318" t="s">
        <v>191</v>
      </c>
      <c r="C37" s="323"/>
      <c r="D37" s="316">
        <v>6815155350</v>
      </c>
      <c r="E37" s="317">
        <v>1276087808</v>
      </c>
      <c r="H37" s="253"/>
      <c r="I37" s="259"/>
      <c r="J37" s="253"/>
    </row>
    <row r="38" spans="2:10" ht="15.95" customHeight="1">
      <c r="B38" s="315"/>
      <c r="C38" s="323"/>
      <c r="D38" s="316"/>
      <c r="E38" s="317"/>
      <c r="H38" s="253"/>
      <c r="I38" s="259"/>
    </row>
    <row r="39" spans="2:10" ht="9.75" customHeight="1">
      <c r="B39" s="482" t="s">
        <v>731</v>
      </c>
      <c r="C39" s="323"/>
      <c r="D39" s="313">
        <v>722930444</v>
      </c>
      <c r="E39" s="314">
        <v>1082690744</v>
      </c>
      <c r="H39" s="324"/>
      <c r="I39" s="259"/>
    </row>
    <row r="40" spans="2:10" ht="9.75" customHeight="1">
      <c r="B40" s="315" t="s">
        <v>193</v>
      </c>
      <c r="C40" s="323"/>
      <c r="D40" s="316">
        <v>0</v>
      </c>
      <c r="E40" s="317">
        <v>618727138</v>
      </c>
    </row>
    <row r="41" spans="2:10" ht="9.75" customHeight="1">
      <c r="B41" s="315" t="s">
        <v>194</v>
      </c>
      <c r="C41" s="323"/>
      <c r="D41" s="316">
        <v>516132100</v>
      </c>
      <c r="E41" s="317">
        <v>463963606</v>
      </c>
    </row>
    <row r="42" spans="2:10" ht="9.75" customHeight="1">
      <c r="B42" s="315" t="s">
        <v>606</v>
      </c>
      <c r="C42" s="323"/>
      <c r="D42" s="316">
        <v>206798344</v>
      </c>
      <c r="E42" s="479"/>
      <c r="H42" s="254"/>
    </row>
    <row r="43" spans="2:10" ht="9.75" customHeight="1">
      <c r="B43" s="319" t="s">
        <v>195</v>
      </c>
      <c r="C43" s="320"/>
      <c r="D43" s="352">
        <v>33699573558</v>
      </c>
      <c r="E43" s="352">
        <v>13983429203</v>
      </c>
    </row>
    <row r="44" spans="2:10" ht="9.75" customHeight="1">
      <c r="B44" s="315"/>
      <c r="C44" s="323"/>
      <c r="D44" s="316"/>
      <c r="E44" s="312"/>
      <c r="F44" s="262"/>
      <c r="H44" s="259"/>
      <c r="I44" s="266"/>
    </row>
    <row r="45" spans="2:10" ht="9.75" customHeight="1">
      <c r="B45" s="481" t="s">
        <v>729</v>
      </c>
      <c r="C45" s="310"/>
      <c r="D45" s="313">
        <v>1303556645</v>
      </c>
      <c r="E45" s="350">
        <v>22553799</v>
      </c>
      <c r="F45" s="259"/>
    </row>
    <row r="46" spans="2:10" ht="9.75" customHeight="1">
      <c r="B46" s="318" t="s">
        <v>850</v>
      </c>
      <c r="C46" s="310"/>
      <c r="D46" s="316">
        <v>0</v>
      </c>
      <c r="E46" s="312">
        <v>0</v>
      </c>
      <c r="F46" s="259"/>
    </row>
    <row r="47" spans="2:10" ht="9.75" customHeight="1">
      <c r="B47" s="318" t="s">
        <v>851</v>
      </c>
      <c r="C47" s="310"/>
      <c r="D47" s="316">
        <v>589464306</v>
      </c>
      <c r="E47" s="312">
        <v>0</v>
      </c>
      <c r="F47" s="259"/>
    </row>
    <row r="48" spans="2:10" ht="9.75" customHeight="1">
      <c r="B48" s="318" t="s">
        <v>852</v>
      </c>
      <c r="C48" s="310"/>
      <c r="D48" s="316">
        <v>714092339</v>
      </c>
      <c r="E48" s="312">
        <v>22553799</v>
      </c>
      <c r="F48" s="259"/>
    </row>
    <row r="49" spans="2:7" ht="9.75" customHeight="1">
      <c r="B49" s="318"/>
      <c r="C49" s="323"/>
      <c r="D49" s="316"/>
      <c r="E49" s="312"/>
      <c r="F49" s="259"/>
    </row>
    <row r="50" spans="2:7" ht="13.9" customHeight="1">
      <c r="B50" s="481" t="s">
        <v>730</v>
      </c>
      <c r="C50" s="323"/>
      <c r="D50" s="313">
        <v>7979538644</v>
      </c>
      <c r="E50" s="350">
        <v>4660274962</v>
      </c>
      <c r="F50" s="262"/>
    </row>
    <row r="51" spans="2:7" ht="9.6" customHeight="1">
      <c r="B51" s="321" t="s">
        <v>853</v>
      </c>
      <c r="C51" s="310"/>
      <c r="D51" s="313">
        <v>4235591095</v>
      </c>
      <c r="E51" s="350">
        <v>0</v>
      </c>
      <c r="F51" s="262"/>
    </row>
    <row r="52" spans="2:7" s="657" customFormat="1" ht="9.75" customHeight="1">
      <c r="B52" s="507" t="s">
        <v>819</v>
      </c>
      <c r="C52" s="508"/>
      <c r="D52" s="509">
        <v>2948027507</v>
      </c>
      <c r="E52" s="654">
        <v>0</v>
      </c>
      <c r="F52" s="655"/>
      <c r="G52" s="656"/>
    </row>
    <row r="53" spans="2:7" ht="9.75" customHeight="1">
      <c r="B53" s="318" t="s">
        <v>820</v>
      </c>
      <c r="C53" s="323"/>
      <c r="D53" s="316">
        <v>2222732762</v>
      </c>
      <c r="E53" s="312">
        <v>1783376709</v>
      </c>
      <c r="F53" s="262"/>
    </row>
    <row r="54" spans="2:7" ht="9.75" customHeight="1">
      <c r="B54" s="318" t="s">
        <v>201</v>
      </c>
      <c r="C54" s="323"/>
      <c r="D54" s="316">
        <v>373820609</v>
      </c>
      <c r="E54" s="312">
        <v>294257157</v>
      </c>
      <c r="F54" s="262"/>
    </row>
    <row r="55" spans="2:7" ht="9.75" customHeight="1">
      <c r="B55" s="318" t="s">
        <v>821</v>
      </c>
      <c r="C55" s="323"/>
      <c r="D55" s="316">
        <v>93269443</v>
      </c>
      <c r="E55" s="312">
        <v>0</v>
      </c>
      <c r="F55" s="262"/>
    </row>
    <row r="56" spans="2:7" ht="9.75" customHeight="1">
      <c r="B56" s="318" t="s">
        <v>822</v>
      </c>
      <c r="C56" s="323"/>
      <c r="D56" s="316">
        <v>173795275</v>
      </c>
      <c r="E56" s="312">
        <v>147695241</v>
      </c>
      <c r="F56" s="262"/>
    </row>
    <row r="57" spans="2:7" ht="9.75" customHeight="1">
      <c r="B57" s="318" t="s">
        <v>823</v>
      </c>
      <c r="C57" s="323"/>
      <c r="D57" s="316">
        <v>10516414</v>
      </c>
      <c r="E57" s="312">
        <v>863636</v>
      </c>
      <c r="F57" s="262"/>
    </row>
    <row r="58" spans="2:7" ht="9.75" customHeight="1">
      <c r="B58" s="318" t="s">
        <v>824</v>
      </c>
      <c r="C58" s="323"/>
      <c r="D58" s="316">
        <v>65825110</v>
      </c>
      <c r="E58" s="312">
        <v>0</v>
      </c>
      <c r="F58" s="262"/>
    </row>
    <row r="59" spans="2:7" ht="10.15" customHeight="1">
      <c r="B59" s="318" t="s">
        <v>825</v>
      </c>
      <c r="C59" s="323"/>
      <c r="D59" s="316">
        <v>8067894</v>
      </c>
      <c r="E59" s="312">
        <v>8990644</v>
      </c>
      <c r="F59" s="262"/>
    </row>
    <row r="60" spans="2:7" s="506" customFormat="1" ht="9.75" customHeight="1">
      <c r="B60" s="507" t="s">
        <v>826</v>
      </c>
      <c r="C60" s="508"/>
      <c r="D60" s="509">
        <v>1287563588</v>
      </c>
      <c r="E60" s="350">
        <v>0</v>
      </c>
      <c r="F60" s="267"/>
      <c r="G60" s="505"/>
    </row>
    <row r="61" spans="2:7" ht="9.75" customHeight="1">
      <c r="B61" s="318" t="s">
        <v>826</v>
      </c>
      <c r="C61" s="323"/>
      <c r="D61" s="316">
        <v>1221671304</v>
      </c>
      <c r="E61" s="312">
        <v>397840908</v>
      </c>
      <c r="F61" s="262"/>
    </row>
    <row r="62" spans="2:7" ht="9.75" customHeight="1">
      <c r="B62" s="318" t="s">
        <v>827</v>
      </c>
      <c r="C62" s="323"/>
      <c r="D62" s="316">
        <v>65892284</v>
      </c>
      <c r="E62" s="312"/>
      <c r="F62" s="262"/>
    </row>
    <row r="63" spans="2:7" s="506" customFormat="1" ht="9.75" customHeight="1">
      <c r="B63" s="321" t="s">
        <v>828</v>
      </c>
      <c r="C63" s="310"/>
      <c r="D63" s="313">
        <v>3743947549</v>
      </c>
      <c r="E63" s="350"/>
      <c r="F63" s="267"/>
      <c r="G63" s="505"/>
    </row>
    <row r="64" spans="2:7">
      <c r="B64" s="318" t="s">
        <v>829</v>
      </c>
      <c r="C64" s="323"/>
      <c r="D64" s="316">
        <v>725205272</v>
      </c>
      <c r="E64" s="312">
        <v>96741210</v>
      </c>
      <c r="F64" s="262"/>
    </row>
    <row r="65" spans="2:6">
      <c r="B65" s="318" t="s">
        <v>830</v>
      </c>
      <c r="C65" s="323"/>
      <c r="D65" s="316">
        <v>522025338</v>
      </c>
      <c r="E65" s="312">
        <v>589843713</v>
      </c>
      <c r="F65" s="262"/>
    </row>
    <row r="66" spans="2:6">
      <c r="B66" s="318" t="s">
        <v>831</v>
      </c>
      <c r="C66" s="323"/>
      <c r="D66" s="316">
        <v>1013117622</v>
      </c>
      <c r="E66" s="312">
        <v>627553636</v>
      </c>
      <c r="F66" s="262"/>
    </row>
    <row r="67" spans="2:6">
      <c r="B67" s="318" t="s">
        <v>832</v>
      </c>
      <c r="C67" s="323"/>
      <c r="D67" s="316">
        <v>131837193</v>
      </c>
      <c r="E67" s="312"/>
      <c r="F67" s="262"/>
    </row>
    <row r="68" spans="2:6" ht="9.75" customHeight="1">
      <c r="B68" s="318" t="s">
        <v>833</v>
      </c>
      <c r="C68" s="323"/>
      <c r="D68" s="316">
        <v>2138113</v>
      </c>
      <c r="E68" s="312"/>
      <c r="F68" s="262"/>
    </row>
    <row r="69" spans="2:6" ht="9.75" customHeight="1">
      <c r="B69" s="318" t="s">
        <v>834</v>
      </c>
      <c r="C69" s="323"/>
      <c r="D69" s="316">
        <v>32439979</v>
      </c>
      <c r="E69" s="312">
        <v>0</v>
      </c>
      <c r="F69" s="267"/>
    </row>
    <row r="70" spans="2:6" ht="9.75" customHeight="1">
      <c r="B70" s="318" t="s">
        <v>835</v>
      </c>
      <c r="C70" s="323"/>
      <c r="D70" s="316">
        <v>39023677</v>
      </c>
      <c r="E70" s="312">
        <v>40557803</v>
      </c>
      <c r="F70" s="267"/>
    </row>
    <row r="71" spans="2:6" ht="9.75" customHeight="1">
      <c r="B71" s="318" t="s">
        <v>836</v>
      </c>
      <c r="C71" s="323"/>
      <c r="D71" s="316">
        <v>28753458</v>
      </c>
      <c r="E71" s="312">
        <v>28754317</v>
      </c>
      <c r="F71" s="267"/>
    </row>
    <row r="72" spans="2:6" ht="9.6" customHeight="1">
      <c r="B72" s="318" t="s">
        <v>837</v>
      </c>
      <c r="C72" s="323"/>
      <c r="D72" s="316">
        <v>89907774</v>
      </c>
      <c r="E72" s="312">
        <v>0</v>
      </c>
    </row>
    <row r="73" spans="2:6" ht="9.6" customHeight="1">
      <c r="B73" s="318" t="s">
        <v>838</v>
      </c>
      <c r="C73" s="323"/>
      <c r="D73" s="316">
        <v>63636</v>
      </c>
      <c r="E73" s="312">
        <v>0</v>
      </c>
    </row>
    <row r="74" spans="2:6" ht="9.6" customHeight="1">
      <c r="B74" s="318" t="s">
        <v>839</v>
      </c>
      <c r="C74" s="323"/>
      <c r="D74" s="316">
        <v>36181532</v>
      </c>
      <c r="E74" s="312">
        <v>0</v>
      </c>
    </row>
    <row r="75" spans="2:6" ht="9.6" customHeight="1">
      <c r="B75" s="318" t="s">
        <v>840</v>
      </c>
      <c r="C75" s="323"/>
      <c r="D75" s="316">
        <v>280365654</v>
      </c>
      <c r="E75" s="312">
        <v>0</v>
      </c>
    </row>
    <row r="76" spans="2:6" ht="9.75" customHeight="1">
      <c r="B76" s="318" t="s">
        <v>841</v>
      </c>
      <c r="C76" s="323"/>
      <c r="D76" s="316">
        <v>984342</v>
      </c>
      <c r="E76" s="312">
        <v>0</v>
      </c>
    </row>
    <row r="77" spans="2:6" ht="9.75" customHeight="1">
      <c r="B77" s="318" t="s">
        <v>842</v>
      </c>
      <c r="C77" s="323"/>
      <c r="D77" s="316">
        <v>1342000</v>
      </c>
      <c r="E77" s="312">
        <v>598463203</v>
      </c>
    </row>
    <row r="78" spans="2:6" ht="9.75" customHeight="1">
      <c r="B78" s="318" t="s">
        <v>843</v>
      </c>
      <c r="C78" s="323"/>
      <c r="D78" s="316">
        <v>14641019</v>
      </c>
      <c r="E78" s="312">
        <v>0</v>
      </c>
    </row>
    <row r="79" spans="2:6" ht="9.75" customHeight="1">
      <c r="B79" s="318" t="s">
        <v>844</v>
      </c>
      <c r="C79" s="323"/>
      <c r="D79" s="316">
        <v>13462995</v>
      </c>
      <c r="E79" s="312">
        <v>0</v>
      </c>
    </row>
    <row r="80" spans="2:6" ht="9.75" customHeight="1">
      <c r="B80" s="318" t="s">
        <v>845</v>
      </c>
      <c r="C80" s="323"/>
      <c r="D80" s="316">
        <v>27411287</v>
      </c>
      <c r="E80" s="312">
        <v>0</v>
      </c>
    </row>
    <row r="81" spans="2:8" s="506" customFormat="1" ht="9.75" customHeight="1">
      <c r="B81" s="507" t="s">
        <v>846</v>
      </c>
      <c r="C81" s="508"/>
      <c r="D81" s="509">
        <v>785046657</v>
      </c>
      <c r="E81" s="350">
        <v>0</v>
      </c>
      <c r="G81" s="505"/>
    </row>
    <row r="82" spans="2:8" ht="9.75" customHeight="1">
      <c r="B82" s="318" t="s">
        <v>847</v>
      </c>
      <c r="C82" s="323"/>
      <c r="D82" s="316">
        <v>675863456</v>
      </c>
      <c r="E82" s="312">
        <v>0</v>
      </c>
    </row>
    <row r="83" spans="2:8" ht="9.75" customHeight="1">
      <c r="B83" s="318" t="s">
        <v>848</v>
      </c>
      <c r="C83" s="323"/>
      <c r="D83" s="316">
        <v>14729702</v>
      </c>
      <c r="E83" s="312">
        <v>0</v>
      </c>
    </row>
    <row r="84" spans="2:8" ht="9.75" customHeight="1">
      <c r="B84" s="318" t="s">
        <v>849</v>
      </c>
      <c r="C84" s="323"/>
      <c r="D84" s="316">
        <v>94453500</v>
      </c>
      <c r="E84" s="312">
        <v>45336785</v>
      </c>
    </row>
    <row r="85" spans="2:8" ht="9.75" customHeight="1">
      <c r="B85" s="318"/>
      <c r="C85" s="323"/>
      <c r="D85" s="316"/>
      <c r="E85" s="312"/>
    </row>
    <row r="86" spans="2:8" ht="9.75" customHeight="1">
      <c r="B86" s="319" t="s">
        <v>202</v>
      </c>
      <c r="C86" s="320"/>
      <c r="D86" s="352">
        <v>24416478269</v>
      </c>
      <c r="E86" s="352">
        <v>9300600442</v>
      </c>
    </row>
    <row r="87" spans="2:8" ht="9.75" customHeight="1">
      <c r="B87" s="318"/>
      <c r="C87" s="323"/>
      <c r="D87" s="316"/>
      <c r="E87" s="350"/>
    </row>
    <row r="88" spans="2:8" ht="9.75" customHeight="1">
      <c r="B88" s="481" t="s">
        <v>734</v>
      </c>
      <c r="C88" s="310"/>
      <c r="D88" s="313">
        <v>601802424</v>
      </c>
      <c r="E88" s="350">
        <v>0</v>
      </c>
    </row>
    <row r="89" spans="2:8" ht="9.75" customHeight="1">
      <c r="B89" s="318" t="s">
        <v>203</v>
      </c>
      <c r="C89" s="310"/>
      <c r="D89" s="316">
        <v>615925306</v>
      </c>
      <c r="E89" s="312">
        <v>0</v>
      </c>
    </row>
    <row r="90" spans="2:8" ht="9.75" customHeight="1">
      <c r="B90" s="318" t="s">
        <v>204</v>
      </c>
      <c r="C90" s="310"/>
      <c r="D90" s="316">
        <v>14122882</v>
      </c>
      <c r="E90" s="312">
        <v>0</v>
      </c>
    </row>
    <row r="91" spans="2:8" ht="9.75" customHeight="1">
      <c r="B91" s="321"/>
      <c r="C91" s="323"/>
      <c r="D91" s="316"/>
      <c r="E91" s="350"/>
    </row>
    <row r="92" spans="2:8" ht="9.75" customHeight="1">
      <c r="B92" s="481" t="s">
        <v>733</v>
      </c>
      <c r="C92" s="323"/>
      <c r="D92" s="313">
        <v>2070827996</v>
      </c>
      <c r="E92" s="350">
        <v>163685959</v>
      </c>
      <c r="F92" s="268"/>
      <c r="G92" s="269"/>
      <c r="H92" s="269"/>
    </row>
    <row r="93" spans="2:8" ht="9.75" customHeight="1">
      <c r="B93" s="321"/>
      <c r="C93" s="323"/>
      <c r="D93" s="313"/>
      <c r="E93" s="350"/>
    </row>
    <row r="94" spans="2:8" ht="9.75" customHeight="1">
      <c r="B94" s="321" t="s">
        <v>205</v>
      </c>
      <c r="C94" s="323"/>
      <c r="D94" s="313">
        <v>6391936676</v>
      </c>
      <c r="E94" s="350">
        <v>2097554781</v>
      </c>
      <c r="F94" s="259"/>
    </row>
    <row r="95" spans="2:8" ht="9.75" customHeight="1">
      <c r="B95" s="318" t="s">
        <v>206</v>
      </c>
      <c r="C95" s="323"/>
      <c r="D95" s="316">
        <v>2730045590</v>
      </c>
      <c r="E95" s="312">
        <v>0</v>
      </c>
      <c r="F95" s="259"/>
    </row>
    <row r="96" spans="2:8" ht="9.75" customHeight="1">
      <c r="B96" s="318" t="s">
        <v>207</v>
      </c>
      <c r="C96" s="323"/>
      <c r="D96" s="316">
        <v>3661891086</v>
      </c>
      <c r="E96" s="312">
        <v>2097554781</v>
      </c>
      <c r="F96" s="259"/>
    </row>
    <row r="97" spans="2:6" ht="9.75" customHeight="1">
      <c r="B97" s="321" t="s">
        <v>208</v>
      </c>
      <c r="C97" s="323"/>
      <c r="D97" s="313">
        <v>-4321108680</v>
      </c>
      <c r="E97" s="350">
        <v>-1933868822</v>
      </c>
    </row>
    <row r="98" spans="2:6" ht="9.75" customHeight="1">
      <c r="B98" s="318" t="s">
        <v>209</v>
      </c>
      <c r="C98" s="323"/>
      <c r="D98" s="316">
        <v>2993148816</v>
      </c>
      <c r="E98" s="312">
        <v>1192146329</v>
      </c>
    </row>
    <row r="99" spans="2:6" ht="9.75" customHeight="1">
      <c r="B99" s="318" t="s">
        <v>207</v>
      </c>
      <c r="C99" s="323"/>
      <c r="D99" s="316">
        <v>1327959864</v>
      </c>
      <c r="E99" s="312">
        <v>741722493</v>
      </c>
    </row>
    <row r="100" spans="2:6" ht="9.75" customHeight="1">
      <c r="B100" s="318"/>
      <c r="C100" s="323"/>
      <c r="D100" s="316"/>
      <c r="E100" s="350"/>
    </row>
    <row r="101" spans="2:6" ht="9.75" customHeight="1">
      <c r="B101" s="482" t="s">
        <v>737</v>
      </c>
      <c r="C101" s="310"/>
      <c r="D101" s="313">
        <v>-1700451588</v>
      </c>
      <c r="E101" s="350">
        <v>-662058212</v>
      </c>
    </row>
    <row r="102" spans="2:6" ht="9.75" customHeight="1">
      <c r="B102" s="315" t="s">
        <v>210</v>
      </c>
      <c r="C102" s="323"/>
      <c r="D102" s="316">
        <v>0</v>
      </c>
      <c r="E102" s="312">
        <v>0</v>
      </c>
    </row>
    <row r="103" spans="2:6">
      <c r="B103" s="315" t="s">
        <v>211</v>
      </c>
      <c r="C103" s="323"/>
      <c r="D103" s="316">
        <v>1700451588</v>
      </c>
      <c r="E103" s="312">
        <v>662058212</v>
      </c>
      <c r="F103" s="259"/>
    </row>
    <row r="104" spans="2:6">
      <c r="B104" s="315"/>
      <c r="C104" s="323"/>
      <c r="D104" s="316"/>
      <c r="E104" s="350"/>
    </row>
    <row r="105" spans="2:6">
      <c r="B105" s="309" t="s">
        <v>212</v>
      </c>
      <c r="C105" s="310"/>
      <c r="D105" s="313">
        <v>0</v>
      </c>
      <c r="E105" s="350">
        <v>0</v>
      </c>
    </row>
    <row r="106" spans="2:6">
      <c r="B106" s="315" t="s">
        <v>213</v>
      </c>
      <c r="C106" s="323"/>
      <c r="D106" s="316">
        <v>0</v>
      </c>
      <c r="E106" s="312">
        <v>0</v>
      </c>
      <c r="F106" s="259"/>
    </row>
    <row r="107" spans="2:6" ht="11.1" customHeight="1">
      <c r="B107" s="315" t="s">
        <v>214</v>
      </c>
      <c r="C107" s="323"/>
      <c r="D107" s="316"/>
      <c r="E107" s="312"/>
      <c r="F107" s="262"/>
    </row>
    <row r="108" spans="2:6" ht="9.75" customHeight="1">
      <c r="B108" s="315"/>
      <c r="C108" s="323"/>
      <c r="D108" s="316"/>
      <c r="E108" s="312"/>
    </row>
    <row r="109" spans="2:6" ht="9.75" customHeight="1">
      <c r="B109" s="319" t="s">
        <v>215</v>
      </c>
      <c r="C109" s="320"/>
      <c r="D109" s="352">
        <v>25388657101</v>
      </c>
      <c r="E109" s="352">
        <v>8802228189</v>
      </c>
    </row>
    <row r="110" spans="2:6">
      <c r="B110" s="315"/>
      <c r="C110" s="323"/>
      <c r="D110" s="316"/>
      <c r="E110" s="312"/>
    </row>
    <row r="111" spans="2:6" ht="9.75" customHeight="1">
      <c r="B111" s="309" t="s">
        <v>216</v>
      </c>
      <c r="C111" s="310"/>
      <c r="D111" s="316">
        <v>2056310211</v>
      </c>
      <c r="E111" s="312">
        <v>315652372</v>
      </c>
    </row>
    <row r="112" spans="2:6">
      <c r="B112" s="349" t="s">
        <v>113</v>
      </c>
      <c r="C112" s="322"/>
      <c r="D112" s="316">
        <v>0</v>
      </c>
      <c r="E112" s="312">
        <v>424328791</v>
      </c>
    </row>
    <row r="113" spans="2:7" ht="12.75" thickBot="1">
      <c r="B113" s="351" t="s">
        <v>217</v>
      </c>
      <c r="C113" s="353"/>
      <c r="D113" s="354">
        <v>23332346890</v>
      </c>
      <c r="E113" s="354">
        <v>8062247026</v>
      </c>
      <c r="G113" s="205"/>
    </row>
    <row r="114" spans="2:7">
      <c r="B114" s="700" t="s">
        <v>742</v>
      </c>
      <c r="C114" s="700"/>
      <c r="D114" s="700"/>
      <c r="E114" s="700"/>
      <c r="G114" s="205"/>
    </row>
    <row r="115" spans="2:7">
      <c r="D115" s="324">
        <f>+D113-'Balance Gral. Resol. 30'!G77</f>
        <v>-0.36999893188476563</v>
      </c>
      <c r="E115" s="324">
        <f>+E113-'Balance Gral. Resol. 30'!H77</f>
        <v>0</v>
      </c>
    </row>
  </sheetData>
  <sheetProtection algorithmName="SHA-512" hashValue="yMM3/VGmbkl/ZDozVl+zHRsMUFyo2HJUUZSZVgNkbzkEYDgvYSLUa2EgtTj+KOqTP2urmoCQeqj+327jZXtPzg==" saltValue="xMM955lTYa9LnjtFnu3lkw==" spinCount="100000" sheet="1" objects="1" scenarios="1"/>
  <mergeCells count="7">
    <mergeCell ref="B114:E114"/>
    <mergeCell ref="B8:E9"/>
    <mergeCell ref="B4:E4"/>
    <mergeCell ref="B3:E3"/>
    <mergeCell ref="B5:E5"/>
    <mergeCell ref="B6:E6"/>
    <mergeCell ref="B7:E7"/>
  </mergeCells>
  <hyperlinks>
    <hyperlink ref="B11" location="'NOTA V INGRESOS OPERATIVOS'!A1" display="Ingresos Operativos - Nota v" xr:uid="{F1F46B8B-DBD3-4D7D-AC5B-51A19F2D5DDC}"/>
    <hyperlink ref="B45" location="'NOTA W OTROS GASTOS OPER'!A1" display="Gastos de Comercialización -Nota w" xr:uid="{D31CD157-2A5A-4E23-A9DC-2D66B5E5F30A}"/>
    <hyperlink ref="B39" location="'NOTA W OTROS GASTOS OPER'!A1" display="Gastos Operativos - Nota W" xr:uid="{B6AFB1EC-F044-4498-9020-E3DC8DB27DAD}"/>
    <hyperlink ref="B50" location="'NOTA W OTROS GASTOS OPER'!A1" display="Gastos de administración - Nota w" xr:uid="{D7A294A4-C4CA-406D-9705-B669D98CD8DF}"/>
    <hyperlink ref="B88" location="'NOTA X OTROS INGRESOS Y EGR'!A1" display="Otros ingresos y Egresos" xr:uid="{E7E44232-F5A4-4B43-B997-B131EA9B4A9A}"/>
    <hyperlink ref="B92" location="'NOTA Y RESULTADOS FINANC'!A1" display="Resultados financieros" xr:uid="{1A6E68A6-E804-46A2-8EC4-B023D228714E}"/>
    <hyperlink ref="B101" location="'NOTA Z RESULT EXTRA'!A1" display="Resultados  extraordinarias -Nota z" xr:uid="{6C4CAA80-EBC9-4527-8C17-454B9F0F191F}"/>
  </hyperlinks>
  <pageMargins left="0.25" right="0.25" top="0.75" bottom="0.75" header="0.3" footer="0.3"/>
  <pageSetup paperSize="9" scale="7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8"/>
  <sheetViews>
    <sheetView showGridLines="0" zoomScale="120" zoomScaleNormal="120" workbookViewId="0">
      <selection activeCell="C71" sqref="C71"/>
    </sheetView>
  </sheetViews>
  <sheetFormatPr baseColWidth="10" defaultColWidth="11.42578125" defaultRowHeight="12"/>
  <cols>
    <col min="1" max="1" width="11.42578125" style="205"/>
    <col min="2" max="2" width="5.7109375" style="205" customWidth="1"/>
    <col min="3" max="3" width="70.28515625" style="205" customWidth="1"/>
    <col min="4" max="5" width="25.7109375" style="205" customWidth="1"/>
    <col min="6" max="6" width="14.28515625" style="205" bestFit="1" customWidth="1"/>
    <col min="7" max="16384" width="11.42578125" style="205"/>
  </cols>
  <sheetData>
    <row r="1" spans="3:6">
      <c r="C1" s="669"/>
      <c r="D1" s="669"/>
      <c r="E1" s="669"/>
    </row>
    <row r="2" spans="3:6" ht="35.25" customHeight="1">
      <c r="C2" s="669"/>
      <c r="D2" s="669"/>
      <c r="E2" s="669"/>
    </row>
    <row r="3" spans="3:6" ht="15">
      <c r="C3" s="704" t="s">
        <v>0</v>
      </c>
      <c r="D3" s="704"/>
      <c r="E3" s="704"/>
    </row>
    <row r="4" spans="3:6">
      <c r="C4" s="669" t="s">
        <v>218</v>
      </c>
      <c r="D4" s="669"/>
      <c r="E4" s="669"/>
    </row>
    <row r="5" spans="3:6" ht="19.5" customHeight="1">
      <c r="C5" s="697" t="s">
        <v>818</v>
      </c>
      <c r="D5" s="697"/>
      <c r="E5" s="697"/>
    </row>
    <row r="6" spans="3:6">
      <c r="C6" s="703" t="s">
        <v>31</v>
      </c>
      <c r="D6" s="703"/>
      <c r="E6" s="703"/>
    </row>
    <row r="7" spans="3:6" ht="38.25" customHeight="1">
      <c r="C7" s="325"/>
      <c r="D7" s="326" t="str">
        <f>+'Estado de Resultado Resol. 30'!D10</f>
        <v>PERIODO ACTUAL 31/12/ 2021</v>
      </c>
      <c r="E7" s="326" t="str">
        <f>+'Balance Gral. Resol. 30'!E8</f>
        <v>PERIODO ANTERIOR   31/12/ 2020</v>
      </c>
    </row>
    <row r="8" spans="3:6">
      <c r="C8" s="211" t="s">
        <v>219</v>
      </c>
      <c r="D8" s="327"/>
      <c r="E8" s="328"/>
    </row>
    <row r="9" spans="3:6" ht="12" customHeight="1">
      <c r="C9" s="221"/>
      <c r="D9" s="287"/>
      <c r="E9" s="329"/>
      <c r="F9" s="262"/>
    </row>
    <row r="10" spans="3:6">
      <c r="C10" s="221" t="s">
        <v>220</v>
      </c>
      <c r="D10" s="329">
        <f>+' Flujo de Fondos Calculo INVEST'!B61</f>
        <v>31349870226</v>
      </c>
      <c r="E10" s="329">
        <v>5648327818</v>
      </c>
      <c r="F10" s="262"/>
    </row>
    <row r="11" spans="3:6" ht="12.6" customHeight="1">
      <c r="C11" s="221" t="s">
        <v>221</v>
      </c>
      <c r="D11" s="329">
        <f>+' Flujo de Fondos Calculo INVEST'!B64</f>
        <v>-4171416716</v>
      </c>
      <c r="E11" s="329">
        <v>-2234319751</v>
      </c>
    </row>
    <row r="12" spans="3:6">
      <c r="C12" s="221" t="s">
        <v>222</v>
      </c>
      <c r="D12" s="329">
        <f>+' Flujo de Fondos Calculo INVEST'!B62</f>
        <v>615925306</v>
      </c>
      <c r="E12" s="329">
        <v>5762534240</v>
      </c>
    </row>
    <row r="13" spans="3:6">
      <c r="C13" s="221"/>
      <c r="D13" s="329"/>
      <c r="E13" s="329"/>
    </row>
    <row r="14" spans="3:6">
      <c r="C14" s="330" t="s">
        <v>223</v>
      </c>
      <c r="D14" s="331"/>
      <c r="E14" s="331"/>
    </row>
    <row r="15" spans="3:6">
      <c r="C15" s="330" t="s">
        <v>224</v>
      </c>
      <c r="D15" s="332">
        <f>SUM(D10:D13)</f>
        <v>27794378816</v>
      </c>
      <c r="E15" s="332">
        <v>9176542307</v>
      </c>
    </row>
    <row r="16" spans="3:6">
      <c r="C16" s="333"/>
      <c r="D16" s="331"/>
      <c r="E16" s="331"/>
    </row>
    <row r="17" spans="3:5">
      <c r="C17" s="330" t="s">
        <v>225</v>
      </c>
      <c r="D17" s="331"/>
      <c r="E17" s="331"/>
    </row>
    <row r="18" spans="3:5">
      <c r="C18" s="333"/>
      <c r="D18" s="331"/>
      <c r="E18" s="331"/>
    </row>
    <row r="19" spans="3:5">
      <c r="C19" s="333" t="s">
        <v>226</v>
      </c>
      <c r="D19" s="331">
        <v>0</v>
      </c>
      <c r="E19" s="331">
        <v>0</v>
      </c>
    </row>
    <row r="20" spans="3:5">
      <c r="C20" s="333"/>
      <c r="D20" s="356">
        <f>SUM(D18:D19)</f>
        <v>0</v>
      </c>
      <c r="E20" s="332">
        <v>0</v>
      </c>
    </row>
    <row r="21" spans="3:5">
      <c r="C21" s="330" t="s">
        <v>227</v>
      </c>
      <c r="D21" s="331"/>
      <c r="E21" s="331"/>
    </row>
    <row r="22" spans="3:5">
      <c r="C22" s="333" t="s">
        <v>947</v>
      </c>
      <c r="D22" s="331">
        <f>+' Flujo de Fondos Calculo INVEST'!B65</f>
        <v>-10785054904</v>
      </c>
      <c r="E22" s="331">
        <v>0</v>
      </c>
    </row>
    <row r="23" spans="3:5">
      <c r="C23" s="333"/>
      <c r="D23" s="331"/>
      <c r="E23" s="331"/>
    </row>
    <row r="24" spans="3:5">
      <c r="C24" s="330" t="s">
        <v>228</v>
      </c>
      <c r="D24" s="356">
        <f>D15+D20+D22</f>
        <v>17009323912</v>
      </c>
      <c r="E24" s="332">
        <v>9176542307</v>
      </c>
    </row>
    <row r="25" spans="3:5">
      <c r="C25" s="333"/>
      <c r="D25" s="331"/>
      <c r="E25" s="331"/>
    </row>
    <row r="26" spans="3:5">
      <c r="C26" s="333" t="s">
        <v>216</v>
      </c>
      <c r="D26" s="331">
        <f>+' Flujo de Fondos Calculo INVEST'!B66</f>
        <v>-94696645</v>
      </c>
      <c r="E26" s="331">
        <v>-714280651</v>
      </c>
    </row>
    <row r="27" spans="3:5">
      <c r="C27" s="333"/>
      <c r="D27" s="331"/>
      <c r="E27" s="331"/>
    </row>
    <row r="28" spans="3:5">
      <c r="C28" s="330" t="s">
        <v>229</v>
      </c>
      <c r="D28" s="332">
        <f>+D24+D26</f>
        <v>16914627267</v>
      </c>
      <c r="E28" s="332">
        <v>8462261656</v>
      </c>
    </row>
    <row r="29" spans="3:5">
      <c r="C29" s="330"/>
      <c r="D29" s="334"/>
      <c r="E29" s="334"/>
    </row>
    <row r="30" spans="3:5">
      <c r="C30" s="330" t="s">
        <v>230</v>
      </c>
      <c r="D30" s="331"/>
      <c r="E30" s="331"/>
    </row>
    <row r="31" spans="3:5">
      <c r="C31" s="330"/>
      <c r="D31" s="331"/>
      <c r="E31" s="331"/>
    </row>
    <row r="32" spans="3:5">
      <c r="C32" s="333" t="s">
        <v>231</v>
      </c>
      <c r="D32" s="331">
        <f>+' Flujo de Fondos Calculo INVEST'!B70</f>
        <v>-16768500000</v>
      </c>
      <c r="E32" s="331">
        <v>-4591000000</v>
      </c>
    </row>
    <row r="33" spans="3:5">
      <c r="C33" s="333" t="s">
        <v>232</v>
      </c>
      <c r="D33" s="331">
        <v>0</v>
      </c>
      <c r="E33" s="331"/>
    </row>
    <row r="34" spans="3:5">
      <c r="C34" s="333" t="s">
        <v>233</v>
      </c>
      <c r="D34" s="331">
        <v>0</v>
      </c>
      <c r="E34" s="331">
        <v>0</v>
      </c>
    </row>
    <row r="35" spans="3:5">
      <c r="C35" s="333" t="s">
        <v>234</v>
      </c>
      <c r="D35" s="331">
        <f>+' Flujo de Fondos Calculo INVEST'!B71-1</f>
        <v>-5140612142</v>
      </c>
      <c r="E35" s="331">
        <v>-1468279023</v>
      </c>
    </row>
    <row r="36" spans="3:5">
      <c r="C36" s="333" t="s">
        <v>235</v>
      </c>
      <c r="D36" s="331">
        <f>+' Flujo de Fondos Calculo INVEST'!B72</f>
        <v>-66143717565</v>
      </c>
      <c r="E36" s="331">
        <v>-43195589023</v>
      </c>
    </row>
    <row r="37" spans="3:5">
      <c r="C37" s="333" t="s">
        <v>236</v>
      </c>
      <c r="D37" s="331" t="s">
        <v>539</v>
      </c>
      <c r="E37" s="331">
        <v>0</v>
      </c>
    </row>
    <row r="38" spans="3:5">
      <c r="C38" s="333" t="s">
        <v>237</v>
      </c>
      <c r="D38" s="331" t="s">
        <v>539</v>
      </c>
      <c r="E38" s="331">
        <v>308095630</v>
      </c>
    </row>
    <row r="39" spans="3:5">
      <c r="C39" s="333"/>
      <c r="D39" s="331"/>
      <c r="E39" s="331"/>
    </row>
    <row r="40" spans="3:5">
      <c r="C40" s="330" t="s">
        <v>238</v>
      </c>
      <c r="D40" s="332">
        <f>SUM(D32:D38)</f>
        <v>-88052829707</v>
      </c>
      <c r="E40" s="332">
        <v>-48946772416</v>
      </c>
    </row>
    <row r="41" spans="3:5">
      <c r="C41" s="330"/>
      <c r="D41" s="334"/>
      <c r="E41" s="334"/>
    </row>
    <row r="42" spans="3:5">
      <c r="C42" s="330" t="s">
        <v>239</v>
      </c>
      <c r="D42" s="331"/>
      <c r="E42" s="331"/>
    </row>
    <row r="43" spans="3:5">
      <c r="C43" s="330"/>
      <c r="D43" s="331"/>
      <c r="E43" s="331"/>
    </row>
    <row r="44" spans="3:5">
      <c r="C44" s="333" t="s">
        <v>240</v>
      </c>
      <c r="D44" s="331">
        <f>+' Flujo de Fondos Calculo INVEST'!B84</f>
        <v>164933184</v>
      </c>
      <c r="E44" s="331">
        <v>0</v>
      </c>
    </row>
    <row r="45" spans="3:5">
      <c r="C45" s="333" t="s">
        <v>241</v>
      </c>
      <c r="D45" s="331">
        <f>+' Flujo de Fondos Calculo INVEST'!B82</f>
        <v>78554655632</v>
      </c>
      <c r="E45" s="331">
        <v>42712731509</v>
      </c>
    </row>
    <row r="46" spans="3:5">
      <c r="C46" s="333" t="s">
        <v>242</v>
      </c>
      <c r="D46" s="331">
        <f>+' Flujo de Fondos Calculo INVEST'!B83</f>
        <v>-5434782609</v>
      </c>
      <c r="E46" s="331">
        <v>0</v>
      </c>
    </row>
    <row r="47" spans="3:5" ht="12.75" customHeight="1">
      <c r="C47" s="333" t="s">
        <v>209</v>
      </c>
      <c r="D47" s="331" t="s">
        <v>539</v>
      </c>
      <c r="E47" s="331">
        <v>0</v>
      </c>
    </row>
    <row r="48" spans="3:5" ht="12.75" customHeight="1">
      <c r="C48" s="333"/>
      <c r="D48" s="331"/>
      <c r="E48" s="331"/>
    </row>
    <row r="49" spans="3:6" ht="12.75" customHeight="1">
      <c r="C49" s="330" t="s">
        <v>243</v>
      </c>
      <c r="D49" s="332">
        <f>SUM(D44:D48)</f>
        <v>73284806207</v>
      </c>
      <c r="E49" s="332">
        <v>42712731509</v>
      </c>
    </row>
    <row r="50" spans="3:6">
      <c r="C50" s="333"/>
      <c r="D50" s="331"/>
      <c r="E50" s="331"/>
    </row>
    <row r="51" spans="3:6">
      <c r="C51" s="330" t="s">
        <v>244</v>
      </c>
      <c r="D51" s="331"/>
      <c r="E51" s="331"/>
    </row>
    <row r="52" spans="3:6">
      <c r="C52" s="330"/>
      <c r="D52" s="331"/>
      <c r="E52" s="331"/>
    </row>
    <row r="53" spans="3:6" ht="16.5" customHeight="1">
      <c r="C53" s="333" t="s">
        <v>245</v>
      </c>
      <c r="D53" s="334">
        <f>+D24+D26+D40+D49</f>
        <v>2146603767</v>
      </c>
      <c r="E53" s="334">
        <v>2228220749</v>
      </c>
      <c r="F53" s="265"/>
    </row>
    <row r="54" spans="3:6">
      <c r="C54" s="335" t="s">
        <v>246</v>
      </c>
      <c r="D54" s="336">
        <v>3899258412</v>
      </c>
      <c r="E54" s="336">
        <v>1671037663</v>
      </c>
    </row>
    <row r="55" spans="3:6" ht="12.75" thickBot="1">
      <c r="C55" s="337" t="s">
        <v>247</v>
      </c>
      <c r="D55" s="338">
        <f>D53+D54</f>
        <v>6045862179</v>
      </c>
      <c r="E55" s="338">
        <v>3899258412</v>
      </c>
    </row>
    <row r="56" spans="3:6" ht="12.75" thickTop="1">
      <c r="C56" s="702" t="s">
        <v>742</v>
      </c>
      <c r="D56" s="702"/>
      <c r="E56" s="702"/>
      <c r="F56" s="487"/>
    </row>
    <row r="57" spans="3:6" hidden="1">
      <c r="D57" s="324">
        <f>+D55-'Balance Gral. Resol. 30'!D14</f>
        <v>-1</v>
      </c>
    </row>
    <row r="58" spans="3:6">
      <c r="D58" s="324">
        <f>+D55-'Balance Gral. Resol. 30'!D14</f>
        <v>-1</v>
      </c>
      <c r="E58" s="324">
        <f>+E55-'Balance Gral. Resol. 30'!E14</f>
        <v>0</v>
      </c>
    </row>
  </sheetData>
  <sheetProtection algorithmName="SHA-512" hashValue="PvOlzBNxCpSjqE20On5vuQHsxB4Sd3CX6TAX9rpnX9LcVOpFggNWBnG+oIUCxTYmWM2tyi1PhD+fx+8ENEozfg==" saltValue="rpzeM+gVeU81qer59Ql1Yw==" spinCount="100000" sheet="1" objects="1" scenarios="1"/>
  <mergeCells count="7">
    <mergeCell ref="C56:E56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K34"/>
  <sheetViews>
    <sheetView showGridLines="0" zoomScale="110" zoomScaleNormal="110" workbookViewId="0">
      <selection activeCell="C71" sqref="C71"/>
    </sheetView>
  </sheetViews>
  <sheetFormatPr baseColWidth="10" defaultColWidth="11.42578125" defaultRowHeight="12"/>
  <cols>
    <col min="1" max="1" width="5.28515625" style="25" customWidth="1"/>
    <col min="2" max="2" width="40.28515625" style="25" customWidth="1"/>
    <col min="3" max="8" width="15.7109375" style="39" customWidth="1"/>
    <col min="9" max="11" width="15.7109375" style="25" customWidth="1"/>
    <col min="12" max="16384" width="11.42578125" style="25"/>
  </cols>
  <sheetData>
    <row r="1" spans="2:11" ht="79.150000000000006" customHeight="1"/>
    <row r="2" spans="2:11" ht="15.75">
      <c r="B2" s="706" t="s">
        <v>0</v>
      </c>
      <c r="C2" s="706"/>
      <c r="D2" s="706"/>
      <c r="E2" s="706"/>
      <c r="F2" s="706"/>
      <c r="G2" s="706"/>
      <c r="H2" s="706"/>
      <c r="I2" s="706"/>
      <c r="J2" s="706"/>
      <c r="K2" s="706"/>
    </row>
    <row r="3" spans="2:11">
      <c r="B3" s="669" t="s">
        <v>248</v>
      </c>
      <c r="C3" s="669"/>
      <c r="D3" s="669"/>
      <c r="E3" s="669"/>
      <c r="F3" s="669"/>
      <c r="G3" s="669"/>
      <c r="H3" s="669"/>
      <c r="I3" s="669"/>
      <c r="J3" s="669"/>
      <c r="K3" s="669"/>
    </row>
    <row r="4" spans="2:11">
      <c r="B4" s="669" t="s">
        <v>818</v>
      </c>
      <c r="C4" s="669"/>
      <c r="D4" s="669"/>
      <c r="E4" s="669"/>
      <c r="F4" s="669"/>
      <c r="G4" s="669"/>
      <c r="H4" s="669"/>
      <c r="I4" s="669"/>
      <c r="J4" s="669"/>
      <c r="K4" s="669"/>
    </row>
    <row r="5" spans="2:11" ht="15" customHeight="1">
      <c r="B5" s="698" t="s">
        <v>31</v>
      </c>
      <c r="C5" s="698"/>
      <c r="D5" s="698"/>
      <c r="E5" s="698"/>
      <c r="F5" s="698"/>
      <c r="G5" s="698"/>
      <c r="H5" s="698"/>
      <c r="I5" s="698"/>
      <c r="J5" s="698"/>
      <c r="K5" s="698"/>
    </row>
    <row r="6" spans="2:11" ht="15" customHeight="1" thickBot="1">
      <c r="B6" s="250"/>
      <c r="C6" s="250"/>
      <c r="D6" s="25"/>
      <c r="E6" s="25"/>
      <c r="F6" s="25"/>
      <c r="G6" s="25"/>
      <c r="H6" s="25"/>
    </row>
    <row r="7" spans="2:11" s="270" customFormat="1" ht="13.5" customHeight="1" thickBot="1">
      <c r="B7" s="250"/>
      <c r="C7" s="707" t="s">
        <v>249</v>
      </c>
      <c r="D7" s="708"/>
      <c r="E7" s="707" t="s">
        <v>250</v>
      </c>
      <c r="F7" s="708"/>
      <c r="G7" s="709"/>
      <c r="H7" s="708" t="s">
        <v>251</v>
      </c>
      <c r="I7" s="710"/>
      <c r="J7" s="711" t="s">
        <v>252</v>
      </c>
      <c r="K7" s="709"/>
    </row>
    <row r="8" spans="2:11" s="270" customFormat="1" ht="24.75" thickBot="1">
      <c r="B8" s="271" t="s">
        <v>253</v>
      </c>
      <c r="C8" s="272" t="s">
        <v>254</v>
      </c>
      <c r="D8" s="273" t="s">
        <v>255</v>
      </c>
      <c r="E8" s="274" t="s">
        <v>256</v>
      </c>
      <c r="F8" s="275" t="s">
        <v>505</v>
      </c>
      <c r="G8" s="273" t="s">
        <v>257</v>
      </c>
      <c r="H8" s="274" t="s">
        <v>258</v>
      </c>
      <c r="I8" s="276" t="s">
        <v>259</v>
      </c>
      <c r="J8" s="382" t="str">
        <f>+'Estado de Resultado Resol. 30'!D10</f>
        <v>PERIODO ACTUAL 31/12/ 2021</v>
      </c>
      <c r="K8" s="383" t="str">
        <f>+'Balance Gral. Resol. 30'!H8</f>
        <v>PERIODO ANTERIOR   31/12/ 2020</v>
      </c>
    </row>
    <row r="9" spans="2:11" s="132" customFormat="1">
      <c r="B9" s="277"/>
      <c r="C9" s="278"/>
      <c r="D9" s="279"/>
      <c r="E9" s="278"/>
      <c r="F9" s="280"/>
      <c r="G9" s="279"/>
      <c r="H9" s="278"/>
      <c r="I9" s="279"/>
      <c r="J9" s="278"/>
      <c r="K9" s="279"/>
    </row>
    <row r="10" spans="2:11" s="132" customFormat="1" ht="24" customHeight="1">
      <c r="B10" s="277" t="s">
        <v>260</v>
      </c>
      <c r="C10" s="278">
        <f>+'Balance Gral. Resol. 30'!H74</f>
        <v>0</v>
      </c>
      <c r="D10" s="279">
        <f>+'Balance Gral. Resol. 30'!H64</f>
        <v>24288000001</v>
      </c>
      <c r="E10" s="278">
        <f>+'Balance Gral. Resol. 30'!H67</f>
        <v>1546573343</v>
      </c>
      <c r="F10" s="280">
        <f>+'Balance Gral. Resol. 30'!H69</f>
        <v>101000000</v>
      </c>
      <c r="G10" s="279">
        <f>+'Balance Gral. Resol. 30'!H68</f>
        <v>946670</v>
      </c>
      <c r="H10" s="281">
        <f>+'Balance Gral. Resol. 30'!H76</f>
        <v>0</v>
      </c>
      <c r="I10" s="279">
        <f>+'Balance Gral. Resol. 30'!H77</f>
        <v>8062247026</v>
      </c>
      <c r="J10" s="282">
        <f>SUM(C10:I10)</f>
        <v>33998767040</v>
      </c>
      <c r="K10" s="283">
        <v>26371191314</v>
      </c>
    </row>
    <row r="11" spans="2:11" s="132" customFormat="1" ht="24" customHeight="1">
      <c r="B11" s="277"/>
      <c r="C11" s="278"/>
      <c r="D11" s="279"/>
      <c r="E11" s="278"/>
      <c r="F11" s="280"/>
      <c r="G11" s="279"/>
      <c r="H11" s="281"/>
      <c r="I11" s="279"/>
      <c r="J11" s="282">
        <f t="shared" ref="J11:J25" si="0">SUM(C11:I11)</f>
        <v>0</v>
      </c>
      <c r="K11" s="283">
        <v>0</v>
      </c>
    </row>
    <row r="12" spans="2:11" s="132" customFormat="1" ht="24" customHeight="1">
      <c r="B12" s="284" t="s">
        <v>261</v>
      </c>
      <c r="C12" s="278"/>
      <c r="D12" s="279"/>
      <c r="E12" s="278"/>
      <c r="F12" s="285"/>
      <c r="G12" s="286"/>
      <c r="H12" s="281"/>
      <c r="I12" s="279"/>
      <c r="J12" s="282">
        <f t="shared" si="0"/>
        <v>0</v>
      </c>
      <c r="K12" s="283">
        <v>0</v>
      </c>
    </row>
    <row r="13" spans="2:11" s="132" customFormat="1" ht="24" customHeight="1">
      <c r="B13" s="277"/>
      <c r="C13" s="278"/>
      <c r="D13" s="279"/>
      <c r="E13" s="278"/>
      <c r="F13" s="285"/>
      <c r="G13" s="286"/>
      <c r="H13" s="281"/>
      <c r="I13" s="279"/>
      <c r="J13" s="282">
        <f t="shared" si="0"/>
        <v>0</v>
      </c>
      <c r="K13" s="283">
        <v>0</v>
      </c>
    </row>
    <row r="14" spans="2:11" s="132" customFormat="1" ht="24" customHeight="1">
      <c r="B14" s="277" t="s">
        <v>262</v>
      </c>
      <c r="C14" s="278" t="s">
        <v>263</v>
      </c>
      <c r="D14" s="279" t="s">
        <v>263</v>
      </c>
      <c r="E14" s="281">
        <f>+E26-E10</f>
        <v>0</v>
      </c>
      <c r="F14" s="285">
        <v>0</v>
      </c>
      <c r="G14" s="286" t="s">
        <v>263</v>
      </c>
      <c r="H14" s="281" t="s">
        <v>263</v>
      </c>
      <c r="I14" s="279" t="s">
        <v>263</v>
      </c>
      <c r="J14" s="282">
        <f t="shared" si="0"/>
        <v>0</v>
      </c>
      <c r="K14" s="283">
        <v>424328791</v>
      </c>
    </row>
    <row r="15" spans="2:11" s="132" customFormat="1" ht="24" customHeight="1">
      <c r="B15" s="277"/>
      <c r="C15" s="278"/>
      <c r="D15" s="279"/>
      <c r="E15" s="281"/>
      <c r="F15" s="285"/>
      <c r="G15" s="286"/>
      <c r="H15" s="281"/>
      <c r="I15" s="279"/>
      <c r="J15" s="282">
        <f t="shared" si="0"/>
        <v>0</v>
      </c>
      <c r="K15" s="283">
        <v>0</v>
      </c>
    </row>
    <row r="16" spans="2:11" s="132" customFormat="1" ht="24" customHeight="1">
      <c r="B16" s="277" t="s">
        <v>264</v>
      </c>
      <c r="C16" s="278" t="s">
        <v>263</v>
      </c>
      <c r="D16" s="279" t="s">
        <v>263</v>
      </c>
      <c r="E16" s="281" t="s">
        <v>263</v>
      </c>
      <c r="F16" s="287">
        <v>0</v>
      </c>
      <c r="G16" s="286">
        <f>+G26-G10-G24</f>
        <v>0</v>
      </c>
      <c r="H16" s="281" t="s">
        <v>263</v>
      </c>
      <c r="I16" s="279" t="s">
        <v>263</v>
      </c>
      <c r="J16" s="282">
        <f t="shared" si="0"/>
        <v>0</v>
      </c>
      <c r="K16" s="283">
        <v>101000000</v>
      </c>
    </row>
    <row r="17" spans="2:11" s="132" customFormat="1" ht="24" customHeight="1">
      <c r="B17" s="277"/>
      <c r="C17" s="278"/>
      <c r="D17" s="279"/>
      <c r="E17" s="281"/>
      <c r="F17" s="285"/>
      <c r="G17" s="286"/>
      <c r="H17" s="281"/>
      <c r="I17" s="279"/>
      <c r="J17" s="282">
        <f t="shared" si="0"/>
        <v>0</v>
      </c>
      <c r="K17" s="283">
        <v>0</v>
      </c>
    </row>
    <row r="18" spans="2:11" s="132" customFormat="1" ht="24" customHeight="1">
      <c r="B18" s="277" t="s">
        <v>122</v>
      </c>
      <c r="C18" s="278" t="s">
        <v>263</v>
      </c>
      <c r="D18" s="279" t="s">
        <v>263</v>
      </c>
      <c r="E18" s="281" t="s">
        <v>263</v>
      </c>
      <c r="F18" s="287" t="s">
        <v>263</v>
      </c>
      <c r="G18" s="286" t="s">
        <v>263</v>
      </c>
      <c r="H18" s="281" t="s">
        <v>263</v>
      </c>
      <c r="I18" s="279" t="s">
        <v>263</v>
      </c>
      <c r="J18" s="282">
        <f t="shared" si="0"/>
        <v>0</v>
      </c>
      <c r="K18" s="283">
        <v>0</v>
      </c>
    </row>
    <row r="19" spans="2:11" s="132" customFormat="1" ht="24" customHeight="1">
      <c r="B19" s="277"/>
      <c r="C19" s="278"/>
      <c r="D19" s="279"/>
      <c r="E19" s="281"/>
      <c r="F19" s="287"/>
      <c r="G19" s="286"/>
      <c r="H19" s="281"/>
      <c r="I19" s="279"/>
      <c r="J19" s="282">
        <f t="shared" si="0"/>
        <v>0</v>
      </c>
      <c r="K19" s="283">
        <v>0</v>
      </c>
    </row>
    <row r="20" spans="2:11" s="132" customFormat="1" ht="24" customHeight="1">
      <c r="B20" s="277" t="s">
        <v>265</v>
      </c>
      <c r="C20" s="278">
        <f>+C26-C10</f>
        <v>8933184</v>
      </c>
      <c r="E20" s="281">
        <v>0</v>
      </c>
      <c r="F20" s="287" t="s">
        <v>263</v>
      </c>
      <c r="G20" s="286" t="s">
        <v>263</v>
      </c>
      <c r="H20" s="281" t="s">
        <v>263</v>
      </c>
      <c r="I20" s="279" t="s">
        <v>263</v>
      </c>
      <c r="J20" s="282">
        <f t="shared" si="0"/>
        <v>8933184</v>
      </c>
      <c r="K20" s="283">
        <v>-960000091</v>
      </c>
    </row>
    <row r="21" spans="2:11" s="132" customFormat="1" ht="24" customHeight="1">
      <c r="B21" s="277"/>
      <c r="C21" s="278"/>
      <c r="D21" s="279"/>
      <c r="E21" s="281"/>
      <c r="F21" s="287"/>
      <c r="G21" s="286"/>
      <c r="H21" s="281"/>
      <c r="I21" s="279"/>
      <c r="J21" s="282">
        <f t="shared" si="0"/>
        <v>0</v>
      </c>
      <c r="K21" s="283">
        <v>0</v>
      </c>
    </row>
    <row r="22" spans="2:11" s="132" customFormat="1" ht="24" customHeight="1">
      <c r="B22" s="277" t="s">
        <v>266</v>
      </c>
      <c r="C22" s="278" t="s">
        <v>263</v>
      </c>
      <c r="D22" s="279">
        <v>0</v>
      </c>
      <c r="E22" s="281" t="s">
        <v>263</v>
      </c>
      <c r="F22" s="287" t="s">
        <v>263</v>
      </c>
      <c r="G22" s="286" t="s">
        <v>263</v>
      </c>
      <c r="H22" s="281" t="s">
        <v>263</v>
      </c>
      <c r="I22" s="279">
        <v>-5434782609</v>
      </c>
      <c r="J22" s="282">
        <f t="shared" si="0"/>
        <v>-5434782609</v>
      </c>
      <c r="K22" s="279">
        <v>0</v>
      </c>
    </row>
    <row r="23" spans="2:11" s="132" customFormat="1" ht="24" customHeight="1">
      <c r="B23" s="277"/>
      <c r="C23" s="278"/>
      <c r="D23" s="279"/>
      <c r="E23" s="281"/>
      <c r="F23" s="285"/>
      <c r="G23" s="286"/>
      <c r="H23" s="281"/>
      <c r="I23" s="279"/>
      <c r="J23" s="282">
        <f t="shared" si="0"/>
        <v>0</v>
      </c>
      <c r="K23" s="283">
        <v>0</v>
      </c>
    </row>
    <row r="24" spans="2:11" s="132" customFormat="1" ht="24" customHeight="1">
      <c r="B24" s="277" t="s">
        <v>267</v>
      </c>
      <c r="C24" s="278">
        <v>0</v>
      </c>
      <c r="D24" s="279">
        <f>+D26-D27</f>
        <v>2876000000</v>
      </c>
      <c r="E24" s="281">
        <v>0</v>
      </c>
      <c r="F24" s="287">
        <f>-F27</f>
        <v>-101000000</v>
      </c>
      <c r="G24" s="286">
        <f>+G26-G10</f>
        <v>-946670</v>
      </c>
      <c r="H24" s="281">
        <f>+H26-H27</f>
        <v>9411087</v>
      </c>
      <c r="I24" s="279">
        <f>(+I27+I22)*-1</f>
        <v>-2627464417</v>
      </c>
      <c r="J24" s="282">
        <f t="shared" si="0"/>
        <v>156000000</v>
      </c>
      <c r="K24" s="283">
        <v>0</v>
      </c>
    </row>
    <row r="25" spans="2:11" s="132" customFormat="1" ht="24" customHeight="1" thickBot="1">
      <c r="B25" s="277" t="s">
        <v>124</v>
      </c>
      <c r="C25" s="288" t="s">
        <v>263</v>
      </c>
      <c r="D25" s="289" t="s">
        <v>263</v>
      </c>
      <c r="E25" s="288" t="s">
        <v>263</v>
      </c>
      <c r="F25" s="290">
        <f>+F26</f>
        <v>49000000</v>
      </c>
      <c r="G25" s="289" t="s">
        <v>263</v>
      </c>
      <c r="H25" s="291"/>
      <c r="I25" s="289">
        <f>+I26</f>
        <v>23332346890.369999</v>
      </c>
      <c r="J25" s="282">
        <f t="shared" si="0"/>
        <v>23381346890.369999</v>
      </c>
      <c r="K25" s="292">
        <v>8062247026</v>
      </c>
    </row>
    <row r="26" spans="2:11" s="132" customFormat="1" ht="24" customHeight="1" thickBot="1">
      <c r="B26" s="293" t="s">
        <v>948</v>
      </c>
      <c r="C26" s="294">
        <f>+'Balance Gral. Resol. 30'!G74</f>
        <v>8933184</v>
      </c>
      <c r="D26" s="295">
        <f>+'Balance Gral. Resol. 30'!G64</f>
        <v>27164000001</v>
      </c>
      <c r="E26" s="296">
        <f>+'Balance Gral. Resol. 30'!G67</f>
        <v>1546573343</v>
      </c>
      <c r="F26" s="295">
        <f>+'Balance Gral. Resol. 30'!G69</f>
        <v>49000000</v>
      </c>
      <c r="G26" s="297">
        <f>+'Balance Gral. Resol. 30'!G68</f>
        <v>0</v>
      </c>
      <c r="H26" s="294">
        <f>+'Balance Gral. Resol. 30'!G76</f>
        <v>9411087</v>
      </c>
      <c r="I26" s="295">
        <f>+'Balance Gral. Resol. 30'!G77</f>
        <v>23332346890.369999</v>
      </c>
      <c r="J26" s="298">
        <f>SUM(C26:I26)</f>
        <v>52110264505.369995</v>
      </c>
      <c r="K26" s="299">
        <f>SUM(K10:K25)</f>
        <v>33998767040</v>
      </c>
    </row>
    <row r="27" spans="2:11" s="132" customFormat="1" ht="24" customHeight="1" thickBot="1">
      <c r="B27" s="300" t="s">
        <v>949</v>
      </c>
      <c r="C27" s="301">
        <f>+'Balance Gral. Resol. 30'!H74</f>
        <v>0</v>
      </c>
      <c r="D27" s="301">
        <f>+'Balance Gral. Resol. 30'!H65</f>
        <v>24288000001</v>
      </c>
      <c r="E27" s="301">
        <f>+'Balance Gral. Resol. 30'!H67</f>
        <v>1546573343</v>
      </c>
      <c r="F27" s="301">
        <f>+'Balance Gral. Resol. 30'!H69</f>
        <v>101000000</v>
      </c>
      <c r="G27" s="301">
        <f>+'Balance Gral. Resol. 30'!H68</f>
        <v>946670</v>
      </c>
      <c r="H27" s="301">
        <f>+'Balance Gral. Resol. 30'!H76</f>
        <v>0</v>
      </c>
      <c r="I27" s="301">
        <f>+'Balance Gral. Resol. 30'!H77</f>
        <v>8062247026</v>
      </c>
      <c r="J27" s="298">
        <f>SUM(C27:I27)</f>
        <v>33998767040</v>
      </c>
      <c r="K27" s="658"/>
    </row>
    <row r="28" spans="2:11">
      <c r="B28" s="705" t="s">
        <v>742</v>
      </c>
      <c r="C28" s="705"/>
      <c r="D28" s="705"/>
      <c r="E28" s="705"/>
      <c r="F28" s="705"/>
      <c r="G28" s="705"/>
      <c r="H28" s="705"/>
      <c r="I28" s="705"/>
      <c r="J28" s="705"/>
      <c r="K28" s="705"/>
    </row>
    <row r="29" spans="2:11" hidden="1">
      <c r="D29" s="39">
        <f>SUM(D10:D25)</f>
        <v>27164000001</v>
      </c>
      <c r="E29" s="39">
        <f t="shared" ref="E29:J29" si="1">SUM(E10:E25)</f>
        <v>1546573343</v>
      </c>
      <c r="F29" s="39">
        <f t="shared" si="1"/>
        <v>49000000</v>
      </c>
      <c r="G29" s="39">
        <f t="shared" si="1"/>
        <v>0</v>
      </c>
      <c r="H29" s="39">
        <f t="shared" si="1"/>
        <v>9411087</v>
      </c>
      <c r="I29" s="39">
        <f t="shared" si="1"/>
        <v>23332346890.369999</v>
      </c>
      <c r="J29" s="39">
        <f t="shared" si="1"/>
        <v>52110264505.369995</v>
      </c>
      <c r="K29" s="55">
        <f>+J26-'Balance Gral. Resol. 30'!G79</f>
        <v>0</v>
      </c>
    </row>
    <row r="30" spans="2:11" hidden="1"/>
    <row r="31" spans="2:11" hidden="1">
      <c r="C31" s="55">
        <f t="shared" ref="C31:I31" si="2">+C29-C26</f>
        <v>-8933184</v>
      </c>
      <c r="D31" s="55">
        <f t="shared" si="2"/>
        <v>0</v>
      </c>
      <c r="E31" s="55">
        <f t="shared" si="2"/>
        <v>0</v>
      </c>
      <c r="F31" s="55">
        <f t="shared" si="2"/>
        <v>0</v>
      </c>
      <c r="G31" s="55">
        <f t="shared" si="2"/>
        <v>0</v>
      </c>
      <c r="H31" s="55">
        <f t="shared" si="2"/>
        <v>0</v>
      </c>
      <c r="I31" s="55">
        <f t="shared" si="2"/>
        <v>0</v>
      </c>
      <c r="J31" s="55">
        <f>+J29-J26</f>
        <v>0</v>
      </c>
    </row>
    <row r="32" spans="2:11">
      <c r="J32" s="55">
        <f>+J26-'Balance Gral. Resol. 30'!G79</f>
        <v>0</v>
      </c>
      <c r="K32" s="55">
        <f>+K26-'Balance Gral. Resol. 30'!H79</f>
        <v>0</v>
      </c>
    </row>
    <row r="34" spans="10:11">
      <c r="J34" s="55">
        <f>+J27-J10</f>
        <v>0</v>
      </c>
      <c r="K34" s="55">
        <f>SUM(J10:J25)-J26</f>
        <v>0</v>
      </c>
    </row>
  </sheetData>
  <sheetProtection algorithmName="SHA-512" hashValue="TmoqJ8EkpPNAGDuv4+XvpBHKI+RjB3wXbqMO9uNbnLEEvy7/Tr0d4hVqEWHJf7GKZceCnzOGIf/fTIb8OkZ62Q==" saltValue="decYxsdhw8Sx1rwZUEfszg==" spinCount="100000" sheet="1" objects="1" scenarios="1"/>
  <mergeCells count="9">
    <mergeCell ref="B28:K28"/>
    <mergeCell ref="B2:K2"/>
    <mergeCell ref="C7:D7"/>
    <mergeCell ref="E7:G7"/>
    <mergeCell ref="H7:I7"/>
    <mergeCell ref="J7:K7"/>
    <mergeCell ref="B3:K3"/>
    <mergeCell ref="B4:K4"/>
    <mergeCell ref="B5:K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CB10-A66E-41DC-9512-FD39F5089376}">
  <sheetPr>
    <tabColor rgb="FFA32794"/>
  </sheetPr>
  <dimension ref="A1:DG99"/>
  <sheetViews>
    <sheetView zoomScale="130" zoomScaleNormal="130" workbookViewId="0">
      <pane xSplit="1" ySplit="7" topLeftCell="B58" activePane="bottomRight" state="frozen"/>
      <selection pane="topRight" activeCell="B1" sqref="B1"/>
      <selection pane="bottomLeft" activeCell="A8" sqref="A8"/>
      <selection pane="bottomRight" activeCell="C64" sqref="C64"/>
    </sheetView>
  </sheetViews>
  <sheetFormatPr baseColWidth="10" defaultColWidth="11.42578125" defaultRowHeight="12.75"/>
  <cols>
    <col min="1" max="1" width="45.7109375" style="512" customWidth="1"/>
    <col min="2" max="2" width="28.28515625" style="512" bestFit="1" customWidth="1"/>
    <col min="3" max="3" width="18.42578125" style="512" bestFit="1" customWidth="1"/>
    <col min="4" max="4" width="19.28515625" style="512" bestFit="1" customWidth="1"/>
    <col min="5" max="6" width="16" style="512" customWidth="1"/>
    <col min="7" max="7" width="18.42578125" style="512" bestFit="1" customWidth="1"/>
    <col min="8" max="8" width="14.42578125" style="512" bestFit="1" customWidth="1"/>
    <col min="9" max="11" width="15.28515625" style="512" customWidth="1"/>
    <col min="12" max="13" width="18.42578125" style="512" customWidth="1"/>
    <col min="14" max="14" width="20.140625" style="512" bestFit="1" customWidth="1"/>
    <col min="15" max="15" width="17.42578125" style="512" customWidth="1"/>
    <col min="16" max="16384" width="11.42578125" style="512"/>
  </cols>
  <sheetData>
    <row r="1" spans="1:15" ht="18.75">
      <c r="A1" s="510" t="s">
        <v>855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</row>
    <row r="2" spans="1:15" ht="18.75">
      <c r="A2" s="510"/>
      <c r="B2" s="511"/>
      <c r="C2" s="511"/>
      <c r="D2" s="511"/>
      <c r="E2" s="511"/>
      <c r="F2" s="511" t="s">
        <v>856</v>
      </c>
      <c r="G2" s="511" t="s">
        <v>857</v>
      </c>
      <c r="H2" s="511"/>
      <c r="I2" s="511"/>
      <c r="J2" s="511"/>
      <c r="K2" s="511"/>
      <c r="L2" s="511"/>
      <c r="M2" s="511"/>
      <c r="N2" s="511"/>
      <c r="O2" s="511"/>
    </row>
    <row r="3" spans="1:15" ht="19.5" thickBot="1">
      <c r="A3" s="510"/>
      <c r="B3" s="511"/>
      <c r="C3" s="511"/>
      <c r="D3" s="511"/>
      <c r="E3" s="511"/>
      <c r="F3" s="511" t="s">
        <v>858</v>
      </c>
      <c r="G3" s="511" t="s">
        <v>859</v>
      </c>
      <c r="H3" s="511"/>
      <c r="I3" s="511"/>
      <c r="J3" s="511"/>
      <c r="K3" s="511"/>
      <c r="L3" s="511"/>
      <c r="M3" s="511"/>
      <c r="N3" s="511"/>
      <c r="O3" s="511"/>
    </row>
    <row r="4" spans="1:15">
      <c r="A4" s="513"/>
      <c r="B4" s="514"/>
      <c r="C4" s="515"/>
      <c r="D4" s="516"/>
      <c r="E4" s="514"/>
      <c r="F4" s="514"/>
      <c r="G4" s="513"/>
      <c r="H4" s="517"/>
      <c r="I4" s="517"/>
      <c r="J4" s="517"/>
      <c r="K4" s="517"/>
      <c r="L4" s="517"/>
      <c r="M4" s="518" t="s">
        <v>860</v>
      </c>
      <c r="N4" s="518" t="s">
        <v>861</v>
      </c>
      <c r="O4" s="519"/>
    </row>
    <row r="5" spans="1:15" ht="13.5" thickBot="1">
      <c r="A5" s="520" t="s">
        <v>253</v>
      </c>
      <c r="B5" s="521" t="s">
        <v>862</v>
      </c>
      <c r="C5" s="522" t="s">
        <v>863</v>
      </c>
      <c r="D5" s="523"/>
      <c r="E5" s="521" t="s">
        <v>862</v>
      </c>
      <c r="F5" s="521" t="s">
        <v>864</v>
      </c>
      <c r="G5" s="524" t="s">
        <v>865</v>
      </c>
      <c r="H5" s="525"/>
      <c r="I5" s="525"/>
      <c r="J5" s="525"/>
      <c r="K5" s="525"/>
      <c r="L5" s="525"/>
      <c r="M5" s="521" t="s">
        <v>866</v>
      </c>
      <c r="N5" s="526" t="s">
        <v>867</v>
      </c>
      <c r="O5" s="527" t="s">
        <v>868</v>
      </c>
    </row>
    <row r="6" spans="1:15">
      <c r="A6" s="528"/>
      <c r="B6" s="521" t="s">
        <v>251</v>
      </c>
      <c r="C6" s="514"/>
      <c r="D6" s="529"/>
      <c r="E6" s="521" t="s">
        <v>251</v>
      </c>
      <c r="F6" s="518" t="s">
        <v>869</v>
      </c>
      <c r="G6" s="530" t="s">
        <v>870</v>
      </c>
      <c r="H6" s="518" t="s">
        <v>871</v>
      </c>
      <c r="I6" s="531" t="s">
        <v>872</v>
      </c>
      <c r="J6" s="531" t="s">
        <v>873</v>
      </c>
      <c r="K6" s="532" t="s">
        <v>874</v>
      </c>
      <c r="L6" s="533" t="s">
        <v>875</v>
      </c>
      <c r="M6" s="531" t="s">
        <v>876</v>
      </c>
      <c r="N6" s="531" t="s">
        <v>876</v>
      </c>
      <c r="O6" s="527"/>
    </row>
    <row r="7" spans="1:15" ht="15.75" thickBot="1">
      <c r="A7" s="534"/>
      <c r="B7" s="535" t="s">
        <v>877</v>
      </c>
      <c r="C7" s="536" t="s">
        <v>869</v>
      </c>
      <c r="D7" s="537" t="s">
        <v>98</v>
      </c>
      <c r="E7" s="535" t="s">
        <v>878</v>
      </c>
      <c r="F7" s="536" t="s">
        <v>879</v>
      </c>
      <c r="G7" s="538" t="s">
        <v>880</v>
      </c>
      <c r="H7" s="536" t="s">
        <v>881</v>
      </c>
      <c r="I7" s="539" t="s">
        <v>882</v>
      </c>
      <c r="J7" s="540" t="s">
        <v>883</v>
      </c>
      <c r="K7" s="540" t="s">
        <v>884</v>
      </c>
      <c r="L7" s="541" t="s">
        <v>885</v>
      </c>
      <c r="M7" s="539" t="s">
        <v>886</v>
      </c>
      <c r="N7" s="539" t="s">
        <v>886</v>
      </c>
      <c r="O7" s="542"/>
    </row>
    <row r="8" spans="1:15">
      <c r="A8" s="543" t="s">
        <v>887</v>
      </c>
      <c r="B8" s="544"/>
      <c r="C8" s="544"/>
      <c r="D8" s="545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6"/>
    </row>
    <row r="9" spans="1:15">
      <c r="A9" s="547" t="s">
        <v>303</v>
      </c>
      <c r="B9" s="548">
        <f>+'Balance Gral. Resol. 30'!D14</f>
        <v>6045862180</v>
      </c>
      <c r="C9" s="548"/>
      <c r="D9" s="549"/>
      <c r="E9" s="548">
        <f>3899258412</f>
        <v>3899258412</v>
      </c>
      <c r="F9" s="548">
        <f t="shared" ref="F9:F21" si="0">B9-E9+C9-D9</f>
        <v>2146603768</v>
      </c>
      <c r="G9" s="548"/>
      <c r="H9" s="548"/>
      <c r="I9" s="548"/>
      <c r="J9" s="548"/>
      <c r="K9" s="548"/>
      <c r="L9" s="548"/>
      <c r="M9" s="548"/>
      <c r="N9" s="548"/>
      <c r="O9" s="550">
        <f>F9</f>
        <v>2146603768</v>
      </c>
    </row>
    <row r="10" spans="1:15">
      <c r="A10" s="547" t="s">
        <v>888</v>
      </c>
      <c r="B10" s="551">
        <v>517257872</v>
      </c>
      <c r="C10" s="548"/>
      <c r="D10" s="549"/>
      <c r="E10" s="548">
        <v>1348629583</v>
      </c>
      <c r="F10" s="548">
        <f t="shared" si="0"/>
        <v>-831371711</v>
      </c>
      <c r="G10" s="548"/>
      <c r="H10" s="548"/>
      <c r="I10" s="548"/>
      <c r="J10" s="548"/>
      <c r="K10" s="548"/>
      <c r="L10" s="548">
        <f>-F10</f>
        <v>831371711</v>
      </c>
      <c r="M10" s="548"/>
      <c r="N10" s="548"/>
      <c r="O10" s="550"/>
    </row>
    <row r="11" spans="1:15">
      <c r="A11" s="552" t="s">
        <v>889</v>
      </c>
      <c r="B11" s="553">
        <v>0</v>
      </c>
      <c r="C11" s="553">
        <v>315652372</v>
      </c>
      <c r="D11" s="554"/>
      <c r="E11" s="553">
        <v>220955728</v>
      </c>
      <c r="F11" s="553">
        <f t="shared" si="0"/>
        <v>94696644</v>
      </c>
      <c r="G11" s="548"/>
      <c r="H11" s="548"/>
      <c r="I11" s="548"/>
      <c r="J11" s="548">
        <f>-F11</f>
        <v>-94696644</v>
      </c>
      <c r="K11" s="548"/>
      <c r="L11" s="548"/>
      <c r="M11" s="548"/>
      <c r="N11" s="548"/>
      <c r="O11" s="550"/>
    </row>
    <row r="12" spans="1:15">
      <c r="A12" s="555" t="s">
        <v>394</v>
      </c>
      <c r="B12" s="556">
        <f>+'Balance Gral. Resol. 30'!D24</f>
        <v>11358134441</v>
      </c>
      <c r="C12" s="556"/>
      <c r="D12" s="557"/>
      <c r="E12" s="556">
        <v>7820553857</v>
      </c>
      <c r="F12" s="548">
        <f t="shared" si="0"/>
        <v>3537580584</v>
      </c>
      <c r="G12" s="556">
        <f>-F12</f>
        <v>-3537580584</v>
      </c>
      <c r="H12" s="556"/>
      <c r="I12" s="556"/>
      <c r="J12" s="556"/>
      <c r="K12" s="556"/>
      <c r="L12" s="556"/>
      <c r="M12" s="556"/>
      <c r="N12" s="556"/>
      <c r="O12" s="558"/>
    </row>
    <row r="13" spans="1:15">
      <c r="A13" s="555" t="s">
        <v>890</v>
      </c>
      <c r="B13" s="556">
        <f>+'Balance Gral. Resol. 30'!D31-B12-B11-B10</f>
        <v>1717329918</v>
      </c>
      <c r="C13" s="556"/>
      <c r="D13" s="556"/>
      <c r="E13" s="556">
        <v>4470042318</v>
      </c>
      <c r="F13" s="548">
        <f t="shared" si="0"/>
        <v>-2752712400</v>
      </c>
      <c r="H13" s="556"/>
      <c r="I13" s="556"/>
      <c r="J13" s="556"/>
      <c r="K13" s="556"/>
      <c r="L13" s="556">
        <f>-F13</f>
        <v>2752712400</v>
      </c>
      <c r="M13" s="556"/>
      <c r="N13" s="556"/>
      <c r="O13" s="558"/>
    </row>
    <row r="14" spans="1:15">
      <c r="A14" s="559" t="s">
        <v>891</v>
      </c>
      <c r="B14" s="560">
        <v>0</v>
      </c>
      <c r="C14" s="560"/>
      <c r="D14" s="560"/>
      <c r="E14" s="560">
        <v>0</v>
      </c>
      <c r="F14" s="548">
        <f t="shared" si="0"/>
        <v>0</v>
      </c>
      <c r="G14" s="561"/>
      <c r="H14" s="561"/>
      <c r="I14" s="561"/>
      <c r="J14" s="561"/>
      <c r="K14" s="561"/>
      <c r="L14" s="561"/>
      <c r="M14" s="561"/>
      <c r="N14" s="561"/>
      <c r="O14" s="562"/>
    </row>
    <row r="15" spans="1:15">
      <c r="A15" s="555" t="s">
        <v>892</v>
      </c>
      <c r="B15" s="556">
        <f>+'Balance Gral. Resol. 30'!D22</f>
        <v>126959384785</v>
      </c>
      <c r="C15" s="556"/>
      <c r="D15" s="556"/>
      <c r="E15" s="556">
        <v>60815667220</v>
      </c>
      <c r="F15" s="548">
        <f t="shared" si="0"/>
        <v>66143717565</v>
      </c>
      <c r="G15" s="556"/>
      <c r="H15" s="556"/>
      <c r="I15" s="556"/>
      <c r="J15" s="556"/>
      <c r="K15" s="556"/>
      <c r="L15" s="556"/>
      <c r="M15" s="556">
        <f>-F15</f>
        <v>-66143717565</v>
      </c>
      <c r="N15" s="556"/>
      <c r="O15" s="558"/>
    </row>
    <row r="16" spans="1:15">
      <c r="A16" s="555" t="s">
        <v>893</v>
      </c>
      <c r="B16" s="556">
        <f>+'Balance Gral. Resol. 30'!D50</f>
        <v>27055951703</v>
      </c>
      <c r="C16" s="556"/>
      <c r="D16" s="556">
        <f>+C34</f>
        <v>49000000</v>
      </c>
      <c r="E16" s="556">
        <v>10238451703</v>
      </c>
      <c r="F16" s="548">
        <f t="shared" si="0"/>
        <v>16768500000</v>
      </c>
      <c r="G16" s="556"/>
      <c r="H16" s="556"/>
      <c r="I16" s="556"/>
      <c r="J16" s="556"/>
      <c r="K16" s="556"/>
      <c r="L16" s="556"/>
      <c r="M16" s="556">
        <f>-F16</f>
        <v>-16768500000</v>
      </c>
      <c r="N16" s="556"/>
      <c r="O16" s="558"/>
    </row>
    <row r="17" spans="1:111">
      <c r="A17" s="559" t="s">
        <v>894</v>
      </c>
      <c r="B17" s="560">
        <f>+'Balance Gral. Resol. 30'!D62</f>
        <v>13290773438</v>
      </c>
      <c r="C17" s="563"/>
      <c r="D17" s="560"/>
      <c r="E17" s="560">
        <v>13114620162</v>
      </c>
      <c r="F17" s="548">
        <f t="shared" si="0"/>
        <v>176153276</v>
      </c>
      <c r="G17" s="556"/>
      <c r="H17" s="556"/>
      <c r="I17" s="556"/>
      <c r="J17" s="556"/>
      <c r="K17" s="556"/>
      <c r="L17" s="556"/>
      <c r="M17" s="556">
        <f>-F17</f>
        <v>-176153276</v>
      </c>
      <c r="N17" s="556"/>
      <c r="O17" s="558"/>
    </row>
    <row r="18" spans="1:111">
      <c r="A18" s="564" t="s">
        <v>895</v>
      </c>
      <c r="B18" s="565">
        <f>+'Balance Gral. Resol. 30'!D63</f>
        <v>-957359047</v>
      </c>
      <c r="C18" s="565">
        <v>341165742</v>
      </c>
      <c r="D18" s="566"/>
      <c r="E18" s="565">
        <v>-616193305</v>
      </c>
      <c r="F18" s="567">
        <f t="shared" si="0"/>
        <v>0</v>
      </c>
      <c r="G18" s="561"/>
      <c r="H18" s="561"/>
      <c r="I18" s="561"/>
      <c r="J18" s="561"/>
      <c r="K18" s="561"/>
      <c r="L18" s="561"/>
      <c r="M18" s="561"/>
      <c r="N18" s="561"/>
      <c r="O18" s="562"/>
    </row>
    <row r="19" spans="1:111">
      <c r="A19" s="559" t="s">
        <v>896</v>
      </c>
      <c r="B19" s="560">
        <f>+'Balance Gral. Resol. 30'!D72-B20</f>
        <v>7432325857</v>
      </c>
      <c r="C19" s="563"/>
      <c r="D19" s="560"/>
      <c r="E19" s="560">
        <v>2467866992</v>
      </c>
      <c r="F19" s="548">
        <f t="shared" si="0"/>
        <v>4964458865</v>
      </c>
      <c r="G19" s="556"/>
      <c r="H19" s="556"/>
      <c r="I19" s="556"/>
      <c r="J19" s="556"/>
      <c r="K19" s="556"/>
      <c r="L19" s="556"/>
      <c r="M19" s="556">
        <f>-F19</f>
        <v>-4964458865</v>
      </c>
      <c r="N19" s="556"/>
      <c r="O19" s="558"/>
    </row>
    <row r="20" spans="1:111">
      <c r="A20" s="564" t="s">
        <v>897</v>
      </c>
      <c r="B20" s="565">
        <f>+'Balance Gral. Resol. 30'!D71</f>
        <v>-2634196428</v>
      </c>
      <c r="C20" s="565">
        <v>1385173613</v>
      </c>
      <c r="D20" s="566"/>
      <c r="E20" s="565">
        <v>-1249022815</v>
      </c>
      <c r="F20" s="567">
        <f t="shared" si="0"/>
        <v>0</v>
      </c>
      <c r="G20" s="561"/>
      <c r="H20" s="561"/>
      <c r="I20" s="561"/>
      <c r="J20" s="561"/>
      <c r="K20" s="561"/>
      <c r="L20" s="561"/>
      <c r="M20" s="561"/>
      <c r="N20" s="561"/>
      <c r="O20" s="562"/>
    </row>
    <row r="21" spans="1:111" s="574" customFormat="1">
      <c r="A21" s="568" t="s">
        <v>898</v>
      </c>
      <c r="B21" s="569">
        <f>+'Balance Gral. Resol. 30'!D38</f>
        <v>458598059</v>
      </c>
      <c r="C21" s="570">
        <f>+D51+D50</f>
        <v>1210111272</v>
      </c>
      <c r="D21" s="569">
        <v>913981896</v>
      </c>
      <c r="E21" s="569">
        <v>754727435</v>
      </c>
      <c r="F21" s="567">
        <f t="shared" si="0"/>
        <v>0</v>
      </c>
      <c r="G21" s="571"/>
      <c r="H21" s="571"/>
      <c r="I21" s="571"/>
      <c r="J21" s="571"/>
      <c r="K21" s="571"/>
      <c r="L21" s="571"/>
      <c r="M21" s="571">
        <f>-F21</f>
        <v>0</v>
      </c>
      <c r="N21" s="571"/>
      <c r="O21" s="572"/>
      <c r="P21" s="573">
        <v>8975342</v>
      </c>
      <c r="Q21" s="573">
        <v>105780824</v>
      </c>
      <c r="R21" s="573">
        <f>+Q21+P21</f>
        <v>114756166</v>
      </c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2"/>
      <c r="AL21" s="512"/>
      <c r="AM21" s="512"/>
      <c r="AN21" s="512"/>
      <c r="AO21" s="512"/>
      <c r="AP21" s="512"/>
      <c r="AQ21" s="512"/>
      <c r="AR21" s="512"/>
      <c r="AS21" s="512"/>
      <c r="AT21" s="512"/>
      <c r="AU21" s="512"/>
      <c r="AV21" s="512"/>
      <c r="AW21" s="512"/>
      <c r="AX21" s="512"/>
      <c r="AY21" s="512"/>
      <c r="AZ21" s="512"/>
      <c r="BA21" s="512"/>
      <c r="BB21" s="512"/>
      <c r="BC21" s="512"/>
      <c r="BD21" s="512"/>
      <c r="BE21" s="512"/>
      <c r="BF21" s="512"/>
      <c r="BG21" s="512"/>
      <c r="BH21" s="512"/>
      <c r="BI21" s="512"/>
      <c r="BJ21" s="512"/>
      <c r="BK21" s="512"/>
      <c r="BL21" s="512"/>
      <c r="BM21" s="512"/>
      <c r="BN21" s="512"/>
      <c r="BO21" s="512"/>
      <c r="BP21" s="512"/>
      <c r="BQ21" s="512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2"/>
      <c r="DF21" s="512"/>
      <c r="DG21" s="512"/>
    </row>
    <row r="22" spans="1:111" ht="13.5" thickBot="1">
      <c r="A22" s="575" t="s">
        <v>899</v>
      </c>
      <c r="B22" s="576">
        <f>SUM(B9:B21)</f>
        <v>191244062778</v>
      </c>
      <c r="C22" s="556"/>
      <c r="D22" s="556"/>
      <c r="E22" s="576">
        <v>103285557290</v>
      </c>
      <c r="F22" s="548">
        <v>0</v>
      </c>
      <c r="G22" s="556"/>
      <c r="H22" s="556"/>
      <c r="I22" s="556"/>
      <c r="J22" s="556"/>
      <c r="K22" s="556"/>
      <c r="L22" s="556"/>
      <c r="M22" s="556"/>
      <c r="N22" s="556"/>
      <c r="O22" s="558"/>
      <c r="P22" s="573">
        <v>1599667</v>
      </c>
      <c r="Q22" s="573">
        <v>9474951</v>
      </c>
      <c r="R22" s="573">
        <f>+Q22+P22</f>
        <v>11074618</v>
      </c>
    </row>
    <row r="23" spans="1:111" ht="13.5" thickTop="1">
      <c r="A23" s="577" t="s">
        <v>900</v>
      </c>
      <c r="B23" s="578">
        <f>+B22-'Balance Gral. Resol. 30'!D80</f>
        <v>0</v>
      </c>
      <c r="C23" s="579"/>
      <c r="D23" s="579"/>
      <c r="E23" s="578">
        <v>0</v>
      </c>
      <c r="F23" s="580">
        <f t="shared" ref="F23:F38" si="1">B23-E23+C23-D23</f>
        <v>0</v>
      </c>
      <c r="G23" s="556"/>
      <c r="H23" s="556"/>
      <c r="I23" s="556"/>
      <c r="J23" s="556"/>
      <c r="K23" s="556"/>
      <c r="L23" s="556"/>
      <c r="M23" s="556"/>
      <c r="N23" s="556"/>
      <c r="O23" s="558"/>
      <c r="P23" s="573">
        <v>4727013</v>
      </c>
      <c r="Q23" s="573">
        <v>30725588</v>
      </c>
      <c r="R23" s="573">
        <f>+Q23+P23</f>
        <v>35452601</v>
      </c>
    </row>
    <row r="24" spans="1:111">
      <c r="A24" s="555" t="s">
        <v>901</v>
      </c>
      <c r="B24" s="581">
        <f>-'Balance Gral. Resol. 30'!G22</f>
        <v>-131066703957</v>
      </c>
      <c r="C24" s="556">
        <f>+D21</f>
        <v>913981896</v>
      </c>
      <c r="D24" s="556"/>
      <c r="E24" s="581">
        <v>-51598066429</v>
      </c>
      <c r="F24" s="548">
        <f t="shared" si="1"/>
        <v>-78554655632</v>
      </c>
      <c r="G24" s="556"/>
      <c r="H24" s="556"/>
      <c r="I24" s="556"/>
      <c r="J24" s="556"/>
      <c r="K24" s="556"/>
      <c r="L24" s="556"/>
      <c r="M24" s="556"/>
      <c r="N24" s="556">
        <f>-F24</f>
        <v>78554655632</v>
      </c>
      <c r="O24" s="558"/>
      <c r="P24" s="573">
        <v>5522903</v>
      </c>
      <c r="Q24" s="573">
        <v>52954902</v>
      </c>
      <c r="R24" s="573">
        <f>+Q24+P24</f>
        <v>58477805</v>
      </c>
    </row>
    <row r="25" spans="1:111">
      <c r="A25" s="555" t="s">
        <v>902</v>
      </c>
      <c r="B25" s="556">
        <f>-'Balance Gral. Resol. 30'!G11</f>
        <v>-5726846168</v>
      </c>
      <c r="C25" s="556">
        <f>+D31</f>
        <v>0</v>
      </c>
      <c r="D25" s="556"/>
      <c r="E25" s="556">
        <v>-5810989127</v>
      </c>
      <c r="F25" s="548">
        <f t="shared" si="1"/>
        <v>84142959</v>
      </c>
      <c r="G25" s="556">
        <f>-F25</f>
        <v>-84142959</v>
      </c>
      <c r="H25" s="556"/>
      <c r="J25" s="556"/>
      <c r="K25" s="556"/>
      <c r="L25" s="556"/>
      <c r="M25" s="556"/>
      <c r="N25" s="556"/>
      <c r="O25" s="558"/>
      <c r="P25" s="573">
        <v>1172931</v>
      </c>
      <c r="Q25" s="573">
        <v>51608984</v>
      </c>
      <c r="R25" s="573">
        <f>+Q25+P25</f>
        <v>52781915</v>
      </c>
    </row>
    <row r="26" spans="1:111">
      <c r="A26" s="555" t="s">
        <v>903</v>
      </c>
      <c r="B26" s="556">
        <f>(+'Balance Gral. Resol. 30'!G12+'Balance Gral. Resol. 30'!G13+'Balance Gral. Resol. 30'!G29+'Balance Gral. Resol. 30'!G34+B28)*-1</f>
        <v>-599590310</v>
      </c>
      <c r="C26" s="556">
        <f>+'Balance Gral. Resol. 30'!G27+'Balance Gral. Resol. 30'!G34</f>
        <v>64174379</v>
      </c>
      <c r="D26" s="556"/>
      <c r="E26" s="556">
        <v>-11842428876</v>
      </c>
      <c r="F26" s="548">
        <f t="shared" si="1"/>
        <v>11307012945</v>
      </c>
      <c r="G26" s="556"/>
      <c r="H26" s="556"/>
      <c r="I26" s="556"/>
      <c r="J26" s="556"/>
      <c r="K26" s="556"/>
      <c r="L26" s="556">
        <f>-F26</f>
        <v>-11307012945</v>
      </c>
      <c r="M26" s="556"/>
      <c r="N26" s="556"/>
      <c r="O26" s="558"/>
      <c r="P26" s="578">
        <f>SUM(P21:P25)</f>
        <v>21997856</v>
      </c>
      <c r="Q26" s="578">
        <f>SUM(Q21:Q25)</f>
        <v>250545249</v>
      </c>
      <c r="R26" s="578">
        <f>SUM(R21:R25)</f>
        <v>272543105</v>
      </c>
    </row>
    <row r="27" spans="1:111">
      <c r="A27" s="555" t="s">
        <v>904</v>
      </c>
      <c r="B27" s="556">
        <f>-'[5]Balance Gral. Resol. 6'!G23-'[5]Balance Gral. Resol. 6'!G22</f>
        <v>0</v>
      </c>
      <c r="C27" s="556">
        <v>5434782609</v>
      </c>
      <c r="D27" s="556"/>
      <c r="E27" s="556">
        <v>0</v>
      </c>
      <c r="F27" s="548">
        <f t="shared" si="1"/>
        <v>5434782609</v>
      </c>
      <c r="G27" s="556"/>
      <c r="H27" s="556"/>
      <c r="I27" s="556"/>
      <c r="J27" s="556"/>
      <c r="K27" s="556"/>
      <c r="L27" s="556">
        <v>0</v>
      </c>
      <c r="M27" s="556"/>
      <c r="N27" s="556">
        <f>-F27</f>
        <v>-5434782609</v>
      </c>
      <c r="O27" s="558"/>
      <c r="P27" s="573"/>
      <c r="Q27" s="573"/>
      <c r="R27" s="573"/>
    </row>
    <row r="28" spans="1:111">
      <c r="A28" s="555" t="s">
        <v>905</v>
      </c>
      <c r="B28" s="556">
        <v>-1740657838</v>
      </c>
      <c r="C28" s="556">
        <f>-B28+1</f>
        <v>1740657839</v>
      </c>
      <c r="D28" s="556"/>
      <c r="E28" s="556">
        <v>0</v>
      </c>
      <c r="F28" s="548">
        <f t="shared" si="1"/>
        <v>1</v>
      </c>
      <c r="G28" s="556"/>
      <c r="H28" s="556"/>
      <c r="I28" s="556"/>
      <c r="J28" s="556">
        <f>-F28</f>
        <v>-1</v>
      </c>
      <c r="K28" s="511"/>
      <c r="M28" s="556"/>
      <c r="N28" s="556"/>
      <c r="O28" s="558"/>
      <c r="P28" s="573"/>
      <c r="Q28" s="573"/>
      <c r="R28" s="573"/>
    </row>
    <row r="29" spans="1:111">
      <c r="A29" s="555" t="s">
        <v>906</v>
      </c>
      <c r="B29" s="556">
        <v>0</v>
      </c>
      <c r="C29" s="582"/>
      <c r="D29" s="556"/>
      <c r="E29" s="556">
        <v>-35305818</v>
      </c>
      <c r="F29" s="548">
        <f t="shared" si="1"/>
        <v>35305818</v>
      </c>
      <c r="G29" s="556"/>
      <c r="H29" s="556"/>
      <c r="I29" s="556"/>
      <c r="J29" s="556"/>
      <c r="K29" s="556"/>
      <c r="L29" s="556">
        <f>-F29</f>
        <v>-35305818</v>
      </c>
      <c r="M29" s="556"/>
      <c r="N29" s="556"/>
      <c r="O29" s="558"/>
      <c r="P29" s="573"/>
      <c r="Q29" s="573"/>
      <c r="R29" s="573"/>
    </row>
    <row r="30" spans="1:111">
      <c r="A30" s="583" t="s">
        <v>907</v>
      </c>
      <c r="B30" s="584">
        <f>-'Balance Gral. Resol. 30'!G65</f>
        <v>-27164000001</v>
      </c>
      <c r="C30" s="585">
        <f>2627464417+D32+D34-9411087</f>
        <v>2720000000</v>
      </c>
      <c r="D30" s="584"/>
      <c r="E30" s="584">
        <v>-24288000001</v>
      </c>
      <c r="F30" s="567">
        <f t="shared" si="1"/>
        <v>-156000000</v>
      </c>
      <c r="G30" s="556"/>
      <c r="H30" s="556"/>
      <c r="I30" s="556"/>
      <c r="J30" s="556"/>
      <c r="K30" s="556"/>
      <c r="L30" s="556"/>
      <c r="M30" s="556"/>
      <c r="N30" s="556">
        <f>-F30</f>
        <v>156000000</v>
      </c>
      <c r="O30" s="558"/>
      <c r="P30" s="573"/>
      <c r="Q30" s="573"/>
      <c r="R30" s="573"/>
    </row>
    <row r="31" spans="1:111">
      <c r="A31" s="555" t="s">
        <v>946</v>
      </c>
      <c r="B31" s="556">
        <f>-'Balance Gral. Resol. 30'!G73</f>
        <v>-8933184</v>
      </c>
      <c r="C31" s="511"/>
      <c r="D31" s="556">
        <v>0</v>
      </c>
      <c r="E31" s="556">
        <v>0</v>
      </c>
      <c r="F31" s="548">
        <f t="shared" si="1"/>
        <v>-8933184</v>
      </c>
      <c r="G31" s="556"/>
      <c r="H31" s="556"/>
      <c r="I31" s="556"/>
      <c r="J31" s="556"/>
      <c r="K31" s="556"/>
      <c r="L31" s="556"/>
      <c r="M31" s="556"/>
      <c r="N31" s="556">
        <f>-F31</f>
        <v>8933184</v>
      </c>
      <c r="O31" s="558"/>
      <c r="P31" s="573"/>
      <c r="Q31" s="573"/>
      <c r="R31" s="573"/>
    </row>
    <row r="32" spans="1:111">
      <c r="A32" s="564" t="s">
        <v>908</v>
      </c>
      <c r="B32" s="565">
        <v>0</v>
      </c>
      <c r="C32" s="565">
        <v>0</v>
      </c>
      <c r="D32" s="565">
        <v>946670</v>
      </c>
      <c r="E32" s="565">
        <v>-946670</v>
      </c>
      <c r="F32" s="567">
        <f t="shared" si="1"/>
        <v>0</v>
      </c>
      <c r="G32" s="561"/>
      <c r="H32" s="561"/>
      <c r="I32" s="561"/>
      <c r="J32" s="561"/>
      <c r="K32" s="561"/>
      <c r="L32" s="561"/>
      <c r="M32" s="561"/>
      <c r="N32" s="561"/>
      <c r="O32" s="562"/>
      <c r="P32" s="573"/>
      <c r="Q32" s="573"/>
      <c r="R32" s="573"/>
    </row>
    <row r="33" spans="1:111">
      <c r="A33" s="564" t="s">
        <v>909</v>
      </c>
      <c r="B33" s="565">
        <f>-'Balance Gral. Resol. 30'!G67</f>
        <v>-1546573343</v>
      </c>
      <c r="C33" s="565">
        <v>0</v>
      </c>
      <c r="D33" s="565"/>
      <c r="E33" s="565">
        <v>-1546573343</v>
      </c>
      <c r="F33" s="567">
        <f t="shared" si="1"/>
        <v>0</v>
      </c>
      <c r="G33" s="561"/>
      <c r="H33" s="561"/>
      <c r="I33" s="561"/>
      <c r="J33" s="561"/>
      <c r="K33" s="561"/>
      <c r="L33" s="561"/>
      <c r="M33" s="561"/>
      <c r="N33" s="561"/>
      <c r="O33" s="562"/>
      <c r="P33" s="573"/>
      <c r="Q33" s="573"/>
      <c r="R33" s="573"/>
    </row>
    <row r="34" spans="1:111">
      <c r="A34" s="564" t="s">
        <v>910</v>
      </c>
      <c r="B34" s="565">
        <f>-'Balance Gral. Resol. 30'!G69</f>
        <v>-49000000</v>
      </c>
      <c r="C34" s="565">
        <v>49000000</v>
      </c>
      <c r="D34" s="565">
        <v>101000000</v>
      </c>
      <c r="E34" s="565">
        <v>-101000000</v>
      </c>
      <c r="F34" s="567">
        <f t="shared" si="1"/>
        <v>0</v>
      </c>
      <c r="G34" s="561"/>
      <c r="H34" s="561"/>
      <c r="I34" s="561"/>
      <c r="J34" s="561"/>
      <c r="K34" s="561"/>
      <c r="L34" s="561"/>
      <c r="M34" s="561"/>
      <c r="N34" s="561"/>
      <c r="O34" s="562"/>
      <c r="P34" s="573"/>
      <c r="Q34" s="573"/>
      <c r="R34" s="573"/>
    </row>
    <row r="35" spans="1:111" s="574" customFormat="1">
      <c r="A35" s="564" t="s">
        <v>911</v>
      </c>
      <c r="B35" s="565">
        <f>-'Balance Gral. Resol. 30'!G76</f>
        <v>-9411087</v>
      </c>
      <c r="C35" s="565">
        <v>9411087</v>
      </c>
      <c r="D35" s="565">
        <v>0</v>
      </c>
      <c r="E35" s="565">
        <v>0</v>
      </c>
      <c r="F35" s="567">
        <f t="shared" si="1"/>
        <v>0</v>
      </c>
      <c r="G35" s="561"/>
      <c r="H35" s="561"/>
      <c r="I35" s="561"/>
      <c r="J35" s="561"/>
      <c r="K35" s="561"/>
      <c r="L35" s="561"/>
      <c r="M35" s="561"/>
      <c r="N35" s="561"/>
      <c r="O35" s="562"/>
      <c r="P35" s="573"/>
      <c r="Q35" s="573"/>
      <c r="R35" s="573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12"/>
      <c r="AO35" s="512"/>
      <c r="AP35" s="512"/>
      <c r="AQ35" s="512"/>
      <c r="AR35" s="512"/>
      <c r="AS35" s="512"/>
      <c r="AT35" s="512"/>
      <c r="AU35" s="512"/>
      <c r="AV35" s="512"/>
      <c r="AW35" s="512"/>
      <c r="AX35" s="512"/>
      <c r="AY35" s="512"/>
      <c r="AZ35" s="512"/>
      <c r="BA35" s="512"/>
      <c r="BB35" s="512"/>
      <c r="BC35" s="512"/>
      <c r="BD35" s="512"/>
      <c r="BE35" s="512"/>
      <c r="BF35" s="512"/>
      <c r="BG35" s="512"/>
      <c r="BH35" s="512"/>
      <c r="BI35" s="512"/>
      <c r="BJ35" s="512"/>
      <c r="BK35" s="512"/>
      <c r="BL35" s="512"/>
      <c r="BM35" s="512"/>
      <c r="BN35" s="512"/>
      <c r="BO35" s="512"/>
      <c r="BP35" s="512"/>
      <c r="BQ35" s="512"/>
      <c r="BR35" s="512"/>
      <c r="BS35" s="512"/>
      <c r="BT35" s="512"/>
      <c r="BU35" s="512"/>
      <c r="BV35" s="512"/>
      <c r="BW35" s="512"/>
      <c r="BX35" s="512"/>
      <c r="BY35" s="512"/>
      <c r="BZ35" s="512"/>
      <c r="CA35" s="512"/>
      <c r="CB35" s="512"/>
      <c r="CC35" s="512"/>
      <c r="CD35" s="512"/>
      <c r="CE35" s="512"/>
      <c r="CF35" s="512"/>
      <c r="CG35" s="512"/>
      <c r="CH35" s="512"/>
      <c r="CI35" s="512"/>
      <c r="CJ35" s="512"/>
      <c r="CK35" s="512"/>
      <c r="CL35" s="512"/>
      <c r="CM35" s="512"/>
      <c r="CN35" s="512"/>
      <c r="CO35" s="512"/>
      <c r="CP35" s="512"/>
      <c r="CQ35" s="512"/>
      <c r="CR35" s="512"/>
      <c r="CS35" s="512"/>
      <c r="CT35" s="512"/>
      <c r="CU35" s="512"/>
      <c r="CV35" s="512"/>
      <c r="CW35" s="512"/>
      <c r="CX35" s="512"/>
      <c r="CY35" s="512"/>
      <c r="CZ35" s="512"/>
      <c r="DA35" s="512"/>
      <c r="DB35" s="512"/>
      <c r="DC35" s="512"/>
      <c r="DD35" s="512"/>
      <c r="DE35" s="512"/>
      <c r="DF35" s="512"/>
      <c r="DG35" s="512"/>
    </row>
    <row r="36" spans="1:111" s="574" customFormat="1">
      <c r="A36" s="564" t="s">
        <v>912</v>
      </c>
      <c r="B36" s="586">
        <v>0</v>
      </c>
      <c r="C36" s="565"/>
      <c r="D36" s="565"/>
      <c r="E36" s="586">
        <v>0</v>
      </c>
      <c r="F36" s="567">
        <f t="shared" si="1"/>
        <v>0</v>
      </c>
      <c r="G36" s="561"/>
      <c r="H36" s="561"/>
      <c r="I36" s="561"/>
      <c r="J36" s="561"/>
      <c r="K36" s="561"/>
      <c r="L36" s="587"/>
      <c r="M36" s="561"/>
      <c r="N36" s="561"/>
      <c r="O36" s="562"/>
      <c r="P36" s="573"/>
      <c r="Q36" s="573"/>
      <c r="R36" s="573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  <c r="AO36" s="512"/>
      <c r="AP36" s="512"/>
      <c r="AQ36" s="512"/>
      <c r="AR36" s="512"/>
      <c r="AS36" s="512"/>
      <c r="AT36" s="512"/>
      <c r="AU36" s="512"/>
      <c r="AV36" s="512"/>
      <c r="AW36" s="512"/>
      <c r="AX36" s="512"/>
      <c r="AY36" s="512"/>
      <c r="AZ36" s="512"/>
      <c r="BA36" s="512"/>
      <c r="BB36" s="512"/>
      <c r="BC36" s="512"/>
      <c r="BD36" s="512"/>
      <c r="BE36" s="512"/>
      <c r="BF36" s="512"/>
      <c r="BG36" s="512"/>
      <c r="BH36" s="512"/>
      <c r="BI36" s="512"/>
      <c r="BJ36" s="512"/>
      <c r="BK36" s="512"/>
      <c r="BL36" s="512"/>
      <c r="BM36" s="512"/>
      <c r="BN36" s="512"/>
      <c r="BO36" s="512"/>
      <c r="BP36" s="512"/>
      <c r="BQ36" s="512"/>
      <c r="BR36" s="512"/>
      <c r="BS36" s="512"/>
      <c r="BT36" s="512"/>
      <c r="BU36" s="512"/>
      <c r="BV36" s="512"/>
      <c r="BW36" s="512"/>
      <c r="BX36" s="512"/>
      <c r="BY36" s="512"/>
      <c r="BZ36" s="512"/>
      <c r="CA36" s="512"/>
      <c r="CB36" s="512"/>
      <c r="CC36" s="512"/>
      <c r="CD36" s="512"/>
      <c r="CE36" s="512"/>
      <c r="CF36" s="512"/>
      <c r="CG36" s="512"/>
      <c r="CH36" s="512"/>
      <c r="CI36" s="512"/>
      <c r="CJ36" s="512"/>
      <c r="CK36" s="512"/>
      <c r="CL36" s="512"/>
      <c r="CM36" s="512"/>
      <c r="CN36" s="512"/>
      <c r="CO36" s="512"/>
      <c r="CP36" s="512"/>
      <c r="CQ36" s="512"/>
      <c r="CR36" s="512"/>
      <c r="CS36" s="512"/>
      <c r="CT36" s="512"/>
      <c r="CU36" s="512"/>
      <c r="CV36" s="512"/>
      <c r="CW36" s="512"/>
      <c r="CX36" s="512"/>
      <c r="CY36" s="512"/>
      <c r="CZ36" s="512"/>
      <c r="DA36" s="512"/>
      <c r="DB36" s="512"/>
      <c r="DC36" s="512"/>
      <c r="DD36" s="512"/>
      <c r="DE36" s="512"/>
      <c r="DF36" s="512"/>
      <c r="DG36" s="512"/>
    </row>
    <row r="37" spans="1:111" s="574" customFormat="1" ht="13.5" thickBot="1">
      <c r="A37" s="564" t="s">
        <v>913</v>
      </c>
      <c r="B37" s="588">
        <f>-'Balance Gral. Resol. 30'!G77</f>
        <v>-23332346890.369999</v>
      </c>
      <c r="C37" s="565">
        <f>+D54</f>
        <v>23332346890</v>
      </c>
      <c r="D37" s="589">
        <v>8062247026</v>
      </c>
      <c r="E37" s="588">
        <v>-8062247026</v>
      </c>
      <c r="F37" s="567">
        <f t="shared" si="1"/>
        <v>-0.36999893188476563</v>
      </c>
      <c r="G37" s="561"/>
      <c r="H37" s="561"/>
      <c r="I37" s="561"/>
      <c r="J37" s="561"/>
      <c r="K37" s="561"/>
      <c r="L37" s="561"/>
      <c r="M37" s="561"/>
      <c r="N37" s="561"/>
      <c r="O37" s="562"/>
      <c r="P37" s="573"/>
      <c r="Q37" s="573"/>
      <c r="R37" s="573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  <c r="AO37" s="512"/>
      <c r="AP37" s="512"/>
      <c r="AQ37" s="512"/>
      <c r="AR37" s="512"/>
      <c r="AS37" s="512"/>
      <c r="AT37" s="512"/>
      <c r="AU37" s="512"/>
      <c r="AV37" s="512"/>
      <c r="AW37" s="512"/>
      <c r="AX37" s="512"/>
      <c r="AY37" s="512"/>
      <c r="AZ37" s="512"/>
      <c r="BA37" s="512"/>
      <c r="BB37" s="512"/>
      <c r="BC37" s="512"/>
      <c r="BD37" s="512"/>
      <c r="BE37" s="512"/>
      <c r="BF37" s="512"/>
      <c r="BG37" s="512"/>
      <c r="BH37" s="512"/>
      <c r="BI37" s="512"/>
      <c r="BJ37" s="512"/>
      <c r="BK37" s="512"/>
      <c r="BL37" s="512"/>
      <c r="BM37" s="512"/>
      <c r="BN37" s="512"/>
      <c r="BO37" s="512"/>
      <c r="BP37" s="512"/>
      <c r="BQ37" s="512"/>
      <c r="BR37" s="512"/>
      <c r="BS37" s="512"/>
      <c r="BT37" s="512"/>
      <c r="BU37" s="512"/>
      <c r="BV37" s="512"/>
      <c r="BW37" s="512"/>
      <c r="BX37" s="512"/>
      <c r="BY37" s="512"/>
      <c r="BZ37" s="512"/>
      <c r="CA37" s="512"/>
      <c r="CB37" s="512"/>
      <c r="CC37" s="512"/>
      <c r="CD37" s="512"/>
      <c r="CE37" s="512"/>
      <c r="CF37" s="512"/>
      <c r="CG37" s="512"/>
      <c r="CH37" s="512"/>
      <c r="CI37" s="512"/>
      <c r="CJ37" s="512"/>
      <c r="CK37" s="512"/>
      <c r="CL37" s="512"/>
      <c r="CM37" s="512"/>
      <c r="CN37" s="512"/>
      <c r="CO37" s="512"/>
      <c r="CP37" s="512"/>
      <c r="CQ37" s="512"/>
      <c r="CR37" s="512"/>
      <c r="CS37" s="512"/>
      <c r="CT37" s="512"/>
      <c r="CU37" s="512"/>
      <c r="CV37" s="512"/>
      <c r="CW37" s="512"/>
      <c r="CX37" s="512"/>
      <c r="CY37" s="512"/>
      <c r="CZ37" s="512"/>
      <c r="DA37" s="512"/>
      <c r="DB37" s="512"/>
      <c r="DC37" s="512"/>
      <c r="DD37" s="512"/>
      <c r="DE37" s="512"/>
      <c r="DF37" s="512"/>
      <c r="DG37" s="512"/>
    </row>
    <row r="38" spans="1:111" ht="13.5" thickBot="1">
      <c r="A38" s="590" t="s">
        <v>914</v>
      </c>
      <c r="B38" s="576">
        <f>SUM(B24:B37)</f>
        <v>-191244062778.37</v>
      </c>
      <c r="C38" s="556"/>
      <c r="D38" s="556"/>
      <c r="E38" s="576">
        <v>-103285557290</v>
      </c>
      <c r="F38" s="548">
        <f t="shared" si="1"/>
        <v>-87958505488.369995</v>
      </c>
      <c r="G38" s="556"/>
      <c r="H38" s="556"/>
      <c r="I38" s="556"/>
      <c r="J38" s="556"/>
      <c r="K38" s="556"/>
      <c r="L38" s="556"/>
      <c r="M38" s="556"/>
      <c r="N38" s="556"/>
      <c r="O38" s="558"/>
      <c r="P38" s="573"/>
      <c r="Q38" s="573"/>
      <c r="R38" s="573"/>
    </row>
    <row r="39" spans="1:111" ht="13.5" thickTop="1">
      <c r="A39" s="577" t="s">
        <v>915</v>
      </c>
      <c r="B39" s="591">
        <f>+B38+B22</f>
        <v>-0.3699951171875</v>
      </c>
      <c r="C39" s="556"/>
      <c r="D39" s="556"/>
      <c r="E39" s="591">
        <v>0</v>
      </c>
      <c r="F39" s="548">
        <v>0</v>
      </c>
      <c r="G39" s="556"/>
      <c r="H39" s="556"/>
      <c r="I39" s="556"/>
      <c r="J39" s="556"/>
      <c r="K39" s="556"/>
      <c r="L39" s="556"/>
      <c r="M39" s="556"/>
      <c r="N39" s="556"/>
      <c r="O39" s="558"/>
      <c r="P39" s="573"/>
      <c r="Q39" s="573"/>
      <c r="R39" s="573"/>
    </row>
    <row r="40" spans="1:111">
      <c r="A40" s="555" t="s">
        <v>916</v>
      </c>
      <c r="B40" s="556">
        <v>-378753677671</v>
      </c>
      <c r="C40" s="556"/>
      <c r="D40" s="556"/>
      <c r="E40" s="556"/>
      <c r="F40" s="548">
        <f t="shared" ref="F40:F52" si="2">B40-E40+C40-D40</f>
        <v>-378753677671</v>
      </c>
      <c r="G40" s="556">
        <f>-F40</f>
        <v>378753677671</v>
      </c>
      <c r="H40" s="556"/>
      <c r="I40" s="556"/>
      <c r="J40" s="556"/>
      <c r="K40" s="556"/>
      <c r="L40" s="556"/>
      <c r="M40" s="556"/>
      <c r="N40" s="556"/>
      <c r="O40" s="558"/>
    </row>
    <row r="41" spans="1:111">
      <c r="A41" s="555" t="s">
        <v>917</v>
      </c>
      <c r="B41" s="556">
        <v>-615925306</v>
      </c>
      <c r="C41" s="556"/>
      <c r="D41" s="556"/>
      <c r="E41" s="556"/>
      <c r="F41" s="548">
        <f t="shared" si="2"/>
        <v>-615925306</v>
      </c>
      <c r="G41" s="556"/>
      <c r="H41" s="556">
        <f>-F41</f>
        <v>615925306</v>
      </c>
      <c r="I41" s="556"/>
      <c r="J41" s="556"/>
      <c r="K41" s="556"/>
      <c r="L41" s="556"/>
      <c r="M41" s="556"/>
      <c r="N41" s="556"/>
      <c r="O41" s="558"/>
    </row>
    <row r="42" spans="1:111">
      <c r="A42" s="555" t="s">
        <v>918</v>
      </c>
      <c r="B42" s="556">
        <v>0</v>
      </c>
      <c r="C42" s="556"/>
      <c r="D42" s="556"/>
      <c r="E42" s="556"/>
      <c r="F42" s="548">
        <f t="shared" si="2"/>
        <v>0</v>
      </c>
      <c r="G42" s="556"/>
      <c r="H42" s="556"/>
      <c r="I42" s="556"/>
      <c r="J42" s="556"/>
      <c r="K42" s="556"/>
      <c r="L42" s="556"/>
      <c r="M42" s="556">
        <f>-F42</f>
        <v>0</v>
      </c>
      <c r="N42" s="556"/>
      <c r="O42" s="558"/>
    </row>
    <row r="43" spans="1:111">
      <c r="A43" s="555" t="s">
        <v>919</v>
      </c>
      <c r="B43" s="556">
        <v>0</v>
      </c>
      <c r="C43" s="556"/>
      <c r="D43" s="556"/>
      <c r="E43" s="556"/>
      <c r="F43" s="548">
        <f t="shared" si="2"/>
        <v>0</v>
      </c>
      <c r="G43" s="556"/>
      <c r="H43" s="556"/>
      <c r="I43" s="556"/>
      <c r="J43" s="556"/>
      <c r="K43" s="556"/>
      <c r="L43" s="556"/>
      <c r="M43" s="556">
        <f>-B43</f>
        <v>0</v>
      </c>
      <c r="N43" s="556"/>
      <c r="O43" s="558"/>
    </row>
    <row r="44" spans="1:111">
      <c r="A44" s="555" t="s">
        <v>920</v>
      </c>
      <c r="B44" s="556">
        <v>343782083902</v>
      </c>
      <c r="C44" s="556"/>
      <c r="D44" s="556"/>
      <c r="E44" s="556"/>
      <c r="F44" s="548">
        <f t="shared" si="2"/>
        <v>343782083902</v>
      </c>
      <c r="G44" s="556">
        <f>-F44</f>
        <v>-343782083902</v>
      </c>
      <c r="H44" s="556"/>
      <c r="I44" s="556"/>
      <c r="J44" s="556"/>
      <c r="K44" s="556"/>
      <c r="L44" s="556"/>
      <c r="M44" s="556"/>
      <c r="N44" s="556"/>
      <c r="O44" s="558"/>
    </row>
    <row r="45" spans="1:111">
      <c r="A45" s="555" t="s">
        <v>921</v>
      </c>
      <c r="B45" s="556">
        <f>+'Estado de Resultado Resol. 30'!D51</f>
        <v>4235591095</v>
      </c>
      <c r="C45" s="556"/>
      <c r="D45" s="556">
        <f>+C26</f>
        <v>64174379</v>
      </c>
      <c r="E45" s="556"/>
      <c r="F45" s="548">
        <f t="shared" si="2"/>
        <v>4171416716</v>
      </c>
      <c r="G45" s="556"/>
      <c r="H45" s="556"/>
      <c r="I45" s="556"/>
      <c r="J45" s="556"/>
      <c r="K45" s="556">
        <f>-F45</f>
        <v>-4171416716</v>
      </c>
      <c r="L45" s="556"/>
      <c r="M45" s="556"/>
      <c r="N45" s="556"/>
      <c r="O45" s="558"/>
    </row>
    <row r="46" spans="1:111">
      <c r="A46" s="555" t="s">
        <v>922</v>
      </c>
      <c r="B46" s="556">
        <v>0</v>
      </c>
      <c r="C46" s="556"/>
      <c r="D46" s="556"/>
      <c r="E46" s="556"/>
      <c r="F46" s="548">
        <f t="shared" si="2"/>
        <v>0</v>
      </c>
      <c r="G46" s="556"/>
      <c r="H46" s="556"/>
      <c r="I46" s="556"/>
      <c r="J46" s="556"/>
      <c r="K46" s="556"/>
      <c r="L46" s="556">
        <f>-F46</f>
        <v>0</v>
      </c>
      <c r="M46" s="556"/>
      <c r="N46" s="556"/>
      <c r="O46" s="558"/>
    </row>
    <row r="47" spans="1:111">
      <c r="A47" s="555" t="s">
        <v>923</v>
      </c>
      <c r="B47" s="581">
        <v>3052708019</v>
      </c>
      <c r="C47" s="556"/>
      <c r="D47" s="592">
        <v>25887767</v>
      </c>
      <c r="E47" s="581"/>
      <c r="F47" s="548">
        <f t="shared" si="2"/>
        <v>3026820252</v>
      </c>
      <c r="G47" s="556"/>
      <c r="H47" s="556"/>
      <c r="I47" s="556"/>
      <c r="J47" s="556"/>
      <c r="K47" s="556"/>
      <c r="L47" s="556">
        <f>-F47</f>
        <v>-3026820252</v>
      </c>
      <c r="M47" s="556"/>
      <c r="N47" s="556"/>
      <c r="O47" s="558"/>
    </row>
    <row r="48" spans="1:111">
      <c r="A48" s="593" t="s">
        <v>924</v>
      </c>
      <c r="B48" s="594">
        <f>-'Estado de Resultado Resol. 30'!D101</f>
        <v>1700451588</v>
      </c>
      <c r="C48" s="570"/>
      <c r="D48" s="595">
        <f>+B48</f>
        <v>1700451588</v>
      </c>
      <c r="E48" s="594"/>
      <c r="F48" s="553">
        <f t="shared" si="2"/>
        <v>0</v>
      </c>
      <c r="G48" s="561"/>
      <c r="H48" s="561"/>
      <c r="I48" s="561"/>
      <c r="J48" s="561"/>
      <c r="K48" s="561"/>
      <c r="L48" s="561">
        <f>F48</f>
        <v>0</v>
      </c>
      <c r="M48" s="561"/>
      <c r="N48" s="561"/>
      <c r="O48" s="562"/>
    </row>
    <row r="49" spans="1:15">
      <c r="A49" s="596" t="s">
        <v>909</v>
      </c>
      <c r="B49" s="597">
        <v>0</v>
      </c>
      <c r="C49" s="570"/>
      <c r="D49" s="595"/>
      <c r="E49" s="594"/>
      <c r="F49" s="553">
        <f t="shared" si="2"/>
        <v>0</v>
      </c>
      <c r="G49" s="561"/>
      <c r="H49" s="561"/>
      <c r="I49" s="561"/>
      <c r="J49" s="561"/>
      <c r="K49" s="561"/>
      <c r="L49" s="561">
        <f>-F49</f>
        <v>0</v>
      </c>
      <c r="M49" s="561"/>
      <c r="N49" s="561"/>
      <c r="O49" s="562"/>
    </row>
    <row r="50" spans="1:15">
      <c r="A50" s="598" t="s">
        <v>925</v>
      </c>
      <c r="B50" s="594">
        <f>+'Estado de Resultado Resol. 30'!D71</f>
        <v>28753458</v>
      </c>
      <c r="C50" s="570"/>
      <c r="D50" s="595">
        <f>+B50</f>
        <v>28753458</v>
      </c>
      <c r="E50" s="594"/>
      <c r="F50" s="553">
        <f t="shared" si="2"/>
        <v>0</v>
      </c>
      <c r="G50" s="561"/>
      <c r="H50" s="561"/>
      <c r="I50" s="561"/>
      <c r="J50" s="561"/>
      <c r="K50" s="561"/>
      <c r="L50" s="561">
        <f>-F50</f>
        <v>0</v>
      </c>
      <c r="M50" s="561"/>
      <c r="N50" s="561"/>
      <c r="O50" s="562"/>
    </row>
    <row r="51" spans="1:15">
      <c r="A51" s="593" t="s">
        <v>926</v>
      </c>
      <c r="B51" s="570">
        <v>1181357814</v>
      </c>
      <c r="C51" s="570"/>
      <c r="D51" s="595">
        <f>+B51</f>
        <v>1181357814</v>
      </c>
      <c r="E51" s="570"/>
      <c r="F51" s="553">
        <f t="shared" si="2"/>
        <v>0</v>
      </c>
      <c r="G51" s="556"/>
      <c r="H51" s="556"/>
      <c r="I51" s="556"/>
      <c r="J51" s="556"/>
      <c r="K51" s="556"/>
      <c r="L51" s="556"/>
      <c r="M51" s="556"/>
      <c r="N51" s="556">
        <f>+L5-F51</f>
        <v>0</v>
      </c>
      <c r="O51" s="558"/>
    </row>
    <row r="52" spans="1:15">
      <c r="A52" s="593"/>
      <c r="B52" s="570">
        <v>0</v>
      </c>
      <c r="C52" s="570"/>
      <c r="D52" s="595"/>
      <c r="E52" s="570"/>
      <c r="F52" s="553">
        <f t="shared" si="2"/>
        <v>0</v>
      </c>
      <c r="G52" s="556"/>
      <c r="H52" s="556"/>
      <c r="I52" s="556"/>
      <c r="J52" s="556"/>
      <c r="K52" s="556"/>
      <c r="L52" s="556"/>
      <c r="M52" s="556"/>
      <c r="N52" s="556"/>
      <c r="O52" s="558"/>
    </row>
    <row r="53" spans="1:15" ht="13.5" thickBot="1">
      <c r="A53" s="596" t="s">
        <v>927</v>
      </c>
      <c r="B53" s="600">
        <f>+'Estado de Resultado Resol. 30'!D111</f>
        <v>2056310211</v>
      </c>
      <c r="C53" s="601"/>
      <c r="D53" s="602">
        <f>+B53</f>
        <v>2056310211</v>
      </c>
      <c r="E53" s="595"/>
      <c r="F53" s="603">
        <f>B53-E53+C53-D53</f>
        <v>0</v>
      </c>
      <c r="G53" s="604"/>
      <c r="H53" s="561"/>
      <c r="I53" s="561"/>
      <c r="J53" s="561"/>
      <c r="K53" s="561"/>
      <c r="L53" s="561">
        <f>-F53</f>
        <v>0</v>
      </c>
      <c r="M53" s="561"/>
      <c r="N53" s="561"/>
      <c r="O53" s="562"/>
    </row>
    <row r="54" spans="1:15" ht="13.5" thickBot="1">
      <c r="A54" s="605" t="s">
        <v>928</v>
      </c>
      <c r="B54" s="606">
        <f>SUM(B40:B53)*-1</f>
        <v>23332346890</v>
      </c>
      <c r="C54" s="570"/>
      <c r="D54" s="595">
        <f>+B54</f>
        <v>23332346890</v>
      </c>
      <c r="E54" s="595"/>
      <c r="F54" s="603">
        <f>B54-E54+C54-D54</f>
        <v>0</v>
      </c>
      <c r="G54" s="561"/>
      <c r="H54" s="561"/>
      <c r="I54" s="561"/>
      <c r="J54" s="561"/>
      <c r="K54" s="561"/>
      <c r="L54" s="561">
        <f>-F54</f>
        <v>0</v>
      </c>
      <c r="M54" s="561"/>
      <c r="N54" s="561"/>
      <c r="O54" s="562"/>
    </row>
    <row r="55" spans="1:15" ht="13.5" thickBot="1">
      <c r="A55" s="607" t="s">
        <v>929</v>
      </c>
      <c r="B55" s="608">
        <v>0</v>
      </c>
      <c r="C55" s="608"/>
      <c r="D55" s="608"/>
      <c r="E55" s="609"/>
      <c r="F55" s="548"/>
      <c r="G55" s="599"/>
      <c r="H55" s="599"/>
      <c r="I55" s="599"/>
      <c r="J55" s="599"/>
      <c r="K55" s="599"/>
      <c r="L55" s="556"/>
      <c r="M55" s="556"/>
      <c r="N55" s="599"/>
      <c r="O55" s="558"/>
    </row>
    <row r="56" spans="1:15" ht="15.75" thickBot="1">
      <c r="A56" s="610" t="s">
        <v>868</v>
      </c>
      <c r="B56" s="609"/>
      <c r="C56" s="609">
        <f>SUM(C9:C54)</f>
        <v>37516457699</v>
      </c>
      <c r="D56" s="609">
        <f>SUM(D9:D55)</f>
        <v>37516457699</v>
      </c>
      <c r="E56" s="609"/>
      <c r="F56" s="548">
        <f>B56-E56+C56-D56</f>
        <v>0</v>
      </c>
      <c r="G56" s="611">
        <f t="shared" ref="G56:N56" si="3">SUM(G9:G54)</f>
        <v>31349870226</v>
      </c>
      <c r="H56" s="611">
        <f t="shared" si="3"/>
        <v>615925306</v>
      </c>
      <c r="I56" s="611">
        <f t="shared" si="3"/>
        <v>0</v>
      </c>
      <c r="J56" s="611">
        <f t="shared" si="3"/>
        <v>-94696645</v>
      </c>
      <c r="K56" s="611">
        <f t="shared" si="3"/>
        <v>-4171416716</v>
      </c>
      <c r="L56" s="611">
        <f t="shared" si="3"/>
        <v>-10785054904</v>
      </c>
      <c r="M56" s="611">
        <f t="shared" si="3"/>
        <v>-88052829706</v>
      </c>
      <c r="N56" s="611">
        <f t="shared" si="3"/>
        <v>73284806207</v>
      </c>
      <c r="O56" s="612">
        <f>SUM(F56:N56)</f>
        <v>2146603768</v>
      </c>
    </row>
    <row r="57" spans="1:15" ht="15.75">
      <c r="B57" s="613">
        <f>+B54-'Estado de Resultado Resol. 30'!D113</f>
        <v>0</v>
      </c>
      <c r="D57" s="614">
        <f>D56-C56</f>
        <v>0</v>
      </c>
      <c r="L57" s="511"/>
      <c r="O57" s="615">
        <f>O56-O9</f>
        <v>0</v>
      </c>
    </row>
    <row r="58" spans="1:15">
      <c r="A58" s="616"/>
      <c r="B58" s="616"/>
      <c r="C58" s="616"/>
    </row>
    <row r="59" spans="1:15" ht="20.25">
      <c r="A59" s="617" t="s">
        <v>930</v>
      </c>
      <c r="B59" s="618"/>
      <c r="C59" s="618"/>
      <c r="D59" s="619"/>
      <c r="E59" s="619"/>
    </row>
    <row r="60" spans="1:15" ht="15">
      <c r="A60" s="620"/>
      <c r="B60" s="620"/>
      <c r="C60" s="620"/>
      <c r="D60" s="621"/>
      <c r="E60" s="621">
        <v>0</v>
      </c>
    </row>
    <row r="61" spans="1:15" ht="15">
      <c r="A61" s="622" t="s">
        <v>931</v>
      </c>
      <c r="B61" s="623">
        <f>+G56</f>
        <v>31349870226</v>
      </c>
      <c r="C61" s="624"/>
      <c r="D61" s="623"/>
      <c r="E61" s="621"/>
    </row>
    <row r="62" spans="1:15" ht="15">
      <c r="A62" s="622" t="s">
        <v>932</v>
      </c>
      <c r="B62" s="623">
        <f>+H56</f>
        <v>615925306</v>
      </c>
      <c r="C62" s="624"/>
      <c r="D62" s="623"/>
      <c r="E62" s="621"/>
    </row>
    <row r="63" spans="1:15" ht="15">
      <c r="A63" s="622" t="s">
        <v>933</v>
      </c>
      <c r="B63" s="623">
        <f>+I56</f>
        <v>0</v>
      </c>
      <c r="C63" s="624"/>
      <c r="D63" s="623"/>
      <c r="E63" s="621"/>
    </row>
    <row r="64" spans="1:15" ht="15">
      <c r="A64" s="622" t="s">
        <v>934</v>
      </c>
      <c r="B64" s="623">
        <f>+K56</f>
        <v>-4171416716</v>
      </c>
      <c r="C64" s="624"/>
      <c r="D64" s="623"/>
      <c r="E64" s="621"/>
    </row>
    <row r="65" spans="1:5" ht="15">
      <c r="A65" s="622" t="s">
        <v>935</v>
      </c>
      <c r="B65" s="623">
        <f>+L56</f>
        <v>-10785054904</v>
      </c>
      <c r="C65" s="624"/>
      <c r="D65" s="623"/>
      <c r="E65" s="621"/>
    </row>
    <row r="66" spans="1:5" ht="15">
      <c r="A66" s="622" t="s">
        <v>216</v>
      </c>
      <c r="B66" s="623">
        <f>+J56</f>
        <v>-94696645</v>
      </c>
      <c r="C66" s="624"/>
      <c r="D66" s="623"/>
      <c r="E66" s="621"/>
    </row>
    <row r="67" spans="1:5" ht="15">
      <c r="A67" s="620"/>
      <c r="B67" s="623"/>
      <c r="C67" s="624"/>
      <c r="D67" s="623"/>
      <c r="E67" s="621"/>
    </row>
    <row r="68" spans="1:5" ht="15.75">
      <c r="A68" s="625" t="s">
        <v>930</v>
      </c>
      <c r="B68" s="623"/>
      <c r="C68" s="626">
        <f>SUM(B61:B66)</f>
        <v>16914627267</v>
      </c>
      <c r="D68" s="623"/>
      <c r="E68" s="621"/>
    </row>
    <row r="69" spans="1:5" ht="15">
      <c r="A69" s="620"/>
      <c r="B69" s="623"/>
      <c r="C69" s="624"/>
      <c r="D69" s="623"/>
      <c r="E69" s="621"/>
    </row>
    <row r="70" spans="1:5" ht="15">
      <c r="A70" s="622" t="s">
        <v>936</v>
      </c>
      <c r="B70" s="627">
        <f>+M16</f>
        <v>-16768500000</v>
      </c>
      <c r="C70" s="624"/>
      <c r="D70" s="623"/>
      <c r="E70" s="621"/>
    </row>
    <row r="71" spans="1:5" ht="15">
      <c r="A71" s="622" t="s">
        <v>937</v>
      </c>
      <c r="B71" s="627">
        <f>+M17+M19</f>
        <v>-5140612141</v>
      </c>
      <c r="C71" s="624"/>
      <c r="D71" s="623"/>
      <c r="E71" s="621"/>
    </row>
    <row r="72" spans="1:5" ht="15">
      <c r="A72" s="622" t="s">
        <v>235</v>
      </c>
      <c r="B72" s="627">
        <f>+M15</f>
        <v>-66143717565</v>
      </c>
      <c r="C72" s="624"/>
      <c r="D72" s="623"/>
      <c r="E72" s="621"/>
    </row>
    <row r="73" spans="1:5" ht="15">
      <c r="A73" s="622" t="s">
        <v>236</v>
      </c>
      <c r="B73" s="627">
        <v>0</v>
      </c>
      <c r="C73" s="624"/>
      <c r="D73" s="623"/>
      <c r="E73" s="621"/>
    </row>
    <row r="74" spans="1:5" ht="15">
      <c r="A74" s="622" t="s">
        <v>237</v>
      </c>
      <c r="B74" s="627">
        <v>0</v>
      </c>
      <c r="C74" s="624"/>
      <c r="D74" s="623"/>
      <c r="E74" s="621"/>
    </row>
    <row r="75" spans="1:5" ht="15">
      <c r="A75" s="622"/>
      <c r="B75" s="627"/>
      <c r="C75" s="624"/>
      <c r="D75" s="623"/>
      <c r="E75" s="621"/>
    </row>
    <row r="76" spans="1:5" ht="15">
      <c r="A76" s="622"/>
      <c r="B76" s="623">
        <v>0</v>
      </c>
      <c r="C76" s="624"/>
      <c r="D76" s="623"/>
      <c r="E76" s="621"/>
    </row>
    <row r="77" spans="1:5" ht="15">
      <c r="A77" s="620"/>
      <c r="B77" s="623"/>
      <c r="C77" s="624"/>
      <c r="D77" s="623"/>
      <c r="E77" s="621"/>
    </row>
    <row r="78" spans="1:5" ht="15.75">
      <c r="A78" s="625" t="s">
        <v>938</v>
      </c>
      <c r="B78" s="623"/>
      <c r="C78" s="626">
        <f>SUM(B70:B76)</f>
        <v>-88052829706</v>
      </c>
      <c r="D78" s="623"/>
      <c r="E78" s="621"/>
    </row>
    <row r="79" spans="1:5" ht="15">
      <c r="A79" s="620"/>
      <c r="B79" s="623"/>
      <c r="C79" s="624"/>
      <c r="D79" s="623"/>
      <c r="E79" s="621"/>
    </row>
    <row r="80" spans="1:5" ht="15.75">
      <c r="A80" s="625" t="s">
        <v>939</v>
      </c>
      <c r="B80" s="623"/>
      <c r="C80" s="624"/>
      <c r="D80" s="623"/>
      <c r="E80" s="621"/>
    </row>
    <row r="81" spans="1:5" ht="15">
      <c r="A81" s="620"/>
      <c r="B81" s="623"/>
      <c r="C81" s="624"/>
      <c r="D81" s="623"/>
      <c r="E81" s="621"/>
    </row>
    <row r="82" spans="1:5" ht="15">
      <c r="A82" s="622" t="s">
        <v>940</v>
      </c>
      <c r="B82" s="623">
        <f>+N24</f>
        <v>78554655632</v>
      </c>
      <c r="C82" s="624"/>
      <c r="D82" s="623"/>
      <c r="E82" s="621"/>
    </row>
    <row r="83" spans="1:5" ht="15">
      <c r="A83" s="622" t="s">
        <v>242</v>
      </c>
      <c r="B83" s="627">
        <f>+N27</f>
        <v>-5434782609</v>
      </c>
      <c r="C83" s="624"/>
      <c r="D83" s="623"/>
      <c r="E83" s="621"/>
    </row>
    <row r="84" spans="1:5" ht="15">
      <c r="A84" s="622" t="s">
        <v>941</v>
      </c>
      <c r="B84" s="623">
        <f>+N31+N30</f>
        <v>164933184</v>
      </c>
      <c r="C84" s="624"/>
      <c r="D84" s="623"/>
      <c r="E84" s="621"/>
    </row>
    <row r="85" spans="1:5" ht="15">
      <c r="A85" s="620"/>
      <c r="B85" s="623"/>
      <c r="C85" s="624"/>
      <c r="D85" s="623"/>
      <c r="E85" s="621"/>
    </row>
    <row r="86" spans="1:5" ht="15.75">
      <c r="A86" s="625" t="s">
        <v>942</v>
      </c>
      <c r="B86" s="623"/>
      <c r="C86" s="626">
        <f>SUM(B82:B84)</f>
        <v>73284806207</v>
      </c>
      <c r="D86" s="623"/>
      <c r="E86" s="621"/>
    </row>
    <row r="87" spans="1:5" ht="15">
      <c r="A87" s="620"/>
      <c r="B87" s="623"/>
      <c r="C87" s="624"/>
      <c r="D87" s="623"/>
      <c r="E87" s="621"/>
    </row>
    <row r="88" spans="1:5" ht="15.75">
      <c r="A88" s="622" t="s">
        <v>943</v>
      </c>
      <c r="B88" s="623"/>
      <c r="C88" s="624">
        <f>C86+C78+C68</f>
        <v>2146603768</v>
      </c>
      <c r="D88" s="623">
        <f>O56</f>
        <v>2146603768</v>
      </c>
      <c r="E88" s="628">
        <f>D88-C88</f>
        <v>0</v>
      </c>
    </row>
    <row r="89" spans="1:5" ht="15.75">
      <c r="A89" s="622" t="s">
        <v>944</v>
      </c>
      <c r="B89" s="623"/>
      <c r="C89" s="624">
        <f>+E9</f>
        <v>3899258412</v>
      </c>
      <c r="D89" s="623"/>
      <c r="E89" s="628"/>
    </row>
    <row r="90" spans="1:5" ht="15.75">
      <c r="A90" s="625" t="s">
        <v>945</v>
      </c>
      <c r="B90" s="629"/>
      <c r="C90" s="629">
        <f>SUM(C88:C89)</f>
        <v>6045862180</v>
      </c>
      <c r="D90" s="623">
        <f>B9</f>
        <v>6045862180</v>
      </c>
      <c r="E90" s="628">
        <f>D90-C90</f>
        <v>0</v>
      </c>
    </row>
    <row r="91" spans="1:5" ht="15">
      <c r="A91" s="621"/>
      <c r="B91" s="621"/>
      <c r="C91" s="621"/>
      <c r="D91" s="621"/>
      <c r="E91" s="621"/>
    </row>
    <row r="92" spans="1:5" ht="15">
      <c r="A92" s="621"/>
      <c r="B92" s="621"/>
      <c r="C92" s="621"/>
      <c r="D92" s="621"/>
      <c r="E92" s="621"/>
    </row>
    <row r="93" spans="1:5" ht="15">
      <c r="A93" s="621"/>
      <c r="B93" s="621"/>
      <c r="C93" s="630"/>
      <c r="D93" s="621"/>
      <c r="E93" s="621"/>
    </row>
    <row r="94" spans="1:5" ht="15">
      <c r="A94" s="621"/>
      <c r="B94" s="621"/>
      <c r="C94" s="621"/>
      <c r="D94" s="621"/>
      <c r="E94" s="621"/>
    </row>
    <row r="95" spans="1:5" ht="15">
      <c r="A95" s="621"/>
      <c r="B95" s="621"/>
      <c r="C95" s="621"/>
      <c r="D95" s="621"/>
      <c r="E95" s="621"/>
    </row>
    <row r="96" spans="1:5" ht="15">
      <c r="A96" s="621"/>
      <c r="B96" s="621"/>
      <c r="C96" s="621"/>
      <c r="D96" s="621"/>
      <c r="E96" s="621"/>
    </row>
    <row r="97" spans="1:5" ht="15">
      <c r="A97" s="621"/>
      <c r="B97" s="621"/>
      <c r="C97" s="621"/>
      <c r="D97" s="621"/>
      <c r="E97" s="621"/>
    </row>
    <row r="98" spans="1:5" ht="15">
      <c r="A98" s="621"/>
      <c r="B98" s="621"/>
      <c r="C98" s="621"/>
      <c r="D98" s="621"/>
      <c r="E98" s="621"/>
    </row>
    <row r="99" spans="1:5" ht="15">
      <c r="A99" s="621"/>
      <c r="B99" s="621"/>
      <c r="C99" s="621"/>
      <c r="D99" s="621"/>
      <c r="E99" s="621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B1:F58"/>
  <sheetViews>
    <sheetView showGridLines="0" topLeftCell="A3" zoomScale="120" zoomScaleNormal="120" workbookViewId="0">
      <selection activeCell="C71" sqref="C71"/>
    </sheetView>
  </sheetViews>
  <sheetFormatPr baseColWidth="10" defaultColWidth="9.140625" defaultRowHeight="12"/>
  <cols>
    <col min="1" max="1" width="5.7109375" style="25" customWidth="1"/>
    <col min="2" max="2" width="74.42578125" style="25" customWidth="1"/>
    <col min="3" max="255" width="11.42578125" style="25" customWidth="1"/>
    <col min="256" max="16384" width="9.140625" style="25"/>
  </cols>
  <sheetData>
    <row r="1" spans="2:4" ht="44.45" customHeight="1"/>
    <row r="2" spans="2:4" ht="15.75">
      <c r="B2" s="492" t="s">
        <v>268</v>
      </c>
    </row>
    <row r="3" spans="2:4">
      <c r="B3" s="195" t="s">
        <v>269</v>
      </c>
      <c r="C3" s="26"/>
      <c r="D3" s="26"/>
    </row>
    <row r="4" spans="2:4">
      <c r="B4" s="26"/>
    </row>
    <row r="5" spans="2:4" ht="48">
      <c r="B5" s="263" t="s">
        <v>1039</v>
      </c>
    </row>
    <row r="6" spans="2:4">
      <c r="B6" s="28"/>
    </row>
    <row r="7" spans="2:4">
      <c r="B7" s="26" t="s">
        <v>270</v>
      </c>
      <c r="C7" s="26"/>
      <c r="D7" s="26"/>
    </row>
    <row r="8" spans="2:4">
      <c r="B8" s="28"/>
    </row>
    <row r="9" spans="2:4">
      <c r="B9" s="27" t="s">
        <v>535</v>
      </c>
    </row>
    <row r="10" spans="2:4">
      <c r="B10" s="27"/>
    </row>
    <row r="11" spans="2:4" ht="72">
      <c r="B11" s="27" t="s">
        <v>536</v>
      </c>
    </row>
    <row r="12" spans="2:4">
      <c r="B12" s="28"/>
    </row>
    <row r="13" spans="2:4" ht="36">
      <c r="B13" s="28" t="s">
        <v>271</v>
      </c>
    </row>
    <row r="14" spans="2:4">
      <c r="B14" s="28"/>
    </row>
    <row r="15" spans="2:4">
      <c r="B15" s="28" t="s">
        <v>272</v>
      </c>
      <c r="D15" s="28"/>
    </row>
    <row r="16" spans="2:4" ht="14.45" customHeight="1">
      <c r="B16" s="491"/>
    </row>
    <row r="17" spans="2:5" ht="24">
      <c r="B17" s="28" t="s">
        <v>273</v>
      </c>
    </row>
    <row r="18" spans="2:5" ht="24">
      <c r="B18" s="28" t="s">
        <v>274</v>
      </c>
    </row>
    <row r="19" spans="2:5" ht="24">
      <c r="B19" s="28" t="s">
        <v>275</v>
      </c>
    </row>
    <row r="20" spans="2:5">
      <c r="B20" s="28" t="s">
        <v>276</v>
      </c>
    </row>
    <row r="21" spans="2:5">
      <c r="B21" s="28" t="s">
        <v>277</v>
      </c>
    </row>
    <row r="22" spans="2:5" ht="36">
      <c r="B22" s="28" t="s">
        <v>278</v>
      </c>
    </row>
    <row r="23" spans="2:5" ht="36">
      <c r="B23" s="28" t="s">
        <v>279</v>
      </c>
    </row>
    <row r="24" spans="2:5" ht="24">
      <c r="B24" s="28" t="s">
        <v>280</v>
      </c>
    </row>
    <row r="25" spans="2:5" ht="36">
      <c r="B25" s="28" t="s">
        <v>281</v>
      </c>
    </row>
    <row r="26" spans="2:5">
      <c r="B26" s="27"/>
    </row>
    <row r="27" spans="2:5">
      <c r="B27" s="27" t="s">
        <v>537</v>
      </c>
    </row>
    <row r="28" spans="2:5">
      <c r="B28" s="264"/>
    </row>
    <row r="29" spans="2:5" ht="36">
      <c r="B29" s="28" t="s">
        <v>951</v>
      </c>
    </row>
    <row r="30" spans="2:5" ht="37.15" customHeight="1">
      <c r="B30" s="28" t="s">
        <v>800</v>
      </c>
      <c r="D30" s="39"/>
      <c r="E30" s="39"/>
    </row>
    <row r="31" spans="2:5" ht="46.9" customHeight="1">
      <c r="B31" s="28" t="s">
        <v>638</v>
      </c>
    </row>
    <row r="32" spans="2:5" ht="32.450000000000003" customHeight="1">
      <c r="B32" s="28" t="s">
        <v>637</v>
      </c>
    </row>
    <row r="33" spans="2:6" ht="32.450000000000003" customHeight="1">
      <c r="B33" s="28" t="s">
        <v>952</v>
      </c>
    </row>
    <row r="34" spans="2:6" ht="24">
      <c r="B34" s="28" t="s">
        <v>506</v>
      </c>
    </row>
    <row r="35" spans="2:6">
      <c r="B35" s="28"/>
    </row>
    <row r="36" spans="2:6">
      <c r="B36" s="26" t="s">
        <v>282</v>
      </c>
      <c r="C36" s="26"/>
      <c r="D36" s="26"/>
    </row>
    <row r="37" spans="2:6">
      <c r="B37" s="28"/>
    </row>
    <row r="38" spans="2:6">
      <c r="B38" s="27" t="s">
        <v>283</v>
      </c>
    </row>
    <row r="39" spans="2:6" ht="24">
      <c r="B39" s="28" t="s">
        <v>801</v>
      </c>
    </row>
    <row r="40" spans="2:6">
      <c r="B40" s="28"/>
    </row>
    <row r="41" spans="2:6">
      <c r="B41" s="27" t="s">
        <v>284</v>
      </c>
    </row>
    <row r="42" spans="2:6" ht="14.45" customHeight="1">
      <c r="B42" s="28" t="s">
        <v>802</v>
      </c>
      <c r="C42" s="28"/>
      <c r="D42" s="28"/>
      <c r="E42" s="28"/>
      <c r="F42" s="28"/>
    </row>
    <row r="43" spans="2:6">
      <c r="B43" s="28"/>
    </row>
    <row r="44" spans="2:6">
      <c r="B44" s="27" t="s">
        <v>285</v>
      </c>
    </row>
    <row r="45" spans="2:6">
      <c r="B45" s="28" t="s">
        <v>286</v>
      </c>
    </row>
    <row r="46" spans="2:6">
      <c r="B46" s="27"/>
    </row>
    <row r="47" spans="2:6">
      <c r="B47" s="27" t="s">
        <v>538</v>
      </c>
    </row>
    <row r="48" spans="2:6" ht="24">
      <c r="B48" s="28" t="s">
        <v>607</v>
      </c>
    </row>
    <row r="49" spans="2:4" ht="24">
      <c r="B49" s="28" t="s">
        <v>287</v>
      </c>
    </row>
    <row r="50" spans="2:4">
      <c r="B50" s="28"/>
    </row>
    <row r="51" spans="2:4">
      <c r="B51" s="27" t="s">
        <v>288</v>
      </c>
    </row>
    <row r="52" spans="2:4" ht="36">
      <c r="B52" s="28" t="s">
        <v>289</v>
      </c>
    </row>
    <row r="53" spans="2:4">
      <c r="B53" s="28"/>
    </row>
    <row r="54" spans="2:4">
      <c r="B54" s="27" t="s">
        <v>290</v>
      </c>
    </row>
    <row r="55" spans="2:4" ht="36">
      <c r="B55" s="28" t="s">
        <v>291</v>
      </c>
    </row>
    <row r="56" spans="2:4">
      <c r="B56" s="26"/>
    </row>
    <row r="57" spans="2:4">
      <c r="B57" s="26" t="s">
        <v>292</v>
      </c>
      <c r="C57" s="26"/>
      <c r="D57" s="26"/>
    </row>
    <row r="58" spans="2:4">
      <c r="B58" s="84" t="s">
        <v>293</v>
      </c>
    </row>
  </sheetData>
  <sheetProtection algorithmName="SHA-512" hashValue="gc5RAw+Jng2u7BdqOOS5sgFlQ8H/STGJ8V6OqjIdPGzW4pObxkmiijmsDoYgA7owIEQJ5DtFhrMD9gwgXZNOBw==" saltValue="63EavJxRC8ltvNsVPAQm+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102"/>
  <sheetViews>
    <sheetView showGridLines="0" zoomScaleNormal="100" workbookViewId="0">
      <selection activeCell="C71" sqref="C71"/>
    </sheetView>
  </sheetViews>
  <sheetFormatPr baseColWidth="10" defaultColWidth="11.42578125" defaultRowHeight="12"/>
  <cols>
    <col min="1" max="1" width="3" style="25" customWidth="1"/>
    <col min="2" max="2" width="5.7109375" style="25" customWidth="1"/>
    <col min="3" max="3" width="47.42578125" style="25" bestFit="1" customWidth="1"/>
    <col min="4" max="4" width="11.85546875" style="25" bestFit="1" customWidth="1"/>
    <col min="5" max="5" width="15.42578125" style="25" bestFit="1" customWidth="1"/>
    <col min="6" max="6" width="9.85546875" style="25" bestFit="1" customWidth="1"/>
    <col min="7" max="7" width="13.7109375" style="39" customWidth="1"/>
    <col min="8" max="8" width="13.140625" style="25" bestFit="1" customWidth="1"/>
    <col min="9" max="9" width="12.42578125" style="25" customWidth="1"/>
    <col min="10" max="10" width="13.85546875" style="25" bestFit="1" customWidth="1"/>
    <col min="11" max="11" width="14.28515625" style="25" bestFit="1" customWidth="1"/>
    <col min="12" max="12" width="14.140625" style="25" bestFit="1" customWidth="1"/>
    <col min="13" max="16384" width="11.42578125" style="25"/>
  </cols>
  <sheetData>
    <row r="1" spans="3:11">
      <c r="C1" s="24"/>
    </row>
    <row r="2" spans="3:11" ht="40.9" customHeight="1"/>
    <row r="3" spans="3:11" ht="26.45" customHeight="1">
      <c r="C3" s="706" t="s">
        <v>294</v>
      </c>
      <c r="D3" s="706"/>
      <c r="E3" s="706"/>
      <c r="F3" s="706"/>
      <c r="G3" s="706"/>
      <c r="H3" s="706"/>
      <c r="I3" s="706"/>
      <c r="J3" s="706"/>
      <c r="K3" s="706"/>
    </row>
    <row r="4" spans="3:11" ht="15">
      <c r="C4" s="457" t="s">
        <v>702</v>
      </c>
      <c r="D4" s="453"/>
      <c r="E4" s="453"/>
      <c r="F4" s="453"/>
      <c r="G4" s="453"/>
      <c r="H4" s="453"/>
      <c r="I4" s="453"/>
      <c r="J4" s="453"/>
      <c r="K4" s="453"/>
    </row>
    <row r="5" spans="3:11" ht="18.75" customHeight="1">
      <c r="C5" s="27" t="s">
        <v>517</v>
      </c>
    </row>
    <row r="6" spans="3:11">
      <c r="C6" s="28"/>
    </row>
    <row r="7" spans="3:11">
      <c r="C7" s="29" t="s">
        <v>295</v>
      </c>
      <c r="D7" s="30">
        <v>44561</v>
      </c>
      <c r="E7" s="30">
        <v>44196</v>
      </c>
    </row>
    <row r="8" spans="3:11">
      <c r="C8" s="31" t="s">
        <v>296</v>
      </c>
      <c r="D8" s="32">
        <v>6870.81</v>
      </c>
      <c r="E8" s="32">
        <v>6891.96</v>
      </c>
    </row>
    <row r="9" spans="3:11">
      <c r="C9" s="33" t="s">
        <v>297</v>
      </c>
      <c r="D9" s="32">
        <v>6887.4</v>
      </c>
      <c r="E9" s="32">
        <v>6941.65</v>
      </c>
    </row>
    <row r="11" spans="3:11">
      <c r="C11" s="27" t="s">
        <v>518</v>
      </c>
    </row>
    <row r="12" spans="3:11">
      <c r="C12" s="27"/>
    </row>
    <row r="13" spans="3:11" ht="12.75" thickBot="1">
      <c r="C13" s="34" t="s">
        <v>298</v>
      </c>
    </row>
    <row r="14" spans="3:11" ht="15" customHeight="1">
      <c r="D14" s="714" t="str">
        <f>+'Balance Gral. Resol. 30'!D8</f>
        <v>PERIODO ACTUAL 31/12/ 2021</v>
      </c>
      <c r="E14" s="715"/>
      <c r="F14" s="715"/>
      <c r="G14" s="716"/>
      <c r="H14" s="714" t="str">
        <f>+'Balance Gral. Resol. 30'!E8</f>
        <v>PERIODO ANTERIOR   31/12/ 2020</v>
      </c>
      <c r="I14" s="715"/>
      <c r="J14" s="715"/>
      <c r="K14" s="716"/>
    </row>
    <row r="15" spans="3:11" ht="15" customHeight="1" thickBot="1">
      <c r="D15" s="717"/>
      <c r="E15" s="718"/>
      <c r="F15" s="718"/>
      <c r="G15" s="719"/>
      <c r="H15" s="717"/>
      <c r="I15" s="718"/>
      <c r="J15" s="718"/>
      <c r="K15" s="719"/>
    </row>
    <row r="16" spans="3:11" ht="48">
      <c r="C16" s="29" t="s">
        <v>299</v>
      </c>
      <c r="D16" s="155" t="s">
        <v>300</v>
      </c>
      <c r="E16" s="155" t="s">
        <v>301</v>
      </c>
      <c r="F16" s="155" t="s">
        <v>653</v>
      </c>
      <c r="G16" s="427" t="s">
        <v>651</v>
      </c>
      <c r="H16" s="155" t="s">
        <v>300</v>
      </c>
      <c r="I16" s="155" t="s">
        <v>301</v>
      </c>
      <c r="J16" s="155" t="s">
        <v>654</v>
      </c>
      <c r="K16" s="155" t="s">
        <v>652</v>
      </c>
    </row>
    <row r="17" spans="3:12">
      <c r="C17" s="36" t="s">
        <v>32</v>
      </c>
      <c r="D17" s="37"/>
      <c r="E17" s="37"/>
      <c r="F17" s="37"/>
      <c r="G17" s="424"/>
      <c r="H17" s="37"/>
      <c r="I17" s="37"/>
      <c r="J17" s="37"/>
      <c r="K17" s="37"/>
    </row>
    <row r="18" spans="3:12">
      <c r="C18" s="36" t="s">
        <v>302</v>
      </c>
      <c r="D18" s="37"/>
      <c r="E18" s="37"/>
      <c r="F18" s="37"/>
      <c r="G18" s="424"/>
      <c r="H18" s="37"/>
      <c r="I18" s="37"/>
      <c r="J18" s="37"/>
      <c r="K18" s="37"/>
    </row>
    <row r="19" spans="3:12">
      <c r="C19" s="36" t="s">
        <v>303</v>
      </c>
      <c r="D19" s="37"/>
      <c r="E19" s="38"/>
      <c r="F19" s="37"/>
      <c r="G19" s="424"/>
      <c r="H19" s="37"/>
      <c r="I19" s="38"/>
      <c r="J19" s="37"/>
      <c r="K19" s="37"/>
      <c r="L19" s="39"/>
    </row>
    <row r="20" spans="3:12">
      <c r="C20" s="37" t="s">
        <v>39</v>
      </c>
      <c r="D20" s="40" t="s">
        <v>304</v>
      </c>
      <c r="E20" s="41">
        <v>0</v>
      </c>
      <c r="F20" s="42">
        <f>+D8</f>
        <v>6870.81</v>
      </c>
      <c r="G20" s="422">
        <f>+F20*E20</f>
        <v>0</v>
      </c>
      <c r="H20" s="40" t="s">
        <v>304</v>
      </c>
      <c r="I20" s="41">
        <v>0</v>
      </c>
      <c r="J20" s="42">
        <v>6891.96</v>
      </c>
      <c r="K20" s="422">
        <f>+I20*J20</f>
        <v>0</v>
      </c>
    </row>
    <row r="21" spans="3:12">
      <c r="C21" s="37" t="s">
        <v>42</v>
      </c>
      <c r="D21" s="40" t="s">
        <v>304</v>
      </c>
      <c r="E21" s="41">
        <f>96483.46+4385.73+781.72</f>
        <v>101650.91</v>
      </c>
      <c r="F21" s="42">
        <f>+F20</f>
        <v>6870.81</v>
      </c>
      <c r="G21" s="422">
        <f t="shared" ref="G21:G57" si="0">+F21*E21</f>
        <v>698424088.93710005</v>
      </c>
      <c r="H21" s="40" t="s">
        <v>304</v>
      </c>
      <c r="I21" s="41">
        <v>450789.88</v>
      </c>
      <c r="J21" s="42">
        <v>6891.96</v>
      </c>
      <c r="K21" s="422">
        <f t="shared" ref="K21:K57" si="1">+I21*J21</f>
        <v>3106825821.3648</v>
      </c>
    </row>
    <row r="22" spans="3:12">
      <c r="C22" s="44" t="s">
        <v>531</v>
      </c>
      <c r="D22" s="45"/>
      <c r="E22" s="41"/>
      <c r="F22" s="42">
        <f t="shared" ref="F22:F57" si="2">+F21</f>
        <v>6870.81</v>
      </c>
      <c r="G22" s="422">
        <f t="shared" si="0"/>
        <v>0</v>
      </c>
      <c r="H22" s="45"/>
      <c r="I22" s="41"/>
      <c r="J22" s="42">
        <v>6891.96</v>
      </c>
      <c r="K22" s="422">
        <f t="shared" si="1"/>
        <v>0</v>
      </c>
    </row>
    <row r="23" spans="3:12">
      <c r="C23" s="45" t="s">
        <v>316</v>
      </c>
      <c r="D23" s="46" t="s">
        <v>304</v>
      </c>
      <c r="E23" s="41">
        <v>0</v>
      </c>
      <c r="F23" s="42">
        <f t="shared" si="2"/>
        <v>6870.81</v>
      </c>
      <c r="G23" s="422">
        <f t="shared" si="0"/>
        <v>0</v>
      </c>
      <c r="H23" s="46" t="s">
        <v>304</v>
      </c>
      <c r="I23" s="41">
        <v>0</v>
      </c>
      <c r="J23" s="42">
        <v>6891.96</v>
      </c>
      <c r="K23" s="422">
        <f t="shared" si="1"/>
        <v>0</v>
      </c>
    </row>
    <row r="24" spans="3:12">
      <c r="C24" s="45" t="s">
        <v>317</v>
      </c>
      <c r="D24" s="46" t="s">
        <v>304</v>
      </c>
      <c r="E24" s="41">
        <f>769000+100000</f>
        <v>869000</v>
      </c>
      <c r="F24" s="42">
        <f t="shared" si="2"/>
        <v>6870.81</v>
      </c>
      <c r="G24" s="422">
        <f t="shared" si="0"/>
        <v>5970733890</v>
      </c>
      <c r="H24" s="46" t="s">
        <v>304</v>
      </c>
      <c r="I24" s="192">
        <f>100000+79000+1503000</f>
        <v>1682000</v>
      </c>
      <c r="J24" s="42">
        <v>6891.96</v>
      </c>
      <c r="K24" s="422">
        <f t="shared" si="1"/>
        <v>11592276720</v>
      </c>
    </row>
    <row r="25" spans="3:12">
      <c r="C25" s="45" t="s">
        <v>318</v>
      </c>
      <c r="D25" s="46" t="s">
        <v>304</v>
      </c>
      <c r="E25" s="41"/>
      <c r="F25" s="42">
        <f t="shared" si="2"/>
        <v>6870.81</v>
      </c>
      <c r="G25" s="422">
        <f t="shared" si="0"/>
        <v>0</v>
      </c>
      <c r="H25" s="46" t="s">
        <v>304</v>
      </c>
      <c r="I25" s="41"/>
      <c r="J25" s="42">
        <v>6891.96</v>
      </c>
      <c r="K25" s="422">
        <f t="shared" si="1"/>
        <v>0</v>
      </c>
    </row>
    <row r="26" spans="3:12">
      <c r="C26" s="37"/>
      <c r="D26" s="40"/>
      <c r="E26" s="41"/>
      <c r="F26" s="42">
        <f t="shared" si="2"/>
        <v>6870.81</v>
      </c>
      <c r="G26" s="422">
        <f t="shared" si="0"/>
        <v>0</v>
      </c>
      <c r="H26" s="40"/>
      <c r="I26" s="41"/>
      <c r="J26" s="42"/>
      <c r="K26" s="422">
        <f t="shared" si="1"/>
        <v>0</v>
      </c>
    </row>
    <row r="27" spans="3:12">
      <c r="C27" s="36" t="s">
        <v>98</v>
      </c>
      <c r="D27" s="37"/>
      <c r="E27" s="41"/>
      <c r="F27" s="42">
        <f t="shared" si="2"/>
        <v>6870.81</v>
      </c>
      <c r="G27" s="422">
        <f t="shared" si="0"/>
        <v>0</v>
      </c>
      <c r="H27" s="37"/>
      <c r="I27" s="41"/>
      <c r="J27" s="42">
        <v>6891.96</v>
      </c>
      <c r="K27" s="422">
        <f t="shared" si="1"/>
        <v>0</v>
      </c>
    </row>
    <row r="28" spans="3:12">
      <c r="C28" s="37" t="s">
        <v>55</v>
      </c>
      <c r="D28" s="40" t="s">
        <v>304</v>
      </c>
      <c r="E28" s="41">
        <v>63254.57</v>
      </c>
      <c r="F28" s="42">
        <f t="shared" si="2"/>
        <v>6870.81</v>
      </c>
      <c r="G28" s="422">
        <f t="shared" si="0"/>
        <v>434610132.10170001</v>
      </c>
      <c r="H28" s="40" t="s">
        <v>304</v>
      </c>
      <c r="I28" s="41">
        <f>101236.8+317221</f>
        <v>418457.8</v>
      </c>
      <c r="J28" s="42">
        <v>6891.96</v>
      </c>
      <c r="K28" s="422">
        <f t="shared" si="1"/>
        <v>2883994419.2880001</v>
      </c>
    </row>
    <row r="29" spans="3:12">
      <c r="C29" s="37" t="s">
        <v>305</v>
      </c>
      <c r="D29" s="40" t="s">
        <v>304</v>
      </c>
      <c r="E29" s="41">
        <v>0</v>
      </c>
      <c r="F29" s="42">
        <f t="shared" si="2"/>
        <v>6870.81</v>
      </c>
      <c r="G29" s="422">
        <f t="shared" si="0"/>
        <v>0</v>
      </c>
      <c r="H29" s="40" t="s">
        <v>304</v>
      </c>
      <c r="I29" s="41">
        <v>0</v>
      </c>
      <c r="J29" s="42">
        <v>6891.96</v>
      </c>
      <c r="K29" s="422">
        <f t="shared" si="1"/>
        <v>0</v>
      </c>
    </row>
    <row r="30" spans="3:12">
      <c r="C30" s="37" t="s">
        <v>306</v>
      </c>
      <c r="D30" s="40" t="s">
        <v>304</v>
      </c>
      <c r="E30" s="41">
        <v>0</v>
      </c>
      <c r="F30" s="42">
        <f t="shared" si="2"/>
        <v>6870.81</v>
      </c>
      <c r="G30" s="422">
        <f t="shared" si="0"/>
        <v>0</v>
      </c>
      <c r="H30" s="40" t="s">
        <v>304</v>
      </c>
      <c r="I30" s="41">
        <v>0</v>
      </c>
      <c r="J30" s="42">
        <v>6891.96</v>
      </c>
      <c r="K30" s="422">
        <f t="shared" si="1"/>
        <v>0</v>
      </c>
    </row>
    <row r="31" spans="3:12">
      <c r="C31" s="37" t="s">
        <v>307</v>
      </c>
      <c r="D31" s="40" t="s">
        <v>304</v>
      </c>
      <c r="E31" s="41">
        <v>0</v>
      </c>
      <c r="F31" s="42">
        <f t="shared" si="2"/>
        <v>6870.81</v>
      </c>
      <c r="G31" s="422">
        <f t="shared" si="0"/>
        <v>0</v>
      </c>
      <c r="H31" s="40" t="s">
        <v>304</v>
      </c>
      <c r="I31" s="41">
        <v>0</v>
      </c>
      <c r="J31" s="42">
        <v>6891.96</v>
      </c>
      <c r="K31" s="422">
        <f t="shared" si="1"/>
        <v>0</v>
      </c>
    </row>
    <row r="32" spans="3:12">
      <c r="C32" s="37" t="s">
        <v>63</v>
      </c>
      <c r="D32" s="40" t="s">
        <v>304</v>
      </c>
      <c r="E32" s="41">
        <v>14831.6</v>
      </c>
      <c r="F32" s="42">
        <f t="shared" si="2"/>
        <v>6870.81</v>
      </c>
      <c r="G32" s="422">
        <f t="shared" si="0"/>
        <v>101905105.59600002</v>
      </c>
      <c r="H32" s="40" t="s">
        <v>304</v>
      </c>
      <c r="I32" s="41">
        <v>0</v>
      </c>
      <c r="J32" s="42">
        <v>6891.96</v>
      </c>
      <c r="K32" s="422">
        <f t="shared" si="1"/>
        <v>0</v>
      </c>
    </row>
    <row r="33" spans="3:11">
      <c r="C33" s="37" t="s">
        <v>308</v>
      </c>
      <c r="D33" s="40" t="s">
        <v>304</v>
      </c>
      <c r="E33" s="41">
        <v>0</v>
      </c>
      <c r="F33" s="42">
        <f t="shared" si="2"/>
        <v>6870.81</v>
      </c>
      <c r="G33" s="422">
        <f t="shared" si="0"/>
        <v>0</v>
      </c>
      <c r="H33" s="40" t="s">
        <v>304</v>
      </c>
      <c r="I33" s="41">
        <v>0</v>
      </c>
      <c r="J33" s="42">
        <v>6891.96</v>
      </c>
      <c r="K33" s="422">
        <f t="shared" si="1"/>
        <v>0</v>
      </c>
    </row>
    <row r="34" spans="3:11">
      <c r="C34" s="36" t="s">
        <v>309</v>
      </c>
      <c r="D34" s="37"/>
      <c r="E34" s="41"/>
      <c r="F34" s="42">
        <f t="shared" si="2"/>
        <v>6870.81</v>
      </c>
      <c r="G34" s="422">
        <f t="shared" si="0"/>
        <v>0</v>
      </c>
      <c r="H34" s="37"/>
      <c r="I34" s="41"/>
      <c r="J34" s="42">
        <v>6891.96</v>
      </c>
      <c r="K34" s="422">
        <f t="shared" si="1"/>
        <v>0</v>
      </c>
    </row>
    <row r="35" spans="3:11">
      <c r="C35" s="37" t="s">
        <v>310</v>
      </c>
      <c r="D35" s="40" t="s">
        <v>304</v>
      </c>
      <c r="E35" s="41">
        <v>0</v>
      </c>
      <c r="F35" s="42">
        <f t="shared" si="2"/>
        <v>6870.81</v>
      </c>
      <c r="G35" s="422">
        <f t="shared" si="0"/>
        <v>0</v>
      </c>
      <c r="H35" s="40" t="s">
        <v>304</v>
      </c>
      <c r="I35" s="41">
        <v>0</v>
      </c>
      <c r="J35" s="42">
        <v>6891.96</v>
      </c>
      <c r="K35" s="422">
        <f t="shared" si="1"/>
        <v>0</v>
      </c>
    </row>
    <row r="36" spans="3:11">
      <c r="C36" s="37" t="s">
        <v>311</v>
      </c>
      <c r="D36" s="40" t="s">
        <v>304</v>
      </c>
      <c r="E36" s="41">
        <v>0</v>
      </c>
      <c r="F36" s="42">
        <f t="shared" si="2"/>
        <v>6870.81</v>
      </c>
      <c r="G36" s="422">
        <f t="shared" si="0"/>
        <v>0</v>
      </c>
      <c r="H36" s="40" t="s">
        <v>304</v>
      </c>
      <c r="I36" s="41">
        <v>0</v>
      </c>
      <c r="J36" s="42">
        <v>6891.96</v>
      </c>
      <c r="K36" s="422">
        <f t="shared" si="1"/>
        <v>0</v>
      </c>
    </row>
    <row r="37" spans="3:11">
      <c r="C37" s="36" t="s">
        <v>70</v>
      </c>
      <c r="D37" s="37"/>
      <c r="E37" s="41"/>
      <c r="F37" s="42">
        <f t="shared" si="2"/>
        <v>6870.81</v>
      </c>
      <c r="G37" s="422">
        <f t="shared" si="0"/>
        <v>0</v>
      </c>
      <c r="H37" s="37"/>
      <c r="I37" s="41"/>
      <c r="J37" s="42">
        <v>6891.96</v>
      </c>
      <c r="K37" s="422">
        <f t="shared" si="1"/>
        <v>0</v>
      </c>
    </row>
    <row r="38" spans="3:11">
      <c r="C38" s="37" t="s">
        <v>312</v>
      </c>
      <c r="D38" s="40" t="s">
        <v>304</v>
      </c>
      <c r="E38" s="41">
        <v>39716.639999999999</v>
      </c>
      <c r="F38" s="42">
        <f t="shared" si="2"/>
        <v>6870.81</v>
      </c>
      <c r="G38" s="422">
        <f t="shared" si="0"/>
        <v>272885487.2784</v>
      </c>
      <c r="H38" s="40" t="s">
        <v>304</v>
      </c>
      <c r="I38" s="41">
        <v>0</v>
      </c>
      <c r="J38" s="42">
        <v>6891.96</v>
      </c>
      <c r="K38" s="422">
        <f t="shared" si="1"/>
        <v>0</v>
      </c>
    </row>
    <row r="39" spans="3:11">
      <c r="C39" s="37" t="s">
        <v>313</v>
      </c>
      <c r="D39" s="40" t="s">
        <v>304</v>
      </c>
      <c r="E39" s="41">
        <v>0</v>
      </c>
      <c r="F39" s="42">
        <f t="shared" si="2"/>
        <v>6870.81</v>
      </c>
      <c r="G39" s="422">
        <f t="shared" si="0"/>
        <v>0</v>
      </c>
      <c r="H39" s="40" t="s">
        <v>304</v>
      </c>
      <c r="I39" s="41">
        <v>0</v>
      </c>
      <c r="J39" s="42">
        <v>6891.96</v>
      </c>
      <c r="K39" s="422">
        <f t="shared" si="1"/>
        <v>0</v>
      </c>
    </row>
    <row r="40" spans="3:11">
      <c r="C40" s="43" t="s">
        <v>82</v>
      </c>
      <c r="D40" s="40"/>
      <c r="E40" s="41"/>
      <c r="F40" s="42">
        <f t="shared" si="2"/>
        <v>6870.81</v>
      </c>
      <c r="G40" s="422">
        <f t="shared" si="0"/>
        <v>0</v>
      </c>
      <c r="H40" s="40"/>
      <c r="I40" s="41"/>
      <c r="J40" s="42">
        <v>6891.96</v>
      </c>
      <c r="K40" s="422">
        <f t="shared" si="1"/>
        <v>0</v>
      </c>
    </row>
    <row r="41" spans="3:11">
      <c r="C41" s="44" t="s">
        <v>98</v>
      </c>
      <c r="D41" s="45"/>
      <c r="E41" s="41"/>
      <c r="F41" s="42">
        <f t="shared" si="2"/>
        <v>6870.81</v>
      </c>
      <c r="G41" s="422">
        <f t="shared" si="0"/>
        <v>0</v>
      </c>
      <c r="H41" s="45"/>
      <c r="I41" s="41"/>
      <c r="J41" s="42">
        <v>6891.96</v>
      </c>
      <c r="K41" s="422">
        <f t="shared" si="1"/>
        <v>0</v>
      </c>
    </row>
    <row r="42" spans="3:11" ht="14.25" customHeight="1">
      <c r="C42" s="45" t="s">
        <v>314</v>
      </c>
      <c r="D42" s="46" t="s">
        <v>304</v>
      </c>
      <c r="E42" s="41">
        <v>0</v>
      </c>
      <c r="F42" s="42">
        <f t="shared" si="2"/>
        <v>6870.81</v>
      </c>
      <c r="G42" s="422">
        <f t="shared" si="0"/>
        <v>0</v>
      </c>
      <c r="H42" s="46" t="s">
        <v>304</v>
      </c>
      <c r="I42" s="41">
        <v>0</v>
      </c>
      <c r="J42" s="42">
        <v>6891.96</v>
      </c>
      <c r="K42" s="422">
        <f t="shared" si="1"/>
        <v>0</v>
      </c>
    </row>
    <row r="43" spans="3:11">
      <c r="C43" s="44" t="s">
        <v>315</v>
      </c>
      <c r="D43" s="45"/>
      <c r="E43" s="41"/>
      <c r="F43" s="42">
        <f t="shared" si="2"/>
        <v>6870.81</v>
      </c>
      <c r="G43" s="422">
        <f t="shared" si="0"/>
        <v>0</v>
      </c>
      <c r="H43" s="45"/>
      <c r="I43" s="41"/>
      <c r="J43" s="42">
        <v>6891.96</v>
      </c>
      <c r="K43" s="422">
        <f t="shared" si="1"/>
        <v>0</v>
      </c>
    </row>
    <row r="44" spans="3:11">
      <c r="C44" s="45" t="s">
        <v>316</v>
      </c>
      <c r="D44" s="46" t="s">
        <v>304</v>
      </c>
      <c r="E44" s="41">
        <v>0</v>
      </c>
      <c r="F44" s="42">
        <f t="shared" si="2"/>
        <v>6870.81</v>
      </c>
      <c r="G44" s="422">
        <f t="shared" si="0"/>
        <v>0</v>
      </c>
      <c r="H44" s="46" t="s">
        <v>304</v>
      </c>
      <c r="I44" s="41">
        <v>0</v>
      </c>
      <c r="J44" s="42">
        <v>6891.96</v>
      </c>
      <c r="K44" s="422">
        <f t="shared" si="1"/>
        <v>0</v>
      </c>
    </row>
    <row r="45" spans="3:11">
      <c r="C45" s="45" t="s">
        <v>317</v>
      </c>
      <c r="D45" s="46" t="s">
        <v>304</v>
      </c>
      <c r="E45" s="41">
        <v>0</v>
      </c>
      <c r="F45" s="42">
        <f t="shared" si="2"/>
        <v>6870.81</v>
      </c>
      <c r="G45" s="422">
        <f t="shared" si="0"/>
        <v>0</v>
      </c>
      <c r="H45" s="46" t="s">
        <v>304</v>
      </c>
      <c r="I45" s="192">
        <v>0</v>
      </c>
      <c r="J45" s="42">
        <v>6891.96</v>
      </c>
      <c r="K45" s="422">
        <f t="shared" si="1"/>
        <v>0</v>
      </c>
    </row>
    <row r="46" spans="3:11">
      <c r="C46" s="45" t="s">
        <v>318</v>
      </c>
      <c r="D46" s="46" t="s">
        <v>304</v>
      </c>
      <c r="E46" s="41"/>
      <c r="F46" s="42">
        <f t="shared" si="2"/>
        <v>6870.81</v>
      </c>
      <c r="G46" s="422">
        <f t="shared" si="0"/>
        <v>0</v>
      </c>
      <c r="H46" s="46" t="s">
        <v>304</v>
      </c>
      <c r="I46" s="41"/>
      <c r="J46" s="42">
        <v>6891.96</v>
      </c>
      <c r="K46" s="422">
        <f t="shared" si="1"/>
        <v>0</v>
      </c>
    </row>
    <row r="47" spans="3:11">
      <c r="C47" s="44" t="s">
        <v>319</v>
      </c>
      <c r="D47" s="45"/>
      <c r="E47" s="41"/>
      <c r="F47" s="42">
        <f t="shared" si="2"/>
        <v>6870.81</v>
      </c>
      <c r="G47" s="422">
        <f t="shared" si="0"/>
        <v>0</v>
      </c>
      <c r="H47" s="45"/>
      <c r="I47" s="41"/>
      <c r="J47" s="42">
        <v>6891.96</v>
      </c>
      <c r="K47" s="422">
        <f t="shared" si="1"/>
        <v>0</v>
      </c>
    </row>
    <row r="48" spans="3:11">
      <c r="C48" s="45" t="s">
        <v>320</v>
      </c>
      <c r="D48" s="46" t="s">
        <v>304</v>
      </c>
      <c r="E48" s="41">
        <v>0</v>
      </c>
      <c r="F48" s="42">
        <f t="shared" si="2"/>
        <v>6870.81</v>
      </c>
      <c r="G48" s="422">
        <f t="shared" si="0"/>
        <v>0</v>
      </c>
      <c r="H48" s="46" t="s">
        <v>304</v>
      </c>
      <c r="I48" s="41">
        <v>0</v>
      </c>
      <c r="J48" s="42">
        <v>6891.96</v>
      </c>
      <c r="K48" s="422">
        <f t="shared" si="1"/>
        <v>0</v>
      </c>
    </row>
    <row r="49" spans="3:11">
      <c r="C49" s="45" t="s">
        <v>321</v>
      </c>
      <c r="D49" s="46" t="s">
        <v>304</v>
      </c>
      <c r="E49" s="41">
        <v>0</v>
      </c>
      <c r="F49" s="42">
        <f t="shared" si="2"/>
        <v>6870.81</v>
      </c>
      <c r="G49" s="422">
        <f t="shared" si="0"/>
        <v>0</v>
      </c>
      <c r="H49" s="46" t="s">
        <v>304</v>
      </c>
      <c r="I49" s="41">
        <v>0</v>
      </c>
      <c r="J49" s="42">
        <v>6891.96</v>
      </c>
      <c r="K49" s="422">
        <f t="shared" si="1"/>
        <v>0</v>
      </c>
    </row>
    <row r="50" spans="3:11">
      <c r="C50" s="44" t="s">
        <v>322</v>
      </c>
      <c r="D50" s="45"/>
      <c r="E50" s="41"/>
      <c r="F50" s="42">
        <f t="shared" si="2"/>
        <v>6870.81</v>
      </c>
      <c r="G50" s="422">
        <f t="shared" si="0"/>
        <v>0</v>
      </c>
      <c r="H50" s="45"/>
      <c r="I50" s="41"/>
      <c r="J50" s="42">
        <v>6891.96</v>
      </c>
      <c r="K50" s="422">
        <f t="shared" si="1"/>
        <v>0</v>
      </c>
    </row>
    <row r="51" spans="3:11">
      <c r="C51" s="45" t="s">
        <v>118</v>
      </c>
      <c r="D51" s="46" t="s">
        <v>304</v>
      </c>
      <c r="E51" s="41">
        <v>0</v>
      </c>
      <c r="F51" s="42">
        <f t="shared" si="2"/>
        <v>6870.81</v>
      </c>
      <c r="G51" s="422">
        <f t="shared" si="0"/>
        <v>0</v>
      </c>
      <c r="H51" s="46" t="s">
        <v>304</v>
      </c>
      <c r="I51" s="41">
        <v>0</v>
      </c>
      <c r="J51" s="42">
        <v>6891.96</v>
      </c>
      <c r="K51" s="422">
        <f t="shared" si="1"/>
        <v>0</v>
      </c>
    </row>
    <row r="52" spans="3:11">
      <c r="C52" s="45" t="s">
        <v>119</v>
      </c>
      <c r="D52" s="46" t="s">
        <v>304</v>
      </c>
      <c r="E52" s="41">
        <v>0</v>
      </c>
      <c r="F52" s="42">
        <f t="shared" si="2"/>
        <v>6870.81</v>
      </c>
      <c r="G52" s="422">
        <f t="shared" si="0"/>
        <v>0</v>
      </c>
      <c r="H52" s="46" t="s">
        <v>304</v>
      </c>
      <c r="I52" s="41">
        <v>0</v>
      </c>
      <c r="J52" s="42">
        <v>6891.96</v>
      </c>
      <c r="K52" s="422">
        <f t="shared" si="1"/>
        <v>0</v>
      </c>
    </row>
    <row r="53" spans="3:11">
      <c r="C53" s="45" t="s">
        <v>121</v>
      </c>
      <c r="D53" s="46" t="s">
        <v>304</v>
      </c>
      <c r="E53" s="41">
        <v>0</v>
      </c>
      <c r="F53" s="42">
        <f t="shared" si="2"/>
        <v>6870.81</v>
      </c>
      <c r="G53" s="422">
        <f t="shared" si="0"/>
        <v>0</v>
      </c>
      <c r="H53" s="46" t="s">
        <v>304</v>
      </c>
      <c r="I53" s="41">
        <v>0</v>
      </c>
      <c r="J53" s="42">
        <v>6891.96</v>
      </c>
      <c r="K53" s="422">
        <f t="shared" si="1"/>
        <v>0</v>
      </c>
    </row>
    <row r="54" spans="3:11">
      <c r="C54" s="45" t="s">
        <v>323</v>
      </c>
      <c r="D54" s="46" t="s">
        <v>304</v>
      </c>
      <c r="E54" s="41">
        <v>0</v>
      </c>
      <c r="F54" s="42">
        <f t="shared" si="2"/>
        <v>6870.81</v>
      </c>
      <c r="G54" s="422">
        <f t="shared" si="0"/>
        <v>0</v>
      </c>
      <c r="H54" s="46" t="s">
        <v>304</v>
      </c>
      <c r="I54" s="41">
        <v>0</v>
      </c>
      <c r="J54" s="42">
        <v>6891.96</v>
      </c>
      <c r="K54" s="422">
        <f t="shared" si="1"/>
        <v>0</v>
      </c>
    </row>
    <row r="55" spans="3:11">
      <c r="C55" s="45" t="s">
        <v>123</v>
      </c>
      <c r="D55" s="46" t="s">
        <v>304</v>
      </c>
      <c r="E55" s="41">
        <v>0</v>
      </c>
      <c r="F55" s="42">
        <f t="shared" si="2"/>
        <v>6870.81</v>
      </c>
      <c r="G55" s="422">
        <f t="shared" si="0"/>
        <v>0</v>
      </c>
      <c r="H55" s="46" t="s">
        <v>304</v>
      </c>
      <c r="I55" s="41">
        <v>0</v>
      </c>
      <c r="J55" s="42">
        <v>6891.96</v>
      </c>
      <c r="K55" s="422">
        <f t="shared" si="1"/>
        <v>0</v>
      </c>
    </row>
    <row r="56" spans="3:11">
      <c r="C56" s="43" t="s">
        <v>70</v>
      </c>
      <c r="D56" s="47"/>
      <c r="E56" s="41"/>
      <c r="F56" s="42">
        <f t="shared" si="2"/>
        <v>6870.81</v>
      </c>
      <c r="G56" s="422">
        <f t="shared" si="0"/>
        <v>0</v>
      </c>
      <c r="H56" s="47"/>
      <c r="I56" s="41"/>
      <c r="J56" s="42">
        <v>6891.96</v>
      </c>
      <c r="K56" s="422">
        <f t="shared" si="1"/>
        <v>0</v>
      </c>
    </row>
    <row r="57" spans="3:11">
      <c r="C57" s="45" t="s">
        <v>324</v>
      </c>
      <c r="D57" s="46" t="s">
        <v>304</v>
      </c>
      <c r="E57" s="41">
        <v>0</v>
      </c>
      <c r="F57" s="42">
        <f t="shared" si="2"/>
        <v>6870.81</v>
      </c>
      <c r="G57" s="422">
        <f t="shared" si="0"/>
        <v>0</v>
      </c>
      <c r="H57" s="46" t="s">
        <v>304</v>
      </c>
      <c r="I57" s="41">
        <v>0</v>
      </c>
      <c r="J57" s="42">
        <v>6891.96</v>
      </c>
      <c r="K57" s="422">
        <f t="shared" si="1"/>
        <v>0</v>
      </c>
    </row>
    <row r="60" spans="3:11" ht="48">
      <c r="C60" s="29" t="s">
        <v>299</v>
      </c>
      <c r="D60" s="35" t="s">
        <v>300</v>
      </c>
      <c r="E60" s="35" t="s">
        <v>301</v>
      </c>
      <c r="F60" s="35" t="str">
        <f>+F16</f>
        <v xml:space="preserve">CAMBIO CIERRE PERIODO ACTUAL </v>
      </c>
      <c r="G60" s="423" t="str">
        <f>+G16</f>
        <v>CAMBIO CIERRE PERIODO ACTUAL GUARANIES</v>
      </c>
      <c r="H60" s="35" t="s">
        <v>300</v>
      </c>
      <c r="I60" s="35" t="s">
        <v>301</v>
      </c>
      <c r="J60" s="35" t="str">
        <f>+J16</f>
        <v xml:space="preserve">CAMBIO CIERRE PERIODO ANTERIOR </v>
      </c>
      <c r="K60" s="35" t="str">
        <f>+K16</f>
        <v>CAMBIO CIERRE PERIODO ANTERIOR GUARANIES</v>
      </c>
    </row>
    <row r="61" spans="3:11">
      <c r="C61" s="43" t="s">
        <v>33</v>
      </c>
      <c r="D61" s="47"/>
      <c r="E61" s="47"/>
      <c r="F61" s="47"/>
      <c r="G61" s="425"/>
      <c r="H61" s="47"/>
      <c r="I61" s="47"/>
      <c r="J61" s="47"/>
      <c r="K61" s="47"/>
    </row>
    <row r="62" spans="3:11">
      <c r="C62" s="43" t="s">
        <v>36</v>
      </c>
      <c r="D62" s="47"/>
      <c r="E62" s="47"/>
      <c r="F62" s="47"/>
      <c r="G62" s="425"/>
      <c r="H62" s="47"/>
      <c r="I62" s="47"/>
      <c r="J62" s="47"/>
      <c r="K62" s="47"/>
    </row>
    <row r="63" spans="3:11">
      <c r="C63" s="36" t="s">
        <v>325</v>
      </c>
      <c r="D63" s="37"/>
      <c r="E63" s="38"/>
      <c r="F63" s="48"/>
      <c r="G63" s="422"/>
      <c r="H63" s="37"/>
      <c r="I63" s="38"/>
      <c r="J63" s="37"/>
      <c r="K63" s="37"/>
    </row>
    <row r="64" spans="3:11">
      <c r="C64" s="37" t="s">
        <v>326</v>
      </c>
      <c r="D64" s="40" t="s">
        <v>304</v>
      </c>
      <c r="E64" s="41">
        <v>1475.51</v>
      </c>
      <c r="F64" s="42">
        <f>+D9</f>
        <v>6887.4</v>
      </c>
      <c r="G64" s="422">
        <f t="shared" ref="G64:G88" si="3">+F64*E64</f>
        <v>10162427.573999999</v>
      </c>
      <c r="H64" s="40" t="s">
        <v>304</v>
      </c>
      <c r="I64" s="41">
        <v>0</v>
      </c>
      <c r="J64" s="42">
        <v>6941.65</v>
      </c>
      <c r="K64" s="422">
        <f t="shared" ref="K64:K88" si="4">+I64*J64</f>
        <v>0</v>
      </c>
    </row>
    <row r="65" spans="3:11">
      <c r="C65" s="37" t="s">
        <v>327</v>
      </c>
      <c r="D65" s="40" t="s">
        <v>304</v>
      </c>
      <c r="E65" s="41">
        <v>559891.07999999996</v>
      </c>
      <c r="F65" s="42">
        <f>+F64</f>
        <v>6887.4</v>
      </c>
      <c r="G65" s="422">
        <f t="shared" si="3"/>
        <v>3856193824.3919997</v>
      </c>
      <c r="H65" s="40" t="s">
        <v>304</v>
      </c>
      <c r="I65" s="41">
        <v>223253.58</v>
      </c>
      <c r="J65" s="42">
        <v>6941.65</v>
      </c>
      <c r="K65" s="422">
        <f t="shared" si="4"/>
        <v>1549748213.6069999</v>
      </c>
    </row>
    <row r="66" spans="3:11">
      <c r="C66" s="37" t="s">
        <v>328</v>
      </c>
      <c r="D66" s="40" t="s">
        <v>304</v>
      </c>
      <c r="E66" s="41">
        <v>0</v>
      </c>
      <c r="F66" s="42">
        <f t="shared" ref="F66:F88" si="5">+F65</f>
        <v>6887.4</v>
      </c>
      <c r="G66" s="422">
        <f t="shared" si="3"/>
        <v>0</v>
      </c>
      <c r="H66" s="40" t="s">
        <v>304</v>
      </c>
      <c r="I66" s="41">
        <v>0</v>
      </c>
      <c r="J66" s="42">
        <v>6941.65</v>
      </c>
      <c r="K66" s="422">
        <f t="shared" si="4"/>
        <v>0</v>
      </c>
    </row>
    <row r="67" spans="3:11">
      <c r="C67" s="37" t="s">
        <v>329</v>
      </c>
      <c r="D67" s="40" t="s">
        <v>304</v>
      </c>
      <c r="E67" s="41">
        <v>0</v>
      </c>
      <c r="F67" s="42">
        <f t="shared" si="5"/>
        <v>6887.4</v>
      </c>
      <c r="G67" s="422">
        <f t="shared" si="3"/>
        <v>0</v>
      </c>
      <c r="H67" s="40" t="s">
        <v>304</v>
      </c>
      <c r="I67" s="41">
        <v>0</v>
      </c>
      <c r="J67" s="42">
        <v>6941.65</v>
      </c>
      <c r="K67" s="422">
        <f t="shared" si="4"/>
        <v>0</v>
      </c>
    </row>
    <row r="68" spans="3:11">
      <c r="C68" s="36" t="s">
        <v>86</v>
      </c>
      <c r="D68" s="37"/>
      <c r="E68" s="41"/>
      <c r="F68" s="42">
        <f t="shared" si="5"/>
        <v>6887.4</v>
      </c>
      <c r="G68" s="422">
        <f t="shared" si="3"/>
        <v>0</v>
      </c>
      <c r="H68" s="37"/>
      <c r="I68" s="41"/>
      <c r="J68" s="42">
        <v>6941.65</v>
      </c>
      <c r="K68" s="422">
        <f t="shared" si="4"/>
        <v>0</v>
      </c>
    </row>
    <row r="69" spans="3:11">
      <c r="C69" s="37" t="s">
        <v>330</v>
      </c>
      <c r="D69" s="40" t="s">
        <v>304</v>
      </c>
      <c r="E69" s="41">
        <v>1627000</v>
      </c>
      <c r="F69" s="42">
        <f t="shared" si="5"/>
        <v>6887.4</v>
      </c>
      <c r="G69" s="422">
        <f t="shared" si="3"/>
        <v>11205799800</v>
      </c>
      <c r="H69" s="40" t="s">
        <v>304</v>
      </c>
      <c r="I69" s="41">
        <v>1340690.1499999999</v>
      </c>
      <c r="J69" s="42">
        <v>6941.65</v>
      </c>
      <c r="K69" s="422">
        <f t="shared" si="4"/>
        <v>9306601779.7474995</v>
      </c>
    </row>
    <row r="70" spans="3:11">
      <c r="C70" s="37" t="s">
        <v>331</v>
      </c>
      <c r="D70" s="40" t="s">
        <v>304</v>
      </c>
      <c r="E70" s="41">
        <v>44129.599999999999</v>
      </c>
      <c r="F70" s="42">
        <f t="shared" si="5"/>
        <v>6887.4</v>
      </c>
      <c r="G70" s="422">
        <f t="shared" si="3"/>
        <v>303938207.03999996</v>
      </c>
      <c r="H70" s="40" t="s">
        <v>304</v>
      </c>
      <c r="I70" s="41">
        <v>985.62</v>
      </c>
      <c r="J70" s="42">
        <v>6941.65</v>
      </c>
      <c r="K70" s="422">
        <f t="shared" si="4"/>
        <v>6841829.0729999999</v>
      </c>
    </row>
    <row r="71" spans="3:11">
      <c r="C71" s="37" t="s">
        <v>953</v>
      </c>
      <c r="D71" s="40" t="s">
        <v>304</v>
      </c>
      <c r="E71" s="41">
        <v>361.69</v>
      </c>
      <c r="F71" s="42">
        <f t="shared" si="5"/>
        <v>6887.4</v>
      </c>
      <c r="G71" s="422">
        <f t="shared" si="3"/>
        <v>2491103.7059999998</v>
      </c>
      <c r="H71" s="40" t="s">
        <v>304</v>
      </c>
      <c r="I71" s="41">
        <v>0</v>
      </c>
      <c r="J71" s="42">
        <v>6941.65</v>
      </c>
      <c r="K71" s="422">
        <f t="shared" si="4"/>
        <v>0</v>
      </c>
    </row>
    <row r="72" spans="3:11">
      <c r="C72" s="37" t="s">
        <v>954</v>
      </c>
      <c r="D72" s="40" t="s">
        <v>304</v>
      </c>
      <c r="E72" s="41">
        <v>685999.73</v>
      </c>
      <c r="F72" s="42">
        <f t="shared" si="5"/>
        <v>6887.4</v>
      </c>
      <c r="G72" s="422">
        <f t="shared" ref="G72" si="6">+F72*E72</f>
        <v>4724754540.4019995</v>
      </c>
      <c r="H72" s="40" t="s">
        <v>304</v>
      </c>
      <c r="I72" s="41">
        <v>0</v>
      </c>
      <c r="J72" s="42">
        <v>6941.65</v>
      </c>
      <c r="K72" s="422">
        <f t="shared" ref="K72" si="7">+I72*J72</f>
        <v>0</v>
      </c>
    </row>
    <row r="73" spans="3:11">
      <c r="C73" s="37" t="s">
        <v>955</v>
      </c>
      <c r="D73" s="40" t="s">
        <v>304</v>
      </c>
      <c r="E73" s="41">
        <v>-3327.12</v>
      </c>
      <c r="F73" s="42">
        <f t="shared" si="5"/>
        <v>6887.4</v>
      </c>
      <c r="G73" s="422">
        <f t="shared" ref="G73" si="8">+F73*E73</f>
        <v>-22915206.287999999</v>
      </c>
      <c r="H73" s="40" t="s">
        <v>304</v>
      </c>
      <c r="I73" s="41">
        <v>0</v>
      </c>
      <c r="J73" s="42">
        <v>6941.65</v>
      </c>
      <c r="K73" s="422">
        <f t="shared" ref="K73" si="9">+I73*J73</f>
        <v>0</v>
      </c>
    </row>
    <row r="74" spans="3:11">
      <c r="C74" s="36" t="s">
        <v>54</v>
      </c>
      <c r="D74" s="37"/>
      <c r="E74" s="41"/>
      <c r="F74" s="42">
        <f>+F71</f>
        <v>6887.4</v>
      </c>
      <c r="G74" s="422">
        <f t="shared" si="3"/>
        <v>0</v>
      </c>
      <c r="H74" s="37"/>
      <c r="I74" s="41"/>
      <c r="J74" s="42">
        <v>6941.65</v>
      </c>
      <c r="K74" s="422">
        <f t="shared" si="4"/>
        <v>0</v>
      </c>
    </row>
    <row r="75" spans="3:11">
      <c r="C75" s="37" t="s">
        <v>332</v>
      </c>
      <c r="D75" s="40" t="s">
        <v>304</v>
      </c>
      <c r="E75" s="41">
        <v>0</v>
      </c>
      <c r="F75" s="42">
        <f t="shared" si="5"/>
        <v>6887.4</v>
      </c>
      <c r="G75" s="422">
        <f t="shared" si="3"/>
        <v>0</v>
      </c>
      <c r="H75" s="40" t="s">
        <v>304</v>
      </c>
      <c r="I75" s="41">
        <v>0</v>
      </c>
      <c r="J75" s="42">
        <v>6941.65</v>
      </c>
      <c r="K75" s="422">
        <f t="shared" si="4"/>
        <v>0</v>
      </c>
    </row>
    <row r="76" spans="3:11">
      <c r="C76" s="37" t="s">
        <v>333</v>
      </c>
      <c r="D76" s="40" t="s">
        <v>304</v>
      </c>
      <c r="E76" s="41">
        <v>0</v>
      </c>
      <c r="F76" s="42">
        <f t="shared" si="5"/>
        <v>6887.4</v>
      </c>
      <c r="G76" s="422">
        <f t="shared" si="3"/>
        <v>0</v>
      </c>
      <c r="H76" s="40" t="s">
        <v>304</v>
      </c>
      <c r="I76" s="41">
        <v>0</v>
      </c>
      <c r="J76" s="42">
        <v>6941.65</v>
      </c>
      <c r="K76" s="422">
        <f t="shared" si="4"/>
        <v>0</v>
      </c>
    </row>
    <row r="77" spans="3:11">
      <c r="C77" s="37" t="s">
        <v>62</v>
      </c>
      <c r="D77" s="40" t="s">
        <v>304</v>
      </c>
      <c r="E77" s="41">
        <v>0</v>
      </c>
      <c r="F77" s="42">
        <f t="shared" si="5"/>
        <v>6887.4</v>
      </c>
      <c r="G77" s="422">
        <f t="shared" si="3"/>
        <v>0</v>
      </c>
      <c r="H77" s="40" t="s">
        <v>304</v>
      </c>
      <c r="I77" s="41">
        <v>0</v>
      </c>
      <c r="J77" s="42">
        <v>6941.65</v>
      </c>
      <c r="K77" s="422">
        <f t="shared" si="4"/>
        <v>0</v>
      </c>
    </row>
    <row r="78" spans="3:11">
      <c r="C78" s="37" t="s">
        <v>75</v>
      </c>
      <c r="D78" s="40" t="s">
        <v>304</v>
      </c>
      <c r="E78" s="41">
        <v>0</v>
      </c>
      <c r="F78" s="42">
        <f t="shared" si="5"/>
        <v>6887.4</v>
      </c>
      <c r="G78" s="422">
        <f t="shared" si="3"/>
        <v>0</v>
      </c>
      <c r="H78" s="40" t="s">
        <v>304</v>
      </c>
      <c r="I78" s="41">
        <v>0</v>
      </c>
      <c r="J78" s="42">
        <v>6941.65</v>
      </c>
      <c r="K78" s="422">
        <f t="shared" si="4"/>
        <v>0</v>
      </c>
    </row>
    <row r="79" spans="3:11">
      <c r="C79" s="37" t="s">
        <v>334</v>
      </c>
      <c r="D79" s="40" t="s">
        <v>304</v>
      </c>
      <c r="E79" s="41">
        <v>0</v>
      </c>
      <c r="F79" s="42">
        <f t="shared" si="5"/>
        <v>6887.4</v>
      </c>
      <c r="G79" s="422">
        <f t="shared" si="3"/>
        <v>0</v>
      </c>
      <c r="H79" s="40" t="s">
        <v>304</v>
      </c>
      <c r="I79" s="41">
        <v>0</v>
      </c>
      <c r="J79" s="42">
        <v>6941.65</v>
      </c>
      <c r="K79" s="422">
        <f t="shared" si="4"/>
        <v>0</v>
      </c>
    </row>
    <row r="80" spans="3:11">
      <c r="C80" s="43" t="s">
        <v>335</v>
      </c>
      <c r="D80" s="47"/>
      <c r="E80" s="41"/>
      <c r="F80" s="42">
        <f t="shared" si="5"/>
        <v>6887.4</v>
      </c>
      <c r="G80" s="422">
        <f t="shared" si="3"/>
        <v>0</v>
      </c>
      <c r="H80" s="47"/>
      <c r="I80" s="41"/>
      <c r="J80" s="42">
        <v>6941.65</v>
      </c>
      <c r="K80" s="422">
        <f t="shared" si="4"/>
        <v>0</v>
      </c>
    </row>
    <row r="81" spans="3:11">
      <c r="C81" s="36" t="s">
        <v>86</v>
      </c>
      <c r="D81" s="37"/>
      <c r="E81" s="41"/>
      <c r="F81" s="42">
        <f t="shared" si="5"/>
        <v>6887.4</v>
      </c>
      <c r="G81" s="422">
        <f t="shared" si="3"/>
        <v>0</v>
      </c>
      <c r="H81" s="37"/>
      <c r="I81" s="41"/>
      <c r="J81" s="42">
        <v>6941.65</v>
      </c>
      <c r="K81" s="422">
        <f t="shared" si="4"/>
        <v>0</v>
      </c>
    </row>
    <row r="82" spans="3:11">
      <c r="C82" s="37" t="s">
        <v>330</v>
      </c>
      <c r="D82" s="40" t="s">
        <v>304</v>
      </c>
      <c r="E82" s="41">
        <v>0</v>
      </c>
      <c r="F82" s="42">
        <f t="shared" si="5"/>
        <v>6887.4</v>
      </c>
      <c r="G82" s="422">
        <f t="shared" si="3"/>
        <v>0</v>
      </c>
      <c r="H82" s="40" t="s">
        <v>304</v>
      </c>
      <c r="I82" s="41">
        <v>0</v>
      </c>
      <c r="J82" s="42">
        <v>6941.65</v>
      </c>
      <c r="K82" s="422">
        <f t="shared" si="4"/>
        <v>0</v>
      </c>
    </row>
    <row r="83" spans="3:11">
      <c r="C83" s="37" t="s">
        <v>331</v>
      </c>
      <c r="D83" s="40" t="s">
        <v>304</v>
      </c>
      <c r="E83" s="41">
        <v>0</v>
      </c>
      <c r="F83" s="42">
        <f t="shared" si="5"/>
        <v>6887.4</v>
      </c>
      <c r="G83" s="422">
        <f t="shared" si="3"/>
        <v>0</v>
      </c>
      <c r="H83" s="40" t="s">
        <v>304</v>
      </c>
      <c r="I83" s="41">
        <v>0</v>
      </c>
      <c r="J83" s="42">
        <v>6941.65</v>
      </c>
      <c r="K83" s="422">
        <f t="shared" si="4"/>
        <v>0</v>
      </c>
    </row>
    <row r="84" spans="3:11">
      <c r="C84" s="36" t="s">
        <v>71</v>
      </c>
      <c r="D84" s="37"/>
      <c r="E84" s="41"/>
      <c r="F84" s="42">
        <f t="shared" si="5"/>
        <v>6887.4</v>
      </c>
      <c r="G84" s="422">
        <f t="shared" si="3"/>
        <v>0</v>
      </c>
      <c r="H84" s="37"/>
      <c r="I84" s="41"/>
      <c r="J84" s="42">
        <v>6941.65</v>
      </c>
      <c r="K84" s="422">
        <f t="shared" si="4"/>
        <v>0</v>
      </c>
    </row>
    <row r="85" spans="3:11">
      <c r="C85" s="37" t="s">
        <v>52</v>
      </c>
      <c r="D85" s="40" t="s">
        <v>304</v>
      </c>
      <c r="E85" s="41">
        <v>0</v>
      </c>
      <c r="F85" s="42">
        <f t="shared" si="5"/>
        <v>6887.4</v>
      </c>
      <c r="G85" s="422">
        <f t="shared" si="3"/>
        <v>0</v>
      </c>
      <c r="H85" s="40" t="s">
        <v>304</v>
      </c>
      <c r="I85" s="41">
        <v>0</v>
      </c>
      <c r="J85" s="42">
        <v>6941.65</v>
      </c>
      <c r="K85" s="422">
        <f t="shared" si="4"/>
        <v>0</v>
      </c>
    </row>
    <row r="86" spans="3:11">
      <c r="C86" s="37" t="s">
        <v>336</v>
      </c>
      <c r="D86" s="40" t="s">
        <v>304</v>
      </c>
      <c r="E86" s="41">
        <v>0</v>
      </c>
      <c r="F86" s="42">
        <f t="shared" si="5"/>
        <v>6887.4</v>
      </c>
      <c r="G86" s="422">
        <f t="shared" si="3"/>
        <v>0</v>
      </c>
      <c r="H86" s="40" t="s">
        <v>304</v>
      </c>
      <c r="I86" s="41">
        <v>0</v>
      </c>
      <c r="J86" s="42">
        <v>6941.65</v>
      </c>
      <c r="K86" s="422">
        <f t="shared" si="4"/>
        <v>0</v>
      </c>
    </row>
    <row r="87" spans="3:11">
      <c r="C87" s="37" t="s">
        <v>337</v>
      </c>
      <c r="D87" s="40" t="s">
        <v>304</v>
      </c>
      <c r="E87" s="41">
        <v>0</v>
      </c>
      <c r="F87" s="42">
        <f t="shared" si="5"/>
        <v>6887.4</v>
      </c>
      <c r="G87" s="422">
        <f t="shared" si="3"/>
        <v>0</v>
      </c>
      <c r="H87" s="40" t="s">
        <v>304</v>
      </c>
      <c r="I87" s="41">
        <v>0</v>
      </c>
      <c r="J87" s="42">
        <v>6941.65</v>
      </c>
      <c r="K87" s="422">
        <f t="shared" si="4"/>
        <v>0</v>
      </c>
    </row>
    <row r="88" spans="3:11">
      <c r="C88" s="37" t="s">
        <v>337</v>
      </c>
      <c r="D88" s="40" t="s">
        <v>304</v>
      </c>
      <c r="E88" s="41">
        <v>0</v>
      </c>
      <c r="F88" s="42">
        <f t="shared" si="5"/>
        <v>6887.4</v>
      </c>
      <c r="G88" s="422">
        <f t="shared" si="3"/>
        <v>0</v>
      </c>
      <c r="H88" s="40" t="s">
        <v>304</v>
      </c>
      <c r="I88" s="41">
        <v>0</v>
      </c>
      <c r="J88" s="42">
        <v>6463.95</v>
      </c>
      <c r="K88" s="422">
        <f t="shared" si="4"/>
        <v>0</v>
      </c>
    </row>
    <row r="91" spans="3:11">
      <c r="C91" s="27" t="s">
        <v>519</v>
      </c>
    </row>
    <row r="93" spans="3:11">
      <c r="C93" s="49"/>
      <c r="D93" s="712">
        <f>+D7</f>
        <v>44561</v>
      </c>
      <c r="E93" s="713"/>
      <c r="F93" s="712">
        <f>+E7</f>
        <v>44196</v>
      </c>
      <c r="G93" s="712"/>
      <c r="H93" s="713"/>
    </row>
    <row r="94" spans="3:11" ht="48">
      <c r="C94" s="35" t="s">
        <v>338</v>
      </c>
      <c r="D94" s="50" t="s">
        <v>339</v>
      </c>
      <c r="E94" s="50" t="s">
        <v>340</v>
      </c>
      <c r="F94" s="50" t="s">
        <v>341</v>
      </c>
      <c r="G94" s="426"/>
      <c r="H94" s="50" t="s">
        <v>342</v>
      </c>
    </row>
    <row r="95" spans="3:11" ht="25.5" customHeight="1">
      <c r="C95" s="51" t="s">
        <v>343</v>
      </c>
      <c r="D95" s="52">
        <f>+D8</f>
        <v>6870.81</v>
      </c>
      <c r="E95" s="53">
        <f>+'Estado de Resultado Resol. 30'!D96</f>
        <v>3661891086</v>
      </c>
      <c r="F95" s="54">
        <v>6891.96</v>
      </c>
      <c r="G95" s="53"/>
      <c r="H95" s="53">
        <v>2120282651</v>
      </c>
      <c r="I95" s="339"/>
      <c r="J95" s="55"/>
      <c r="K95" s="55"/>
    </row>
    <row r="96" spans="3:11" ht="25.5" customHeight="1">
      <c r="C96" s="51" t="s">
        <v>344</v>
      </c>
      <c r="D96" s="52">
        <f>+D9</f>
        <v>6887.4</v>
      </c>
      <c r="E96" s="53">
        <v>0</v>
      </c>
      <c r="F96" s="54">
        <v>6941.65</v>
      </c>
      <c r="G96" s="53"/>
      <c r="H96" s="53">
        <v>0</v>
      </c>
      <c r="J96" s="115"/>
      <c r="K96" s="115"/>
    </row>
    <row r="97" spans="3:8" ht="25.5" customHeight="1">
      <c r="C97" s="51" t="s">
        <v>345</v>
      </c>
      <c r="D97" s="52">
        <f>+D95</f>
        <v>6870.81</v>
      </c>
      <c r="E97" s="53">
        <f>+'Estado de Resultado Resol. 30'!D99</f>
        <v>1327959864</v>
      </c>
      <c r="F97" s="54">
        <v>6891.96</v>
      </c>
      <c r="G97" s="53"/>
      <c r="H97" s="53">
        <v>22727870</v>
      </c>
    </row>
    <row r="98" spans="3:8" ht="25.5" customHeight="1">
      <c r="C98" s="51" t="s">
        <v>346</v>
      </c>
      <c r="D98" s="52">
        <f>+D96</f>
        <v>6887.4</v>
      </c>
      <c r="E98" s="53">
        <v>0</v>
      </c>
      <c r="F98" s="54">
        <v>6941.65</v>
      </c>
      <c r="G98" s="53"/>
      <c r="H98" s="53">
        <v>741722493</v>
      </c>
    </row>
    <row r="99" spans="3:8">
      <c r="C99" s="49" t="s">
        <v>347</v>
      </c>
      <c r="D99" s="56"/>
      <c r="E99" s="56">
        <f>+E95+E96-E97-E98</f>
        <v>2333931222</v>
      </c>
      <c r="F99" s="56"/>
      <c r="G99" s="118"/>
      <c r="H99" s="56">
        <f>+H95+H96-H97-H98</f>
        <v>1355832288</v>
      </c>
    </row>
    <row r="100" spans="3:8">
      <c r="E100" s="340"/>
    </row>
    <row r="101" spans="3:8">
      <c r="E101" s="659">
        <f>+'Estado de Resultado Resol. 30'!D96-'Estado de Resultado Resol. 30'!D99-E99</f>
        <v>0</v>
      </c>
      <c r="F101" s="39"/>
      <c r="H101" s="659">
        <f>+'Estado de Resultado Resol. 30'!E96-'Estado de Resultado Resol. 30'!E99-H99</f>
        <v>0</v>
      </c>
    </row>
    <row r="102" spans="3:8">
      <c r="E102" s="39"/>
      <c r="F102" s="39"/>
      <c r="H102" s="39"/>
    </row>
  </sheetData>
  <sheetProtection algorithmName="SHA-512" hashValue="3SYkdy09TEjZKeyjD7KkbOYKQ3Saju/oHO91EpD/vvwPnyKmZwllIKME/Ky7oeBnr4najAncqo/OKNfYb+dM1w==" saltValue="jmQnISIQRxAn5321pNOVGg==" spinCount="100000" sheet="1" objects="1" scenarios="1"/>
  <mergeCells count="5">
    <mergeCell ref="D93:E93"/>
    <mergeCell ref="F93:H93"/>
    <mergeCell ref="D14:G15"/>
    <mergeCell ref="H14:K15"/>
    <mergeCell ref="C3:K3"/>
  </mergeCells>
  <hyperlinks>
    <hyperlink ref="C4" location="'Balance Gral. Resol. 30'!A1" display="'Balance Gral. Resol. 30'!A1" xr:uid="{D1FD4BF8-E469-4741-8D07-F11B178F5B36}"/>
  </hyperlinks>
  <pageMargins left="0.7" right="0.7" top="0.75" bottom="0.75" header="0.3" footer="0.3"/>
  <pageSetup paperSize="9" orientation="portrait" horizontalDpi="300" verticalDpi="300"/>
  <drawing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+F1BAVxdu7hmuXU3/qY2POTsoXWwiPArS5ND9UQGLG8=</DigestValue>
    </Reference>
    <Reference Type="http://www.w3.org/2000/09/xmldsig#Object" URI="#idOfficeObject">
      <DigestMethod Algorithm="http://www.w3.org/2001/04/xmlenc#sha256"/>
      <DigestValue>jiKqqkpPumzgURMKab2kICW2YBrv/17Hj+XK3TZv5fc=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VlDxmKopAq8xO8sTY/YiCtrtCQp0qkbgZ8USbg3tOLo=</DigestValue>
    </Reference>
    <Reference Type="http://www.w3.org/2000/09/xmldsig#Object" URI="#idValidSigLnImg">
      <DigestMethod Algorithm="http://www.w3.org/2001/04/xmlenc#sha256"/>
      <DigestValue>QG419RSFcP08FBfk/c3bJ1o8Ck2G6vRrY60ZdQS4G1A=</DigestValue>
    </Reference>
    <Reference Type="http://www.w3.org/2000/09/xmldsig#Object" URI="#idInvalidSigLnImg">
      <DigestMethod Algorithm="http://www.w3.org/2001/04/xmlenc#sha256"/>
      <DigestValue>IRg4so4PLHzFVrUEY3G3gjg/F9IgGMbeTKzkWNnirOU=</DigestValue>
    </Reference>
  </SignedInfo>
  <SignatureValue>MZPOtMj3VJ79c03dDkD3pXcGMH9SaFyn1Tvp5kJqIAcQIkGERkyEqbOQnmLuek3l3cDWim8L27Nh
5Mrkw8JiOpFisJGwhzmNtxVaQ2tR9tZc+rcnzSU7wIpKLwwG6HThlneI71dUhQwdFFpyPwyA2YUw
Fjb18vtgxwNUe+n2OUAxQWFPQxq/h3J8wFBvobZ2XuxsOkCS1qpDhCr+o6G0pA+LyAe2qPeRify5
jOGpzwrYuFn8wsWQj+KMhZ5vb3YXtIxhNgQl4spOk6jYuzubDO2TVLJmp0dUnrJjtHU/ikSgUCup
75pFIL6u49fzk2aqYW1s8Tk3y+XS2icOtvVyEg==</SignatureValue>
  <KeyInfo>
    <X509Data>
      <X509Certificate>MIIIATCCBemgAwIBAgIIJuI7aX5/vlcwDQYJKoZIhvcNAQELBQAwWzEXMBUGA1UEBRMOUlVDIDgwMDUwMTcyLTExGjAYBgNVBAMTEUNBLURPQ1VNRU5UQSBTLkEuMRcwFQYDVQQKEw5ET0NVTUVOVEEgUy5BLjELMAkGA1UEBhMCUFkwHhcNMjEwNzI4MTQxMjQzWhcNMjMwNzI4MTQyMjQzWjCBoTELMAkGA1UEBhMCUFkxGTAXBgNVBAQMEFRBTEFWRVJBIFNBR1VJRVIxEjAQBgNVBAUTCUNJMTI0NjU3NzESMBAGA1UEKgwJSlVBTiBKT1NFMRcwFQYDVQQKDA5QRVJTT05BIEZJU0lDQTERMA8GA1UECwwIRklSTUEgRjIxIzAhBgNVBAMMGkpVQU4gSk9TRSBUQUxBVkVSQSBTQUdVSUVSMIIBIjANBgkqhkiG9w0BAQEFAAOCAQ8AMIIBCgKCAQEAp38T/ZoEWZZlB5PtEVAm1Y4znjZFh4QsHpP+3EHtMr/e6FWLpjfmJqsceb/aI2XB4hk+9x1EMjgRMBgRzaw91AgxGe9TzlF8SZBpHzm+MGjISOB+h95pAPo5SDkkB6zszpDA/SoyB9E1oWxqP8jMvscZ2CAvI+0LQ5xR5YY+wGH1L2JcsQPGBf5Y2aTtJSOxP0qF33JJmeCWL6G/pY/OaNNq6v4MHcWVZnTqsNqy9Ja1ONz2xqREkrPcChtA6xhj5m6ll3d1I4TbksLvGb9+nXchqUizlfgMnlaVvSHNeNUmS7ud5FelG5A2jSyMbJsxN1GJ4dqJhbrpzVGWN9oKDQIDAQABo4IDgDCCA3wwDAYDVR0TAQH/BAIwADAOBgNVHQ8BAf8EBAMCBeAwKgYDVR0lAQH/BCAwHgYIKwYBBQUHAwEGCCsGAQUFBwMCBggrBgEFBQcDBDAdBgNVHQ4EFgQU3nsZOG5V/AZJjhGwv+6j8HvD8K4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QGA1UdEQQdMBuBGWp1YW4udGFsYXZlcmFAZWRnZS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BS76E/qCnwxcvz9C+nGV8KuZ7d86V3DyBZCBJmwFU8aer9VTjJFZwwbq/o63CoCCG7yNUu+1T3qbcp0bdhRZK7on8pkV0v8zp/WsxXZbOYsgrzvSgT93xzFRa4L8I0gXSn8xQL0lts0h2I0T6ZKEdxakyWJ3BcxSPCBpk73sbnu4RUIYQGp1dIdy0Y/vlVbTikgAdSvbHLlqzwnO6xL5P9nDWfnTnRIR7oLK9z0cNWOWYg57kH6FZCNfkKLkVzxqbqRgNEpSBZBwLce3m+91LdQ2N/kCgMr7giHV64WXeFY/YMzddrnGjn606ffgK5RMQMBgcfPiEMMUlVo/MTHtvsPVYwhBYaocpkPHSaLTa3eTmEII80aiDtZojdghe8QWZMwCbFbs4VJzzMZq3SqyiCJ2QK+D+ZFEv2d26rh6gLX3iKKc09AVVYU72Rtp9O5nvuRGkzIvLXjP8lTR/F8JXLbtDES4aJJ+uZYk4EeFR5qgPQAOGWhRcZfJzE8AyRSNvKF+kN9niBDP+KeRbCnm+MxHhEMgd0k66hBIe+e9FZlsEYmgEyaMYjL8PYI/OdAFU9dSUoW2vx0xLctKkBfVk0v7bF7iKf1CsagzF5HdprUhH9n7cs4IHc7JkcOtcb2sJ+e289lJjDYMYkW8EybbAu3hJhbj75pBzPHZeaTxpZ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hDjbmNGYJzYULR2mXmoqVXIiWzxmkns001ZrKc7zXVc=</DigestValue>
      </Reference>
      <Reference URI="/xl/calcChain.xml?ContentType=application/vnd.openxmlformats-officedocument.spreadsheetml.calcChain+xml">
        <DigestMethod Algorithm="http://www.w3.org/2001/04/xmlenc#sha256"/>
        <DigestValue>2p1kvs/f5ixeHUEh7PGrMMna7V0x/ovQIAqYVUBDcqY=</DigestValue>
      </Reference>
      <Reference URI="/xl/comments1.xml?ContentType=application/vnd.openxmlformats-officedocument.spreadsheetml.comments+xml">
        <DigestMethod Algorithm="http://www.w3.org/2001/04/xmlenc#sha256"/>
        <DigestValue>befV76pmYF1q/a27FWu8gxcOG//qxMvOmLtt2MRkCmY=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PoORoF5QkIhatxBoAqsSyHbXfQolck0Fj5kuIk44OuE=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qrvIAIrop732vqMWK0OaUQo2GzkAvrKfnLLQbucozRs=</DigestValue>
      </Reference>
      <Reference URI="/xl/drawings/drawing1.xml?ContentType=application/vnd.openxmlformats-officedocument.drawing+xml">
        <DigestMethod Algorithm="http://www.w3.org/2001/04/xmlenc#sha256"/>
        <DigestValue>9lG9mRLt6H9fnYhcSYcEyMEOu4owG6DTqCbLAWLwkYI=</DigestValue>
      </Reference>
      <Reference URI="/xl/drawings/drawing10.xml?ContentType=application/vnd.openxmlformats-officedocument.drawing+xml">
        <DigestMethod Algorithm="http://www.w3.org/2001/04/xmlenc#sha256"/>
        <DigestValue>15AAtX9ywg+xIddT5kfN2Xm7DDXbKGbX9Xf0FoQrFa4=</DigestValue>
      </Reference>
      <Reference URI="/xl/drawings/drawing11.xml?ContentType=application/vnd.openxmlformats-officedocument.drawing+xml">
        <DigestMethod Algorithm="http://www.w3.org/2001/04/xmlenc#sha256"/>
        <DigestValue>AupqSdaq8Mt60DM8zg5JBPFkXAe82PohD7D70WVSTdA=</DigestValue>
      </Reference>
      <Reference URI="/xl/drawings/drawing12.xml?ContentType=application/vnd.openxmlformats-officedocument.drawing+xml">
        <DigestMethod Algorithm="http://www.w3.org/2001/04/xmlenc#sha256"/>
        <DigestValue>QxomIYEY0oG+kKTVc1i/GaRy4Dh3kf8BEcMEjOGnPm4=</DigestValue>
      </Reference>
      <Reference URI="/xl/drawings/drawing13.xml?ContentType=application/vnd.openxmlformats-officedocument.drawing+xml">
        <DigestMethod Algorithm="http://www.w3.org/2001/04/xmlenc#sha256"/>
        <DigestValue>8v+cAjKusAcTo4FMklgqKePdZQEDm/6xaIofQlGzLDU=</DigestValue>
      </Reference>
      <Reference URI="/xl/drawings/drawing14.xml?ContentType=application/vnd.openxmlformats-officedocument.drawing+xml">
        <DigestMethod Algorithm="http://www.w3.org/2001/04/xmlenc#sha256"/>
        <DigestValue>aY1YdJHQjVqUdp4JOtnJfpqGi8kdBBAsq47xA3XO8wY=</DigestValue>
      </Reference>
      <Reference URI="/xl/drawings/drawing15.xml?ContentType=application/vnd.openxmlformats-officedocument.drawing+xml">
        <DigestMethod Algorithm="http://www.w3.org/2001/04/xmlenc#sha256"/>
        <DigestValue>MUYpajvHWY32vG2235kODoLRLdKEQWhv0zhnDNABPMc=</DigestValue>
      </Reference>
      <Reference URI="/xl/drawings/drawing16.xml?ContentType=application/vnd.openxmlformats-officedocument.drawing+xml">
        <DigestMethod Algorithm="http://www.w3.org/2001/04/xmlenc#sha256"/>
        <DigestValue>kF23vqguoyE0SpFivnC/u5mKI3ZrrbCJlC52FuryyAE=</DigestValue>
      </Reference>
      <Reference URI="/xl/drawings/drawing17.xml?ContentType=application/vnd.openxmlformats-officedocument.drawing+xml">
        <DigestMethod Algorithm="http://www.w3.org/2001/04/xmlenc#sha256"/>
        <DigestValue>jo8cJjI+1CtCEguv5UZqPYjT2mdebweJhiXDlWyHewY=</DigestValue>
      </Reference>
      <Reference URI="/xl/drawings/drawing18.xml?ContentType=application/vnd.openxmlformats-officedocument.drawing+xml">
        <DigestMethod Algorithm="http://www.w3.org/2001/04/xmlenc#sha256"/>
        <DigestValue>ZzGJNHkwfqFl/GLyV5hjjBOtm4o4XeSn6sp022idDos=</DigestValue>
      </Reference>
      <Reference URI="/xl/drawings/drawing19.xml?ContentType=application/vnd.openxmlformats-officedocument.drawing+xml">
        <DigestMethod Algorithm="http://www.w3.org/2001/04/xmlenc#sha256"/>
        <DigestValue>luGwq7/PJaGOw2uH+rAp5VWBb5MTLWq5jMFTl36+v4M=</DigestValue>
      </Reference>
      <Reference URI="/xl/drawings/drawing2.xml?ContentType=application/vnd.openxmlformats-officedocument.drawing+xml">
        <DigestMethod Algorithm="http://www.w3.org/2001/04/xmlenc#sha256"/>
        <DigestValue>phr03GDJRYyJBDFdyVTZhepelU117aQ0l0OHRI5gfsw=</DigestValue>
      </Reference>
      <Reference URI="/xl/drawings/drawing20.xml?ContentType=application/vnd.openxmlformats-officedocument.drawing+xml">
        <DigestMethod Algorithm="http://www.w3.org/2001/04/xmlenc#sha256"/>
        <DigestValue>RVa/ojMgJe/KYOgAn8/Pxff6YmSgFrncm8f7WnIhRFE=</DigestValue>
      </Reference>
      <Reference URI="/xl/drawings/drawing21.xml?ContentType=application/vnd.openxmlformats-officedocument.drawing+xml">
        <DigestMethod Algorithm="http://www.w3.org/2001/04/xmlenc#sha256"/>
        <DigestValue>lsJVppfdpXt6sJL4YtufLti45kfg4Ds+9eFsMT+75gw=</DigestValue>
      </Reference>
      <Reference URI="/xl/drawings/drawing22.xml?ContentType=application/vnd.openxmlformats-officedocument.drawing+xml">
        <DigestMethod Algorithm="http://www.w3.org/2001/04/xmlenc#sha256"/>
        <DigestValue>8FncdlxsthblVw92S0cAWGWQqd+oMi4DpaRcAav5smI=</DigestValue>
      </Reference>
      <Reference URI="/xl/drawings/drawing23.xml?ContentType=application/vnd.openxmlformats-officedocument.drawing+xml">
        <DigestMethod Algorithm="http://www.w3.org/2001/04/xmlenc#sha256"/>
        <DigestValue>Nw2gDsL6DE+3hshmTuoAOvGbXWI7dJ7IugQS3qCQm6g=</DigestValue>
      </Reference>
      <Reference URI="/xl/drawings/drawing24.xml?ContentType=application/vnd.openxmlformats-officedocument.drawing+xml">
        <DigestMethod Algorithm="http://www.w3.org/2001/04/xmlenc#sha256"/>
        <DigestValue>OZpZ4JGLnYZuEKu6z+LVqg5raOd/ljINyAw1o6AaKU4=</DigestValue>
      </Reference>
      <Reference URI="/xl/drawings/drawing25.xml?ContentType=application/vnd.openxmlformats-officedocument.drawing+xml">
        <DigestMethod Algorithm="http://www.w3.org/2001/04/xmlenc#sha256"/>
        <DigestValue>d2XJeCQO3ldIqw72rPnizXFwRYOwClMsB2lb9iuwg88=</DigestValue>
      </Reference>
      <Reference URI="/xl/drawings/drawing26.xml?ContentType=application/vnd.openxmlformats-officedocument.drawing+xml">
        <DigestMethod Algorithm="http://www.w3.org/2001/04/xmlenc#sha256"/>
        <DigestValue>uKYphbImN48cRqGtMW+EZwcqQ9n+HS/NWXtsqdEXyf4=</DigestValue>
      </Reference>
      <Reference URI="/xl/drawings/drawing27.xml?ContentType=application/vnd.openxmlformats-officedocument.drawing+xml">
        <DigestMethod Algorithm="http://www.w3.org/2001/04/xmlenc#sha256"/>
        <DigestValue>m8uM6QNZmJVx4v0X6QwrS/6jd35XBWKexXIPPb0SveE=</DigestValue>
      </Reference>
      <Reference URI="/xl/drawings/drawing3.xml?ContentType=application/vnd.openxmlformats-officedocument.drawing+xml">
        <DigestMethod Algorithm="http://www.w3.org/2001/04/xmlenc#sha256"/>
        <DigestValue>C/V34q1HUFxJnUHD5yuADnsJoVwOekobkCTt0kcc/h0=</DigestValue>
      </Reference>
      <Reference URI="/xl/drawings/drawing4.xml?ContentType=application/vnd.openxmlformats-officedocument.drawing+xml">
        <DigestMethod Algorithm="http://www.w3.org/2001/04/xmlenc#sha256"/>
        <DigestValue>NySEuyj70zkoRUdQeqMWacmDtCLxZQRaZWz8m1BUUQU=</DigestValue>
      </Reference>
      <Reference URI="/xl/drawings/drawing5.xml?ContentType=application/vnd.openxmlformats-officedocument.drawing+xml">
        <DigestMethod Algorithm="http://www.w3.org/2001/04/xmlenc#sha256"/>
        <DigestValue>PvKkrYWgP4Wdv2tEorCxQs+RWW1dyZiWJp2/2VXr39Q=</DigestValue>
      </Reference>
      <Reference URI="/xl/drawings/drawing6.xml?ContentType=application/vnd.openxmlformats-officedocument.drawing+xml">
        <DigestMethod Algorithm="http://www.w3.org/2001/04/xmlenc#sha256"/>
        <DigestValue>pwj8zwN+WpEcGJE6bDincTsBz97+YNx2lcvQCq0G1A0=</DigestValue>
      </Reference>
      <Reference URI="/xl/drawings/drawing7.xml?ContentType=application/vnd.openxmlformats-officedocument.drawing+xml">
        <DigestMethod Algorithm="http://www.w3.org/2001/04/xmlenc#sha256"/>
        <DigestValue>NW4IT0rros9BNsmeOET7OBSfOk+HpWLkxlchbnwMZJ8=</DigestValue>
      </Reference>
      <Reference URI="/xl/drawings/drawing8.xml?ContentType=application/vnd.openxmlformats-officedocument.drawing+xml">
        <DigestMethod Algorithm="http://www.w3.org/2001/04/xmlenc#sha256"/>
        <DigestValue>57286knBlKt1Px7QU8cFiy48wFrBkoQvtUz1b2tph80=</DigestValue>
      </Reference>
      <Reference URI="/xl/drawings/drawing9.xml?ContentType=application/vnd.openxmlformats-officedocument.drawing+xml">
        <DigestMethod Algorithm="http://www.w3.org/2001/04/xmlenc#sha256"/>
        <DigestValue>vbsnNqbe/cj7P9KrNIHP6gd2qOv56zLWkOW+LqQmRek=</DigestValue>
      </Reference>
      <Reference URI="/xl/drawings/vmlDrawing1.vml?ContentType=application/vnd.openxmlformats-officedocument.vmlDrawing">
        <DigestMethod Algorithm="http://www.w3.org/2001/04/xmlenc#sha256"/>
        <DigestValue>u/MAnH8hE0eMd/4jGLcafd3IOVafGRiORak16Lcm0H4=</DigestValue>
      </Reference>
      <Reference URI="/xl/drawings/vmlDrawing2.vml?ContentType=application/vnd.openxmlformats-officedocument.vmlDrawing">
        <DigestMethod Algorithm="http://www.w3.org/2001/04/xmlenc#sha256"/>
        <DigestValue>S4eIGPk/+YleLCb11DGD/0O1mZmVaQQc0KOdGdPwwv0=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BMQh2T3fkVFU0qwvLzx8xa+BPyuwac0VYUpHzJxnsp4=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JjgxfUEsM6OwJqrKLpO12SvD0XjkKXY1Rx2GasxY3a8=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zrw/LLFyYm1lXxQhim6xM9tVdPMpwhxwmMfoOUp2g3c=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5mnPaNXQM6Vmxkyb9qMXv8UXgDE1NeQO4j58l0UJWNg=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IFdRXS71N8u4gqD1KJDYKCumeLhO0TZl59grDdkLWdw=</DigestValue>
      </Reference>
      <Reference URI="/xl/media/image11.jpeg?ContentType=image/jpeg">
        <DigestMethod Algorithm="http://www.w3.org/2001/04/xmlenc#sha256"/>
        <DigestValue>M2iucAxqpDdPZIz9v3S6VAa4s2zQXnXrMxXgr47E0is=</DigestValue>
      </Reference>
      <Reference URI="/xl/media/image12.jpeg?ContentType=image/jpeg">
        <DigestMethod Algorithm="http://www.w3.org/2001/04/xmlenc#sha256"/>
        <DigestValue>RNzkHEpPXN32KTAkmCflxGznXjzHWKKLtC/oH6rRgD4=</DigestValue>
      </Reference>
      <Reference URI="/xl/media/image13.jpeg?ContentType=image/jpeg">
        <DigestMethod Algorithm="http://www.w3.org/2001/04/xmlenc#sha256"/>
        <DigestValue>azPJ0mJA79qTgKdHkq6svifo5g4ITfGCl5IGSMyUrWU=</DigestValue>
      </Reference>
      <Reference URI="/xl/media/image14.jpeg?ContentType=image/jpeg">
        <DigestMethod Algorithm="http://www.w3.org/2001/04/xmlenc#sha256"/>
        <DigestValue>ncTBDh7SVjtSas+YHM5m0WN1XOqpSZFHtGV5WmUnCog=</DigestValue>
      </Reference>
      <Reference URI="/xl/media/image15.jpeg?ContentType=image/jpeg">
        <DigestMethod Algorithm="http://www.w3.org/2001/04/xmlenc#sha256"/>
        <DigestValue>sHYq5vmGTKgv4JHeLaberFpis4LS8KofrhR4Y7zfYjw=</DigestValue>
      </Reference>
      <Reference URI="/xl/media/image16.jpeg?ContentType=image/jpeg">
        <DigestMethod Algorithm="http://www.w3.org/2001/04/xmlenc#sha256"/>
        <DigestValue>TKaRrPTsSYNR491ei1PbBsSiZDWwkRmPEbN5W6aXVVE=</DigestValue>
      </Reference>
      <Reference URI="/xl/media/image17.jpeg?ContentType=image/jpeg">
        <DigestMethod Algorithm="http://www.w3.org/2001/04/xmlenc#sha256"/>
        <DigestValue>IWpHvGq9Le3urmlOCxRcAuqwJvFrBpb0npGPUJUEHg8=</DigestValue>
      </Reference>
      <Reference URI="/xl/media/image18.jpeg?ContentType=image/jpeg">
        <DigestMethod Algorithm="http://www.w3.org/2001/04/xmlenc#sha256"/>
        <DigestValue>d4pCzEQhnim/VZ9/YhSopjS/RIApoZIsttEXlbi9HoA=</DigestValue>
      </Reference>
      <Reference URI="/xl/media/image19.jpeg?ContentType=image/jpeg">
        <DigestMethod Algorithm="http://www.w3.org/2001/04/xmlenc#sha256"/>
        <DigestValue>7mO+vHuspRv90St6UvfTYiVNjS2+itw5wf1diqvThkM=</DigestValue>
      </Reference>
      <Reference URI="/xl/media/image2.jpeg?ContentType=image/jpeg">
        <DigestMethod Algorithm="http://www.w3.org/2001/04/xmlenc#sha256"/>
        <DigestValue>y8Bl/BCj+9MzbtcFEoJn8W37MX6li8OOk3olWv+Erco=</DigestValue>
      </Reference>
      <Reference URI="/xl/media/image3.jpeg?ContentType=image/jpeg">
        <DigestMethod Algorithm="http://www.w3.org/2001/04/xmlenc#sha256"/>
        <DigestValue>fC0FI2u4LQ7jBe24dD4l0YIYs2UOKUj0wARxN8OYmtw=</DigestValue>
      </Reference>
      <Reference URI="/xl/media/image4.emf?ContentType=image/x-emf">
        <DigestMethod Algorithm="http://www.w3.org/2001/04/xmlenc#sha256"/>
        <DigestValue>t/gTD606n+cbNMme3vEsmEwwqnQT+O6L1KlPkTcQ4aE=</DigestValue>
      </Reference>
      <Reference URI="/xl/media/image5.emf?ContentType=image/x-emf">
        <DigestMethod Algorithm="http://www.w3.org/2001/04/xmlenc#sha256"/>
        <DigestValue>GWCh2URExKyBGMDpqBQ1eqVgX81UtmJPD+loJrn11Hk=</DigestValue>
      </Reference>
      <Reference URI="/xl/media/image6.emf?ContentType=image/x-emf">
        <DigestMethod Algorithm="http://www.w3.org/2001/04/xmlenc#sha256"/>
        <DigestValue>RU5VYTneq9Anp/4ubm1sWyDOUJCGPkuX1y+WEg9D2pQ=</DigestValue>
      </Reference>
      <Reference URI="/xl/media/image7.emf?ContentType=image/x-emf">
        <DigestMethod Algorithm="http://www.w3.org/2001/04/xmlenc#sha256"/>
        <DigestValue>eptFt8h0OiszrnjJ8xCwvYF+OwIlxbVsdgkhdX6taOI=</DigestValue>
      </Reference>
      <Reference URI="/xl/media/image8.jpeg?ContentType=image/jpeg">
        <DigestMethod Algorithm="http://www.w3.org/2001/04/xmlenc#sha256"/>
        <DigestValue>+VV/+wQWzMe817snuzpgOS0pqzVQHbYc1pasrtFNt60=</DigestValue>
      </Reference>
      <Reference URI="/xl/media/image9.jpeg?ContentType=image/jpeg">
        <DigestMethod Algorithm="http://www.w3.org/2001/04/xmlenc#sha256"/>
        <DigestValue>O04pH9oYKw1xQUMIlhe2WMJ6X+bLBIdfBsf5PiunYm8=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kVk8PUww/KLBxPMDbbtfl+DscFooavbqVwRNUDoaaXQ=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FdrMkMhojDKV1MN7NEh+s4YsYgJw60tznXdi8xGJ3nE=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T1dU28wc8Vy3P+L4lJtBH/nlKBgTWoqux4j78w8AQP8=</DigestValue>
      </Reference>
      <Reference URI="/xl/styles.xml?ContentType=application/vnd.openxmlformats-officedocument.spreadsheetml.styles+xml">
        <DigestMethod Algorithm="http://www.w3.org/2001/04/xmlenc#sha256"/>
        <DigestValue>3oTBPHJ/E/xiPWSkf8YcN/4dPx+J3u5uxik6WWW81IY=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5jplU3wmmFlBBKE45yNT9mAfFVOsy4BRgTMRxeV41S8=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hlX9gQHuzx56YhcKzgHvK3N5MwnGcFK7/Yfps5n9mUE=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xfXMfHrtKWPbyH9H/vpW4sv1T6608C4wJHVlTTCUZlI=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sAQp5fQzE4W1uHefQ00yUGn4OQwX0aMvBwV5R3EDB1w=</DigestValue>
      </Reference>
      <Reference URI="/xl/worksheets/sheet10.xml?ContentType=application/vnd.openxmlformats-officedocument.spreadsheetml.worksheet+xml">
        <DigestMethod Algorithm="http://www.w3.org/2001/04/xmlenc#sha256"/>
        <DigestValue>t892/7S0DlbvGsVAKikGTtBVffQUdA5/txbf5mxluh0=</DigestValue>
      </Reference>
      <Reference URI="/xl/worksheets/sheet11.xml?ContentType=application/vnd.openxmlformats-officedocument.spreadsheetml.worksheet+xml">
        <DigestMethod Algorithm="http://www.w3.org/2001/04/xmlenc#sha256"/>
        <DigestValue>X1CGT7Q8okULcYX/2nypHf623efIhixeG4sAoeYbP7k=</DigestValue>
      </Reference>
      <Reference URI="/xl/worksheets/sheet12.xml?ContentType=application/vnd.openxmlformats-officedocument.spreadsheetml.worksheet+xml">
        <DigestMethod Algorithm="http://www.w3.org/2001/04/xmlenc#sha256"/>
        <DigestValue>nNgZLO2pxqeF9n9U5exqkpXi+0WVleRh3lUv9KuZmi0=</DigestValue>
      </Reference>
      <Reference URI="/xl/worksheets/sheet13.xml?ContentType=application/vnd.openxmlformats-officedocument.spreadsheetml.worksheet+xml">
        <DigestMethod Algorithm="http://www.w3.org/2001/04/xmlenc#sha256"/>
        <DigestValue>/6AHYc6htrx1p/VEeveMV5IFsZf5zVoqmwSrdU570uc=</DigestValue>
      </Reference>
      <Reference URI="/xl/worksheets/sheet14.xml?ContentType=application/vnd.openxmlformats-officedocument.spreadsheetml.worksheet+xml">
        <DigestMethod Algorithm="http://www.w3.org/2001/04/xmlenc#sha256"/>
        <DigestValue>s6h1H1xyE8WSYtMtucnWR0e224hhNj2HbcGBafheBoU=</DigestValue>
      </Reference>
      <Reference URI="/xl/worksheets/sheet15.xml?ContentType=application/vnd.openxmlformats-officedocument.spreadsheetml.worksheet+xml">
        <DigestMethod Algorithm="http://www.w3.org/2001/04/xmlenc#sha256"/>
        <DigestValue>LU9B8iBoIBjRwOVGhSjnJb1dhkE/1sysuzzM9MWgfic=</DigestValue>
      </Reference>
      <Reference URI="/xl/worksheets/sheet16.xml?ContentType=application/vnd.openxmlformats-officedocument.spreadsheetml.worksheet+xml">
        <DigestMethod Algorithm="http://www.w3.org/2001/04/xmlenc#sha256"/>
        <DigestValue>ZQmTeu6YJthlULUQWjTgk0B5+y/UnwV1gu6fQ3STjYs=</DigestValue>
      </Reference>
      <Reference URI="/xl/worksheets/sheet17.xml?ContentType=application/vnd.openxmlformats-officedocument.spreadsheetml.worksheet+xml">
        <DigestMethod Algorithm="http://www.w3.org/2001/04/xmlenc#sha256"/>
        <DigestValue>CjbrtnWMF/BSnLuMqMh3bE72yIopXBmk9MIuYLOlhRU=</DigestValue>
      </Reference>
      <Reference URI="/xl/worksheets/sheet18.xml?ContentType=application/vnd.openxmlformats-officedocument.spreadsheetml.worksheet+xml">
        <DigestMethod Algorithm="http://www.w3.org/2001/04/xmlenc#sha256"/>
        <DigestValue>rGlxuAU/0Te802wUsq0mc08VgbdUBkGo3bAdswslPCY=</DigestValue>
      </Reference>
      <Reference URI="/xl/worksheets/sheet19.xml?ContentType=application/vnd.openxmlformats-officedocument.spreadsheetml.worksheet+xml">
        <DigestMethod Algorithm="http://www.w3.org/2001/04/xmlenc#sha256"/>
        <DigestValue>sUjQMbFW5dp89pqq6A6KYgEVhCn+bbB8SpQvczOmVY0=</DigestValue>
      </Reference>
      <Reference URI="/xl/worksheets/sheet2.xml?ContentType=application/vnd.openxmlformats-officedocument.spreadsheetml.worksheet+xml">
        <DigestMethod Algorithm="http://www.w3.org/2001/04/xmlenc#sha256"/>
        <DigestValue>ADJO3DKHp6Wx6jo3STBaKvO23//1n8UjpNbBSdiU8Qs=</DigestValue>
      </Reference>
      <Reference URI="/xl/worksheets/sheet20.xml?ContentType=application/vnd.openxmlformats-officedocument.spreadsheetml.worksheet+xml">
        <DigestMethod Algorithm="http://www.w3.org/2001/04/xmlenc#sha256"/>
        <DigestValue>Z8vAZnu/WR66sG3Afx9nM+viQk3GM2M93dhU9lm+AP8=</DigestValue>
      </Reference>
      <Reference URI="/xl/worksheets/sheet21.xml?ContentType=application/vnd.openxmlformats-officedocument.spreadsheetml.worksheet+xml">
        <DigestMethod Algorithm="http://www.w3.org/2001/04/xmlenc#sha256"/>
        <DigestValue>OUyWKaBhp5WMz4tCukDNdjzVnaYn5jETFHFqxLTW8yI=</DigestValue>
      </Reference>
      <Reference URI="/xl/worksheets/sheet22.xml?ContentType=application/vnd.openxmlformats-officedocument.spreadsheetml.worksheet+xml">
        <DigestMethod Algorithm="http://www.w3.org/2001/04/xmlenc#sha256"/>
        <DigestValue>erve/SY85de/XOUeqJ25CPLmGA55Yp7Ve6mFXUlAd+c=</DigestValue>
      </Reference>
      <Reference URI="/xl/worksheets/sheet23.xml?ContentType=application/vnd.openxmlformats-officedocument.spreadsheetml.worksheet+xml">
        <DigestMethod Algorithm="http://www.w3.org/2001/04/xmlenc#sha256"/>
        <DigestValue>I8jicu+ZsbOOms1YOIgLutisiGBQm2kM0+AkXQhq7nE=</DigestValue>
      </Reference>
      <Reference URI="/xl/worksheets/sheet24.xml?ContentType=application/vnd.openxmlformats-officedocument.spreadsheetml.worksheet+xml">
        <DigestMethod Algorithm="http://www.w3.org/2001/04/xmlenc#sha256"/>
        <DigestValue>kNYX7VSj5smjW+sC32JjJnE+HbtQlOgZln0cP0j25LM=</DigestValue>
      </Reference>
      <Reference URI="/xl/worksheets/sheet25.xml?ContentType=application/vnd.openxmlformats-officedocument.spreadsheetml.worksheet+xml">
        <DigestMethod Algorithm="http://www.w3.org/2001/04/xmlenc#sha256"/>
        <DigestValue>/VJOfN+LxfZ1f5OIfDmLcI5W4mcc67YF0cs85PcoGEs=</DigestValue>
      </Reference>
      <Reference URI="/xl/worksheets/sheet26.xml?ContentType=application/vnd.openxmlformats-officedocument.spreadsheetml.worksheet+xml">
        <DigestMethod Algorithm="http://www.w3.org/2001/04/xmlenc#sha256"/>
        <DigestValue>JAN3mO6YEdJO80DVg5saEAvm9z80acT3rTgbnp/DWSY=</DigestValue>
      </Reference>
      <Reference URI="/xl/worksheets/sheet27.xml?ContentType=application/vnd.openxmlformats-officedocument.spreadsheetml.worksheet+xml">
        <DigestMethod Algorithm="http://www.w3.org/2001/04/xmlenc#sha256"/>
        <DigestValue>MuVQfdZtkj9NO2TTENEubXC176nBPZLlZn4Zc8imTWE=</DigestValue>
      </Reference>
      <Reference URI="/xl/worksheets/sheet28.xml?ContentType=application/vnd.openxmlformats-officedocument.spreadsheetml.worksheet+xml">
        <DigestMethod Algorithm="http://www.w3.org/2001/04/xmlenc#sha256"/>
        <DigestValue>CQl27DlC5yghcHFEiXRqKDb+iu4MYR3s74p4cX2U4Ns=</DigestValue>
      </Reference>
      <Reference URI="/xl/worksheets/sheet3.xml?ContentType=application/vnd.openxmlformats-officedocument.spreadsheetml.worksheet+xml">
        <DigestMethod Algorithm="http://www.w3.org/2001/04/xmlenc#sha256"/>
        <DigestValue>BYSOeucg1FU6WzrUJoKclFDq3owrk2kCUu1mvrpng/Q=</DigestValue>
      </Reference>
      <Reference URI="/xl/worksheets/sheet4.xml?ContentType=application/vnd.openxmlformats-officedocument.spreadsheetml.worksheet+xml">
        <DigestMethod Algorithm="http://www.w3.org/2001/04/xmlenc#sha256"/>
        <DigestValue>QKyWUE16omK8GH+pw8qL+lx5oPmjcyzuZwIauOk2RRw=</DigestValue>
      </Reference>
      <Reference URI="/xl/worksheets/sheet5.xml?ContentType=application/vnd.openxmlformats-officedocument.spreadsheetml.worksheet+xml">
        <DigestMethod Algorithm="http://www.w3.org/2001/04/xmlenc#sha256"/>
        <DigestValue>9jKDY55G+w0TQZpG2AWmmD8F5UbUyLGPjv6WrVvJ4/g=</DigestValue>
      </Reference>
      <Reference URI="/xl/worksheets/sheet6.xml?ContentType=application/vnd.openxmlformats-officedocument.spreadsheetml.worksheet+xml">
        <DigestMethod Algorithm="http://www.w3.org/2001/04/xmlenc#sha256"/>
        <DigestValue>+ZPL1n9QdzCLH9IFIiHahi+skRAdjlXTgm/gvLhaM7w=</DigestValue>
      </Reference>
      <Reference URI="/xl/worksheets/sheet7.xml?ContentType=application/vnd.openxmlformats-officedocument.spreadsheetml.worksheet+xml">
        <DigestMethod Algorithm="http://www.w3.org/2001/04/xmlenc#sha256"/>
        <DigestValue>h+dDHGFzlDGkjeqDO+1IrmdDxqE7xml+UoKm8zgagAU=</DigestValue>
      </Reference>
      <Reference URI="/xl/worksheets/sheet8.xml?ContentType=application/vnd.openxmlformats-officedocument.spreadsheetml.worksheet+xml">
        <DigestMethod Algorithm="http://www.w3.org/2001/04/xmlenc#sha256"/>
        <DigestValue>oZR8ba74GWjYe444LDm82ZkLVD1y0v0fTzq5J0oLIcM=</DigestValue>
      </Reference>
      <Reference URI="/xl/worksheets/sheet9.xml?ContentType=application/vnd.openxmlformats-officedocument.spreadsheetml.worksheet+xml">
        <DigestMethod Algorithm="http://www.w3.org/2001/04/xmlenc#sha256"/>
        <DigestValue>7h4/F2E0mQkM5sAY/B9liENh7ppe8fHwvr8aOuy8/Ok=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2022-03-31T22:11:42Z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{32D42BDD-0DFD-4360-ACAF-64E7433A55BC}</SetupID>
          <SignatureText>Juan Talavera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2022-03-31T22:11:42Z</xd:SigningTime>
          <xd:SigningCertificate>
            <xd:Cert>
              <xd:CertDigest>
                <DigestMethod Algorithm="http://www.w3.org/2001/04/xmlenc#sha256"/>
                <DigestValue>NzyQOkOpnuBS5UnBYfPWfUjFIrVPzgvD1M4bJpKvT1M=</DigestValue>
              </xd:CertDigest>
              <xd:IssuerSerial>
                <X509IssuerName>C=PY, O=DOCUMENTA S.A., CN=CA-DOCUMENTA S.A., SERIALNUMBER=RUC 80050172-1</X509IssuerName>
                <X509SerialNumber>2801867242457775703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P8AAAB/AAAAAAAAAAAAAAAYEAAAAwgAACBFTUYAAAEAiBsAAKoAAAAGAAAAAAAAAAAAAAAAAAAAgAcAADgEAAA1AQAArQAAAAAAAAAAAAAAAAAAAAi3BADIow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CAQe0lgEHEAAAABAAAAAkAAABMAAAAAAAAAAAAAAAAAAAA//////////9gAAAAMwAvADMAMQAvADIAMAAyADI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IBB7SWA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IgAAABHAAAAKQAAADMAAABg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IkAAABIAAAAJQAAAAwAAAAEAAAAVAAAAJwAAAAqAAAAMwAAAIcAAABHAAAAAQAAAADAgEHtJYBBKgAAADMAAAANAAAATAAAAAAAAAAAAAAAAAAAAP//////////aAAAAEoAdQBhAG4AIABUAGEAbABhAHYAZQByAGEAAAAGAAAACQAAAAgAAAAJAAAABAAAAAgAAAAIAAAABAAAAAgAAAAIAAAACAAAAAYAAAAI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gAAAAKAAAAUAAAAGcAAABcAAAAAQAAAADAgEHtJYBBCgAAAFAAAAASAAAATAAAAAAAAAAAAAAAAAAAAP//////////cAAAAEoAdQBhAG4AIABKAG8AcwBlACAAVABhAGwAYQB2AGUAcgBhAAQAAAAHAAAABgAAAAcAAAADAAAABAAAAAcAAAAFAAAABgAAAAMAAAAGAAAABgAAAAMAAAAGAAAABQAAAAYAAAAEAAAABg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gAAAAKAAAAYAAAAC8AAABsAAAAAQAAAADAgEHtJYBBCgAAAGAAAAAHAAAATAAAAAAAAAAAAAAAAAAAAP//////////XAAAAFMAaQBuAGQAaQBjAG8AAAAGAAAAAwAAAAcAAAAHAAAAAwAAAAUAAAAHAAAASwAAAEAAAAAwAAAABQAAACAAAAABAAAAAQAAABAAAAAAAAAAAAAAAAABAACAAAAAAAAAAAAAAAAAAQAAgAAAACUAAAAMAAAAAgAAACcAAAAYAAAABQAAAAAAAAD///8AAAAAACUAAAAMAAAABQAAAEwAAABkAAAACQAAAHAAAADhAAAAfAAAAAkAAABwAAAA2QAAAA0AAAAhAPAAAAAAAAAAAAAAAIA/AAAAAAAAAAAAAIA/AAAAAAAAAAAAAAAAAAAAAAAAAAAAAAAAAAAAAAAAAAAlAAAADAAAAAAAAIAoAAAADAAAAAUAAAAlAAAADAAAAAEAAAAYAAAADAAAAAAAAAASAAAADAAAAAEAAAAWAAAADAAAAAAAAABUAAAALAEAAAoAAABwAAAA4AAAAHwAAAABAAAAAMCAQe0lgEEKAAAAcAAAACUAAABMAAAABAAAAAkAAABwAAAA4gAAAH0AAACYAAAAUwBpAGcAbgBlAGQAIABiAHkAOgAgAEoAVQBBAE4AIABKAE8AUwBFACAAVABBAEwAQQBWAEUAUgBBACAAUwBBAEcAVQBJAEUAUgAAAAYAAAADAAAABwAAAAcAAAAGAAAABwAAAAMAAAAHAAAABQAAAAMAAAADAAAABAAAAAgAAAAHAAAACAAAAAMAAAAEAAAACQAAAAYAAAAGAAAAAwAAAAYAAAAHAAAABQAAAAcAAAAHAAAABgAAAAcAAAAHAAAAAwAAAAYAAAAHAAAACAAAAAgAAAADAAAABgAAAAcAAAAWAAAADAAAAAAAAAAlAAAADAAAAAIAAAAOAAAAFAAAAAAAAAAQAAAAFAAAAA==</Object>
  <Object Id="idInvalidSigLnImg">AQAAAGwAAAAAAAAAAAAAAP8AAAB/AAAAAAAAAAAAAAAYEAAAAwgAACBFTUYAAAEANB8AALAAAAAGAAAAAAAAAAAAAAAAAAAAgAcAADgEAAA1AQAArQAAAAAAAAAAAAAAAAAAAAi3BADIow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qvwAAAAcKDQcKDQcJDQ4WMShFrjFU1TJV1gECBAIDBAECBQoRKyZBowsTMYBAAAAAfqbJd6PIeqDCQFZ4JTd0Lk/HMVPSGy5uFiE4GypVJ0KnHjN9AAABYdU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WtAAAACv1/Ho8/ubzu6CwuqMudS3u769vb3////////////L5fZymsABAgNbQAAAAK/X8fz9/uLx+snk9uTy+vz9/v///////////////8vl9nKawAECA8fQ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/AAAAEgAAAAwAAAABAAAAHgAAABgAAAAiAAAABAAAAHoAAAARAAAAJQAAAAwAAAABAAAAVAAAALQAAAAjAAAABAAAAHgAAAAQAAAAAQAAAADAgEHtJYB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CAQe0lg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IAAAARwAAACkAAAAzAAAAY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JAAAASAAAACUAAAAMAAAABAAAAFQAAACcAAAAKgAAADMAAACHAAAARwAAAAEAAAAAwIBB7SWAQSoAAAAzAAAADQAAAEwAAAAAAAAAAAAAAAAAAAD//////////2gAAABKAHUAYQBuACAAVABhAGwAYQB2AGUAcgBhAAAABgAAAAkAAAAIAAAACQAAAAQAAAAIAAAACAAAAAQAAAAIAAAACAAAAAgAAAAG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nAAAAXAAAAAEAAAAAwIBB7SWAQQoAAABQAAAAEgAAAEwAAAAAAAAAAAAAAAAAAAD//////////3AAAABKAHUAYQBuACAASgBvAHMAZQAgAFQAYQBsAGEAdgBlAHIAYQAEAAAABwAAAAYAAAAHAAAAAwAAAAQAAAAHAAAABQAAAAYAAAADAAAABgAAAAYAAAADAAAABgAAAAUAAAAGAAAABA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4AAAACgAAAGAAAAAvAAAAbAAAAAEAAAAAwIBB7SWAQQoAAABgAAAABwAAAEwAAAAAAAAAAAAAAAAAAAD//////////1wAAABTAGkAbgBkAGkAYwBvAAAABgAAAAMAAAAHAAAABwAAAAMAAAAFAAAABwAAAEsAAABAAAAAMAAAAAUAAAAgAAAAAQAAAAEAAAAQAAAAAAAAAAAAAAAAAQAAgAAAAAAAAAAAAAAAAAEAAIAAAAAlAAAADAAAAAIAAAAnAAAAGAAAAAUAAAAAAAAA////AAAAAAAlAAAADAAAAAUAAABMAAAAZAAAAAkAAABwAAAA4QAAAHwAAAAJAAAAcAAAANkAAAANAAAAIQDwAAAAAAAAAAAAAACAPwAAAAAAAAAAAACAPwAAAAAAAAAAAAAAAAAAAAAAAAAAAAAAAAAAAAAAAAAAJQAAAAwAAAAAAACAKAAAAAwAAAAFAAAAJQAAAAwAAAABAAAAGAAAAAwAAAAAAAAAEgAAAAwAAAABAAAAFgAAAAwAAAAAAAAAVAAAACwBAAAKAAAAcAAAAOAAAAB8AAAAAQAAAADAgEHtJYBBCgAAAHAAAAAlAAAATAAAAAQAAAAJAAAAcAAAAOIAAAB9AAAAmAAAAFMAaQBnAG4AZQBkACAAYgB5ADoAIABKAFUAQQBOACAASgBPAFMARQAgAFQAQQBMAEEAVgBFAFIAQQAgAFMAQQBHAFUASQBFAFIAAAAGAAAAAwAAAAcAAAAHAAAABgAAAAcAAAADAAAABwAAAAUAAAADAAAAAwAAAAQAAAAIAAAABwAAAAgAAAADAAAABAAAAAkAAAAGAAAABgAAAAMAAAAGAAAABwAAAAUAAAAHAAAABwAAAAYAAAAHAAAABwAAAAMAAAAGAAAABwAAAAgAAAAIAAAAAwAAAAYAAAAHAAAAFgAAAAwAAAAAAAAAJQAAAAwAAAACAAAADgAAABQAAAAAAAAAEAAAABQAAAA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5hH8/t6Tl1T9WKGEokeWoeeK4FrjD+97e+4H0JEbQ0o=</DigestValue>
    </Reference>
    <Reference Type="http://www.w3.org/2000/09/xmldsig#Object" URI="#idOfficeObject">
      <DigestMethod Algorithm="http://www.w3.org/2001/04/xmlenc#sha256"/>
      <DigestValue>QZxZiE7OGd52BAAwRnPeY0MIUwbLgIb1dzL7HkgtBw4=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IDy7y4EW7y2qkJhh+Z1wfLzURVqG14ybAaiN5nmoxJk=</DigestValue>
    </Reference>
    <Reference Type="http://www.w3.org/2000/09/xmldsig#Object" URI="#idValidSigLnImg">
      <DigestMethod Algorithm="http://www.w3.org/2001/04/xmlenc#sha256"/>
      <DigestValue>jHjMvHVGruzZ0fGIvj5mowo030zWoqwCF5JnGSyyTe8=</DigestValue>
    </Reference>
    <Reference Type="http://www.w3.org/2000/09/xmldsig#Object" URI="#idInvalidSigLnImg">
      <DigestMethod Algorithm="http://www.w3.org/2001/04/xmlenc#sha256"/>
      <DigestValue>zgOU3c0c5V25gR4KvYh/KefGu2maZZ5X34YMFG27KDI=</DigestValue>
    </Reference>
  </SignedInfo>
  <SignatureValue>hMTGeL5XJQm0OZDAd74U4plXr4mYneFFnd3JvlnSZ0z+GWXKtl/fek10SGpSfqGghgdtxE9SAoSJ
/j6ms//FocNZQlLNjd+6wcmpSe3n2gQddYrFMKqJr0hOo7UFVJMGzWPqXA5DXTOT6U4AziAZ1NB6
vmvN6R+Mr/Yh2jBHKOLSzZotgrPoa4DbwQ37HXmms30mpdV3WyCr6HrlTPW47sDwYiNJ0s90YQfd
OK00ke9MhGQjN+LRpWwvZIWdEKqWZtOsnSNn19w0XopRvJE8vg7QWJH63wDzmq5kKVm7lWOAE/WG
oYSAHYzNWkvtQq+DNeQMX2Lvnv8WJRSqUT9kqQ==</SignatureValue>
  <KeyInfo>
    <X509Data>
      <X509Certificate>MIIH+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/9vHeJu24loazdWcdaHTpFMmUf795ZY8/rWRBtedFfxCvLALKNeK19or6fpx+vh9RW6bu7PNE2TXuQm8GHx5/smtmP8Er/nvY67eXr+Goo0j1cv/5kueF1DbipfTJ2M8MrKtAqERMxrHe/oRY+u7pWOxul73sX3Qm8yJEBDes9ZKio3dCK5EWlK5B4KIR6IYcUuaUDIOaGKHAc6uiLTth7dQ4SRfUhH8j/nBJyl0HnP/0uEj7hc7QlE/p82yrdxYEotAlg2OxRC9ll8RAP4O30w+QLCA/xAzU4wOmNNQB5FlCmPcHSNZg//pdNXcCAwEAAaOCA38wggN7MAwGA1UdEwEB/wQCMAAwDgYDVR0PAQH/BAQDAgXgMCoGA1UdJQEB/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+ahH58zqmt09yy8x6SUYcWFMIyjp3TqIeX4MRrhDgwgtFKtfzTfN7pUUhNoJ6j30xev0gSwPpKRMKlN/lCVc1KO7S8nZocYXY80HoGi/oIpxaOBnzc8M6IQ1k6SY1oeetgs0nGKb9UQDKQW+ilVZQH55SnP1BQy1o7IigKjCGBm1WxmKuecNHtxNxdVOQdeYRF93ST50XtqNCyWANDfNhB1B5wqT0R+P+NBO6RdVAkX4526k9HUTsYkw+lwautbE2SOZ4tQydZtQ07jMKxvDesi1dsh1A0v9uT8Fv1Nt+OAvZ9g2bVMopc2ibIuAfmDuhuTwzAQH6suhl0A2jW5XhZanZf3eaTqXSXbg96YYcZxUKXqIi+RZ0+PPnsPFqGbZ4vOj/eEDzdG6MzNAo4bYv8FFdwBIFqAMkNWZH4gwcJxG9HNmMfcAznDOGb4KExCihBYE47ck5JRNi4PZQzR5GLejY5kXIOc9BXWg+83ORh1N6Y1Wnu+QGDKwAmBZnO6lF1yUQ6h3YDQTgh4qnnoNiznL7SBP6MF9mf5DJGNwxbkra0S8g1GmR9N0mb8OrGNvufbCisMUgbGau0Zg7Vo+BsOnHacfrnFE2DMy8zO+2USmgdCFoTzx7Ntj1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hDjbmNGYJzYULR2mXmoqVXIiWzxmkns001ZrKc7zXVc=</DigestValue>
      </Reference>
      <Reference URI="/xl/calcChain.xml?ContentType=application/vnd.openxmlformats-officedocument.spreadsheetml.calcChain+xml">
        <DigestMethod Algorithm="http://www.w3.org/2001/04/xmlenc#sha256"/>
        <DigestValue>2p1kvs/f5ixeHUEh7PGrMMna7V0x/ovQIAqYVUBDcqY=</DigestValue>
      </Reference>
      <Reference URI="/xl/comments1.xml?ContentType=application/vnd.openxmlformats-officedocument.spreadsheetml.comments+xml">
        <DigestMethod Algorithm="http://www.w3.org/2001/04/xmlenc#sha256"/>
        <DigestValue>befV76pmYF1q/a27FWu8gxcOG//qxMvOmLtt2MRkCmY=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PoORoF5QkIhatxBoAqsSyHbXfQolck0Fj5kuIk44OuE=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qrvIAIrop732vqMWK0OaUQo2GzkAvrKfnLLQbucozRs=</DigestValue>
      </Reference>
      <Reference URI="/xl/drawings/drawing1.xml?ContentType=application/vnd.openxmlformats-officedocument.drawing+xml">
        <DigestMethod Algorithm="http://www.w3.org/2001/04/xmlenc#sha256"/>
        <DigestValue>9lG9mRLt6H9fnYhcSYcEyMEOu4owG6DTqCbLAWLwkYI=</DigestValue>
      </Reference>
      <Reference URI="/xl/drawings/drawing10.xml?ContentType=application/vnd.openxmlformats-officedocument.drawing+xml">
        <DigestMethod Algorithm="http://www.w3.org/2001/04/xmlenc#sha256"/>
        <DigestValue>15AAtX9ywg+xIddT5kfN2Xm7DDXbKGbX9Xf0FoQrFa4=</DigestValue>
      </Reference>
      <Reference URI="/xl/drawings/drawing11.xml?ContentType=application/vnd.openxmlformats-officedocument.drawing+xml">
        <DigestMethod Algorithm="http://www.w3.org/2001/04/xmlenc#sha256"/>
        <DigestValue>AupqSdaq8Mt60DM8zg5JBPFkXAe82PohD7D70WVSTdA=</DigestValue>
      </Reference>
      <Reference URI="/xl/drawings/drawing12.xml?ContentType=application/vnd.openxmlformats-officedocument.drawing+xml">
        <DigestMethod Algorithm="http://www.w3.org/2001/04/xmlenc#sha256"/>
        <DigestValue>QxomIYEY0oG+kKTVc1i/GaRy4Dh3kf8BEcMEjOGnPm4=</DigestValue>
      </Reference>
      <Reference URI="/xl/drawings/drawing13.xml?ContentType=application/vnd.openxmlformats-officedocument.drawing+xml">
        <DigestMethod Algorithm="http://www.w3.org/2001/04/xmlenc#sha256"/>
        <DigestValue>8v+cAjKusAcTo4FMklgqKePdZQEDm/6xaIofQlGzLDU=</DigestValue>
      </Reference>
      <Reference URI="/xl/drawings/drawing14.xml?ContentType=application/vnd.openxmlformats-officedocument.drawing+xml">
        <DigestMethod Algorithm="http://www.w3.org/2001/04/xmlenc#sha256"/>
        <DigestValue>aY1YdJHQjVqUdp4JOtnJfpqGi8kdBBAsq47xA3XO8wY=</DigestValue>
      </Reference>
      <Reference URI="/xl/drawings/drawing15.xml?ContentType=application/vnd.openxmlformats-officedocument.drawing+xml">
        <DigestMethod Algorithm="http://www.w3.org/2001/04/xmlenc#sha256"/>
        <DigestValue>MUYpajvHWY32vG2235kODoLRLdKEQWhv0zhnDNABPMc=</DigestValue>
      </Reference>
      <Reference URI="/xl/drawings/drawing16.xml?ContentType=application/vnd.openxmlformats-officedocument.drawing+xml">
        <DigestMethod Algorithm="http://www.w3.org/2001/04/xmlenc#sha256"/>
        <DigestValue>kF23vqguoyE0SpFivnC/u5mKI3ZrrbCJlC52FuryyAE=</DigestValue>
      </Reference>
      <Reference URI="/xl/drawings/drawing17.xml?ContentType=application/vnd.openxmlformats-officedocument.drawing+xml">
        <DigestMethod Algorithm="http://www.w3.org/2001/04/xmlenc#sha256"/>
        <DigestValue>jo8cJjI+1CtCEguv5UZqPYjT2mdebweJhiXDlWyHewY=</DigestValue>
      </Reference>
      <Reference URI="/xl/drawings/drawing18.xml?ContentType=application/vnd.openxmlformats-officedocument.drawing+xml">
        <DigestMethod Algorithm="http://www.w3.org/2001/04/xmlenc#sha256"/>
        <DigestValue>ZzGJNHkwfqFl/GLyV5hjjBOtm4o4XeSn6sp022idDos=</DigestValue>
      </Reference>
      <Reference URI="/xl/drawings/drawing19.xml?ContentType=application/vnd.openxmlformats-officedocument.drawing+xml">
        <DigestMethod Algorithm="http://www.w3.org/2001/04/xmlenc#sha256"/>
        <DigestValue>luGwq7/PJaGOw2uH+rAp5VWBb5MTLWq5jMFTl36+v4M=</DigestValue>
      </Reference>
      <Reference URI="/xl/drawings/drawing2.xml?ContentType=application/vnd.openxmlformats-officedocument.drawing+xml">
        <DigestMethod Algorithm="http://www.w3.org/2001/04/xmlenc#sha256"/>
        <DigestValue>phr03GDJRYyJBDFdyVTZhepelU117aQ0l0OHRI5gfsw=</DigestValue>
      </Reference>
      <Reference URI="/xl/drawings/drawing20.xml?ContentType=application/vnd.openxmlformats-officedocument.drawing+xml">
        <DigestMethod Algorithm="http://www.w3.org/2001/04/xmlenc#sha256"/>
        <DigestValue>RVa/ojMgJe/KYOgAn8/Pxff6YmSgFrncm8f7WnIhRFE=</DigestValue>
      </Reference>
      <Reference URI="/xl/drawings/drawing21.xml?ContentType=application/vnd.openxmlformats-officedocument.drawing+xml">
        <DigestMethod Algorithm="http://www.w3.org/2001/04/xmlenc#sha256"/>
        <DigestValue>lsJVppfdpXt6sJL4YtufLti45kfg4Ds+9eFsMT+75gw=</DigestValue>
      </Reference>
      <Reference URI="/xl/drawings/drawing22.xml?ContentType=application/vnd.openxmlformats-officedocument.drawing+xml">
        <DigestMethod Algorithm="http://www.w3.org/2001/04/xmlenc#sha256"/>
        <DigestValue>8FncdlxsthblVw92S0cAWGWQqd+oMi4DpaRcAav5smI=</DigestValue>
      </Reference>
      <Reference URI="/xl/drawings/drawing23.xml?ContentType=application/vnd.openxmlformats-officedocument.drawing+xml">
        <DigestMethod Algorithm="http://www.w3.org/2001/04/xmlenc#sha256"/>
        <DigestValue>Nw2gDsL6DE+3hshmTuoAOvGbXWI7dJ7IugQS3qCQm6g=</DigestValue>
      </Reference>
      <Reference URI="/xl/drawings/drawing24.xml?ContentType=application/vnd.openxmlformats-officedocument.drawing+xml">
        <DigestMethod Algorithm="http://www.w3.org/2001/04/xmlenc#sha256"/>
        <DigestValue>OZpZ4JGLnYZuEKu6z+LVqg5raOd/ljINyAw1o6AaKU4=</DigestValue>
      </Reference>
      <Reference URI="/xl/drawings/drawing25.xml?ContentType=application/vnd.openxmlformats-officedocument.drawing+xml">
        <DigestMethod Algorithm="http://www.w3.org/2001/04/xmlenc#sha256"/>
        <DigestValue>d2XJeCQO3ldIqw72rPnizXFwRYOwClMsB2lb9iuwg88=</DigestValue>
      </Reference>
      <Reference URI="/xl/drawings/drawing26.xml?ContentType=application/vnd.openxmlformats-officedocument.drawing+xml">
        <DigestMethod Algorithm="http://www.w3.org/2001/04/xmlenc#sha256"/>
        <DigestValue>uKYphbImN48cRqGtMW+EZwcqQ9n+HS/NWXtsqdEXyf4=</DigestValue>
      </Reference>
      <Reference URI="/xl/drawings/drawing27.xml?ContentType=application/vnd.openxmlformats-officedocument.drawing+xml">
        <DigestMethod Algorithm="http://www.w3.org/2001/04/xmlenc#sha256"/>
        <DigestValue>m8uM6QNZmJVx4v0X6QwrS/6jd35XBWKexXIPPb0SveE=</DigestValue>
      </Reference>
      <Reference URI="/xl/drawings/drawing3.xml?ContentType=application/vnd.openxmlformats-officedocument.drawing+xml">
        <DigestMethod Algorithm="http://www.w3.org/2001/04/xmlenc#sha256"/>
        <DigestValue>C/V34q1HUFxJnUHD5yuADnsJoVwOekobkCTt0kcc/h0=</DigestValue>
      </Reference>
      <Reference URI="/xl/drawings/drawing4.xml?ContentType=application/vnd.openxmlformats-officedocument.drawing+xml">
        <DigestMethod Algorithm="http://www.w3.org/2001/04/xmlenc#sha256"/>
        <DigestValue>NySEuyj70zkoRUdQeqMWacmDtCLxZQRaZWz8m1BUUQU=</DigestValue>
      </Reference>
      <Reference URI="/xl/drawings/drawing5.xml?ContentType=application/vnd.openxmlformats-officedocument.drawing+xml">
        <DigestMethod Algorithm="http://www.w3.org/2001/04/xmlenc#sha256"/>
        <DigestValue>PvKkrYWgP4Wdv2tEorCxQs+RWW1dyZiWJp2/2VXr39Q=</DigestValue>
      </Reference>
      <Reference URI="/xl/drawings/drawing6.xml?ContentType=application/vnd.openxmlformats-officedocument.drawing+xml">
        <DigestMethod Algorithm="http://www.w3.org/2001/04/xmlenc#sha256"/>
        <DigestValue>pwj8zwN+WpEcGJE6bDincTsBz97+YNx2lcvQCq0G1A0=</DigestValue>
      </Reference>
      <Reference URI="/xl/drawings/drawing7.xml?ContentType=application/vnd.openxmlformats-officedocument.drawing+xml">
        <DigestMethod Algorithm="http://www.w3.org/2001/04/xmlenc#sha256"/>
        <DigestValue>NW4IT0rros9BNsmeOET7OBSfOk+HpWLkxlchbnwMZJ8=</DigestValue>
      </Reference>
      <Reference URI="/xl/drawings/drawing8.xml?ContentType=application/vnd.openxmlformats-officedocument.drawing+xml">
        <DigestMethod Algorithm="http://www.w3.org/2001/04/xmlenc#sha256"/>
        <DigestValue>57286knBlKt1Px7QU8cFiy48wFrBkoQvtUz1b2tph80=</DigestValue>
      </Reference>
      <Reference URI="/xl/drawings/drawing9.xml?ContentType=application/vnd.openxmlformats-officedocument.drawing+xml">
        <DigestMethod Algorithm="http://www.w3.org/2001/04/xmlenc#sha256"/>
        <DigestValue>vbsnNqbe/cj7P9KrNIHP6gd2qOv56zLWkOW+LqQmRek=</DigestValue>
      </Reference>
      <Reference URI="/xl/drawings/vmlDrawing1.vml?ContentType=application/vnd.openxmlformats-officedocument.vmlDrawing">
        <DigestMethod Algorithm="http://www.w3.org/2001/04/xmlenc#sha256"/>
        <DigestValue>u/MAnH8hE0eMd/4jGLcafd3IOVafGRiORak16Lcm0H4=</DigestValue>
      </Reference>
      <Reference URI="/xl/drawings/vmlDrawing2.vml?ContentType=application/vnd.openxmlformats-officedocument.vmlDrawing">
        <DigestMethod Algorithm="http://www.w3.org/2001/04/xmlenc#sha256"/>
        <DigestValue>S4eIGPk/+YleLCb11DGD/0O1mZmVaQQc0KOdGdPwwv0=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BMQh2T3fkVFU0qwvLzx8xa+BPyuwac0VYUpHzJxnsp4=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JjgxfUEsM6OwJqrKLpO12SvD0XjkKXY1Rx2GasxY3a8=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zrw/LLFyYm1lXxQhim6xM9tVdPMpwhxwmMfoOUp2g3c=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5mnPaNXQM6Vmxkyb9qMXv8UXgDE1NeQO4j58l0UJWNg=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IFdRXS71N8u4gqD1KJDYKCumeLhO0TZl59grDdkLWdw=</DigestValue>
      </Reference>
      <Reference URI="/xl/media/image11.jpeg?ContentType=image/jpeg">
        <DigestMethod Algorithm="http://www.w3.org/2001/04/xmlenc#sha256"/>
        <DigestValue>M2iucAxqpDdPZIz9v3S6VAa4s2zQXnXrMxXgr47E0is=</DigestValue>
      </Reference>
      <Reference URI="/xl/media/image12.jpeg?ContentType=image/jpeg">
        <DigestMethod Algorithm="http://www.w3.org/2001/04/xmlenc#sha256"/>
        <DigestValue>RNzkHEpPXN32KTAkmCflxGznXjzHWKKLtC/oH6rRgD4=</DigestValue>
      </Reference>
      <Reference URI="/xl/media/image13.jpeg?ContentType=image/jpeg">
        <DigestMethod Algorithm="http://www.w3.org/2001/04/xmlenc#sha256"/>
        <DigestValue>azPJ0mJA79qTgKdHkq6svifo5g4ITfGCl5IGSMyUrWU=</DigestValue>
      </Reference>
      <Reference URI="/xl/media/image14.jpeg?ContentType=image/jpeg">
        <DigestMethod Algorithm="http://www.w3.org/2001/04/xmlenc#sha256"/>
        <DigestValue>ncTBDh7SVjtSas+YHM5m0WN1XOqpSZFHtGV5WmUnCog=</DigestValue>
      </Reference>
      <Reference URI="/xl/media/image15.jpeg?ContentType=image/jpeg">
        <DigestMethod Algorithm="http://www.w3.org/2001/04/xmlenc#sha256"/>
        <DigestValue>sHYq5vmGTKgv4JHeLaberFpis4LS8KofrhR4Y7zfYjw=</DigestValue>
      </Reference>
      <Reference URI="/xl/media/image16.jpeg?ContentType=image/jpeg">
        <DigestMethod Algorithm="http://www.w3.org/2001/04/xmlenc#sha256"/>
        <DigestValue>TKaRrPTsSYNR491ei1PbBsSiZDWwkRmPEbN5W6aXVVE=</DigestValue>
      </Reference>
      <Reference URI="/xl/media/image17.jpeg?ContentType=image/jpeg">
        <DigestMethod Algorithm="http://www.w3.org/2001/04/xmlenc#sha256"/>
        <DigestValue>IWpHvGq9Le3urmlOCxRcAuqwJvFrBpb0npGPUJUEHg8=</DigestValue>
      </Reference>
      <Reference URI="/xl/media/image18.jpeg?ContentType=image/jpeg">
        <DigestMethod Algorithm="http://www.w3.org/2001/04/xmlenc#sha256"/>
        <DigestValue>d4pCzEQhnim/VZ9/YhSopjS/RIApoZIsttEXlbi9HoA=</DigestValue>
      </Reference>
      <Reference URI="/xl/media/image19.jpeg?ContentType=image/jpeg">
        <DigestMethod Algorithm="http://www.w3.org/2001/04/xmlenc#sha256"/>
        <DigestValue>7mO+vHuspRv90St6UvfTYiVNjS2+itw5wf1diqvThkM=</DigestValue>
      </Reference>
      <Reference URI="/xl/media/image2.jpeg?ContentType=image/jpeg">
        <DigestMethod Algorithm="http://www.w3.org/2001/04/xmlenc#sha256"/>
        <DigestValue>y8Bl/BCj+9MzbtcFEoJn8W37MX6li8OOk3olWv+Erco=</DigestValue>
      </Reference>
      <Reference URI="/xl/media/image3.jpeg?ContentType=image/jpeg">
        <DigestMethod Algorithm="http://www.w3.org/2001/04/xmlenc#sha256"/>
        <DigestValue>fC0FI2u4LQ7jBe24dD4l0YIYs2UOKUj0wARxN8OYmtw=</DigestValue>
      </Reference>
      <Reference URI="/xl/media/image4.emf?ContentType=image/x-emf">
        <DigestMethod Algorithm="http://www.w3.org/2001/04/xmlenc#sha256"/>
        <DigestValue>t/gTD606n+cbNMme3vEsmEwwqnQT+O6L1KlPkTcQ4aE=</DigestValue>
      </Reference>
      <Reference URI="/xl/media/image5.emf?ContentType=image/x-emf">
        <DigestMethod Algorithm="http://www.w3.org/2001/04/xmlenc#sha256"/>
        <DigestValue>GWCh2URExKyBGMDpqBQ1eqVgX81UtmJPD+loJrn11Hk=</DigestValue>
      </Reference>
      <Reference URI="/xl/media/image6.emf?ContentType=image/x-emf">
        <DigestMethod Algorithm="http://www.w3.org/2001/04/xmlenc#sha256"/>
        <DigestValue>RU5VYTneq9Anp/4ubm1sWyDOUJCGPkuX1y+WEg9D2pQ=</DigestValue>
      </Reference>
      <Reference URI="/xl/media/image7.emf?ContentType=image/x-emf">
        <DigestMethod Algorithm="http://www.w3.org/2001/04/xmlenc#sha256"/>
        <DigestValue>eptFt8h0OiszrnjJ8xCwvYF+OwIlxbVsdgkhdX6taOI=</DigestValue>
      </Reference>
      <Reference URI="/xl/media/image8.jpeg?ContentType=image/jpeg">
        <DigestMethod Algorithm="http://www.w3.org/2001/04/xmlenc#sha256"/>
        <DigestValue>+VV/+wQWzMe817snuzpgOS0pqzVQHbYc1pasrtFNt60=</DigestValue>
      </Reference>
      <Reference URI="/xl/media/image9.jpeg?ContentType=image/jpeg">
        <DigestMethod Algorithm="http://www.w3.org/2001/04/xmlenc#sha256"/>
        <DigestValue>O04pH9oYKw1xQUMIlhe2WMJ6X+bLBIdfBsf5PiunYm8=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kVk8PUww/KLBxPMDbbtfl+DscFooavbqVwRNUDoaaXQ=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FdrMkMhojDKV1MN7NEh+s4YsYgJw60tznXdi8xGJ3nE=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T1dU28wc8Vy3P+L4lJtBH/nlKBgTWoqux4j78w8AQP8=</DigestValue>
      </Reference>
      <Reference URI="/xl/styles.xml?ContentType=application/vnd.openxmlformats-officedocument.spreadsheetml.styles+xml">
        <DigestMethod Algorithm="http://www.w3.org/2001/04/xmlenc#sha256"/>
        <DigestValue>3oTBPHJ/E/xiPWSkf8YcN/4dPx+J3u5uxik6WWW81IY=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5jplU3wmmFlBBKE45yNT9mAfFVOsy4BRgTMRxeV41S8=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hlX9gQHuzx56YhcKzgHvK3N5MwnGcFK7/Yfps5n9mUE=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xfXMfHrtKWPbyH9H/vpW4sv1T6608C4wJHVlTTCUZlI=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sAQp5fQzE4W1uHefQ00yUGn4OQwX0aMvBwV5R3EDB1w=</DigestValue>
      </Reference>
      <Reference URI="/xl/worksheets/sheet10.xml?ContentType=application/vnd.openxmlformats-officedocument.spreadsheetml.worksheet+xml">
        <DigestMethod Algorithm="http://www.w3.org/2001/04/xmlenc#sha256"/>
        <DigestValue>t892/7S0DlbvGsVAKikGTtBVffQUdA5/txbf5mxluh0=</DigestValue>
      </Reference>
      <Reference URI="/xl/worksheets/sheet11.xml?ContentType=application/vnd.openxmlformats-officedocument.spreadsheetml.worksheet+xml">
        <DigestMethod Algorithm="http://www.w3.org/2001/04/xmlenc#sha256"/>
        <DigestValue>X1CGT7Q8okULcYX/2nypHf623efIhixeG4sAoeYbP7k=</DigestValue>
      </Reference>
      <Reference URI="/xl/worksheets/sheet12.xml?ContentType=application/vnd.openxmlformats-officedocument.spreadsheetml.worksheet+xml">
        <DigestMethod Algorithm="http://www.w3.org/2001/04/xmlenc#sha256"/>
        <DigestValue>nNgZLO2pxqeF9n9U5exqkpXi+0WVleRh3lUv9KuZmi0=</DigestValue>
      </Reference>
      <Reference URI="/xl/worksheets/sheet13.xml?ContentType=application/vnd.openxmlformats-officedocument.spreadsheetml.worksheet+xml">
        <DigestMethod Algorithm="http://www.w3.org/2001/04/xmlenc#sha256"/>
        <DigestValue>/6AHYc6htrx1p/VEeveMV5IFsZf5zVoqmwSrdU570uc=</DigestValue>
      </Reference>
      <Reference URI="/xl/worksheets/sheet14.xml?ContentType=application/vnd.openxmlformats-officedocument.spreadsheetml.worksheet+xml">
        <DigestMethod Algorithm="http://www.w3.org/2001/04/xmlenc#sha256"/>
        <DigestValue>s6h1H1xyE8WSYtMtucnWR0e224hhNj2HbcGBafheBoU=</DigestValue>
      </Reference>
      <Reference URI="/xl/worksheets/sheet15.xml?ContentType=application/vnd.openxmlformats-officedocument.spreadsheetml.worksheet+xml">
        <DigestMethod Algorithm="http://www.w3.org/2001/04/xmlenc#sha256"/>
        <DigestValue>LU9B8iBoIBjRwOVGhSjnJb1dhkE/1sysuzzM9MWgfic=</DigestValue>
      </Reference>
      <Reference URI="/xl/worksheets/sheet16.xml?ContentType=application/vnd.openxmlformats-officedocument.spreadsheetml.worksheet+xml">
        <DigestMethod Algorithm="http://www.w3.org/2001/04/xmlenc#sha256"/>
        <DigestValue>ZQmTeu6YJthlULUQWjTgk0B5+y/UnwV1gu6fQ3STjYs=</DigestValue>
      </Reference>
      <Reference URI="/xl/worksheets/sheet17.xml?ContentType=application/vnd.openxmlformats-officedocument.spreadsheetml.worksheet+xml">
        <DigestMethod Algorithm="http://www.w3.org/2001/04/xmlenc#sha256"/>
        <DigestValue>CjbrtnWMF/BSnLuMqMh3bE72yIopXBmk9MIuYLOlhRU=</DigestValue>
      </Reference>
      <Reference URI="/xl/worksheets/sheet18.xml?ContentType=application/vnd.openxmlformats-officedocument.spreadsheetml.worksheet+xml">
        <DigestMethod Algorithm="http://www.w3.org/2001/04/xmlenc#sha256"/>
        <DigestValue>rGlxuAU/0Te802wUsq0mc08VgbdUBkGo3bAdswslPCY=</DigestValue>
      </Reference>
      <Reference URI="/xl/worksheets/sheet19.xml?ContentType=application/vnd.openxmlformats-officedocument.spreadsheetml.worksheet+xml">
        <DigestMethod Algorithm="http://www.w3.org/2001/04/xmlenc#sha256"/>
        <DigestValue>sUjQMbFW5dp89pqq6A6KYgEVhCn+bbB8SpQvczOmVY0=</DigestValue>
      </Reference>
      <Reference URI="/xl/worksheets/sheet2.xml?ContentType=application/vnd.openxmlformats-officedocument.spreadsheetml.worksheet+xml">
        <DigestMethod Algorithm="http://www.w3.org/2001/04/xmlenc#sha256"/>
        <DigestValue>ADJO3DKHp6Wx6jo3STBaKvO23//1n8UjpNbBSdiU8Qs=</DigestValue>
      </Reference>
      <Reference URI="/xl/worksheets/sheet20.xml?ContentType=application/vnd.openxmlformats-officedocument.spreadsheetml.worksheet+xml">
        <DigestMethod Algorithm="http://www.w3.org/2001/04/xmlenc#sha256"/>
        <DigestValue>Z8vAZnu/WR66sG3Afx9nM+viQk3GM2M93dhU9lm+AP8=</DigestValue>
      </Reference>
      <Reference URI="/xl/worksheets/sheet21.xml?ContentType=application/vnd.openxmlformats-officedocument.spreadsheetml.worksheet+xml">
        <DigestMethod Algorithm="http://www.w3.org/2001/04/xmlenc#sha256"/>
        <DigestValue>OUyWKaBhp5WMz4tCukDNdjzVnaYn5jETFHFqxLTW8yI=</DigestValue>
      </Reference>
      <Reference URI="/xl/worksheets/sheet22.xml?ContentType=application/vnd.openxmlformats-officedocument.spreadsheetml.worksheet+xml">
        <DigestMethod Algorithm="http://www.w3.org/2001/04/xmlenc#sha256"/>
        <DigestValue>erve/SY85de/XOUeqJ25CPLmGA55Yp7Ve6mFXUlAd+c=</DigestValue>
      </Reference>
      <Reference URI="/xl/worksheets/sheet23.xml?ContentType=application/vnd.openxmlformats-officedocument.spreadsheetml.worksheet+xml">
        <DigestMethod Algorithm="http://www.w3.org/2001/04/xmlenc#sha256"/>
        <DigestValue>I8jicu+ZsbOOms1YOIgLutisiGBQm2kM0+AkXQhq7nE=</DigestValue>
      </Reference>
      <Reference URI="/xl/worksheets/sheet24.xml?ContentType=application/vnd.openxmlformats-officedocument.spreadsheetml.worksheet+xml">
        <DigestMethod Algorithm="http://www.w3.org/2001/04/xmlenc#sha256"/>
        <DigestValue>kNYX7VSj5smjW+sC32JjJnE+HbtQlOgZln0cP0j25LM=</DigestValue>
      </Reference>
      <Reference URI="/xl/worksheets/sheet25.xml?ContentType=application/vnd.openxmlformats-officedocument.spreadsheetml.worksheet+xml">
        <DigestMethod Algorithm="http://www.w3.org/2001/04/xmlenc#sha256"/>
        <DigestValue>/VJOfN+LxfZ1f5OIfDmLcI5W4mcc67YF0cs85PcoGEs=</DigestValue>
      </Reference>
      <Reference URI="/xl/worksheets/sheet26.xml?ContentType=application/vnd.openxmlformats-officedocument.spreadsheetml.worksheet+xml">
        <DigestMethod Algorithm="http://www.w3.org/2001/04/xmlenc#sha256"/>
        <DigestValue>JAN3mO6YEdJO80DVg5saEAvm9z80acT3rTgbnp/DWSY=</DigestValue>
      </Reference>
      <Reference URI="/xl/worksheets/sheet27.xml?ContentType=application/vnd.openxmlformats-officedocument.spreadsheetml.worksheet+xml">
        <DigestMethod Algorithm="http://www.w3.org/2001/04/xmlenc#sha256"/>
        <DigestValue>MuVQfdZtkj9NO2TTENEubXC176nBPZLlZn4Zc8imTWE=</DigestValue>
      </Reference>
      <Reference URI="/xl/worksheets/sheet28.xml?ContentType=application/vnd.openxmlformats-officedocument.spreadsheetml.worksheet+xml">
        <DigestMethod Algorithm="http://www.w3.org/2001/04/xmlenc#sha256"/>
        <DigestValue>CQl27DlC5yghcHFEiXRqKDb+iu4MYR3s74p4cX2U4Ns=</DigestValue>
      </Reference>
      <Reference URI="/xl/worksheets/sheet3.xml?ContentType=application/vnd.openxmlformats-officedocument.spreadsheetml.worksheet+xml">
        <DigestMethod Algorithm="http://www.w3.org/2001/04/xmlenc#sha256"/>
        <DigestValue>BYSOeucg1FU6WzrUJoKclFDq3owrk2kCUu1mvrpng/Q=</DigestValue>
      </Reference>
      <Reference URI="/xl/worksheets/sheet4.xml?ContentType=application/vnd.openxmlformats-officedocument.spreadsheetml.worksheet+xml">
        <DigestMethod Algorithm="http://www.w3.org/2001/04/xmlenc#sha256"/>
        <DigestValue>QKyWUE16omK8GH+pw8qL+lx5oPmjcyzuZwIauOk2RRw=</DigestValue>
      </Reference>
      <Reference URI="/xl/worksheets/sheet5.xml?ContentType=application/vnd.openxmlformats-officedocument.spreadsheetml.worksheet+xml">
        <DigestMethod Algorithm="http://www.w3.org/2001/04/xmlenc#sha256"/>
        <DigestValue>9jKDY55G+w0TQZpG2AWmmD8F5UbUyLGPjv6WrVvJ4/g=</DigestValue>
      </Reference>
      <Reference URI="/xl/worksheets/sheet6.xml?ContentType=application/vnd.openxmlformats-officedocument.spreadsheetml.worksheet+xml">
        <DigestMethod Algorithm="http://www.w3.org/2001/04/xmlenc#sha256"/>
        <DigestValue>+ZPL1n9QdzCLH9IFIiHahi+skRAdjlXTgm/gvLhaM7w=</DigestValue>
      </Reference>
      <Reference URI="/xl/worksheets/sheet7.xml?ContentType=application/vnd.openxmlformats-officedocument.spreadsheetml.worksheet+xml">
        <DigestMethod Algorithm="http://www.w3.org/2001/04/xmlenc#sha256"/>
        <DigestValue>h+dDHGFzlDGkjeqDO+1IrmdDxqE7xml+UoKm8zgagAU=</DigestValue>
      </Reference>
      <Reference URI="/xl/worksheets/sheet8.xml?ContentType=application/vnd.openxmlformats-officedocument.spreadsheetml.worksheet+xml">
        <DigestMethod Algorithm="http://www.w3.org/2001/04/xmlenc#sha256"/>
        <DigestValue>oZR8ba74GWjYe444LDm82ZkLVD1y0v0fTzq5J0oLIcM=</DigestValue>
      </Reference>
      <Reference URI="/xl/worksheets/sheet9.xml?ContentType=application/vnd.openxmlformats-officedocument.spreadsheetml.worksheet+xml">
        <DigestMethod Algorithm="http://www.w3.org/2001/04/xmlenc#sha256"/>
        <DigestValue>7h4/F2E0mQkM5sAY/B9liENh7ppe8fHwvr8aOuy8/Ok=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2022-03-31T22:47:36Z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Federico CALLIZO PECCI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2022-03-31T22:47:36Z</xd:SigningTime>
          <xd:SigningCertificate>
            <xd:Cert>
              <xd:CertDigest>
                <DigestMethod Algorithm="http://www.w3.org/2001/04/xmlenc#sha256"/>
                <DigestValue>PNNhDNJ2Ba7orIBHSvGmM1FHnxq7pQRtVml3TwqbO38=</DigestValue>
              </xd:CertDigest>
              <xd:IssuerSerial>
                <X509IssuerName>C=PY, O=DOCUMENTA S.A., CN=CA-DOCUMENTA S.A., SERIALNUMBER=RUC 80050172-1</X509IssuerName>
                <X509SerialNumber>3018663489066925009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DrEQAA8AgAACBFTUYAAAEAuBsAAKoAAAAGAAAAAAAAAAAAAAAAAAAAgAcAADgE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+AAAABAAAAAoAAABMAAAAAAAAAAAAAAAAAAAA//////////9gAAAAMwAxAC8AMAAz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t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TAAAARwAAACkAAAAzAAAAqw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//////////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ASAAAADAAAAAEAAAAeAAAAGAAAAAkAAABQAAAA9wAAAF0AAAAlAAAADAAAAAEAAABUAAAArAAAAAoAAABQAAAAZAAAAFwAAAABAAAAVVWPQYX2jkEKAAAAUAAAABAAAABMAAAAAAAAAAAAAAAAAAAA//////////9sAAAAUwBlAGIAYQBzAHQAaQBhAG4AIABPAHAAbwByAHQAbwAGAAAABgAAAAcAAAAGAAAABQAAAAQAAAADAAAABgAAAAcAAAADAAAACQAAAAcAAAAHAAAABAAAAAQAAAAH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iAAAAAoAAABgAAAAPwAAAGwAAAABAAAAVVWPQYX2jkEKAAAAYAAAAAoAAABMAAAAAAAAAAAAAAAAAAAA//////////9gAAAAUAByAGUAcwBpAGQAZQBuAHQAZQAGAAAABAAAAAYAAAAFAAAAAwAAAAcAAAAGAAAABwAAAAQAAAAGAAAASwAAAEAAAAAwAAAABQAAACAAAAABAAAAAQAAABAAAAAAAAAAAAAAAAABAACAAAAAAAAAAAAAAAAAAQAAgAAAACUAAAAMAAAAAgAAACcAAAAYAAAABQAAAAAAAAD///8AAAAAACUAAAAMAAAABQAAAEwAAABkAAAACQAAAHAAAADQAAAAfAAAAAkAAABwAAAAyAAAAA0AAAAhAPAAAAAAAAAAAAAAAIA/AAAAAAAAAAAAAIA/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G8ABgAAAAMAAAAEAAAACQAAAAYAAAAHAAAABwAAAAMAAAAHAAAABwAAAAQAAAADAAAAAwAAAAYAAAAGAAAACAAAAAYAAAAHAAAAAwAAAAcAAAAJAAAAAwAAAAcAAAAHAAAABQAAAAUAAAADAAAABgAAAAkAAAADAAAABgAAAAYAAAAHAAAABwAAAAMAAAAWAAAADAAAAAAAAAAlAAAADAAAAAIAAAAOAAAAFAAAAAAAAAAQAAAAFAAAAA==</Object>
  <Object Id="idInvalidSigLnImg">AQAAAGwAAAAAAAAAAAAAAP8AAAB/AAAAAAAAAAAAAADrEQAA8AgAACBFTUYAAAEAJCEAALEAAAAGAAAAAAAAAAAAAAAAAAAAgAcAADgE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NMAAABHAAAAKQAAADMAAACr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//////////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sAAAACgAAAFAAAABkAAAAXAAAAAEAAABVVY9BhfaOQQoAAABQAAAAEAAAAEwAAAAAAAAAAAAAAAAAAAD//////////2wAAABTAGUAYgBhAHMAdABpAGEAbgAgAE8AcABvAHIAdABvAAYAAAAGAAAABwAAAAYAAAAFAAAABAAAAAMAAAAGAAAABwAAAAMAAAAJAAAABwAAAAcAAAAEAAAABAAAAAc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/AAAAbAAAAAEAAABVVY9BhfaOQQoAAABgAAAACgAAAEwAAAAAAAAAAAAAAAAAAAD//////////2AAAABQAHIAZQBzAGkAZABlAG4AdABlAAYAAAAEAAAABgAAAAUAAAADAAAABwAAAAYAAAAHAAAABAAAAAYAAABLAAAAQAAAADAAAAAFAAAAIAAAAAEAAAABAAAAEAAAAAAAAAAAAAAAAAEAAIAAAAAAAAAAAAAAAAABAACAAAAAJQAAAAwAAAACAAAAJwAAABgAAAAFAAAAAAAAAP///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UgAGAAAAAwAAAAQAAAAJAAAABgAAAAcAAAAHAAAAAwAAAAcAAAAHAAAABAAAAAMAAAADAAAABgAAAAYAAAAIAAAABgAAAAcAAAADAAAABwAAAAkAAAADAAAABwAAAAcAAAAFAAAABQAAAAMAAAAGAAAACQAAAAMAAAAGAAAABgAAAAcAAAAHAAAAAwAAABYAAAAMAAAAAAAAACUAAAAMAAAAAgAAAA4AAAAUAAAAAAAAABAAAAAUAAAA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2gDFvURzR0Jz8p1TVbFPGn0lnT2hudFgEWL35HiCO8Q=</DigestValue>
    </Reference>
    <Reference Type="http://www.w3.org/2000/09/xmldsig#Object" URI="#idOfficeObject">
      <DigestMethod Algorithm="http://www.w3.org/2001/04/xmlenc#sha256"/>
      <DigestValue>izI8XMt/qn9CSFaDImQf83nG0WmlKBQKWZh3nTav7Bo=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ppPMyHlC0/X/rP5F8lNDRGxIzp23DwXm2Mz369TTD3Q=</DigestValue>
    </Reference>
    <Reference Type="http://www.w3.org/2000/09/xmldsig#Object" URI="#idValidSigLnImg">
      <DigestMethod Algorithm="http://www.w3.org/2001/04/xmlenc#sha256"/>
      <DigestValue>NrSaeLxkIMJ6Mqckc/rQY9WZ7vsMHOyioxPfi/VgrWE=</DigestValue>
    </Reference>
    <Reference Type="http://www.w3.org/2000/09/xmldsig#Object" URI="#idInvalidSigLnImg">
      <DigestMethod Algorithm="http://www.w3.org/2001/04/xmlenc#sha256"/>
      <DigestValue>uvgHza0fegBkPVqV3B9M3UAS+J2zGQytSSfJj35+Jw0=</DigestValue>
    </Reference>
  </SignedInfo>
  <SignatureValue>GFaHyIPtKZ4sqg396DxNzBjrsjSjFGPMLUEgz7q5RO2FLhHuG4iNM7l6W6tx5I2o7/A7ph1VN+5s
XITiTzGdz2Ryg7IcIgcjJgzvZr1nnNKq7Ml1HUsnUNejVfeg3Tk00hg/DMJq8YQ5/cdrRI8QWSQt
NT7EWJyGFxC3xl7ukH9oR0zJRZJiqvHUaoqFefTH3t7xsyh8HwkV4lPc0HFt+wWTQ4OtnQ2kAopG
VtvlxYZBDD7GyhIczfw/Yo9ceMlN7Roq3Hs1HNonH1eqfOf1bWnYPCT+CW6vwHdIgyBLjWfgzcax
ljX4oe0F+Msesa9Xls142RUuQIfX+0ZkYtb+/Q==</SignatureValue>
  <KeyInfo>
    <X509Data>
      <X509Certificate>MIIIADCCBeigAwIBAgIIRrcOCWc9WGUwDQYJKoZIhvcNAQELBQAwWzEXMBUGA1UEBRMOUlVDIDgwMDUwMTcyLTExGjAYBgNVBAMTEUNBLURPQ1VNRU5UQSBTLkEuMRcwFQYDVQQKEw5ET0NVTUVOVEEgUy5BLjELMAkGA1UEBhMCUFkwHhcNMjEwNDMwMTgzMjU1WhcNMjMwNDMwMTg0MjU1WjCBnjELMAkGA1UEBhMCUFkxFTATBgNVBAQMDE1BUlRJIFZBUkVMQTERMA8GA1UEBRMIQ0k4MjUwOTUxFTATBgNVBCoMDEpPUkdFIERBTklFTDEXMBUGA1UECgwOUEVSU09OQSBGSVNJQ0ExETAPBgNVBAsMCEZJUk1BIEYyMSIwIAYDVQQDDBlKT1JHRSBEQU5JRUwgTUFSVEkgVkFSRUxBMIIBIjANBgkqhkiG9w0BAQEFAAOCAQ8AMIIBCgKCAQEAwASF7Rqs2P3t4u/CHC5QFZyOhpAx+E4N4WnAeQsgs+WENKfWE3hm2T4v5OOD9gvz3yOF3cBcBU+3DfG2wGkctSwpgjLkMRwmj3widVBJtZAg3k8WcGSJasE/xKnyEvJy71NYBF8z1wwqZQ/kINrGj2m7asTGPbbm6IWGcg2Hr/c8CvLmHMojbLN0PNTylyjJDffgVB6p3/sdBh2ACDOmZPzA94P5+Y7AMsJxWORuy/MXc4Wv+TI6DPPK5ao8er3QbFo0CF8WwcA8uq9n01qz9edoD/Q6KdXYKxyqvGs74cieY+dFidot/hdg+T/Y3X2/GzULvFQqTJMGNkNbrXn+UQIDAQABo4IDgjCCA34wDAYDVR0TAQH/BAIwADAOBgNVHQ8BAf8EBAMCBeAwKgYDVR0lAQH/BCAwHgYIKwYBBQUHAwEGCCsGAQUFBwMCBggrBgEFBQcDBDAdBgNVHQ4EFgQUg2GDQ5B8RAY35yE7+IaludoRp30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YGA1UdEQQfMB2BG2RhbmltYXJ0aXZhcmVsYUBob3RtYWlsLmNvb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9L/MjJ9+9264D7Jbz/uAyU/7a/fRpMesRwpiJYQ905jIuyWl84j0c+uVAnCP7Mquc7mZCwEZ0a/5yUJ65SK2Tcch5VbT2S+7yGzQrY0zG/jxGg3dAsXgRsGULDo97HB4drCjgf2MJ/huehOmnAMtkNM/a61cGXUwAgnzL6MC/WROMDvuh0dD++J9xJdbZC7MzLXZMkI7KxBYisbPLBe/CbgWsC01U6FeUWblwBS8BiYg6Qus0ogxEQyzXvd1dasMFVl2s211q9sfxDHBIKG9su2syc+7a2P6RU1D72/XYIOV3relAZk8enjRFbqy1gxGTybpon3eAt9daugOuoduUXNW0BZT1Zj2egAMFTWMrsjuM7KOCXkDnD/QVg+lEt7Z1YIXtkltRuhMgl8gQs1dcYvq4EfuuROZSksCPVPHl8P52sbAbFyA+kakZkdPt59Rm6BE+lDMfQPYykPV48Z0SJ+wH2HWeVhGXD5lOXDhg+YVu+cZ6YrCr2HnDqU3MMPGJMTyBa1LfGd9ho/sQ6OLZfyVWjgMv2QS0yI00aIXl3GFVu0nS5FwgmPEWbuf7WjozN8eNqU3TZhwiG2iALV+ZznYU2JG17O2mJienPaqcQPFtAhzb4BuJUMC+qWYSAdANTHIhBW7yMgOmotM3EP8Ko89gnJbKK5gH/MvZkIvy1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</Transform>
          <Transform Algorithm="http://www.w3.org/TR/2001/REC-xml-c14n-20010315"/>
        </Transforms>
        <DigestMethod Algorithm="http://www.w3.org/2001/04/xmlenc#sha256"/>
        <DigestValue>hDjbmNGYJzYULR2mXmoqVXIiWzxmkns001ZrKc7zXVc=</DigestValue>
      </Reference>
      <Reference URI="/xl/calcChain.xml?ContentType=application/vnd.openxmlformats-officedocument.spreadsheetml.calcChain+xml">
        <DigestMethod Algorithm="http://www.w3.org/2001/04/xmlenc#sha256"/>
        <DigestValue>2p1kvs/f5ixeHUEh7PGrMMna7V0x/ovQIAqYVUBDcqY=</DigestValue>
      </Reference>
      <Reference URI="/xl/comments1.xml?ContentType=application/vnd.openxmlformats-officedocument.spreadsheetml.comments+xml">
        <DigestMethod Algorithm="http://www.w3.org/2001/04/xmlenc#sha256"/>
        <DigestValue>befV76pmYF1q/a27FWu8gxcOG//qxMvOmLtt2MRkCmY=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PoORoF5QkIhatxBoAqsSyHbXfQolck0Fj5kuIk44OuE=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qrvIAIrop732vqMWK0OaUQo2GzkAvrKfnLLQbucozRs=</DigestValue>
      </Reference>
      <Reference URI="/xl/drawings/drawing1.xml?ContentType=application/vnd.openxmlformats-officedocument.drawing+xml">
        <DigestMethod Algorithm="http://www.w3.org/2001/04/xmlenc#sha256"/>
        <DigestValue>9lG9mRLt6H9fnYhcSYcEyMEOu4owG6DTqCbLAWLwkYI=</DigestValue>
      </Reference>
      <Reference URI="/xl/drawings/drawing10.xml?ContentType=application/vnd.openxmlformats-officedocument.drawing+xml">
        <DigestMethod Algorithm="http://www.w3.org/2001/04/xmlenc#sha256"/>
        <DigestValue>15AAtX9ywg+xIddT5kfN2Xm7DDXbKGbX9Xf0FoQrFa4=</DigestValue>
      </Reference>
      <Reference URI="/xl/drawings/drawing11.xml?ContentType=application/vnd.openxmlformats-officedocument.drawing+xml">
        <DigestMethod Algorithm="http://www.w3.org/2001/04/xmlenc#sha256"/>
        <DigestValue>AupqSdaq8Mt60DM8zg5JBPFkXAe82PohD7D70WVSTdA=</DigestValue>
      </Reference>
      <Reference URI="/xl/drawings/drawing12.xml?ContentType=application/vnd.openxmlformats-officedocument.drawing+xml">
        <DigestMethod Algorithm="http://www.w3.org/2001/04/xmlenc#sha256"/>
        <DigestValue>QxomIYEY0oG+kKTVc1i/GaRy4Dh3kf8BEcMEjOGnPm4=</DigestValue>
      </Reference>
      <Reference URI="/xl/drawings/drawing13.xml?ContentType=application/vnd.openxmlformats-officedocument.drawing+xml">
        <DigestMethod Algorithm="http://www.w3.org/2001/04/xmlenc#sha256"/>
        <DigestValue>8v+cAjKusAcTo4FMklgqKePdZQEDm/6xaIofQlGzLDU=</DigestValue>
      </Reference>
      <Reference URI="/xl/drawings/drawing14.xml?ContentType=application/vnd.openxmlformats-officedocument.drawing+xml">
        <DigestMethod Algorithm="http://www.w3.org/2001/04/xmlenc#sha256"/>
        <DigestValue>aY1YdJHQjVqUdp4JOtnJfpqGi8kdBBAsq47xA3XO8wY=</DigestValue>
      </Reference>
      <Reference URI="/xl/drawings/drawing15.xml?ContentType=application/vnd.openxmlformats-officedocument.drawing+xml">
        <DigestMethod Algorithm="http://www.w3.org/2001/04/xmlenc#sha256"/>
        <DigestValue>MUYpajvHWY32vG2235kODoLRLdKEQWhv0zhnDNABPMc=</DigestValue>
      </Reference>
      <Reference URI="/xl/drawings/drawing16.xml?ContentType=application/vnd.openxmlformats-officedocument.drawing+xml">
        <DigestMethod Algorithm="http://www.w3.org/2001/04/xmlenc#sha256"/>
        <DigestValue>kF23vqguoyE0SpFivnC/u5mKI3ZrrbCJlC52FuryyAE=</DigestValue>
      </Reference>
      <Reference URI="/xl/drawings/drawing17.xml?ContentType=application/vnd.openxmlformats-officedocument.drawing+xml">
        <DigestMethod Algorithm="http://www.w3.org/2001/04/xmlenc#sha256"/>
        <DigestValue>jo8cJjI+1CtCEguv5UZqPYjT2mdebweJhiXDlWyHewY=</DigestValue>
      </Reference>
      <Reference URI="/xl/drawings/drawing18.xml?ContentType=application/vnd.openxmlformats-officedocument.drawing+xml">
        <DigestMethod Algorithm="http://www.w3.org/2001/04/xmlenc#sha256"/>
        <DigestValue>ZzGJNHkwfqFl/GLyV5hjjBOtm4o4XeSn6sp022idDos=</DigestValue>
      </Reference>
      <Reference URI="/xl/drawings/drawing19.xml?ContentType=application/vnd.openxmlformats-officedocument.drawing+xml">
        <DigestMethod Algorithm="http://www.w3.org/2001/04/xmlenc#sha256"/>
        <DigestValue>luGwq7/PJaGOw2uH+rAp5VWBb5MTLWq5jMFTl36+v4M=</DigestValue>
      </Reference>
      <Reference URI="/xl/drawings/drawing2.xml?ContentType=application/vnd.openxmlformats-officedocument.drawing+xml">
        <DigestMethod Algorithm="http://www.w3.org/2001/04/xmlenc#sha256"/>
        <DigestValue>phr03GDJRYyJBDFdyVTZhepelU117aQ0l0OHRI5gfsw=</DigestValue>
      </Reference>
      <Reference URI="/xl/drawings/drawing20.xml?ContentType=application/vnd.openxmlformats-officedocument.drawing+xml">
        <DigestMethod Algorithm="http://www.w3.org/2001/04/xmlenc#sha256"/>
        <DigestValue>RVa/ojMgJe/KYOgAn8/Pxff6YmSgFrncm8f7WnIhRFE=</DigestValue>
      </Reference>
      <Reference URI="/xl/drawings/drawing21.xml?ContentType=application/vnd.openxmlformats-officedocument.drawing+xml">
        <DigestMethod Algorithm="http://www.w3.org/2001/04/xmlenc#sha256"/>
        <DigestValue>lsJVppfdpXt6sJL4YtufLti45kfg4Ds+9eFsMT+75gw=</DigestValue>
      </Reference>
      <Reference URI="/xl/drawings/drawing22.xml?ContentType=application/vnd.openxmlformats-officedocument.drawing+xml">
        <DigestMethod Algorithm="http://www.w3.org/2001/04/xmlenc#sha256"/>
        <DigestValue>8FncdlxsthblVw92S0cAWGWQqd+oMi4DpaRcAav5smI=</DigestValue>
      </Reference>
      <Reference URI="/xl/drawings/drawing23.xml?ContentType=application/vnd.openxmlformats-officedocument.drawing+xml">
        <DigestMethod Algorithm="http://www.w3.org/2001/04/xmlenc#sha256"/>
        <DigestValue>Nw2gDsL6DE+3hshmTuoAOvGbXWI7dJ7IugQS3qCQm6g=</DigestValue>
      </Reference>
      <Reference URI="/xl/drawings/drawing24.xml?ContentType=application/vnd.openxmlformats-officedocument.drawing+xml">
        <DigestMethod Algorithm="http://www.w3.org/2001/04/xmlenc#sha256"/>
        <DigestValue>OZpZ4JGLnYZuEKu6z+LVqg5raOd/ljINyAw1o6AaKU4=</DigestValue>
      </Reference>
      <Reference URI="/xl/drawings/drawing25.xml?ContentType=application/vnd.openxmlformats-officedocument.drawing+xml">
        <DigestMethod Algorithm="http://www.w3.org/2001/04/xmlenc#sha256"/>
        <DigestValue>d2XJeCQO3ldIqw72rPnizXFwRYOwClMsB2lb9iuwg88=</DigestValue>
      </Reference>
      <Reference URI="/xl/drawings/drawing26.xml?ContentType=application/vnd.openxmlformats-officedocument.drawing+xml">
        <DigestMethod Algorithm="http://www.w3.org/2001/04/xmlenc#sha256"/>
        <DigestValue>uKYphbImN48cRqGtMW+EZwcqQ9n+HS/NWXtsqdEXyf4=</DigestValue>
      </Reference>
      <Reference URI="/xl/drawings/drawing27.xml?ContentType=application/vnd.openxmlformats-officedocument.drawing+xml">
        <DigestMethod Algorithm="http://www.w3.org/2001/04/xmlenc#sha256"/>
        <DigestValue>m8uM6QNZmJVx4v0X6QwrS/6jd35XBWKexXIPPb0SveE=</DigestValue>
      </Reference>
      <Reference URI="/xl/drawings/drawing3.xml?ContentType=application/vnd.openxmlformats-officedocument.drawing+xml">
        <DigestMethod Algorithm="http://www.w3.org/2001/04/xmlenc#sha256"/>
        <DigestValue>C/V34q1HUFxJnUHD5yuADnsJoVwOekobkCTt0kcc/h0=</DigestValue>
      </Reference>
      <Reference URI="/xl/drawings/drawing4.xml?ContentType=application/vnd.openxmlformats-officedocument.drawing+xml">
        <DigestMethod Algorithm="http://www.w3.org/2001/04/xmlenc#sha256"/>
        <DigestValue>NySEuyj70zkoRUdQeqMWacmDtCLxZQRaZWz8m1BUUQU=</DigestValue>
      </Reference>
      <Reference URI="/xl/drawings/drawing5.xml?ContentType=application/vnd.openxmlformats-officedocument.drawing+xml">
        <DigestMethod Algorithm="http://www.w3.org/2001/04/xmlenc#sha256"/>
        <DigestValue>PvKkrYWgP4Wdv2tEorCxQs+RWW1dyZiWJp2/2VXr39Q=</DigestValue>
      </Reference>
      <Reference URI="/xl/drawings/drawing6.xml?ContentType=application/vnd.openxmlformats-officedocument.drawing+xml">
        <DigestMethod Algorithm="http://www.w3.org/2001/04/xmlenc#sha256"/>
        <DigestValue>pwj8zwN+WpEcGJE6bDincTsBz97+YNx2lcvQCq0G1A0=</DigestValue>
      </Reference>
      <Reference URI="/xl/drawings/drawing7.xml?ContentType=application/vnd.openxmlformats-officedocument.drawing+xml">
        <DigestMethod Algorithm="http://www.w3.org/2001/04/xmlenc#sha256"/>
        <DigestValue>NW4IT0rros9BNsmeOET7OBSfOk+HpWLkxlchbnwMZJ8=</DigestValue>
      </Reference>
      <Reference URI="/xl/drawings/drawing8.xml?ContentType=application/vnd.openxmlformats-officedocument.drawing+xml">
        <DigestMethod Algorithm="http://www.w3.org/2001/04/xmlenc#sha256"/>
        <DigestValue>57286knBlKt1Px7QU8cFiy48wFrBkoQvtUz1b2tph80=</DigestValue>
      </Reference>
      <Reference URI="/xl/drawings/drawing9.xml?ContentType=application/vnd.openxmlformats-officedocument.drawing+xml">
        <DigestMethod Algorithm="http://www.w3.org/2001/04/xmlenc#sha256"/>
        <DigestValue>vbsnNqbe/cj7P9KrNIHP6gd2qOv56zLWkOW+LqQmRek=</DigestValue>
      </Reference>
      <Reference URI="/xl/drawings/vmlDrawing1.vml?ContentType=application/vnd.openxmlformats-officedocument.vmlDrawing">
        <DigestMethod Algorithm="http://www.w3.org/2001/04/xmlenc#sha256"/>
        <DigestValue>u/MAnH8hE0eMd/4jGLcafd3IOVafGRiORak16Lcm0H4=</DigestValue>
      </Reference>
      <Reference URI="/xl/drawings/vmlDrawing2.vml?ContentType=application/vnd.openxmlformats-officedocument.vmlDrawing">
        <DigestMethod Algorithm="http://www.w3.org/2001/04/xmlenc#sha256"/>
        <DigestValue>S4eIGPk/+YleLCb11DGD/0O1mZmVaQQc0KOdGdPwwv0=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BMQh2T3fkVFU0qwvLzx8xa+BPyuwac0VYUpHzJxnsp4=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JjgxfUEsM6OwJqrKLpO12SvD0XjkKXY1Rx2GasxY3a8=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zrw/LLFyYm1lXxQhim6xM9tVdPMpwhxwmMfoOUp2g3c=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5mnPaNXQM6Vmxkyb9qMXv8UXgDE1NeQO4j58l0UJWNg=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IFdRXS71N8u4gqD1KJDYKCumeLhO0TZl59grDdkLWdw=</DigestValue>
      </Reference>
      <Reference URI="/xl/media/image11.jpeg?ContentType=image/jpeg">
        <DigestMethod Algorithm="http://www.w3.org/2001/04/xmlenc#sha256"/>
        <DigestValue>M2iucAxqpDdPZIz9v3S6VAa4s2zQXnXrMxXgr47E0is=</DigestValue>
      </Reference>
      <Reference URI="/xl/media/image12.jpeg?ContentType=image/jpeg">
        <DigestMethod Algorithm="http://www.w3.org/2001/04/xmlenc#sha256"/>
        <DigestValue>RNzkHEpPXN32KTAkmCflxGznXjzHWKKLtC/oH6rRgD4=</DigestValue>
      </Reference>
      <Reference URI="/xl/media/image13.jpeg?ContentType=image/jpeg">
        <DigestMethod Algorithm="http://www.w3.org/2001/04/xmlenc#sha256"/>
        <DigestValue>azPJ0mJA79qTgKdHkq6svifo5g4ITfGCl5IGSMyUrWU=</DigestValue>
      </Reference>
      <Reference URI="/xl/media/image14.jpeg?ContentType=image/jpeg">
        <DigestMethod Algorithm="http://www.w3.org/2001/04/xmlenc#sha256"/>
        <DigestValue>ncTBDh7SVjtSas+YHM5m0WN1XOqpSZFHtGV5WmUnCog=</DigestValue>
      </Reference>
      <Reference URI="/xl/media/image15.jpeg?ContentType=image/jpeg">
        <DigestMethod Algorithm="http://www.w3.org/2001/04/xmlenc#sha256"/>
        <DigestValue>sHYq5vmGTKgv4JHeLaberFpis4LS8KofrhR4Y7zfYjw=</DigestValue>
      </Reference>
      <Reference URI="/xl/media/image16.jpeg?ContentType=image/jpeg">
        <DigestMethod Algorithm="http://www.w3.org/2001/04/xmlenc#sha256"/>
        <DigestValue>TKaRrPTsSYNR491ei1PbBsSiZDWwkRmPEbN5W6aXVVE=</DigestValue>
      </Reference>
      <Reference URI="/xl/media/image17.jpeg?ContentType=image/jpeg">
        <DigestMethod Algorithm="http://www.w3.org/2001/04/xmlenc#sha256"/>
        <DigestValue>IWpHvGq9Le3urmlOCxRcAuqwJvFrBpb0npGPUJUEHg8=</DigestValue>
      </Reference>
      <Reference URI="/xl/media/image18.jpeg?ContentType=image/jpeg">
        <DigestMethod Algorithm="http://www.w3.org/2001/04/xmlenc#sha256"/>
        <DigestValue>d4pCzEQhnim/VZ9/YhSopjS/RIApoZIsttEXlbi9HoA=</DigestValue>
      </Reference>
      <Reference URI="/xl/media/image19.jpeg?ContentType=image/jpeg">
        <DigestMethod Algorithm="http://www.w3.org/2001/04/xmlenc#sha256"/>
        <DigestValue>7mO+vHuspRv90St6UvfTYiVNjS2+itw5wf1diqvThkM=</DigestValue>
      </Reference>
      <Reference URI="/xl/media/image2.jpeg?ContentType=image/jpeg">
        <DigestMethod Algorithm="http://www.w3.org/2001/04/xmlenc#sha256"/>
        <DigestValue>y8Bl/BCj+9MzbtcFEoJn8W37MX6li8OOk3olWv+Erco=</DigestValue>
      </Reference>
      <Reference URI="/xl/media/image3.jpeg?ContentType=image/jpeg">
        <DigestMethod Algorithm="http://www.w3.org/2001/04/xmlenc#sha256"/>
        <DigestValue>fC0FI2u4LQ7jBe24dD4l0YIYs2UOKUj0wARxN8OYmtw=</DigestValue>
      </Reference>
      <Reference URI="/xl/media/image4.emf?ContentType=image/x-emf">
        <DigestMethod Algorithm="http://www.w3.org/2001/04/xmlenc#sha256"/>
        <DigestValue>t/gTD606n+cbNMme3vEsmEwwqnQT+O6L1KlPkTcQ4aE=</DigestValue>
      </Reference>
      <Reference URI="/xl/media/image5.emf?ContentType=image/x-emf">
        <DigestMethod Algorithm="http://www.w3.org/2001/04/xmlenc#sha256"/>
        <DigestValue>GWCh2URExKyBGMDpqBQ1eqVgX81UtmJPD+loJrn11Hk=</DigestValue>
      </Reference>
      <Reference URI="/xl/media/image6.emf?ContentType=image/x-emf">
        <DigestMethod Algorithm="http://www.w3.org/2001/04/xmlenc#sha256"/>
        <DigestValue>RU5VYTneq9Anp/4ubm1sWyDOUJCGPkuX1y+WEg9D2pQ=</DigestValue>
      </Reference>
      <Reference URI="/xl/media/image7.emf?ContentType=image/x-emf">
        <DigestMethod Algorithm="http://www.w3.org/2001/04/xmlenc#sha256"/>
        <DigestValue>eptFt8h0OiszrnjJ8xCwvYF+OwIlxbVsdgkhdX6taOI=</DigestValue>
      </Reference>
      <Reference URI="/xl/media/image8.jpeg?ContentType=image/jpeg">
        <DigestMethod Algorithm="http://www.w3.org/2001/04/xmlenc#sha256"/>
        <DigestValue>+VV/+wQWzMe817snuzpgOS0pqzVQHbYc1pasrtFNt60=</DigestValue>
      </Reference>
      <Reference URI="/xl/media/image9.jpeg?ContentType=image/jpeg">
        <DigestMethod Algorithm="http://www.w3.org/2001/04/xmlenc#sha256"/>
        <DigestValue>O04pH9oYKw1xQUMIlhe2WMJ6X+bLBIdfBsf5PiunYm8=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kVk8PUww/KLBxPMDbbtfl+DscFooavbqVwRNUDoaaXQ=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FdrMkMhojDKV1MN7NEh+s4YsYgJw60tznXdi8xGJ3nE=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T1dU28wc8Vy3P+L4lJtBH/nlKBgTWoqux4j78w8AQP8=</DigestValue>
      </Reference>
      <Reference URI="/xl/styles.xml?ContentType=application/vnd.openxmlformats-officedocument.spreadsheetml.styles+xml">
        <DigestMethod Algorithm="http://www.w3.org/2001/04/xmlenc#sha256"/>
        <DigestValue>3oTBPHJ/E/xiPWSkf8YcN/4dPx+J3u5uxik6WWW81IY=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5jplU3wmmFlBBKE45yNT9mAfFVOsy4BRgTMRxeV41S8=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hlX9gQHuzx56YhcKzgHvK3N5MwnGcFK7/Yfps5n9mUE=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xfXMfHrtKWPbyH9H/vpW4sv1T6608C4wJHVlTTCUZlI=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sAQp5fQzE4W1uHefQ00yUGn4OQwX0aMvBwV5R3EDB1w=</DigestValue>
      </Reference>
      <Reference URI="/xl/worksheets/sheet10.xml?ContentType=application/vnd.openxmlformats-officedocument.spreadsheetml.worksheet+xml">
        <DigestMethod Algorithm="http://www.w3.org/2001/04/xmlenc#sha256"/>
        <DigestValue>t892/7S0DlbvGsVAKikGTtBVffQUdA5/txbf5mxluh0=</DigestValue>
      </Reference>
      <Reference URI="/xl/worksheets/sheet11.xml?ContentType=application/vnd.openxmlformats-officedocument.spreadsheetml.worksheet+xml">
        <DigestMethod Algorithm="http://www.w3.org/2001/04/xmlenc#sha256"/>
        <DigestValue>X1CGT7Q8okULcYX/2nypHf623efIhixeG4sAoeYbP7k=</DigestValue>
      </Reference>
      <Reference URI="/xl/worksheets/sheet12.xml?ContentType=application/vnd.openxmlformats-officedocument.spreadsheetml.worksheet+xml">
        <DigestMethod Algorithm="http://www.w3.org/2001/04/xmlenc#sha256"/>
        <DigestValue>nNgZLO2pxqeF9n9U5exqkpXi+0WVleRh3lUv9KuZmi0=</DigestValue>
      </Reference>
      <Reference URI="/xl/worksheets/sheet13.xml?ContentType=application/vnd.openxmlformats-officedocument.spreadsheetml.worksheet+xml">
        <DigestMethod Algorithm="http://www.w3.org/2001/04/xmlenc#sha256"/>
        <DigestValue>/6AHYc6htrx1p/VEeveMV5IFsZf5zVoqmwSrdU570uc=</DigestValue>
      </Reference>
      <Reference URI="/xl/worksheets/sheet14.xml?ContentType=application/vnd.openxmlformats-officedocument.spreadsheetml.worksheet+xml">
        <DigestMethod Algorithm="http://www.w3.org/2001/04/xmlenc#sha256"/>
        <DigestValue>s6h1H1xyE8WSYtMtucnWR0e224hhNj2HbcGBafheBoU=</DigestValue>
      </Reference>
      <Reference URI="/xl/worksheets/sheet15.xml?ContentType=application/vnd.openxmlformats-officedocument.spreadsheetml.worksheet+xml">
        <DigestMethod Algorithm="http://www.w3.org/2001/04/xmlenc#sha256"/>
        <DigestValue>LU9B8iBoIBjRwOVGhSjnJb1dhkE/1sysuzzM9MWgfic=</DigestValue>
      </Reference>
      <Reference URI="/xl/worksheets/sheet16.xml?ContentType=application/vnd.openxmlformats-officedocument.spreadsheetml.worksheet+xml">
        <DigestMethod Algorithm="http://www.w3.org/2001/04/xmlenc#sha256"/>
        <DigestValue>ZQmTeu6YJthlULUQWjTgk0B5+y/UnwV1gu6fQ3STjYs=</DigestValue>
      </Reference>
      <Reference URI="/xl/worksheets/sheet17.xml?ContentType=application/vnd.openxmlformats-officedocument.spreadsheetml.worksheet+xml">
        <DigestMethod Algorithm="http://www.w3.org/2001/04/xmlenc#sha256"/>
        <DigestValue>CjbrtnWMF/BSnLuMqMh3bE72yIopXBmk9MIuYLOlhRU=</DigestValue>
      </Reference>
      <Reference URI="/xl/worksheets/sheet18.xml?ContentType=application/vnd.openxmlformats-officedocument.spreadsheetml.worksheet+xml">
        <DigestMethod Algorithm="http://www.w3.org/2001/04/xmlenc#sha256"/>
        <DigestValue>rGlxuAU/0Te802wUsq0mc08VgbdUBkGo3bAdswslPCY=</DigestValue>
      </Reference>
      <Reference URI="/xl/worksheets/sheet19.xml?ContentType=application/vnd.openxmlformats-officedocument.spreadsheetml.worksheet+xml">
        <DigestMethod Algorithm="http://www.w3.org/2001/04/xmlenc#sha256"/>
        <DigestValue>sUjQMbFW5dp89pqq6A6KYgEVhCn+bbB8SpQvczOmVY0=</DigestValue>
      </Reference>
      <Reference URI="/xl/worksheets/sheet2.xml?ContentType=application/vnd.openxmlformats-officedocument.spreadsheetml.worksheet+xml">
        <DigestMethod Algorithm="http://www.w3.org/2001/04/xmlenc#sha256"/>
        <DigestValue>ADJO3DKHp6Wx6jo3STBaKvO23//1n8UjpNbBSdiU8Qs=</DigestValue>
      </Reference>
      <Reference URI="/xl/worksheets/sheet20.xml?ContentType=application/vnd.openxmlformats-officedocument.spreadsheetml.worksheet+xml">
        <DigestMethod Algorithm="http://www.w3.org/2001/04/xmlenc#sha256"/>
        <DigestValue>Z8vAZnu/WR66sG3Afx9nM+viQk3GM2M93dhU9lm+AP8=</DigestValue>
      </Reference>
      <Reference URI="/xl/worksheets/sheet21.xml?ContentType=application/vnd.openxmlformats-officedocument.spreadsheetml.worksheet+xml">
        <DigestMethod Algorithm="http://www.w3.org/2001/04/xmlenc#sha256"/>
        <DigestValue>OUyWKaBhp5WMz4tCukDNdjzVnaYn5jETFHFqxLTW8yI=</DigestValue>
      </Reference>
      <Reference URI="/xl/worksheets/sheet22.xml?ContentType=application/vnd.openxmlformats-officedocument.spreadsheetml.worksheet+xml">
        <DigestMethod Algorithm="http://www.w3.org/2001/04/xmlenc#sha256"/>
        <DigestValue>erve/SY85de/XOUeqJ25CPLmGA55Yp7Ve6mFXUlAd+c=</DigestValue>
      </Reference>
      <Reference URI="/xl/worksheets/sheet23.xml?ContentType=application/vnd.openxmlformats-officedocument.spreadsheetml.worksheet+xml">
        <DigestMethod Algorithm="http://www.w3.org/2001/04/xmlenc#sha256"/>
        <DigestValue>I8jicu+ZsbOOms1YOIgLutisiGBQm2kM0+AkXQhq7nE=</DigestValue>
      </Reference>
      <Reference URI="/xl/worksheets/sheet24.xml?ContentType=application/vnd.openxmlformats-officedocument.spreadsheetml.worksheet+xml">
        <DigestMethod Algorithm="http://www.w3.org/2001/04/xmlenc#sha256"/>
        <DigestValue>kNYX7VSj5smjW+sC32JjJnE+HbtQlOgZln0cP0j25LM=</DigestValue>
      </Reference>
      <Reference URI="/xl/worksheets/sheet25.xml?ContentType=application/vnd.openxmlformats-officedocument.spreadsheetml.worksheet+xml">
        <DigestMethod Algorithm="http://www.w3.org/2001/04/xmlenc#sha256"/>
        <DigestValue>/VJOfN+LxfZ1f5OIfDmLcI5W4mcc67YF0cs85PcoGEs=</DigestValue>
      </Reference>
      <Reference URI="/xl/worksheets/sheet26.xml?ContentType=application/vnd.openxmlformats-officedocument.spreadsheetml.worksheet+xml">
        <DigestMethod Algorithm="http://www.w3.org/2001/04/xmlenc#sha256"/>
        <DigestValue>JAN3mO6YEdJO80DVg5saEAvm9z80acT3rTgbnp/DWSY=</DigestValue>
      </Reference>
      <Reference URI="/xl/worksheets/sheet27.xml?ContentType=application/vnd.openxmlformats-officedocument.spreadsheetml.worksheet+xml">
        <DigestMethod Algorithm="http://www.w3.org/2001/04/xmlenc#sha256"/>
        <DigestValue>MuVQfdZtkj9NO2TTENEubXC176nBPZLlZn4Zc8imTWE=</DigestValue>
      </Reference>
      <Reference URI="/xl/worksheets/sheet28.xml?ContentType=application/vnd.openxmlformats-officedocument.spreadsheetml.worksheet+xml">
        <DigestMethod Algorithm="http://www.w3.org/2001/04/xmlenc#sha256"/>
        <DigestValue>CQl27DlC5yghcHFEiXRqKDb+iu4MYR3s74p4cX2U4Ns=</DigestValue>
      </Reference>
      <Reference URI="/xl/worksheets/sheet3.xml?ContentType=application/vnd.openxmlformats-officedocument.spreadsheetml.worksheet+xml">
        <DigestMethod Algorithm="http://www.w3.org/2001/04/xmlenc#sha256"/>
        <DigestValue>BYSOeucg1FU6WzrUJoKclFDq3owrk2kCUu1mvrpng/Q=</DigestValue>
      </Reference>
      <Reference URI="/xl/worksheets/sheet4.xml?ContentType=application/vnd.openxmlformats-officedocument.spreadsheetml.worksheet+xml">
        <DigestMethod Algorithm="http://www.w3.org/2001/04/xmlenc#sha256"/>
        <DigestValue>QKyWUE16omK8GH+pw8qL+lx5oPmjcyzuZwIauOk2RRw=</DigestValue>
      </Reference>
      <Reference URI="/xl/worksheets/sheet5.xml?ContentType=application/vnd.openxmlformats-officedocument.spreadsheetml.worksheet+xml">
        <DigestMethod Algorithm="http://www.w3.org/2001/04/xmlenc#sha256"/>
        <DigestValue>9jKDY55G+w0TQZpG2AWmmD8F5UbUyLGPjv6WrVvJ4/g=</DigestValue>
      </Reference>
      <Reference URI="/xl/worksheets/sheet6.xml?ContentType=application/vnd.openxmlformats-officedocument.spreadsheetml.worksheet+xml">
        <DigestMethod Algorithm="http://www.w3.org/2001/04/xmlenc#sha256"/>
        <DigestValue>+ZPL1n9QdzCLH9IFIiHahi+skRAdjlXTgm/gvLhaM7w=</DigestValue>
      </Reference>
      <Reference URI="/xl/worksheets/sheet7.xml?ContentType=application/vnd.openxmlformats-officedocument.spreadsheetml.worksheet+xml">
        <DigestMethod Algorithm="http://www.w3.org/2001/04/xmlenc#sha256"/>
        <DigestValue>h+dDHGFzlDGkjeqDO+1IrmdDxqE7xml+UoKm8zgagAU=</DigestValue>
      </Reference>
      <Reference URI="/xl/worksheets/sheet8.xml?ContentType=application/vnd.openxmlformats-officedocument.spreadsheetml.worksheet+xml">
        <DigestMethod Algorithm="http://www.w3.org/2001/04/xmlenc#sha256"/>
        <DigestValue>oZR8ba74GWjYe444LDm82ZkLVD1y0v0fTzq5J0oLIcM=</DigestValue>
      </Reference>
      <Reference URI="/xl/worksheets/sheet9.xml?ContentType=application/vnd.openxmlformats-officedocument.spreadsheetml.worksheet+xml">
        <DigestMethod Algorithm="http://www.w3.org/2001/04/xmlenc#sha256"/>
        <DigestValue>7h4/F2E0mQkM5sAY/B9liENh7ppe8fHwvr8aOuy8/Ok=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2022-03-31T23:48:20Z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{6DBDD0A5-FE94-4C60-A647-8568A9C9A85E}</SetupID>
          <SignatureText>Lic. Jorge Daniel Martí V.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2022-03-31T23:48:20Z</xd:SigningTime>
          <xd:SigningCertificate>
            <xd:Cert>
              <xd:CertDigest>
                <DigestMethod Algorithm="http://www.w3.org/2001/04/xmlenc#sha256"/>
                <DigestValue>bA1bGkyyHLnQGfB2AZb0jbBBKY4+2W9rsP2DW3Qmoaw=</DigestValue>
              </xd:CertDigest>
              <xd:IssuerSerial>
                <X509IssuerName>C=PY, O=DOCUMENTA S.A., CN=CA-DOCUMENTA S.A., SERIALNUMBER=RUC 80050172-1</X509IssuerName>
                <X509SerialNumber>5095556936942573669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DrEQAA8AgAACBFTUYAAAEAbBwAAKoAAAAGAAAAAAAAAAAAAAAAAAAAgAcAADgE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wAAAPBeW3YgYqEDzrSCeZDIdgDYynYAAAAAAMOek3ewyHYAQAAAAAAAAAAAAAAAAAAAAAAAAAAAAAAAAAAAAAAAAAAAAAAAAAAAAAAAAAAAAAAAAAAAAAAAAAAAAAAAAAAAAHjJdgAAAAAAgBzFFRIAFABwHMUVyDcAAAAAAAB8yXYALMl2AAAAAAAAIMQVEAAAAAAAAgAYyXYAGMl2ABjJdgACAAAAAgAAAAAAPgCYSOC3VMl2AC2EYncAAFt2SMl2AAAAAABQyXYAAAAAAJGt8ngAAFt2AAAAABMAFADOtIJ58F5bdmjJdgBk9Y11AABbdgAAAAB4v68HZHYACAAAAAAlAAAADAAAAAEAAAAYAAAADAAAAAAAAAASAAAADAAAAAEAAAAeAAAAGAAAAMMAAAAEAAAA9wAAABEAAAAlAAAADAAAAAEAAABUAAAAhAAAAMQAAAAEAAAA9QAAABAAAAABAAAAVVWPQYX2jkHEAAAABAAAAAkAAABMAAAAAAAAAAAAAAAAAAAA//////////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ka3yeAAAAADA8/N4AAAAAFsy+ngAAAAAWQSjeQAAAAA6AaN5AAAAADr+onkAAAAA5nyleQAAAAB26aJ5AAAAAATFonkAAAAAOC6jeQAAAACu2Jd5AAAAAF1YknkAAAAAzDWB7/zldgAAAAAA+Op2ANCDtHAEe0+f/v///wAAdgDM0pN3ZOd2ACBioQNgnrNwAAAAAPjSk3f//wAAAAAAANvTk3fb05N3XOh2AGDodgCktIJ5AAAAAAAAAAAAAAAAAAAAAMGOYXcJAAAABwAAAJTodgCU6HYAAAIAAPz///8BAAAAAAAAAAAAAAAAAAAAAAAAAAAAAAB4v68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PgB8QPF5rIp1ABIQlXngTvF5GLL5ee+8GBIwMJogKQyVeUCKdQDIcIMgOI91ACCtlnf4UAnA/v///5yKdQDUkJd3AAAAACAAAABg6+wcIN+NdbiKdQC8uA1RAAA+AAAAAAAgAAAAhI91AHipER7MinUAvw6UeSAAAAABAAAAAAAAAESPdQC4zZR5oA8AAAe5GBJg6+wcK8OUebCMlxSwjJcUYOvsHAAAAAD/////fEDxeTainXkUAAAAAQAAAAAAAAAAAAAAwY5hd4SPdQAGAAAANIx1ADSMdQAAAgAA/P///wEAAAAAAAAAAAAAAAAAAAAAAAAAAAAAAHi/rwdkdgAIAAAAACUAAAAMAAAAAwAAABgAAAAMAAAAAAAAABIAAAAMAAAAAQAAABYAAAAMAAAACAAAAFQAAABUAAAACgAAACcAAAAeAAAASgAAAAEAAABVVY9BhfaO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NQAAABHAAAAKQAAADMAAACsAAAAFQAAACEA8AAAAAAAAAAAAAAAgD8AAAAAAAAAAAAAgD8AAAAAAAAAAAAAAAAAAAAAAAAAAAAAAAAAAAAAAAAAACUAAAAMAAAAAAAAgCgAAAAMAAAABAAAAFIAAABwAQAABAAAAPD///8AAAAAAAAAAAAAAACQAQAAAAAAAQAAAABzAGUAZwBvAGUAIAB1AGkAAAAAAAAAAAAAAAAAAAAAAAAAAAAAAAAAAAAAAAAAAAAAAAAAAAAAAAAAAAAAAAAAAAB0AGUAbQAAAAAAAAAAAAAAAAAAAAAAAAAAADj12FUAAAAAxIp1ALkwvnsBAAAAfIt1ACANAIQAAAAAU2WJ99CKdQBbMvp4ADLuEQA0khSfvBgSAgAAAJCMdQA9IrV5/////5yMdQBHxJt537oYEi0AAABwkXUAGMCbeQAy7hEAAAAAAAAAAAAAAEIBIrV5AAAAAAAAAEA4mQceAQAAAPyMdQAgAAAAEDDAEAAAAAD4jHUAAAAAAAAAAAACAAAAAAAAAAAAAADBjmF3nC2aIAkAAABkjHUAZIx1AAACAAD8////AQAAAAAAAAAAAAAAAAAAAAAAAAAAAAAAeL+vB2R2AAgAAAAAJQAAAAwAAAAEAAAAGAAAAAwAAAAAAAAAEgAAAAwAAAABAAAAHgAAABgAAAApAAAAMwAAANUAAABIAAAAJQAAAAwAAAAEAAAAVAAAAOgAAAAqAAAAMwAAANMAAABHAAAAAQAAAFVVj0GF9o5BKgAAADMAAAAaAAAATAAAAAAAAAAAAAAAAAAAAP//////////gAAAAEwAaQBjAC4AIABKAG8AcgBnAGUAIABEAGEAbgBpAGUAbAAgAE0AYQByAHQA7QAgAFYALgAIAAAABAAAAAcAAAADAAAABAAAAAYAAAAJAAAABgAAAAkAAAAIAAAABAAAAAsAAAAIAAAACQAAAAQAAAAIAAAABAAAAAQAAAAOAAAACAAAAAYAAAAFAAAABAAAAAQAAAAK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uAAAAXAAAAAEAAABVVY9BhfaOQQoAAABQAAAAFAAAAEwAAAAAAAAAAAAAAAAAAAD//////////3QAAABEAGEAbgBpAGUAbAAgAE0AYQByAHQAaQAgAHkAIABBAHMAbwBjAC4ACAAAAAYAAAAHAAAAAwAAAAYAAAADAAAAAwAAAAoAAAAGAAAABAAAAAQAAAADAAAAAwAAAAUAAAADAAAABwAAAAU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AAQAACgAAAGAAAACjAAAAbAAAAAEAAABVVY9BhfaOQQoAAABgAAAAHgAAAEwAAAAAAAAAAAAAAAAAAAD//////////4gAAABBAHUAZABpAHQAbwByACAARQB4AHQAZQByAG4AbwAgAC0AIABEAGEAbgBpAGUAbAAgAE0AYQByAHQAaQAHAAAABwAAAAcAAAADAAAABAAAAAcAAAAEAAAAAwAAAAYAAAAFAAAABAAAAAYAAAAEAAAABwAAAAcAAAADAAAABAAAAAMAAAAIAAAABgAAAAcAAAADAAAABgAAAAMAAAADAAAACgAAAAYAAAAEAAAABAAAAAMAAABLAAAAQAAAADAAAAAFAAAAIAAAAAEAAAABAAAAEAAAAAAAAAAAAAAAAAEAAIAAAAAAAAAAAAAAAAABAACAAAAAJQAAAAwAAAACAAAAJwAAABgAAAAFAAAAAAAAAP///wAAAAAAJQAAAAwAAAAFAAAATAAAAGQAAAAJAAAAcAAAAOcAAAB8AAAACQAAAHAAAADfAAAADQAAACEA8AAAAAAAAAAAAAAAgD8AAAAAAAAAAAAAgD8AAAAAAAAAAAAAAAAAAAAAAAAAAAAAAAAAAAAAAAAAACUAAAAMAAAAAAAAgCgAAAAMAAAABQAAACUAAAAMAAAAAQAAABgAAAAMAAAAAAAAABIAAAAMAAAAAQAAABYAAAAMAAAAAAAAAFQAAAAwAQAACgAAAHAAAADmAAAAfAAAAAEAAABVVY9BhfaOQQoAAABwAAAAJgAAAEwAAAAEAAAACQAAAHAAAADoAAAAfQAAAJgAAABGAGkAcgBtAGEAZABvACAAcABvAHIAOgAgAEoATwBSAEcARQAgAEQAQQBOAEkARQBMACAATQBBAFIAVABJACAAVgBBAFIARQBMAEEABgAAAAMAAAAEAAAACQAAAAYAAAAHAAAABwAAAAMAAAAHAAAABwAAAAQAAAADAAAAAwAAAAQAAAAJAAAABwAAAAgAAAAGAAAAAwAAAAgAAAAHAAAACAAAAAMAAAAGAAAABQAAAAMAAAAKAAAABwAAAAcAAAAGAAAAAwAAAAMAAAAHAAAABwAAAAcAAAAGAAAABQAAAAcAAAAWAAAADAAAAAAAAAAlAAAADAAAAAIAAAAOAAAAFAAAAAAAAAAQAAAAFAAAAA==</Object>
  <Object Id="idInvalidSigLnImg">AQAAAGwAAAAAAAAAAAAAAP8AAAB/AAAAAAAAAAAAAADrEQAA8AgAACBFTUYAAAEADCAAALAAAAAGAAAAAAAAAAAAAAAAAAAAgAcAADgE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5HAAAAAcKDQcKDQcJDQ4WMShFrjFU1TJV1gECBAIDBAECBQoRKyZBowsTMQAAAAAAfqbJd6PIeqDCQFZ4JTd0Lk/HMVPSGy5uFiE4GypVJ0KnHjN9AAABAAAAAACcz+7S6ffb7fnC0t1haH0hMm8aLXIuT8ggOIwoRKslP58cK08AAAEAAAAAAMHg9P///////////+bm5k9SXjw/SzBRzTFU0y1NwSAyVzFGXwEBAm8ACA8mnM/u69/SvI9jt4tgjIR9FBosDBEjMVTUMlXWMVPRKUSeDxk4AAAAaQAAAADT6ff///////+Tk5MjK0krSbkvUcsuT8YVJFoTIFIrSbgtTcEQHEdNAAAAAJzP7vT6/bTa8kRleixHhy1Nwi5PxiQtTnBwcJKSki81SRwtZAgOI1kAAAAAweD02+35gsLqZ5q6Jz1jNEJyOUZ4qamp+/v7////wdPeVnCJAQECUQAAAACv1/Ho8/ubzu6CwuqMudS3u769vb3////////////L5fZymsABAgNUAAAAAK/X8fz9/uLx+snk9uTy+vz9/v///////////////8vl9nKawAECA1AAAAAAotHvtdryxOL1xOL1tdry0+r32+350+r3tdryxOL1pdPvc5rAAQIDbAAAAABpj7ZnjrZqj7Zqj7ZnjrZtkbdukrdtkbdnjrZqj7ZojrZ3rdUCAwRFAAAAAAAAAAAAAAAAAAAAAAAAAAAAAAAAAAAAAAAAAAAAAAAAAAAAAAAAADc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AMAAADwXlt2IGKhA860gnmQyHYA2Mp2AAAAAADDnpN3sMh2AEAAAAAAAAAAAAAAAAAAAAAAAAAAAAAAAAAAAAAAAAAAAAAAAAAAAAAAAAAAAAAAAAAAAAAAAAAAAAAAAAAAAAB4yXYAAAAAAIAcxRUSABQAcBzFFcg3AAAAAAAAfMl2ACzJdgAAAAAAACDEFRAAAAAAAAIAGMl2ABjJdgAYyXYAAgAAAAIAAAAAAD4AmEjgt1TJdgAthGJ3AABbdkjJdgAAAAAAUMl2AAAAAACRrfJ4AABbdgAAAAATABQAzrSCefBeW3ZoyXYAZPWNdQAAW3YAAAAAeL+vB2R2AAgAAAAAJQAAAAwAAAABAAAAGAAAAAwAAAD/AAAAEgAAAAwAAAABAAAAHgAAABgAAAAiAAAABAAAAHIAAAARAAAAJQAAAAwAAAABAAAAVAAAAKgAAAAjAAAABAAAAHAAAAAQAAAAAQAAAFVVj0GF9o5BIwAAAAQAAAAPAAAATAAAAAAAAAAAAAAAAAAAAP//////////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JGt8ngAAAAAwPPzeAAAAABbMvp4AAAAAFkEo3kAAAAAOgGjeQAAAAA6/qJ5AAAAAOZ8pXkAAAAAdumieQAAAAAExaJ5AAAAADguo3kAAAAArtiXeQAAAABdWJJ5AAAAAMw1ge/85XYAAAAAAPjqdgDQg7RwBHtPn/7///8AAHYAzNKTd2TndgAgYqEDYJ6zcAAAAAD40pN3//8AAAAAAADb05N329OTd1zodgBg6HYApLSCeQAAAAAAAAAAAAAAAAAAAADBjmF3CQAAAAcAAACU6HYAlOh2AAACAAD8////AQAAAAAAAAAAAAAAAAAAAAAAAAAAAAAAeL+v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D4AfEDxeayKdQASEJV54E7xeRiy+XnvvBgSMDCaICkMlXlAinUAyHCDIDiPdQAgrZZ3+FAJwP7///+cinUA1JCXdwAAAAAgAAAAYOvsHCDfjXW4inUAvLgNUQAAPgAAAAAAIAAAAISPdQB4qREezIp1AL8OlHkgAAAAAQAAAAAAAABEj3UAuM2UeaAPAAAHuRgSYOvsHCvDlHmwjJcUsIyXFGDr7BwAAAAA/////3xA8Xk2op15FAAAAAEAAAAAAAAAAAAAAMGOYXeEj3UABgAAADSMdQA0jHUAAAIAAPz///8BAAAAAAAAAAAAAAAAAAAAAAAAAAAAAAB4v68HZHYACAAAAAAlAAAADAAAAAMAAAAYAAAADAAAAAAAAAASAAAADAAAAAEAAAAWAAAADAAAAAgAAABUAAAAVAAAAAoAAAAnAAAAHgAAAEoAAAABAAAAVVWPQYX2j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UAAAARwAAACkAAAAzAAAArAAAABUAAAAhAPAAAAAAAAAAAAAAAIA/AAAAAAAAAAAAAIA/AAAAAAAAAAAAAAAAAAAAAAAAAAAAAAAAAAAAAAAAAAAlAAAADAAAAAAAAIAoAAAADAAAAAQAAABSAAAAcAEAAAQAAADw////AAAAAAAAAAAAAAAAkAEAAAAAAAEAAAAAcwBlAGcAbwBlACAAdQBpAAAAAAAAAAAAAAAAAAAAAAAAAAAAAAAAAAAAAAAAAAAAAAAAAAAAAAAAAAAAAAAAAAAAdABlAG0AAAAAAAAAAAAAAAAAAAAAAAAAAAA49dhVAAAAAMSKdQC5ML57AQAAAHyLdQAgDQCEAAAAAFNliffQinUAWzL6eAAy7hEANJIUn7wYEgIAAACQjHUAPSK1ef////+cjHUAR8Sbed+6GBItAAAAcJF1ABjAm3kAMu4RAAAAAAAAAAAAAABCASK1eQAAAAAAAABAOJkHHgEAAAD8jHUAIAAAABAwwBAAAAAA+Ix1AAAAAAAAAAAAAgAAAAAAAAAAAAAAwY5hd5wtmiAJAAAAZIx1AGSMdQAAAgAA/P///wEAAAAAAAAAAAAAAAAAAAAAAAAAAAAAAHi/rwdkdgAIAAAAACUAAAAMAAAABAAAABgAAAAMAAAAAAAAABIAAAAMAAAAAQAAAB4AAAAYAAAAKQAAADMAAADVAAAASAAAACUAAAAMAAAABAAAAFQAAADoAAAAKgAAADMAAADTAAAARwAAAAEAAABVVY9BhfaOQSoAAAAzAAAAGgAAAEwAAAAAAAAAAAAAAAAAAAD//////////4AAAABMAGkAYwAuACAASgBvAHIAZwBlACAARABhAG4AaQBlAGwAIABNAGEAcgB0AO0AIABWAC4ACAAAAAQAAAAHAAAAAwAAAAQAAAAGAAAACQAAAAYAAAAJAAAACAAAAAQAAAALAAAACAAAAAkAAAAEAAAACAAAAAQAAAAEAAAADgAAAAgAAAAGAAAABQAAAAQAAAAEAAAACgAAAAM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ASAAAADAAAAAEAAAAeAAAAGAAAAAkAAABQAAAA9wAAAF0AAAAlAAAADAAAAAEAAABUAAAAxAAAAAoAAABQAAAAbgAAAFwAAAABAAAAVVWPQYX2jkEKAAAAUAAAABQAAABMAAAAAAAAAAAAAAAAAAAA//////////90AAAARABhAG4AaQBlAGwAIABNAGEAcgB0AGkAIAB5ACAAQQBzAG8AYwAuAAgAAAAGAAAABwAAAAMAAAAGAAAAAwAAAAMAAAAKAAAABgAAAAQAAAAEAAAAAwAAAAMAAAAFAAAAAwAAAAcAAAAF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AAEAAAoAAABgAAAAowAAAGwAAAABAAAAVVWPQYX2jkEKAAAAYAAAAB4AAABMAAAAAAAAAAAAAAAAAAAA//////////+IAAAAQQB1AGQAaQB0AG8AcgAgAEUAeAB0AGUAcgBuAG8AIAAtACAARABhAG4AaQBlAGwAIABNAGEAcgB0AGkABwAAAAcAAAAHAAAAAwAAAAQAAAAHAAAABAAAAAMAAAAGAAAABQAAAAQAAAAGAAAABAAAAAcAAAAHAAAAAwAAAAQAAAADAAAACAAAAAYAAAAHAAAAAwAAAAYAAAADAAAAAwAAAAoAAAAGAAAABAAAAAQAAAADAAAASwAAAEAAAAAwAAAABQAAACAAAAABAAAAAQAAABAAAAAAAAAAAAAAAAABAACAAAAAAAAAAAAAAAAAAQAAgAAAACUAAAAMAAAAAgAAACcAAAAYAAAABQAAAAAAAAD///8AAAAAACUAAAAMAAAABQAAAEwAAABkAAAACQAAAHAAAADnAAAAfAAAAAkAAABwAAAA3wAAAA0AAAAhAPAAAAAAAAAAAAAAAIA/AAAAAAAAAAAAAIA/AAAAAAAAAAAAAAAAAAAAAAAAAAAAAAAAAAAAAAAAAAAlAAAADAAAAAAAAIAoAAAADAAAAAUAAAAlAAAADAAAAAEAAAAYAAAADAAAAAAAAAASAAAADAAAAAEAAAAWAAAADAAAAAAAAABUAAAAMAEAAAoAAABwAAAA5gAAAHwAAAABAAAAVVWPQYX2jkEKAAAAcAAAACYAAABMAAAABAAAAAkAAABwAAAA6AAAAH0AAACYAAAARgBpAHIAbQBhAGQAbwAgAHAAbwByADoAIABKAE8AUgBHAEUAIABEAEEATgBJAEUATAAgAE0AQQBSAFQASQAgAFYAQQBSAEUATABBAAYAAAADAAAABAAAAAkAAAAGAAAABwAAAAcAAAADAAAABwAAAAcAAAAEAAAAAwAAAAMAAAAEAAAACQAAAAcAAAAIAAAABgAAAAMAAAAIAAAABwAAAAgAAAADAAAABgAAAAUAAAADAAAACgAAAAcAAAAHAAAABgAAAAMAAAADAAAABwAAAAcAAAAHAAAABgAAAAUAAAAHAAAAFgAAAAwAAAAAAAAAJQAAAAwAAAACAAAADgAAABQAAAAAAAAAEAAAABQAAAA=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0VBivSgP8MUA00reVKT3wGcNkoCt5RnatPM6UUOY89Y=</DigestValue>
    </Reference>
    <Reference Type="http://www.w3.org/2000/09/xmldsig#Object" URI="#idOfficeObject">
      <DigestMethod Algorithm="http://www.w3.org/2001/04/xmlenc#sha256"/>
      <DigestValue>Y1hGA08gZLX8HC4syrJqdTabop781+GgCGqSzJDU4Zk=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nwBUuQPnLtNBdqbXn+WOOzldfofnK+KGnaGHgqOabRM=</DigestValue>
    </Reference>
    <Reference Type="http://www.w3.org/2000/09/xmldsig#Object" URI="#idValidSigLnImg">
      <DigestMethod Algorithm="http://www.w3.org/2001/04/xmlenc#sha256"/>
      <DigestValue>qa7KvQBLjVz3P0g9TUXXso3kPNRWbe4RntqIacp28Mk=</DigestValue>
    </Reference>
    <Reference Type="http://www.w3.org/2000/09/xmldsig#Object" URI="#idInvalidSigLnImg">
      <DigestMethod Algorithm="http://www.w3.org/2001/04/xmlenc#sha256"/>
      <DigestValue>46ULYQ1jX/5Ts4C2wC01W7jOfi8xsL5js32vMvtIOL0=</DigestValue>
    </Reference>
  </SignedInfo>
  <SignatureValue>l7B6ijskliG7u5aX9rLu6onm4QxPWleT8IbZBEMvUKmaUizJYO7O5u2IAw6Pbul/0mMl1JXwkAoc
J82X8OckaL+ryY0kCI/bBQFyHYsVudDL+rWGYliWRQqvOKdy69Vx1p2goikMQHpmqU26Tw34z3PK
Z43E7lM9V1kx6EyZYYYLfwqV+7Vp05l2ahrB9hOp6zLmZiMx7M0gFPPSUSNGX31QW9fg+Vxd2WpY
nh2wAjZ/QjeLUdzk4BRJVXF8n1ea8hgTLrdCfjWqVLLzgNh/hCkTKNbdN7qCbnLhELHIaBW8VQvz
WkRAaBOHUEc6mEBC0ub5DTikJn1RMHba38etqg==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hDjbmNGYJzYULR2mXmoqVXIiWzxmkns001ZrKc7zXVc=</DigestValue>
      </Reference>
      <Reference URI="/xl/calcChain.xml?ContentType=application/vnd.openxmlformats-officedocument.spreadsheetml.calcChain+xml">
        <DigestMethod Algorithm="http://www.w3.org/2001/04/xmlenc#sha256"/>
        <DigestValue>2p1kvs/f5ixeHUEh7PGrMMna7V0x/ovQIAqYVUBDcqY=</DigestValue>
      </Reference>
      <Reference URI="/xl/comments1.xml?ContentType=application/vnd.openxmlformats-officedocument.spreadsheetml.comments+xml">
        <DigestMethod Algorithm="http://www.w3.org/2001/04/xmlenc#sha256"/>
        <DigestValue>befV76pmYF1q/a27FWu8gxcOG//qxMvOmLtt2MRkCmY=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PoORoF5QkIhatxBoAqsSyHbXfQolck0Fj5kuIk44OuE=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qrvIAIrop732vqMWK0OaUQo2GzkAvrKfnLLQbucozRs=</DigestValue>
      </Reference>
      <Reference URI="/xl/drawings/drawing1.xml?ContentType=application/vnd.openxmlformats-officedocument.drawing+xml">
        <DigestMethod Algorithm="http://www.w3.org/2001/04/xmlenc#sha256"/>
        <DigestValue>9lG9mRLt6H9fnYhcSYcEyMEOu4owG6DTqCbLAWLwkYI=</DigestValue>
      </Reference>
      <Reference URI="/xl/drawings/drawing10.xml?ContentType=application/vnd.openxmlformats-officedocument.drawing+xml">
        <DigestMethod Algorithm="http://www.w3.org/2001/04/xmlenc#sha256"/>
        <DigestValue>15AAtX9ywg+xIddT5kfN2Xm7DDXbKGbX9Xf0FoQrFa4=</DigestValue>
      </Reference>
      <Reference URI="/xl/drawings/drawing11.xml?ContentType=application/vnd.openxmlformats-officedocument.drawing+xml">
        <DigestMethod Algorithm="http://www.w3.org/2001/04/xmlenc#sha256"/>
        <DigestValue>AupqSdaq8Mt60DM8zg5JBPFkXAe82PohD7D70WVSTdA=</DigestValue>
      </Reference>
      <Reference URI="/xl/drawings/drawing12.xml?ContentType=application/vnd.openxmlformats-officedocument.drawing+xml">
        <DigestMethod Algorithm="http://www.w3.org/2001/04/xmlenc#sha256"/>
        <DigestValue>QxomIYEY0oG+kKTVc1i/GaRy4Dh3kf8BEcMEjOGnPm4=</DigestValue>
      </Reference>
      <Reference URI="/xl/drawings/drawing13.xml?ContentType=application/vnd.openxmlformats-officedocument.drawing+xml">
        <DigestMethod Algorithm="http://www.w3.org/2001/04/xmlenc#sha256"/>
        <DigestValue>8v+cAjKusAcTo4FMklgqKePdZQEDm/6xaIofQlGzLDU=</DigestValue>
      </Reference>
      <Reference URI="/xl/drawings/drawing14.xml?ContentType=application/vnd.openxmlformats-officedocument.drawing+xml">
        <DigestMethod Algorithm="http://www.w3.org/2001/04/xmlenc#sha256"/>
        <DigestValue>aY1YdJHQjVqUdp4JOtnJfpqGi8kdBBAsq47xA3XO8wY=</DigestValue>
      </Reference>
      <Reference URI="/xl/drawings/drawing15.xml?ContentType=application/vnd.openxmlformats-officedocument.drawing+xml">
        <DigestMethod Algorithm="http://www.w3.org/2001/04/xmlenc#sha256"/>
        <DigestValue>MUYpajvHWY32vG2235kODoLRLdKEQWhv0zhnDNABPMc=</DigestValue>
      </Reference>
      <Reference URI="/xl/drawings/drawing16.xml?ContentType=application/vnd.openxmlformats-officedocument.drawing+xml">
        <DigestMethod Algorithm="http://www.w3.org/2001/04/xmlenc#sha256"/>
        <DigestValue>kF23vqguoyE0SpFivnC/u5mKI3ZrrbCJlC52FuryyAE=</DigestValue>
      </Reference>
      <Reference URI="/xl/drawings/drawing17.xml?ContentType=application/vnd.openxmlformats-officedocument.drawing+xml">
        <DigestMethod Algorithm="http://www.w3.org/2001/04/xmlenc#sha256"/>
        <DigestValue>jo8cJjI+1CtCEguv5UZqPYjT2mdebweJhiXDlWyHewY=</DigestValue>
      </Reference>
      <Reference URI="/xl/drawings/drawing18.xml?ContentType=application/vnd.openxmlformats-officedocument.drawing+xml">
        <DigestMethod Algorithm="http://www.w3.org/2001/04/xmlenc#sha256"/>
        <DigestValue>ZzGJNHkwfqFl/GLyV5hjjBOtm4o4XeSn6sp022idDos=</DigestValue>
      </Reference>
      <Reference URI="/xl/drawings/drawing19.xml?ContentType=application/vnd.openxmlformats-officedocument.drawing+xml">
        <DigestMethod Algorithm="http://www.w3.org/2001/04/xmlenc#sha256"/>
        <DigestValue>luGwq7/PJaGOw2uH+rAp5VWBb5MTLWq5jMFTl36+v4M=</DigestValue>
      </Reference>
      <Reference URI="/xl/drawings/drawing2.xml?ContentType=application/vnd.openxmlformats-officedocument.drawing+xml">
        <DigestMethod Algorithm="http://www.w3.org/2001/04/xmlenc#sha256"/>
        <DigestValue>phr03GDJRYyJBDFdyVTZhepelU117aQ0l0OHRI5gfsw=</DigestValue>
      </Reference>
      <Reference URI="/xl/drawings/drawing20.xml?ContentType=application/vnd.openxmlformats-officedocument.drawing+xml">
        <DigestMethod Algorithm="http://www.w3.org/2001/04/xmlenc#sha256"/>
        <DigestValue>RVa/ojMgJe/KYOgAn8/Pxff6YmSgFrncm8f7WnIhRFE=</DigestValue>
      </Reference>
      <Reference URI="/xl/drawings/drawing21.xml?ContentType=application/vnd.openxmlformats-officedocument.drawing+xml">
        <DigestMethod Algorithm="http://www.w3.org/2001/04/xmlenc#sha256"/>
        <DigestValue>lsJVppfdpXt6sJL4YtufLti45kfg4Ds+9eFsMT+75gw=</DigestValue>
      </Reference>
      <Reference URI="/xl/drawings/drawing22.xml?ContentType=application/vnd.openxmlformats-officedocument.drawing+xml">
        <DigestMethod Algorithm="http://www.w3.org/2001/04/xmlenc#sha256"/>
        <DigestValue>8FncdlxsthblVw92S0cAWGWQqd+oMi4DpaRcAav5smI=</DigestValue>
      </Reference>
      <Reference URI="/xl/drawings/drawing23.xml?ContentType=application/vnd.openxmlformats-officedocument.drawing+xml">
        <DigestMethod Algorithm="http://www.w3.org/2001/04/xmlenc#sha256"/>
        <DigestValue>Nw2gDsL6DE+3hshmTuoAOvGbXWI7dJ7IugQS3qCQm6g=</DigestValue>
      </Reference>
      <Reference URI="/xl/drawings/drawing24.xml?ContentType=application/vnd.openxmlformats-officedocument.drawing+xml">
        <DigestMethod Algorithm="http://www.w3.org/2001/04/xmlenc#sha256"/>
        <DigestValue>OZpZ4JGLnYZuEKu6z+LVqg5raOd/ljINyAw1o6AaKU4=</DigestValue>
      </Reference>
      <Reference URI="/xl/drawings/drawing25.xml?ContentType=application/vnd.openxmlformats-officedocument.drawing+xml">
        <DigestMethod Algorithm="http://www.w3.org/2001/04/xmlenc#sha256"/>
        <DigestValue>d2XJeCQO3ldIqw72rPnizXFwRYOwClMsB2lb9iuwg88=</DigestValue>
      </Reference>
      <Reference URI="/xl/drawings/drawing26.xml?ContentType=application/vnd.openxmlformats-officedocument.drawing+xml">
        <DigestMethod Algorithm="http://www.w3.org/2001/04/xmlenc#sha256"/>
        <DigestValue>uKYphbImN48cRqGtMW+EZwcqQ9n+HS/NWXtsqdEXyf4=</DigestValue>
      </Reference>
      <Reference URI="/xl/drawings/drawing27.xml?ContentType=application/vnd.openxmlformats-officedocument.drawing+xml">
        <DigestMethod Algorithm="http://www.w3.org/2001/04/xmlenc#sha256"/>
        <DigestValue>m8uM6QNZmJVx4v0X6QwrS/6jd35XBWKexXIPPb0SveE=</DigestValue>
      </Reference>
      <Reference URI="/xl/drawings/drawing3.xml?ContentType=application/vnd.openxmlformats-officedocument.drawing+xml">
        <DigestMethod Algorithm="http://www.w3.org/2001/04/xmlenc#sha256"/>
        <DigestValue>C/V34q1HUFxJnUHD5yuADnsJoVwOekobkCTt0kcc/h0=</DigestValue>
      </Reference>
      <Reference URI="/xl/drawings/drawing4.xml?ContentType=application/vnd.openxmlformats-officedocument.drawing+xml">
        <DigestMethod Algorithm="http://www.w3.org/2001/04/xmlenc#sha256"/>
        <DigestValue>NySEuyj70zkoRUdQeqMWacmDtCLxZQRaZWz8m1BUUQU=</DigestValue>
      </Reference>
      <Reference URI="/xl/drawings/drawing5.xml?ContentType=application/vnd.openxmlformats-officedocument.drawing+xml">
        <DigestMethod Algorithm="http://www.w3.org/2001/04/xmlenc#sha256"/>
        <DigestValue>PvKkrYWgP4Wdv2tEorCxQs+RWW1dyZiWJp2/2VXr39Q=</DigestValue>
      </Reference>
      <Reference URI="/xl/drawings/drawing6.xml?ContentType=application/vnd.openxmlformats-officedocument.drawing+xml">
        <DigestMethod Algorithm="http://www.w3.org/2001/04/xmlenc#sha256"/>
        <DigestValue>pwj8zwN+WpEcGJE6bDincTsBz97+YNx2lcvQCq0G1A0=</DigestValue>
      </Reference>
      <Reference URI="/xl/drawings/drawing7.xml?ContentType=application/vnd.openxmlformats-officedocument.drawing+xml">
        <DigestMethod Algorithm="http://www.w3.org/2001/04/xmlenc#sha256"/>
        <DigestValue>NW4IT0rros9BNsmeOET7OBSfOk+HpWLkxlchbnwMZJ8=</DigestValue>
      </Reference>
      <Reference URI="/xl/drawings/drawing8.xml?ContentType=application/vnd.openxmlformats-officedocument.drawing+xml">
        <DigestMethod Algorithm="http://www.w3.org/2001/04/xmlenc#sha256"/>
        <DigestValue>57286knBlKt1Px7QU8cFiy48wFrBkoQvtUz1b2tph80=</DigestValue>
      </Reference>
      <Reference URI="/xl/drawings/drawing9.xml?ContentType=application/vnd.openxmlformats-officedocument.drawing+xml">
        <DigestMethod Algorithm="http://www.w3.org/2001/04/xmlenc#sha256"/>
        <DigestValue>vbsnNqbe/cj7P9KrNIHP6gd2qOv56zLWkOW+LqQmRek=</DigestValue>
      </Reference>
      <Reference URI="/xl/drawings/vmlDrawing1.vml?ContentType=application/vnd.openxmlformats-officedocument.vmlDrawing">
        <DigestMethod Algorithm="http://www.w3.org/2001/04/xmlenc#sha256"/>
        <DigestValue>u/MAnH8hE0eMd/4jGLcafd3IOVafGRiORak16Lcm0H4=</DigestValue>
      </Reference>
      <Reference URI="/xl/drawings/vmlDrawing2.vml?ContentType=application/vnd.openxmlformats-officedocument.vmlDrawing">
        <DigestMethod Algorithm="http://www.w3.org/2001/04/xmlenc#sha256"/>
        <DigestValue>S4eIGPk/+YleLCb11DGD/0O1mZmVaQQc0KOdGdPwwv0=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BMQh2T3fkVFU0qwvLzx8xa+BPyuwac0VYUpHzJxnsp4=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JjgxfUEsM6OwJqrKLpO12SvD0XjkKXY1Rx2GasxY3a8=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zrw/LLFyYm1lXxQhim6xM9tVdPMpwhxwmMfoOUp2g3c=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5mnPaNXQM6Vmxkyb9qMXv8UXgDE1NeQO4j58l0UJWNg=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IFdRXS71N8u4gqD1KJDYKCumeLhO0TZl59grDdkLWdw=</DigestValue>
      </Reference>
      <Reference URI="/xl/media/image11.jpeg?ContentType=image/jpeg">
        <DigestMethod Algorithm="http://www.w3.org/2001/04/xmlenc#sha256"/>
        <DigestValue>M2iucAxqpDdPZIz9v3S6VAa4s2zQXnXrMxXgr47E0is=</DigestValue>
      </Reference>
      <Reference URI="/xl/media/image12.jpeg?ContentType=image/jpeg">
        <DigestMethod Algorithm="http://www.w3.org/2001/04/xmlenc#sha256"/>
        <DigestValue>RNzkHEpPXN32KTAkmCflxGznXjzHWKKLtC/oH6rRgD4=</DigestValue>
      </Reference>
      <Reference URI="/xl/media/image13.jpeg?ContentType=image/jpeg">
        <DigestMethod Algorithm="http://www.w3.org/2001/04/xmlenc#sha256"/>
        <DigestValue>azPJ0mJA79qTgKdHkq6svifo5g4ITfGCl5IGSMyUrWU=</DigestValue>
      </Reference>
      <Reference URI="/xl/media/image14.jpeg?ContentType=image/jpeg">
        <DigestMethod Algorithm="http://www.w3.org/2001/04/xmlenc#sha256"/>
        <DigestValue>ncTBDh7SVjtSas+YHM5m0WN1XOqpSZFHtGV5WmUnCog=</DigestValue>
      </Reference>
      <Reference URI="/xl/media/image15.jpeg?ContentType=image/jpeg">
        <DigestMethod Algorithm="http://www.w3.org/2001/04/xmlenc#sha256"/>
        <DigestValue>sHYq5vmGTKgv4JHeLaberFpis4LS8KofrhR4Y7zfYjw=</DigestValue>
      </Reference>
      <Reference URI="/xl/media/image16.jpeg?ContentType=image/jpeg">
        <DigestMethod Algorithm="http://www.w3.org/2001/04/xmlenc#sha256"/>
        <DigestValue>TKaRrPTsSYNR491ei1PbBsSiZDWwkRmPEbN5W6aXVVE=</DigestValue>
      </Reference>
      <Reference URI="/xl/media/image17.jpeg?ContentType=image/jpeg">
        <DigestMethod Algorithm="http://www.w3.org/2001/04/xmlenc#sha256"/>
        <DigestValue>IWpHvGq9Le3urmlOCxRcAuqwJvFrBpb0npGPUJUEHg8=</DigestValue>
      </Reference>
      <Reference URI="/xl/media/image18.jpeg?ContentType=image/jpeg">
        <DigestMethod Algorithm="http://www.w3.org/2001/04/xmlenc#sha256"/>
        <DigestValue>d4pCzEQhnim/VZ9/YhSopjS/RIApoZIsttEXlbi9HoA=</DigestValue>
      </Reference>
      <Reference URI="/xl/media/image19.jpeg?ContentType=image/jpeg">
        <DigestMethod Algorithm="http://www.w3.org/2001/04/xmlenc#sha256"/>
        <DigestValue>7mO+vHuspRv90St6UvfTYiVNjS2+itw5wf1diqvThkM=</DigestValue>
      </Reference>
      <Reference URI="/xl/media/image2.jpeg?ContentType=image/jpeg">
        <DigestMethod Algorithm="http://www.w3.org/2001/04/xmlenc#sha256"/>
        <DigestValue>y8Bl/BCj+9MzbtcFEoJn8W37MX6li8OOk3olWv+Erco=</DigestValue>
      </Reference>
      <Reference URI="/xl/media/image3.jpeg?ContentType=image/jpeg">
        <DigestMethod Algorithm="http://www.w3.org/2001/04/xmlenc#sha256"/>
        <DigestValue>fC0FI2u4LQ7jBe24dD4l0YIYs2UOKUj0wARxN8OYmtw=</DigestValue>
      </Reference>
      <Reference URI="/xl/media/image4.emf?ContentType=image/x-emf">
        <DigestMethod Algorithm="http://www.w3.org/2001/04/xmlenc#sha256"/>
        <DigestValue>t/gTD606n+cbNMme3vEsmEwwqnQT+O6L1KlPkTcQ4aE=</DigestValue>
      </Reference>
      <Reference URI="/xl/media/image5.emf?ContentType=image/x-emf">
        <DigestMethod Algorithm="http://www.w3.org/2001/04/xmlenc#sha256"/>
        <DigestValue>GWCh2URExKyBGMDpqBQ1eqVgX81UtmJPD+loJrn11Hk=</DigestValue>
      </Reference>
      <Reference URI="/xl/media/image6.emf?ContentType=image/x-emf">
        <DigestMethod Algorithm="http://www.w3.org/2001/04/xmlenc#sha256"/>
        <DigestValue>RU5VYTneq9Anp/4ubm1sWyDOUJCGPkuX1y+WEg9D2pQ=</DigestValue>
      </Reference>
      <Reference URI="/xl/media/image7.emf?ContentType=image/x-emf">
        <DigestMethod Algorithm="http://www.w3.org/2001/04/xmlenc#sha256"/>
        <DigestValue>eptFt8h0OiszrnjJ8xCwvYF+OwIlxbVsdgkhdX6taOI=</DigestValue>
      </Reference>
      <Reference URI="/xl/media/image8.jpeg?ContentType=image/jpeg">
        <DigestMethod Algorithm="http://www.w3.org/2001/04/xmlenc#sha256"/>
        <DigestValue>+VV/+wQWzMe817snuzpgOS0pqzVQHbYc1pasrtFNt60=</DigestValue>
      </Reference>
      <Reference URI="/xl/media/image9.jpeg?ContentType=image/jpeg">
        <DigestMethod Algorithm="http://www.w3.org/2001/04/xmlenc#sha256"/>
        <DigestValue>O04pH9oYKw1xQUMIlhe2WMJ6X+bLBIdfBsf5PiunYm8=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kVk8PUww/KLBxPMDbbtfl+DscFooavbqVwRNUDoaaXQ=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FdrMkMhojDKV1MN7NEh+s4YsYgJw60tznXdi8xGJ3nE=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T1dU28wc8Vy3P+L4lJtBH/nlKBgTWoqux4j78w8AQP8=</DigestValue>
      </Reference>
      <Reference URI="/xl/styles.xml?ContentType=application/vnd.openxmlformats-officedocument.spreadsheetml.styles+xml">
        <DigestMethod Algorithm="http://www.w3.org/2001/04/xmlenc#sha256"/>
        <DigestValue>3oTBPHJ/E/xiPWSkf8YcN/4dPx+J3u5uxik6WWW81IY=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5jplU3wmmFlBBKE45yNT9mAfFVOsy4BRgTMRxeV41S8=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hlX9gQHuzx56YhcKzgHvK3N5MwnGcFK7/Yfps5n9mUE=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xfXMfHrtKWPbyH9H/vpW4sv1T6608C4wJHVlTTCUZlI=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sAQp5fQzE4W1uHefQ00yUGn4OQwX0aMvBwV5R3EDB1w=</DigestValue>
      </Reference>
      <Reference URI="/xl/worksheets/sheet10.xml?ContentType=application/vnd.openxmlformats-officedocument.spreadsheetml.worksheet+xml">
        <DigestMethod Algorithm="http://www.w3.org/2001/04/xmlenc#sha256"/>
        <DigestValue>t892/7S0DlbvGsVAKikGTtBVffQUdA5/txbf5mxluh0=</DigestValue>
      </Reference>
      <Reference URI="/xl/worksheets/sheet11.xml?ContentType=application/vnd.openxmlformats-officedocument.spreadsheetml.worksheet+xml">
        <DigestMethod Algorithm="http://www.w3.org/2001/04/xmlenc#sha256"/>
        <DigestValue>X1CGT7Q8okULcYX/2nypHf623efIhixeG4sAoeYbP7k=</DigestValue>
      </Reference>
      <Reference URI="/xl/worksheets/sheet12.xml?ContentType=application/vnd.openxmlformats-officedocument.spreadsheetml.worksheet+xml">
        <DigestMethod Algorithm="http://www.w3.org/2001/04/xmlenc#sha256"/>
        <DigestValue>nNgZLO2pxqeF9n9U5exqkpXi+0WVleRh3lUv9KuZmi0=</DigestValue>
      </Reference>
      <Reference URI="/xl/worksheets/sheet13.xml?ContentType=application/vnd.openxmlformats-officedocument.spreadsheetml.worksheet+xml">
        <DigestMethod Algorithm="http://www.w3.org/2001/04/xmlenc#sha256"/>
        <DigestValue>/6AHYc6htrx1p/VEeveMV5IFsZf5zVoqmwSrdU570uc=</DigestValue>
      </Reference>
      <Reference URI="/xl/worksheets/sheet14.xml?ContentType=application/vnd.openxmlformats-officedocument.spreadsheetml.worksheet+xml">
        <DigestMethod Algorithm="http://www.w3.org/2001/04/xmlenc#sha256"/>
        <DigestValue>s6h1H1xyE8WSYtMtucnWR0e224hhNj2HbcGBafheBoU=</DigestValue>
      </Reference>
      <Reference URI="/xl/worksheets/sheet15.xml?ContentType=application/vnd.openxmlformats-officedocument.spreadsheetml.worksheet+xml">
        <DigestMethod Algorithm="http://www.w3.org/2001/04/xmlenc#sha256"/>
        <DigestValue>LU9B8iBoIBjRwOVGhSjnJb1dhkE/1sysuzzM9MWgfic=</DigestValue>
      </Reference>
      <Reference URI="/xl/worksheets/sheet16.xml?ContentType=application/vnd.openxmlformats-officedocument.spreadsheetml.worksheet+xml">
        <DigestMethod Algorithm="http://www.w3.org/2001/04/xmlenc#sha256"/>
        <DigestValue>ZQmTeu6YJthlULUQWjTgk0B5+y/UnwV1gu6fQ3STjYs=</DigestValue>
      </Reference>
      <Reference URI="/xl/worksheets/sheet17.xml?ContentType=application/vnd.openxmlformats-officedocument.spreadsheetml.worksheet+xml">
        <DigestMethod Algorithm="http://www.w3.org/2001/04/xmlenc#sha256"/>
        <DigestValue>CjbrtnWMF/BSnLuMqMh3bE72yIopXBmk9MIuYLOlhRU=</DigestValue>
      </Reference>
      <Reference URI="/xl/worksheets/sheet18.xml?ContentType=application/vnd.openxmlformats-officedocument.spreadsheetml.worksheet+xml">
        <DigestMethod Algorithm="http://www.w3.org/2001/04/xmlenc#sha256"/>
        <DigestValue>rGlxuAU/0Te802wUsq0mc08VgbdUBkGo3bAdswslPCY=</DigestValue>
      </Reference>
      <Reference URI="/xl/worksheets/sheet19.xml?ContentType=application/vnd.openxmlformats-officedocument.spreadsheetml.worksheet+xml">
        <DigestMethod Algorithm="http://www.w3.org/2001/04/xmlenc#sha256"/>
        <DigestValue>sUjQMbFW5dp89pqq6A6KYgEVhCn+bbB8SpQvczOmVY0=</DigestValue>
      </Reference>
      <Reference URI="/xl/worksheets/sheet2.xml?ContentType=application/vnd.openxmlformats-officedocument.spreadsheetml.worksheet+xml">
        <DigestMethod Algorithm="http://www.w3.org/2001/04/xmlenc#sha256"/>
        <DigestValue>ADJO3DKHp6Wx6jo3STBaKvO23//1n8UjpNbBSdiU8Qs=</DigestValue>
      </Reference>
      <Reference URI="/xl/worksheets/sheet20.xml?ContentType=application/vnd.openxmlformats-officedocument.spreadsheetml.worksheet+xml">
        <DigestMethod Algorithm="http://www.w3.org/2001/04/xmlenc#sha256"/>
        <DigestValue>Z8vAZnu/WR66sG3Afx9nM+viQk3GM2M93dhU9lm+AP8=</DigestValue>
      </Reference>
      <Reference URI="/xl/worksheets/sheet21.xml?ContentType=application/vnd.openxmlformats-officedocument.spreadsheetml.worksheet+xml">
        <DigestMethod Algorithm="http://www.w3.org/2001/04/xmlenc#sha256"/>
        <DigestValue>OUyWKaBhp5WMz4tCukDNdjzVnaYn5jETFHFqxLTW8yI=</DigestValue>
      </Reference>
      <Reference URI="/xl/worksheets/sheet22.xml?ContentType=application/vnd.openxmlformats-officedocument.spreadsheetml.worksheet+xml">
        <DigestMethod Algorithm="http://www.w3.org/2001/04/xmlenc#sha256"/>
        <DigestValue>erve/SY85de/XOUeqJ25CPLmGA55Yp7Ve6mFXUlAd+c=</DigestValue>
      </Reference>
      <Reference URI="/xl/worksheets/sheet23.xml?ContentType=application/vnd.openxmlformats-officedocument.spreadsheetml.worksheet+xml">
        <DigestMethod Algorithm="http://www.w3.org/2001/04/xmlenc#sha256"/>
        <DigestValue>I8jicu+ZsbOOms1YOIgLutisiGBQm2kM0+AkXQhq7nE=</DigestValue>
      </Reference>
      <Reference URI="/xl/worksheets/sheet24.xml?ContentType=application/vnd.openxmlformats-officedocument.spreadsheetml.worksheet+xml">
        <DigestMethod Algorithm="http://www.w3.org/2001/04/xmlenc#sha256"/>
        <DigestValue>kNYX7VSj5smjW+sC32JjJnE+HbtQlOgZln0cP0j25LM=</DigestValue>
      </Reference>
      <Reference URI="/xl/worksheets/sheet25.xml?ContentType=application/vnd.openxmlformats-officedocument.spreadsheetml.worksheet+xml">
        <DigestMethod Algorithm="http://www.w3.org/2001/04/xmlenc#sha256"/>
        <DigestValue>/VJOfN+LxfZ1f5OIfDmLcI5W4mcc67YF0cs85PcoGEs=</DigestValue>
      </Reference>
      <Reference URI="/xl/worksheets/sheet26.xml?ContentType=application/vnd.openxmlformats-officedocument.spreadsheetml.worksheet+xml">
        <DigestMethod Algorithm="http://www.w3.org/2001/04/xmlenc#sha256"/>
        <DigestValue>JAN3mO6YEdJO80DVg5saEAvm9z80acT3rTgbnp/DWSY=</DigestValue>
      </Reference>
      <Reference URI="/xl/worksheets/sheet27.xml?ContentType=application/vnd.openxmlformats-officedocument.spreadsheetml.worksheet+xml">
        <DigestMethod Algorithm="http://www.w3.org/2001/04/xmlenc#sha256"/>
        <DigestValue>MuVQfdZtkj9NO2TTENEubXC176nBPZLlZn4Zc8imTWE=</DigestValue>
      </Reference>
      <Reference URI="/xl/worksheets/sheet28.xml?ContentType=application/vnd.openxmlformats-officedocument.spreadsheetml.worksheet+xml">
        <DigestMethod Algorithm="http://www.w3.org/2001/04/xmlenc#sha256"/>
        <DigestValue>CQl27DlC5yghcHFEiXRqKDb+iu4MYR3s74p4cX2U4Ns=</DigestValue>
      </Reference>
      <Reference URI="/xl/worksheets/sheet3.xml?ContentType=application/vnd.openxmlformats-officedocument.spreadsheetml.worksheet+xml">
        <DigestMethod Algorithm="http://www.w3.org/2001/04/xmlenc#sha256"/>
        <DigestValue>BYSOeucg1FU6WzrUJoKclFDq3owrk2kCUu1mvrpng/Q=</DigestValue>
      </Reference>
      <Reference URI="/xl/worksheets/sheet4.xml?ContentType=application/vnd.openxmlformats-officedocument.spreadsheetml.worksheet+xml">
        <DigestMethod Algorithm="http://www.w3.org/2001/04/xmlenc#sha256"/>
        <DigestValue>QKyWUE16omK8GH+pw8qL+lx5oPmjcyzuZwIauOk2RRw=</DigestValue>
      </Reference>
      <Reference URI="/xl/worksheets/sheet5.xml?ContentType=application/vnd.openxmlformats-officedocument.spreadsheetml.worksheet+xml">
        <DigestMethod Algorithm="http://www.w3.org/2001/04/xmlenc#sha256"/>
        <DigestValue>9jKDY55G+w0TQZpG2AWmmD8F5UbUyLGPjv6WrVvJ4/g=</DigestValue>
      </Reference>
      <Reference URI="/xl/worksheets/sheet6.xml?ContentType=application/vnd.openxmlformats-officedocument.spreadsheetml.worksheet+xml">
        <DigestMethod Algorithm="http://www.w3.org/2001/04/xmlenc#sha256"/>
        <DigestValue>+ZPL1n9QdzCLH9IFIiHahi+skRAdjlXTgm/gvLhaM7w=</DigestValue>
      </Reference>
      <Reference URI="/xl/worksheets/sheet7.xml?ContentType=application/vnd.openxmlformats-officedocument.spreadsheetml.worksheet+xml">
        <DigestMethod Algorithm="http://www.w3.org/2001/04/xmlenc#sha256"/>
        <DigestValue>h+dDHGFzlDGkjeqDO+1IrmdDxqE7xml+UoKm8zgagAU=</DigestValue>
      </Reference>
      <Reference URI="/xl/worksheets/sheet8.xml?ContentType=application/vnd.openxmlformats-officedocument.spreadsheetml.worksheet+xml">
        <DigestMethod Algorithm="http://www.w3.org/2001/04/xmlenc#sha256"/>
        <DigestValue>oZR8ba74GWjYe444LDm82ZkLVD1y0v0fTzq5J0oLIcM=</DigestValue>
      </Reference>
      <Reference URI="/xl/worksheets/sheet9.xml?ContentType=application/vnd.openxmlformats-officedocument.spreadsheetml.worksheet+xml">
        <DigestMethod Algorithm="http://www.w3.org/2001/04/xmlenc#sha256"/>
        <DigestValue>7h4/F2E0mQkM5sAY/B9liENh7ppe8fHwvr8aOuy8/Ok=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2022-03-31T23:59:44Z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Lic. Sady Smid Pereira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2022-03-31T23:59:44Z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c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CAAAAAAAAAA0A75+X8AAADQDvn5fwAAVDby+Pl/AAAAAPdh+n8AAEFpZPj5fwAAMBb3Yfp/AABUNvL4+X8AAMgWAAAAAAAAQAAAwPl/AAAAAPdh+n8AABFsZPj5fwAABAAAAAAAAAAwFvdh+n8AABC3tbiaAAAAVDby+AAAAABIAAAAAAAAAFQ28vj5fwAAqNMO+fl/AACAOvL4+X8AAAEAAAAAAAAA/l/y+Pl/AAAAAPdh+n8AAAAAAAAAAAAAAAAAAAAAAAAAAAAAAAAAADDu6vodAgAAW6ZeYfp/AADwt7W4mgAAAIm4tbiaAAAAAAAAAAAAAAAAAAAAZHYACAAAAAAlAAAADAAAAAEAAAAYAAAADAAAAAAAAAASAAAADAAAAAEAAAAeAAAAGAAAAPUAAAAFAAAAMgEAABYAAAAlAAAADAAAAAEAAABUAAAAhAAAAPYAAAAFAAAAMAEAABUAAAABAAAAVVWPQYX2jkH2AAAABQAAAAkAAABMAAAAAAAAAAAAAAAAAAAA//////////9gAAAAMwAxAC8AMwAvADIAMAAyADIAVKQHAAAABwAAAAUAAAAHAAAABQAAAAcAAAAHAAAABwAAAAcAAABLAAAAQAAAADAAAAAFAAAAIAAAAAEAAAABAAAAEAAAAAAAAAAAAAAAQAEAAKAAAAAAAAAAAAAAAEABAACgAAAAUgAAAHABAAACAAAAFAAAAAkAAAAAAAAAAAAAALwCAAAAAAAAAQICIlMAeQBzAHQAZQBtAAAAAAAAAAAAAAAAAAAAAAAAAAAAAAAAAAAAAAAAAAAAAAAAAAAAAAAAAAAAAAAAAAAAAAAAAAAA4N7G+B0CAAAAAAAAAAAAAAEAAADE7gAAiK6BYfp/AAAAAAAAAAAAAIA/92H6fwAACQAAAAEAAAAJAAAAAAAAAAAAAAAAAAAAAAAAAAAAAAAGt9DVc5IAADDu6vodAgAABAAAAAAAAAAQz8SNHQIAADDu6vodAgAAkBa0uAAAAAAAAAAAAAAAAAcAAAAAAAAAAAAAAAAAAADMFbS4mgAAAAkWtLiaAAAAYbdaYfp/AABpAGEAbAAAAAAAAAAAAAAAAAAAAAAAAAAAAAAAAAAAADDu6vodAgAAW6ZeYfp/AABwFbS4mgAAAAkWtLiaAAAAgJLEkh0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OT4HQIAAAAAAAAdAgAAKAAAAAAAAACIroFh+n8AAAAAAAAAAAAAIFOj9vl/AAD/////AgAAAODViJIdAgAAAAAAAAAAAAAAAAAAAAAAAIa30NVzkgAAAAAAAAAAAAAAAAAA+X8AAOD///8AAAAAMO7q+h0CAAAoFrS4AAAAAAAAAAAAAAAABgAAAAAAAAAAAAAAAAAAAEwVtLiaAAAAiRW0uJoAAABht1ph+n8AAEC3iJIdAgAAsK8mkwAAAACYkrD2+X8AAEC3iJIdAgAAMO7q+h0CAABbpl5h+n8AAPAUtLiaAAAAiRW0uJoAAABwseONHQIAAAAAAABkdgAIAAAAACUAAAAMAAAAAwAAABgAAAAMAAAAAAAAABIAAAAMAAAAAQAAABYAAAAMAAAACAAAAFQAAABUAAAADAAAADcAAAAgAAAAWgAAAAEAAABVVY9BhfaOQQwAAABbAAAAAQAAAEwAAAAEAAAACwAAADcAAAAiAAAAWwAAAFAAAABYAIOl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O8AAABWAAAAMAAAADsAAADAAAAAHAAAACEA8AAAAAAAAAAAAAAAgD8AAAAAAAAAAAAAgD8AAAAAAAAAAAAAAAAAAAAAAAAAAAAAAAAAAAAAAAAAACUAAAAMAAAAAAAAgCgAAAAMAAAABAAAAFIAAABwAQAABAAAAOz///8AAAAAAAAAAAAAAACQAQAAAAAAAQAAAABzAGUAZwBvAGUAIAB1AGkAAAAAAAAAAAAAAAAAAAAAAAAAAAAAAAAAAAAAAAAAAAAAAAAAAAAAAAAAAAAAAAAAAAAAADhLivb5fwAAAAAAAPl/AAA4S4r2+X8AAIiugWH6fwAAAAAAAAAAAAAAAAAAAAAAANDOJpMdAgAAAAAAAAAAAAAAAAAAAAAAAAAAAAAAAAAAFrfQ1XOSAACWzgP2+X8AACBIivb5fwAA7P///wAAAAAw7ur6HQIAAJgWtLgAAAAAAAAAAAAAAAAJAAAAAAAAAAAAAAAAAAAAvBW0uJoAAAD5FbS4mgAAAGG3WmH6fwAAOEuK9vl/AAAAAAAAAAAAAPAdtLiaAAAAAAAAAAAAAAAw7ur6HQIAAFumXmH6fwAAYBW0uJoAAAD5FbS4mgAAAPCUxJIdAgAAAAAAAGR2AAgAAAAAJQAAAAwAAAAEAAAAGAAAAAwAAAAAAAAAEgAAAAwAAAABAAAAHgAAABgAAAAwAAAAOwAAAPAAAABXAAAAJQAAAAwAAAAEAAAAVAAAANAAAAAxAAAAOwAAAO4AAABWAAAAAQAAAFVVj0GF9o5BMQAAADsAAAAWAAAATAAAAAAAAAAAAAAAAAAAAP//////////eAAAAEwAaQBjAC4AIABTAGEAZAB5ACAAUwBtAGkAZAAgAFAAZQByAGUAaQByAGEACQAAAAUAAAAJAAAABAAAAAUAAAALAAAACgAAAAwAAAAKAAAABQAAAAsAAAARAAAABQAAAAw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  <Object Id="idInvalidSigLnImg">AQAAAGwAAAAAAAAAAAAAAD8BAACfAAAAAAAAAAAAAABmFgAALAsAACBFTUYAAAEA4CA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0A75+X8AAADQDvn5fwAAVDby+Pl/AAAAAPdh+n8AAEFpZPj5fwAAMBb3Yfp/AABUNvL4+X8AAMgWAAAAAAAAQAAAwPl/AAAAAPdh+n8AABFsZPj5fwAABAAAAAAAAAAwFvdh+n8AABC3tbiaAAAAVDby+AAAAABIAAAAAAAAAFQ28vj5fwAAqNMO+fl/AACAOvL4+X8AAAEAAAAAAAAA/l/y+Pl/AAAAAPdh+n8AAAAAAAAAAAAAAAAAAAAAAAAAAAAAAAAAADDu6vodAgAAW6ZeYfp/AADwt7W4mgAAAIm4tbiaAAAAAAAAAAAAAAAAAAAAZHYACAAAAAAlAAAADAAAAAEAAAAYAAAADAAAAP8AAAASAAAADAAAAAEAAAAeAAAAGAAAADAAAAAFAAAAiwAAABYAAAAlAAAADAAAAAEAAABUAAAAqAAAADEAAAAFAAAAiQAAABUAAAABAAAAVVWPQYX2jkExAAAABQAAAA8AAABMAAAAAAAAAAAAAAAAAAAA//////////9sAAAARgBpAHIAbQBhACAAbgBvACAAdgDhAGwAaQBkAGEAAaU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4N7G+B0CAAAAAAAAAAAAAAEAAADE7gAAiK6BYfp/AAAAAAAAAAAAAIA/92H6fwAACQAAAAEAAAAJAAAAAAAAAAAAAAAAAAAAAAAAAAAAAAAGt9DVc5IAADDu6vodAgAABAAAAAAAAAAQz8SNHQIAADDu6vodAgAAkBa0uAAAAAAAAAAAAAAAAAcAAAAAAAAAAAAAAAAAAADMFbS4mgAAAAkWtLiaAAAAYbdaYfp/AABpAGEAbAAAAAAAAAAAAAAAAAAAAAAAAAAAAAAAAAAAADDu6vodAgAAW6ZeYfp/AABwFbS4mgAAAAkWtLiaAAAAgJLEkh0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OT4HQIAAAAAAAAdAgAAKAAAAAAAAACIroFh+n8AAAAAAAAAAAAAIFOj9vl/AAD/////AgAAAODViJIdAgAAAAAAAAAAAAAAAAAAAAAAAIa30NVzkgAAAAAAAAAAAAAAAAAA+X8AAOD///8AAAAAMO7q+h0CAAAoFrS4AAAAAAAAAAAAAAAABgAAAAAAAAAAAAAAAAAAAEwVtLiaAAAAiRW0uJoAAABht1ph+n8AAEC3iJIdAgAAsK8mkwAAAACYkrD2+X8AAEC3iJIdAgAAMO7q+h0CAABbpl5h+n8AAPAUtLiaAAAAiRW0uJoAAABwseONHQIAAAAAAABkdgAIAAAAACUAAAAMAAAAAwAAABgAAAAMAAAAAAAAABIAAAAMAAAAAQAAABYAAAAMAAAACAAAAFQAAABUAAAADAAAADcAAAAgAAAAWgAAAAEAAABVVY9BhfaOQQwAAABbAAAAAQAAAEwAAAAEAAAACwAAADcAAAAiAAAAWwAAAFAAAABYAKWS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O8AAABWAAAAMAAAADsAAADAAAAAHAAAACEA8AAAAAAAAAAAAAAAgD8AAAAAAAAAAAAAgD8AAAAAAAAAAAAAAAAAAAAAAAAAAAAAAAAAAAAAAAAAACUAAAAMAAAAAAAAgCgAAAAMAAAABAAAAFIAAABwAQAABAAAAOz///8AAAAAAAAAAAAAAACQAQAAAAAAAQAAAABzAGUAZwBvAGUAIAB1AGkAAAAAAAAAAAAAAAAAAAAAAAAAAAAAAAAAAAAAAAAAAAAAAAAAAAAAAAAAAAAAAAAAAAAAADhLivb5fwAAAAAAAPl/AAA4S4r2+X8AAIiugWH6fwAAAAAAAAAAAAAAAAAAAAAAANDOJpMdAgAAAAAAAAAAAAAAAAAAAAAAAAAAAAAAAAAAFrfQ1XOSAACWzgP2+X8AACBIivb5fwAA7P///wAAAAAw7ur6HQIAAJgWtLgAAAAAAAAAAAAAAAAJAAAAAAAAAAAAAAAAAAAAvBW0uJoAAAD5FbS4mgAAAGG3WmH6fwAAOEuK9vl/AAAAAAAAAAAAAPAdtLiaAAAAAAAAAAAAAAAw7ur6HQIAAFumXmH6fwAAYBW0uJoAAAD5FbS4mgAAAPCUxJIdAgAAAAAAAGR2AAgAAAAAJQAAAAwAAAAEAAAAGAAAAAwAAAAAAAAAEgAAAAwAAAABAAAAHgAAABgAAAAwAAAAOwAAAPAAAABXAAAAJQAAAAwAAAAEAAAAVAAAANAAAAAxAAAAOwAAAO4AAABWAAAAAQAAAFVVj0GF9o5BMQAAADsAAAAWAAAATAAAAAAAAAAAAAAAAAAAAP//////////eAAAAEwAaQBjAC4AIABTAGEAZAB5ACAAUwBtAGkAZAAgAFAAZQByAGUAaQByAGEACQAAAAUAAAAJAAAABAAAAAUAAAALAAAACgAAAAwAAAAKAAAABQAAAAsAAAARAAAABQAAAAw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Indice</vt:lpstr>
      <vt:lpstr>I.Infomac Gral Emp</vt:lpstr>
      <vt:lpstr>Balance Gral. Resol. 30</vt:lpstr>
      <vt:lpstr>Estado de Resultado Resol. 30</vt:lpstr>
      <vt:lpstr>Flujo de Efectivo Resol. Res 30</vt:lpstr>
      <vt:lpstr>Estado de Variacion PN </vt:lpstr>
      <vt:lpstr> Flujo de Fondos Calculo INVEST</vt:lpstr>
      <vt:lpstr>NOTA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DOCUM y CTAS A PAG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INFORMACION REFERENTE</vt:lpstr>
      <vt:lpstr>' Flujo de Fondos Calculo INVEST'!Área_de_impresión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CLAUDIA - INV</cp:lastModifiedBy>
  <cp:revision/>
  <cp:lastPrinted>2021-11-14T19:15:35Z</cp:lastPrinted>
  <dcterms:created xsi:type="dcterms:W3CDTF">2019-11-21T14:06:50Z</dcterms:created>
  <dcterms:modified xsi:type="dcterms:W3CDTF">2022-03-31T22:01:25Z</dcterms:modified>
  <cp:category/>
  <cp:contentStatus/>
</cp:coreProperties>
</file>