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U:\Contabilidad\CASA DE BOLSA\BALANCES\ESTADOS FINANCIEROS CNV\Setiembre 2022\"/>
    </mc:Choice>
  </mc:AlternateContent>
  <xr:revisionPtr revIDLastSave="0" documentId="13_ncr:201_{7847811E-3B0F-41DB-942D-FFDB0621BA17}" xr6:coauthVersionLast="47" xr6:coauthVersionMax="47" xr10:uidLastSave="{00000000-0000-0000-0000-000000000000}"/>
  <bookViews>
    <workbookView xWindow="-108" yWindow="-108" windowWidth="23256" windowHeight="12576" tabRatio="737" activeTab="6"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General'!$B$9:$I$51</definedName>
    <definedName name="_xlnm.Print_Area" localSheetId="3">'Estado de Resultados'!$B$10:$E$53</definedName>
    <definedName name="_xlnm.Print_Area" localSheetId="4">'Flujo de Efectivo '!$B$10:$D$39</definedName>
    <definedName name="_xlnm.Print_Area" localSheetId="6">Notas!$A:$I</definedName>
    <definedName name="_xlnm.Print_Area" localSheetId="5">'Variacion PN'!#REF!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6" i="7" l="1"/>
  <c r="C31" i="14"/>
  <c r="D31" i="14"/>
  <c r="C35" i="14"/>
  <c r="C17" i="14"/>
  <c r="C22" i="14" s="1"/>
  <c r="C24" i="14" s="1"/>
  <c r="C37" i="14" l="1"/>
  <c r="C39" i="14" s="1"/>
  <c r="L24" i="13"/>
  <c r="F454" i="7" l="1"/>
  <c r="E336" i="7" l="1"/>
  <c r="F336" i="7"/>
  <c r="D336" i="7"/>
  <c r="G335" i="7"/>
  <c r="G334" i="7"/>
  <c r="F445" i="7"/>
  <c r="G445" i="7"/>
  <c r="E328" i="7"/>
  <c r="F328" i="7"/>
  <c r="D328" i="7"/>
  <c r="E141" i="7"/>
  <c r="G336" i="7" l="1"/>
  <c r="I79" i="7"/>
  <c r="E469" i="7" l="1"/>
  <c r="F469" i="7"/>
  <c r="D469" i="7"/>
  <c r="G461" i="7"/>
  <c r="G462" i="7"/>
  <c r="G463" i="7"/>
  <c r="G464" i="7"/>
  <c r="G465" i="7"/>
  <c r="G466" i="7"/>
  <c r="G467" i="7"/>
  <c r="G468" i="7"/>
  <c r="G460" i="7"/>
  <c r="H476" i="7"/>
  <c r="E476" i="7"/>
  <c r="F476" i="7"/>
  <c r="G476" i="7"/>
  <c r="D476" i="7"/>
  <c r="E262" i="7"/>
  <c r="F262" i="7"/>
  <c r="G262" i="7"/>
  <c r="D262" i="7"/>
  <c r="G469" i="7" l="1"/>
  <c r="F202" i="7"/>
  <c r="F201" i="7"/>
  <c r="F177" i="7"/>
  <c r="F176" i="7"/>
  <c r="F175" i="7"/>
  <c r="F174" i="7"/>
  <c r="F173" i="7"/>
  <c r="F172" i="7"/>
  <c r="F171" i="7"/>
  <c r="F169" i="7"/>
  <c r="F170" i="7"/>
  <c r="D35" i="14"/>
  <c r="D17" i="14"/>
  <c r="D22" i="14" s="1"/>
  <c r="D24" i="14" s="1"/>
  <c r="D492" i="7"/>
  <c r="D490" i="7"/>
  <c r="D582" i="7"/>
  <c r="E451" i="7"/>
  <c r="E454" i="7" s="1"/>
  <c r="D18" i="2" s="1"/>
  <c r="E494" i="7"/>
  <c r="E548" i="7"/>
  <c r="E524" i="7"/>
  <c r="E25" i="2" s="1"/>
  <c r="E23" i="2" s="1"/>
  <c r="D524" i="7"/>
  <c r="E18" i="2"/>
  <c r="D427" i="7"/>
  <c r="H13" i="1"/>
  <c r="N25" i="13"/>
  <c r="D24" i="13"/>
  <c r="E24" i="13"/>
  <c r="F24" i="13"/>
  <c r="G24" i="13"/>
  <c r="H24" i="13"/>
  <c r="I24" i="13"/>
  <c r="J24" i="13"/>
  <c r="K24" i="13"/>
  <c r="C24" i="13"/>
  <c r="D571" i="7"/>
  <c r="D46" i="2"/>
  <c r="D37" i="14" l="1"/>
  <c r="D39" i="14" s="1"/>
  <c r="M24" i="13"/>
  <c r="D494" i="7"/>
  <c r="D583" i="7"/>
  <c r="D41" i="2" s="1"/>
  <c r="D40" i="2" s="1"/>
  <c r="D38" i="2"/>
  <c r="D25" i="2"/>
  <c r="D23" i="2" s="1"/>
  <c r="D548" i="7"/>
  <c r="D554" i="7"/>
  <c r="D20" i="2"/>
  <c r="E515" i="7"/>
  <c r="E21" i="2" s="1"/>
  <c r="E19" i="2" s="1"/>
  <c r="I29" i="1"/>
  <c r="I28" i="1" s="1"/>
  <c r="I23" i="1"/>
  <c r="H23" i="1"/>
  <c r="I13" i="1"/>
  <c r="D436" i="7"/>
  <c r="H29" i="1" s="1"/>
  <c r="H28" i="1" s="1"/>
  <c r="D348" i="7"/>
  <c r="I21" i="1"/>
  <c r="I20" i="1"/>
  <c r="E18" i="1"/>
  <c r="E34" i="1"/>
  <c r="F290" i="7"/>
  <c r="E290" i="7"/>
  <c r="D26" i="1" s="1"/>
  <c r="H20" i="1"/>
  <c r="D378" i="7"/>
  <c r="D349" i="7"/>
  <c r="E361" i="7"/>
  <c r="E29" i="1" s="1"/>
  <c r="E28" i="1" s="1"/>
  <c r="D36" i="1"/>
  <c r="D35" i="1"/>
  <c r="E41" i="1"/>
  <c r="H316" i="7"/>
  <c r="I316" i="7" s="1"/>
  <c r="H317" i="7"/>
  <c r="I317" i="7" s="1"/>
  <c r="H318" i="7"/>
  <c r="I318" i="7" s="1"/>
  <c r="H319" i="7"/>
  <c r="I319" i="7" s="1"/>
  <c r="H315" i="7"/>
  <c r="I315" i="7" s="1"/>
  <c r="F320" i="7"/>
  <c r="E320" i="7"/>
  <c r="G320" i="7"/>
  <c r="D320" i="7"/>
  <c r="F311" i="7"/>
  <c r="G311" i="7"/>
  <c r="H311" i="7"/>
  <c r="E311" i="7"/>
  <c r="I307" i="7"/>
  <c r="I308" i="7"/>
  <c r="I309" i="7"/>
  <c r="I310" i="7"/>
  <c r="I312" i="7"/>
  <c r="E40" i="1" s="1"/>
  <c r="I306" i="7"/>
  <c r="E16" i="1"/>
  <c r="E14" i="1"/>
  <c r="E15" i="1"/>
  <c r="D15" i="1"/>
  <c r="F104" i="7"/>
  <c r="D14" i="1" s="1"/>
  <c r="E26" i="1"/>
  <c r="E25" i="1"/>
  <c r="E281" i="7"/>
  <c r="D25" i="1" s="1"/>
  <c r="G179" i="7"/>
  <c r="G173" i="7"/>
  <c r="G168" i="7"/>
  <c r="D361" i="7" l="1"/>
  <c r="D29" i="1" s="1"/>
  <c r="D28" i="1" s="1"/>
  <c r="I320" i="7"/>
  <c r="D41" i="1" s="1"/>
  <c r="H34" i="1"/>
  <c r="H35" i="1" s="1"/>
  <c r="E13" i="1"/>
  <c r="D34" i="1"/>
  <c r="I19" i="1"/>
  <c r="E39" i="1"/>
  <c r="E24" i="1"/>
  <c r="D24" i="1"/>
  <c r="I311" i="7"/>
  <c r="D40" i="1" s="1"/>
  <c r="H320" i="7"/>
  <c r="D39" i="1" l="1"/>
  <c r="E31" i="1"/>
  <c r="G202" i="7"/>
  <c r="G201" i="7"/>
  <c r="F200" i="7"/>
  <c r="F199" i="7"/>
  <c r="G198" i="7"/>
  <c r="F198" i="7"/>
  <c r="G193" i="7"/>
  <c r="G195" i="7" s="1"/>
  <c r="D19" i="1" s="1"/>
  <c r="F194" i="7"/>
  <c r="E193" i="7"/>
  <c r="F193" i="7" s="1"/>
  <c r="F192" i="7"/>
  <c r="F191" i="7"/>
  <c r="G185" i="7"/>
  <c r="G184" i="7"/>
  <c r="G187" i="7"/>
  <c r="G186" i="7"/>
  <c r="F187" i="7"/>
  <c r="F185" i="7"/>
  <c r="F186" i="7"/>
  <c r="F184" i="7"/>
  <c r="G180" i="7"/>
  <c r="G177" i="7"/>
  <c r="G176" i="7"/>
  <c r="G175" i="7"/>
  <c r="G174" i="7"/>
  <c r="G172" i="7"/>
  <c r="G171" i="7"/>
  <c r="G170" i="7"/>
  <c r="G169" i="7"/>
  <c r="F188" i="7" l="1"/>
  <c r="G203" i="7"/>
  <c r="D21" i="1" s="1"/>
  <c r="F203" i="7"/>
  <c r="G188" i="7"/>
  <c r="D20" i="1" s="1"/>
  <c r="F195" i="7"/>
  <c r="F124" i="7"/>
  <c r="F141" i="7" s="1"/>
  <c r="E607" i="7"/>
  <c r="D607" i="7"/>
  <c r="E600" i="7"/>
  <c r="D600" i="7"/>
  <c r="E591" i="7"/>
  <c r="E44" i="2" s="1"/>
  <c r="E43" i="2" s="1"/>
  <c r="D591" i="7"/>
  <c r="E583" i="7"/>
  <c r="E41" i="2" s="1"/>
  <c r="E40" i="2" s="1"/>
  <c r="E572" i="7"/>
  <c r="E38" i="2" s="1"/>
  <c r="D572" i="7"/>
  <c r="E570" i="7"/>
  <c r="E37" i="2" s="1"/>
  <c r="D570" i="7"/>
  <c r="D37" i="2" s="1"/>
  <c r="E562" i="7"/>
  <c r="E34" i="2" s="1"/>
  <c r="E26" i="2" s="1"/>
  <c r="D562" i="7"/>
  <c r="D34" i="2" s="1"/>
  <c r="D26" i="2" s="1"/>
  <c r="D515" i="7"/>
  <c r="D21" i="2" s="1"/>
  <c r="D19" i="2" s="1"/>
  <c r="E501" i="7"/>
  <c r="D501" i="7"/>
  <c r="D17" i="2"/>
  <c r="E484" i="7"/>
  <c r="E16" i="2" s="1"/>
  <c r="E12" i="2" s="1"/>
  <c r="E22" i="2" s="1"/>
  <c r="D484" i="7"/>
  <c r="D16" i="2" s="1"/>
  <c r="D406" i="7"/>
  <c r="E406" i="7"/>
  <c r="E399" i="7"/>
  <c r="D399" i="7"/>
  <c r="E392" i="7"/>
  <c r="D392" i="7"/>
  <c r="E385" i="7"/>
  <c r="D385" i="7"/>
  <c r="E371" i="7"/>
  <c r="D371" i="7"/>
  <c r="H21" i="1" s="1"/>
  <c r="H19" i="1" s="1"/>
  <c r="H30" i="1" s="1"/>
  <c r="H32" i="1" s="1"/>
  <c r="E44" i="1"/>
  <c r="E43" i="1" s="1"/>
  <c r="E46" i="1" s="1"/>
  <c r="G329" i="7"/>
  <c r="G327" i="7"/>
  <c r="G326" i="7"/>
  <c r="F150" i="7"/>
  <c r="E150" i="7"/>
  <c r="E152" i="7" s="1"/>
  <c r="E154" i="7" s="1"/>
  <c r="G104" i="7"/>
  <c r="E104" i="7"/>
  <c r="G141" i="7"/>
  <c r="E97" i="7"/>
  <c r="E96" i="7"/>
  <c r="E64" i="7"/>
  <c r="E79" i="7" s="1"/>
  <c r="I91" i="7"/>
  <c r="E91" i="7"/>
  <c r="F85" i="7"/>
  <c r="F86" i="7" s="1"/>
  <c r="F57" i="7"/>
  <c r="F58" i="7" s="1"/>
  <c r="G207" i="7" l="1"/>
  <c r="F207" i="7"/>
  <c r="G328" i="7"/>
  <c r="D44" i="2"/>
  <c r="D43" i="2" s="1"/>
  <c r="E35" i="2"/>
  <c r="D12" i="2"/>
  <c r="D22" i="2" s="1"/>
  <c r="D35" i="2" s="1"/>
  <c r="E36" i="2"/>
  <c r="D36" i="2"/>
  <c r="D18" i="1"/>
  <c r="G57" i="7"/>
  <c r="D44" i="1"/>
  <c r="D43" i="1" s="1"/>
  <c r="D46" i="1" s="1"/>
  <c r="G85" i="7"/>
  <c r="F152" i="7"/>
  <c r="D16" i="1" s="1"/>
  <c r="D13" i="1" s="1"/>
  <c r="F59" i="7"/>
  <c r="G58" i="7"/>
  <c r="F87" i="7"/>
  <c r="F89" i="7" s="1"/>
  <c r="G86" i="7"/>
  <c r="I100" i="16"/>
  <c r="L105" i="16"/>
  <c r="K64" i="16"/>
  <c r="I64" i="16"/>
  <c r="I105" i="16" l="1"/>
  <c r="E51" i="2"/>
  <c r="E53" i="2" s="1"/>
  <c r="D31" i="1"/>
  <c r="D48" i="1" s="1"/>
  <c r="D51" i="2"/>
  <c r="D53" i="2" s="1"/>
  <c r="F154" i="7"/>
  <c r="H154" i="7" s="1"/>
  <c r="G87" i="7"/>
  <c r="F60" i="7"/>
  <c r="G59" i="7"/>
  <c r="C15" i="1"/>
  <c r="G89" i="7" l="1"/>
  <c r="F90" i="7"/>
  <c r="F61" i="7"/>
  <c r="G60" i="7"/>
  <c r="C16" i="2"/>
  <c r="G91" i="7" l="1"/>
  <c r="F62" i="7"/>
  <c r="G61" i="7"/>
  <c r="G34" i="1"/>
  <c r="G15" i="1"/>
  <c r="C45" i="1"/>
  <c r="C44" i="1"/>
  <c r="C39" i="1"/>
  <c r="C29" i="1"/>
  <c r="C22" i="1"/>
  <c r="C18" i="1"/>
  <c r="F63" i="7" l="1"/>
  <c r="G62" i="7"/>
  <c r="G28" i="1"/>
  <c r="G19" i="1"/>
  <c r="C34" i="1"/>
  <c r="C16" i="1"/>
  <c r="C14" i="1"/>
  <c r="F64" i="7" l="1"/>
  <c r="G63" i="7"/>
  <c r="C44" i="2"/>
  <c r="C41" i="2"/>
  <c r="C36" i="2"/>
  <c r="C34" i="2"/>
  <c r="C25" i="2"/>
  <c r="C21" i="2"/>
  <c r="C18" i="2"/>
  <c r="C17" i="2"/>
  <c r="M151" i="16"/>
  <c r="L151" i="16"/>
  <c r="K151" i="16"/>
  <c r="I151" i="16"/>
  <c r="K105" i="16"/>
  <c r="F65" i="7" l="1"/>
  <c r="G64" i="7"/>
  <c r="M105" i="16"/>
  <c r="F66" i="7" l="1"/>
  <c r="G65" i="7"/>
  <c r="I62" i="14"/>
  <c r="I57" i="14"/>
  <c r="I51" i="14"/>
  <c r="I50" i="14"/>
  <c r="I49" i="14"/>
  <c r="I46" i="14"/>
  <c r="I45" i="14"/>
  <c r="I44" i="14"/>
  <c r="I40" i="14"/>
  <c r="I39" i="14"/>
  <c r="I38" i="14"/>
  <c r="J31" i="14"/>
  <c r="I27" i="14"/>
  <c r="K27" i="14" s="1"/>
  <c r="I26" i="14"/>
  <c r="I17" i="14"/>
  <c r="I13" i="14"/>
  <c r="I12" i="14"/>
  <c r="F67" i="7" l="1"/>
  <c r="G66" i="7"/>
  <c r="I18" i="14"/>
  <c r="I52" i="14"/>
  <c r="I47" i="14"/>
  <c r="I41" i="14"/>
  <c r="I31" i="14"/>
  <c r="K26" i="14"/>
  <c r="F68" i="7" l="1"/>
  <c r="G67" i="7"/>
  <c r="I48" i="1"/>
  <c r="F69" i="7" l="1"/>
  <c r="G68" i="7"/>
  <c r="H48" i="1"/>
  <c r="F71" i="7" l="1"/>
  <c r="G69" i="7"/>
  <c r="E48" i="1"/>
  <c r="F74" i="7" l="1"/>
  <c r="G71" i="7"/>
  <c r="F75" i="7" l="1"/>
  <c r="G74" i="7"/>
  <c r="F77" i="7" l="1"/>
  <c r="G75" i="7"/>
  <c r="G77" i="7" l="1"/>
  <c r="F78" i="7"/>
  <c r="G78" i="7" s="1"/>
  <c r="G79" i="7" l="1"/>
</calcChain>
</file>

<file path=xl/sharedStrings.xml><?xml version="1.0" encoding="utf-8"?>
<sst xmlns="http://schemas.openxmlformats.org/spreadsheetml/2006/main" count="1534" uniqueCount="910">
  <si>
    <t>ACTIVO</t>
  </si>
  <si>
    <t>ACTIVO CORRIENTE</t>
  </si>
  <si>
    <t>Recaudaciones a Depositar</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</si>
  <si>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</si>
  <si>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</si>
  <si>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</si>
  <si>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</si>
  <si>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</si>
  <si>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</si>
  <si>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</si>
  <si>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</si>
  <si>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</si>
  <si>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</si>
  <si>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</si>
  <si>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</si>
  <si>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</si>
  <si>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</si>
  <si>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</si>
  <si>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</si>
  <si>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</si>
  <si>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</si>
  <si>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</si>
  <si>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</si>
  <si>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</si>
  <si>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</si>
  <si>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</si>
  <si>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</si>
  <si>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</si>
  <si>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</si>
  <si>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</si>
  <si>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</si>
  <si>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</si>
  <si>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</si>
  <si>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</si>
  <si>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</si>
  <si>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</si>
  <si>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</si>
  <si>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</si>
  <si>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</si>
  <si>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</si>
  <si>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</si>
  <si>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</si>
  <si>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</si>
  <si>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</si>
  <si>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</si>
  <si>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</si>
  <si>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</si>
  <si>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</si>
  <si>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</si>
  <si>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</si>
  <si>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</si>
  <si>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</si>
  <si>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</si>
  <si>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</si>
  <si>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</si>
  <si>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</si>
  <si>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</si>
  <si>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</si>
  <si>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</si>
  <si>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</si>
  <si>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</si>
  <si>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</si>
  <si>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</si>
  <si>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</si>
  <si>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</si>
  <si>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</si>
  <si>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</si>
  <si>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</si>
  <si>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</si>
  <si>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</si>
  <si>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</si>
  <si>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</si>
  <si>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</si>
  <si>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</si>
  <si>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</si>
  <si>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</si>
  <si>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</si>
  <si>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</si>
  <si>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</si>
  <si>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</si>
  <si>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</si>
  <si>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</si>
  <si>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</si>
  <si>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</si>
  <si>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</si>
  <si>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</si>
  <si>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</si>
  <si>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</si>
  <si>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</si>
  <si>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</si>
  <si>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</si>
  <si>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</si>
  <si>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</si>
  <si>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</si>
  <si>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</si>
  <si>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</si>
  <si>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</si>
  <si>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</si>
  <si>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</si>
  <si>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</si>
  <si>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</si>
  <si>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</si>
  <si>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</si>
  <si>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</si>
  <si>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</si>
  <si>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</si>
  <si>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</si>
  <si>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</si>
  <si>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OBLIGACIONES COMERCIALES</t>
  </si>
  <si>
    <t>Proveedores Moneda Extranjera</t>
  </si>
  <si>
    <t>TIPO DE MONEDA</t>
  </si>
  <si>
    <t>MONTO USD</t>
  </si>
  <si>
    <t>DISPONIBILIDADES</t>
  </si>
  <si>
    <t>Banco ITAU 700805688</t>
  </si>
  <si>
    <t>Banco Continental 53456309</t>
  </si>
  <si>
    <t>Banco Continental 76696402</t>
  </si>
  <si>
    <t>Banco Regional 7881548</t>
  </si>
  <si>
    <t>Financiera Solar 182965</t>
  </si>
  <si>
    <t>Banco Nacional de Fomento</t>
  </si>
  <si>
    <t>Banco Continental 17608406</t>
  </si>
  <si>
    <t>Banco Regional 7881549</t>
  </si>
  <si>
    <t>TOTAL DISPONIBILIDADES</t>
  </si>
  <si>
    <t>INFORMACIÓN SOBRE EL DOCUMENTO Y EMISOR</t>
  </si>
  <si>
    <t>VALOR NOMINAL UNITARIO</t>
  </si>
  <si>
    <t>RESULTADO</t>
  </si>
  <si>
    <t>EMISOR</t>
  </si>
  <si>
    <t>CDA</t>
  </si>
  <si>
    <t>USD</t>
  </si>
  <si>
    <t>INVERSIONES PERMANENTES</t>
  </si>
  <si>
    <t>PERÍODO ACTUAL G.</t>
  </si>
  <si>
    <t>TOTAL EJERCICIO  ANTERIOR G.</t>
  </si>
  <si>
    <t>ACCIONES</t>
  </si>
  <si>
    <t>CUENTAS</t>
  </si>
  <si>
    <t>VALOR DE COSTO</t>
  </si>
  <si>
    <t>VALOR CONTABLE</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</si>
  <si>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</si>
  <si>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</si>
  <si>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</si>
  <si>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</si>
  <si>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</si>
  <si>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</si>
  <si>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</si>
  <si>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</si>
  <si>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</si>
  <si>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</si>
  <si>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</si>
  <si>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</si>
  <si>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</si>
  <si>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</si>
  <si>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</si>
  <si>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</si>
  <si>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</si>
  <si>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</si>
  <si>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</si>
  <si>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</si>
  <si>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</si>
  <si>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</si>
  <si>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</si>
  <si>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</si>
  <si>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</si>
  <si>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 xml:space="preserve">NOMBRE </t>
  </si>
  <si>
    <t>SALDOS</t>
  </si>
  <si>
    <t>PERSONA O EMPRESA RELACIONADA</t>
  </si>
  <si>
    <t>TOTAL DE INGRESOS</t>
  </si>
  <si>
    <t>DISMINUCIÓN</t>
  </si>
  <si>
    <t>Capital Integrado</t>
  </si>
  <si>
    <t>Reserva Legal</t>
  </si>
  <si>
    <t>Reserva Facultativa</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</si>
  <si>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</si>
  <si>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</si>
  <si>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</si>
  <si>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</si>
  <si>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</si>
  <si>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</si>
  <si>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</si>
  <si>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</si>
  <si>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</si>
  <si>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</si>
  <si>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</si>
  <si>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</si>
  <si>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</si>
  <si>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</si>
  <si>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</si>
  <si>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</si>
  <si>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</si>
  <si>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Dieta de Directorio</t>
  </si>
  <si>
    <t>Financiera El Comercio</t>
  </si>
  <si>
    <t>Anticipo Impuesto a la Renta</t>
  </si>
  <si>
    <t xml:space="preserve"> Aportes y Retenciones a Pagar</t>
  </si>
  <si>
    <t>TOTAL DE EGRESOS</t>
  </si>
  <si>
    <t>Total del Periodo Actual</t>
  </si>
  <si>
    <t>Total del Periodo Anterior</t>
  </si>
  <si>
    <t>SUSCRIPTO</t>
  </si>
  <si>
    <t>Vigencia</t>
  </si>
  <si>
    <t>Diferencia de Cambio</t>
  </si>
  <si>
    <t>NO EXISTEN</t>
  </si>
  <si>
    <t>Retencion Impuesto al Valor Agregado</t>
  </si>
  <si>
    <t>Lincencias a Vencer</t>
  </si>
  <si>
    <t>Maquinas y Equipos de oficina</t>
  </si>
  <si>
    <t>Refrigerio</t>
  </si>
  <si>
    <t>Auditoria Externa</t>
  </si>
  <si>
    <t>Banco Continental 34068203</t>
  </si>
  <si>
    <t>Banco Continental 71629001</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</si>
  <si>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</si>
  <si>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</si>
  <si>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</si>
  <si>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</si>
  <si>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</si>
  <si>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</si>
  <si>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</si>
  <si>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</si>
  <si>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</si>
  <si>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</si>
  <si>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</si>
  <si>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CORTO PLAZO ₲</t>
  </si>
  <si>
    <t>LARGO PLAZO ₲</t>
  </si>
  <si>
    <t>Prima de Acciones</t>
  </si>
  <si>
    <t>SALDO AL</t>
  </si>
  <si>
    <t>Servicio de Limpieza</t>
  </si>
  <si>
    <t>Gastos de Representación</t>
  </si>
  <si>
    <t>Seguro Medico del Personal</t>
  </si>
  <si>
    <t>Pérdida en Operaciones</t>
  </si>
  <si>
    <t>Remuneración Personal Superior</t>
  </si>
  <si>
    <t xml:space="preserve">Otras Gratificaciones </t>
  </si>
  <si>
    <t>Pre Aviso</t>
  </si>
  <si>
    <t>Indemnizaciones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</si>
  <si>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</si>
  <si>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</si>
  <si>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</si>
  <si>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</si>
  <si>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</si>
  <si>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</si>
  <si>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</si>
  <si>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</si>
  <si>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</si>
  <si>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</si>
  <si>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</si>
  <si>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</si>
  <si>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</si>
  <si>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</si>
  <si>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</si>
  <si>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</si>
  <si>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</si>
  <si>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</si>
  <si>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</si>
  <si>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</si>
  <si>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</si>
  <si>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</si>
  <si>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</si>
  <si>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</si>
  <si>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</si>
  <si>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</si>
  <si>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</si>
  <si>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</si>
  <si>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</si>
  <si>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</si>
  <si>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</si>
  <si>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</si>
  <si>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</si>
  <si>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</si>
  <si>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</si>
  <si>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</si>
  <si>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</si>
  <si>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</si>
  <si>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</si>
  <si>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</si>
  <si>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</si>
  <si>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</si>
  <si>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</si>
  <si>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</si>
  <si>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</si>
  <si>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</si>
  <si>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</si>
  <si>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</si>
  <si>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</si>
  <si>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</si>
  <si>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</si>
  <si>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</si>
  <si>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</si>
  <si>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</si>
  <si>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</si>
  <si>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</si>
  <si>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</si>
  <si>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</si>
  <si>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</si>
  <si>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</si>
  <si>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</si>
  <si>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Total al 31/12/2020</t>
  </si>
  <si>
    <t>FIC S.A. de Finanzas</t>
  </si>
  <si>
    <t>Banco Continental 19008407</t>
  </si>
  <si>
    <t>Banco ITAU 700812608</t>
  </si>
  <si>
    <t>Banco RIO 844460-2</t>
  </si>
  <si>
    <t>Anticipo a Rendir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</si>
  <si>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</si>
  <si>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</si>
  <si>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</si>
  <si>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</si>
  <si>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</si>
  <si>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</si>
  <si>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</si>
  <si>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</si>
  <si>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Expensas</t>
  </si>
  <si>
    <t>Suscripciones</t>
  </si>
  <si>
    <t>Obsequios Empresariales</t>
  </si>
  <si>
    <t>Movimientos subsecuentes</t>
  </si>
  <si>
    <t>Resultado del Ejercicio</t>
  </si>
  <si>
    <t>Distribución de dividendos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</si>
  <si>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</si>
  <si>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</si>
  <si>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</si>
  <si>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</si>
  <si>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</si>
  <si>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</si>
  <si>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</si>
  <si>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</si>
  <si>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</si>
  <si>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</si>
  <si>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</si>
  <si>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</si>
  <si>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</si>
  <si>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</si>
  <si>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</si>
  <si>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</si>
  <si>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</si>
  <si>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</si>
  <si>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</si>
  <si>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</si>
  <si>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</si>
  <si>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</si>
  <si>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</si>
  <si>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</si>
  <si>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</si>
  <si>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</si>
  <si>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</si>
  <si>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</si>
  <si>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</si>
  <si>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</si>
  <si>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</si>
  <si>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</si>
  <si>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</si>
  <si>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</si>
  <si>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</si>
  <si>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</si>
  <si>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</si>
  <si>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</si>
  <si>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</si>
  <si>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</si>
  <si>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</si>
  <si>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</si>
  <si>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</si>
  <si>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</si>
  <si>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</si>
  <si>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</si>
  <si>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</si>
  <si>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</si>
  <si>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</si>
  <si>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</si>
  <si>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</si>
  <si>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</si>
  <si>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</si>
  <si>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</si>
  <si>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</si>
  <si>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</si>
  <si>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</si>
  <si>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</si>
  <si>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</si>
  <si>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</si>
  <si>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</si>
  <si>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</si>
  <si>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</si>
  <si>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</si>
  <si>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</si>
  <si>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</si>
  <si>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</si>
  <si>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</si>
  <si>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</si>
  <si>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</si>
  <si>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</si>
  <si>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</si>
  <si>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</si>
  <si>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</si>
  <si>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</si>
  <si>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</si>
  <si>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</si>
  <si>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</si>
  <si>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</si>
  <si>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</si>
  <si>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</si>
  <si>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</si>
  <si>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</si>
  <si>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</si>
  <si>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</si>
  <si>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</si>
  <si>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</si>
  <si>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</si>
  <si>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</si>
  <si>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</si>
  <si>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</si>
  <si>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El flujo de efectivo fue elaborado por el método directo, criterio contemplados en los principios de contabilidad generalmente aceptados.</t>
  </si>
  <si>
    <t>Reporto por Cobrar</t>
  </si>
  <si>
    <t xml:space="preserve">    </t>
  </si>
  <si>
    <t>Banco Rio 08-839941-08</t>
  </si>
  <si>
    <t>Banco Rio 08-142640-07</t>
  </si>
  <si>
    <t>Transformación Digital</t>
  </si>
  <si>
    <t>Servicios Pagados Por Adelantado</t>
  </si>
  <si>
    <t>Aranceles Bvpasa A Devengar</t>
  </si>
  <si>
    <t>PERIODO ACTUAL ₲</t>
  </si>
  <si>
    <t>CORRIENTE ₲</t>
  </si>
  <si>
    <t>NO CORRIENTE  ₲</t>
  </si>
  <si>
    <t>PERIODO ANTERIOR ₲</t>
  </si>
  <si>
    <t xml:space="preserve">Banco Continental </t>
  </si>
  <si>
    <t>Pérdidas por valuación de Pasivos monetarios en moneda Extranjera</t>
  </si>
  <si>
    <t>Ganancias por valuación de Activos monetario en moneda extranjera</t>
  </si>
  <si>
    <t>TOTAL CAJA</t>
  </si>
  <si>
    <t>NOTA</t>
  </si>
  <si>
    <t>Licencias y Marcas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</si>
  <si>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</si>
  <si>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</si>
  <si>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</si>
  <si>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</si>
  <si>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</si>
  <si>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</si>
  <si>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</si>
  <si>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</si>
  <si>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</si>
  <si>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</si>
  <si>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</si>
  <si>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</si>
  <si>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</si>
  <si>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</si>
  <si>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</si>
  <si>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 xml:space="preserve">(Expresado en Guaraníes)       </t>
  </si>
  <si>
    <t>Comisiones pagadas por anticipado</t>
  </si>
  <si>
    <t>Descuentos concedidos</t>
  </si>
  <si>
    <t>Banco Sudameris 2896017</t>
  </si>
  <si>
    <t>Banco Atlas Gs.</t>
  </si>
  <si>
    <t>Banco ITAU 750800413</t>
  </si>
  <si>
    <t>Banco RIO 082678760008</t>
  </si>
  <si>
    <t>Banco Atlas USD</t>
  </si>
  <si>
    <t>Banco Atlas</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</si>
  <si>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</si>
  <si>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</si>
  <si>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</si>
  <si>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</si>
  <si>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</si>
  <si>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</si>
  <si>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</si>
  <si>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</si>
  <si>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</si>
  <si>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</si>
  <si>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</si>
  <si>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</si>
  <si>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Aporte para futura emisión de acciones</t>
  </si>
  <si>
    <t>Cuentas a cobrar empresas relacionadas</t>
  </si>
  <si>
    <t>Obsequios empresariales en existencia</t>
  </si>
  <si>
    <t>Director</t>
  </si>
  <si>
    <t>SALDO AL 31/12/2021</t>
  </si>
  <si>
    <t>Total al 31/12/2021</t>
  </si>
  <si>
    <t>Totales al 31/12/2021</t>
  </si>
  <si>
    <t>OBLIGACIONES FINANCIERAS</t>
  </si>
  <si>
    <t>Banco Continental</t>
  </si>
  <si>
    <t>Banco Rio</t>
  </si>
  <si>
    <t>Finlatina Gs.</t>
  </si>
  <si>
    <t>Gratificación Especial a Distribuir</t>
  </si>
  <si>
    <t>IVA Gasto Deducible</t>
  </si>
  <si>
    <t>Banco Regional S.A.E.C.A.</t>
  </si>
  <si>
    <t>Banco Continental S.A.E.C.A.</t>
  </si>
  <si>
    <t>Banco Rio S.A.E.C.A.</t>
  </si>
  <si>
    <t>Retail Paraguay S.A</t>
  </si>
  <si>
    <t>Ministerio de Hacienda</t>
  </si>
  <si>
    <t>BONO</t>
  </si>
  <si>
    <t>Saldo período al 31/12/2021</t>
  </si>
  <si>
    <t>Bolsa de Valores y Productos de Asunción S.A</t>
  </si>
  <si>
    <t>Visión Banco S.A.E.C.A</t>
  </si>
  <si>
    <t>N°</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</si>
  <si>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</si>
  <si>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</si>
  <si>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</si>
  <si>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</si>
  <si>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</si>
  <si>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</si>
  <si>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</si>
  <si>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</si>
  <si>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</si>
  <si>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</si>
  <si>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</si>
  <si>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</si>
  <si>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</si>
  <si>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</si>
  <si>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</si>
  <si>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</si>
  <si>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</si>
  <si>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</si>
  <si>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</si>
  <si>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</si>
  <si>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</si>
  <si>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</si>
  <si>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</si>
  <si>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</si>
  <si>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</si>
  <si>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</si>
  <si>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</si>
  <si>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</si>
  <si>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</si>
  <si>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</si>
  <si>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</si>
  <si>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 xml:space="preserve">         </t>
  </si>
  <si>
    <t xml:space="preserve">3.      </t>
  </si>
  <si>
    <t>ADMINISTRACIÓN</t>
  </si>
  <si>
    <t xml:space="preserve">5.      </t>
  </si>
  <si>
    <t>AUDITOR EXTERNO INDEPENDIENTE</t>
  </si>
  <si>
    <t xml:space="preserve">6.      </t>
  </si>
  <si>
    <t>BENEFICIARIOS</t>
  </si>
  <si>
    <t>PERSONAS VINCULADAS</t>
  </si>
  <si>
    <t>Presidente</t>
  </si>
  <si>
    <t>Vicepresidente</t>
  </si>
  <si>
    <t>Gustavo Lorenzo Segovia Vera</t>
  </si>
  <si>
    <t>Gladys Rossana Arias Sosa</t>
  </si>
  <si>
    <t>Sofia Espinola Harms</t>
  </si>
  <si>
    <t>Silvia Nathalia Ochoa Araya</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</si>
  <si>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</si>
  <si>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</si>
  <si>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</si>
  <si>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</si>
  <si>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</si>
  <si>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</si>
  <si>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</si>
  <si>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</si>
  <si>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</si>
  <si>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de Marketing</t>
  </si>
  <si>
    <t>Sociedad Controlante</t>
  </si>
  <si>
    <t>Domicilio</t>
  </si>
  <si>
    <t>Actividad Principal</t>
  </si>
  <si>
    <t>Participación en capital de la Casa de Bolsa</t>
  </si>
  <si>
    <t>Porcentaje de votos en la Casa de Bolsa</t>
  </si>
  <si>
    <t>Inmobiliaria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</si>
  <si>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</si>
  <si>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</si>
  <si>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</si>
  <si>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</si>
  <si>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</si>
  <si>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</si>
  <si>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</si>
  <si>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</si>
  <si>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</si>
  <si>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</si>
  <si>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</si>
  <si>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</si>
  <si>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</si>
  <si>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</si>
  <si>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</si>
  <si>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</si>
  <si>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</si>
  <si>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</si>
  <si>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</si>
  <si>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</si>
  <si>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</si>
  <si>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</si>
  <si>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</si>
  <si>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</si>
  <si>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</si>
  <si>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Sociedad Controlada</t>
  </si>
  <si>
    <t>Administración de Fondos</t>
  </si>
  <si>
    <t xml:space="preserve">Auditor Externo Independiente designado </t>
  </si>
  <si>
    <t>Número de Inscripción en el Registro de la CNV</t>
  </si>
  <si>
    <t>Carlos Raúl Espinola Almada</t>
  </si>
  <si>
    <t>Miriam Cristina Harms</t>
  </si>
  <si>
    <t>Matías Espinola Harms</t>
  </si>
  <si>
    <t>Hugo Daniel Rodriguez Ayala</t>
  </si>
  <si>
    <t>INFORMACIÓN GENERAL DE LA ENTIDAD</t>
  </si>
  <si>
    <t>Caja</t>
  </si>
  <si>
    <t>Bancos</t>
  </si>
  <si>
    <t>INGRESOS OPERATIVOS</t>
  </si>
  <si>
    <t xml:space="preserve">1.	 </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</si>
  <si>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</si>
  <si>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</si>
  <si>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</si>
  <si>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</si>
  <si>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</si>
  <si>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</si>
  <si>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</si>
  <si>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</si>
  <si>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</si>
  <si>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</si>
  <si>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</si>
  <si>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</si>
  <si>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</si>
  <si>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</si>
  <si>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</si>
  <si>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</si>
  <si>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</si>
  <si>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 xml:space="preserve">Flujo de Efectivo  </t>
  </si>
  <si>
    <t xml:space="preserve">3.7 </t>
  </si>
  <si>
    <t>Normas aplicadas para la Consolidación de los Estados Financieros</t>
  </si>
  <si>
    <t xml:space="preserve">3.8  </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</si>
  <si>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</si>
  <si>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</si>
  <si>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</si>
  <si>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</si>
  <si>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</si>
  <si>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</si>
  <si>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</si>
  <si>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</si>
  <si>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</si>
  <si>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</si>
  <si>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</si>
  <si>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</si>
  <si>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</si>
  <si>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</si>
  <si>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</si>
  <si>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</si>
  <si>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</si>
  <si>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</si>
  <si>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</si>
  <si>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</si>
  <si>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</si>
  <si>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</si>
  <si>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</si>
  <si>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</si>
  <si>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</si>
  <si>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</si>
  <si>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</si>
  <si>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</si>
  <si>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</si>
  <si>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</si>
  <si>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</si>
  <si>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</si>
  <si>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</si>
  <si>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</si>
  <si>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</si>
  <si>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</si>
  <si>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</si>
  <si>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</si>
  <si>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</si>
  <si>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</si>
  <si>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5.22</t>
  </si>
  <si>
    <t>5.23</t>
  </si>
  <si>
    <t>INTERESES COBRADOS</t>
  </si>
  <si>
    <t>5.23.1</t>
  </si>
  <si>
    <t>INTERESES PAGADOS</t>
  </si>
  <si>
    <t>5.23.2</t>
  </si>
  <si>
    <t xml:space="preserve">                             </t>
  </si>
  <si>
    <t>EGRESOS EXTRAORDINARIOS</t>
  </si>
  <si>
    <t xml:space="preserve">                               </t>
  </si>
  <si>
    <t>INGRESOS EXTRAORDINARIOS</t>
  </si>
  <si>
    <t>Compromisos Directos:</t>
  </si>
  <si>
    <t>Contingencias Legales:</t>
  </si>
  <si>
    <t>6.1</t>
  </si>
  <si>
    <t>6.2</t>
  </si>
  <si>
    <t>6.3</t>
  </si>
  <si>
    <t>5.2.1</t>
  </si>
  <si>
    <t>5.2.2</t>
  </si>
  <si>
    <t>DEVENTURES</t>
  </si>
  <si>
    <t>Dividendos percibidos</t>
  </si>
  <si>
    <t>Las N° 11 notas que se acompañan forman parte integrante de los Estados Financieros.</t>
  </si>
  <si>
    <t>Títulos Renta Variable</t>
  </si>
  <si>
    <t>MONEDA EXTRANJERA CLASE</t>
  </si>
  <si>
    <t>INVERSIONES</t>
  </si>
  <si>
    <t>Servicios</t>
  </si>
  <si>
    <t>Deudores por Intermediación Moneda Extranjera</t>
  </si>
  <si>
    <t>Deudores por Intermediación Moneda Local</t>
  </si>
  <si>
    <t xml:space="preserve">TIPO </t>
  </si>
  <si>
    <t>SOBREGIROS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</si>
  <si>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</si>
  <si>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</si>
  <si>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</si>
  <si>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</si>
  <si>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</si>
  <si>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</si>
  <si>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</si>
  <si>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</si>
  <si>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</si>
  <si>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</si>
  <si>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</si>
  <si>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</si>
  <si>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</si>
  <si>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</si>
  <si>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</si>
  <si>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</si>
  <si>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</si>
  <si>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</si>
  <si>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</si>
  <si>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</si>
  <si>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</si>
  <si>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</si>
  <si>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</si>
  <si>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</si>
  <si>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</si>
  <si>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</si>
  <si>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</si>
  <si>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</si>
  <si>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</si>
  <si>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</si>
  <si>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</si>
  <si>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NOTA A LOS ESTADOS FINANCIEROS</t>
  </si>
  <si>
    <t>Pitiantuta 485 c/España</t>
  </si>
  <si>
    <t>Asunción - Paraguay</t>
  </si>
  <si>
    <t>CONSIDERACIONES DE LOS ESTADOS FINANCIEROS</t>
  </si>
  <si>
    <t>La Sociedad prepara y presenta por separado los Estados Financieros consolidados al ser controlante de otra Sociedad conforme a los requerimientos de la Comisión Nacional de Valores.</t>
  </si>
  <si>
    <t>5.23.3</t>
  </si>
  <si>
    <t>5.25</t>
  </si>
  <si>
    <t>5.26.1</t>
  </si>
  <si>
    <t>5.26.2</t>
  </si>
  <si>
    <t>Compra/Venta de Propiedad, planta y equipo</t>
  </si>
  <si>
    <t>TOTAL PASIVO Y PATRIMONIO NETO</t>
  </si>
  <si>
    <t>Política de Reconocimiento de Ingresos:</t>
  </si>
  <si>
    <t>Menos: Previsión por menor valor</t>
  </si>
  <si>
    <t>SALDO 31/12/2021</t>
  </si>
  <si>
    <t>ADMINISTRACION DE CARTERA (CORTO Y LARGO PLAZO)</t>
  </si>
  <si>
    <t>5.24.1</t>
  </si>
  <si>
    <t>5.24.2</t>
  </si>
  <si>
    <t>5.24.3</t>
  </si>
  <si>
    <t>5.26</t>
  </si>
  <si>
    <t xml:space="preserve">5.27      </t>
  </si>
  <si>
    <t>5.27.1</t>
  </si>
  <si>
    <t>5.27.2</t>
  </si>
  <si>
    <t>5.27</t>
  </si>
  <si>
    <t>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</si>
  <si>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r>
      <rPr>
        <b/>
        <sz val="10"/>
        <color theme="1"/>
        <rFont val="Outfit"/>
      </rPr>
      <t>1.1.</t>
    </r>
    <r>
      <rPr>
        <sz val="10"/>
        <color theme="1"/>
        <rFont val="Outfit"/>
      </rPr>
      <t xml:space="preserve">    </t>
    </r>
  </si>
  <si>
    <r>
      <rPr>
        <b/>
        <sz val="10"/>
        <color theme="1"/>
        <rFont val="Outfit"/>
      </rPr>
      <t>1.2.</t>
    </r>
    <r>
      <rPr>
        <sz val="10"/>
        <color theme="1"/>
        <rFont val="Outfit"/>
      </rPr>
      <t xml:space="preserve">    </t>
    </r>
  </si>
  <si>
    <r>
      <rPr>
        <b/>
        <sz val="10"/>
        <color theme="1"/>
        <rFont val="Outfit"/>
      </rPr>
      <t>1.3.</t>
    </r>
    <r>
      <rPr>
        <sz val="10"/>
        <color theme="1"/>
        <rFont val="Outfit"/>
      </rPr>
      <t xml:space="preserve">    </t>
    </r>
  </si>
  <si>
    <r>
      <rPr>
        <b/>
        <sz val="10"/>
        <color theme="1"/>
        <rFont val="Outfit"/>
      </rPr>
      <t>1.4. </t>
    </r>
    <r>
      <rPr>
        <sz val="10"/>
        <color theme="1"/>
        <rFont val="Outfit"/>
      </rPr>
      <t xml:space="preserve">   </t>
    </r>
  </si>
  <si>
    <r>
      <rPr>
        <b/>
        <sz val="10"/>
        <color theme="1"/>
        <rFont val="Outfit"/>
      </rPr>
      <t>1.5.</t>
    </r>
    <r>
      <rPr>
        <sz val="10"/>
        <color theme="1"/>
        <rFont val="Outfit"/>
      </rPr>
      <t xml:space="preserve">    </t>
    </r>
  </si>
  <si>
    <r>
      <rPr>
        <b/>
        <sz val="10"/>
        <color theme="1"/>
        <rFont val="Outfit"/>
      </rPr>
      <t>1.6.</t>
    </r>
    <r>
      <rPr>
        <sz val="10"/>
        <color theme="1"/>
        <rFont val="Outfit"/>
      </rPr>
      <t xml:space="preserve">    </t>
    </r>
  </si>
  <si>
    <r>
      <rPr>
        <b/>
        <sz val="10"/>
        <color theme="1"/>
        <rFont val="Outfit"/>
      </rPr>
      <t>1.7.</t>
    </r>
    <r>
      <rPr>
        <sz val="10"/>
        <color theme="1"/>
        <rFont val="Outfit"/>
      </rPr>
      <t xml:space="preserve">    </t>
    </r>
  </si>
  <si>
    <r>
      <rPr>
        <b/>
        <sz val="10"/>
        <color theme="1"/>
        <rFont val="Outfit"/>
      </rPr>
      <t>1.8.</t>
    </r>
    <r>
      <rPr>
        <sz val="10"/>
        <color theme="1"/>
        <rFont val="Outfit"/>
      </rPr>
      <t xml:space="preserve">    </t>
    </r>
  </si>
  <si>
    <r>
      <rPr>
        <b/>
        <sz val="10"/>
        <color theme="1"/>
        <rFont val="Outfit"/>
      </rPr>
      <t>2.1.</t>
    </r>
    <r>
      <rPr>
        <sz val="10"/>
        <color theme="1"/>
        <rFont val="Outfit"/>
      </rPr>
      <t xml:space="preserve">   </t>
    </r>
  </si>
  <si>
    <r>
      <rPr>
        <b/>
        <sz val="10"/>
        <color theme="1"/>
        <rFont val="Outfit"/>
      </rPr>
      <t>2.2.</t>
    </r>
    <r>
      <rPr>
        <sz val="10"/>
        <color theme="1"/>
        <rFont val="Outfit"/>
      </rPr>
      <t xml:space="preserve">   </t>
    </r>
  </si>
  <si>
    <r>
      <rPr>
        <b/>
        <sz val="10"/>
        <color theme="1"/>
        <rFont val="Outfit"/>
      </rPr>
      <t>2.3. </t>
    </r>
    <r>
      <rPr>
        <sz val="10"/>
        <color theme="1"/>
        <rFont val="Outfit"/>
      </rPr>
      <t xml:space="preserve">  </t>
    </r>
  </si>
  <si>
    <r>
      <rPr>
        <b/>
        <sz val="10"/>
        <color theme="1"/>
        <rFont val="Outfit"/>
      </rPr>
      <t>2.4.</t>
    </r>
    <r>
      <rPr>
        <sz val="10"/>
        <color theme="1"/>
        <rFont val="Outfit"/>
      </rPr>
      <t xml:space="preserve">   </t>
    </r>
  </si>
  <si>
    <r>
      <rPr>
        <b/>
        <sz val="10"/>
        <color theme="1"/>
        <rFont val="Outfit"/>
      </rPr>
      <t>2.5.</t>
    </r>
    <r>
      <rPr>
        <sz val="10"/>
        <color theme="1"/>
        <rFont val="Outfit"/>
      </rPr>
      <t xml:space="preserve">   </t>
    </r>
  </si>
  <si>
    <r>
      <rPr>
        <b/>
        <sz val="10"/>
        <color theme="1"/>
        <rFont val="Outfit"/>
      </rPr>
      <t>4.1.</t>
    </r>
    <r>
      <rPr>
        <sz val="10"/>
        <color theme="1"/>
        <rFont val="Outfit"/>
      </rPr>
      <t xml:space="preserve">   Capital Emitido                             </t>
    </r>
  </si>
  <si>
    <r>
      <rPr>
        <b/>
        <sz val="10"/>
        <color theme="1"/>
        <rFont val="Outfit"/>
      </rPr>
      <t>4.2.</t>
    </r>
    <r>
      <rPr>
        <sz val="10"/>
        <color theme="1"/>
        <rFont val="Outfit"/>
      </rPr>
      <t xml:space="preserve">   Capital Suscripto                          </t>
    </r>
  </si>
  <si>
    <r>
      <rPr>
        <b/>
        <sz val="10"/>
        <color theme="1"/>
        <rFont val="Outfit"/>
      </rPr>
      <t>4.3.</t>
    </r>
    <r>
      <rPr>
        <sz val="10"/>
        <color theme="1"/>
        <rFont val="Outfit"/>
      </rPr>
      <t xml:space="preserve">   Capital Integrado                           </t>
    </r>
  </si>
  <si>
    <r>
      <rPr>
        <b/>
        <sz val="10"/>
        <color theme="1"/>
        <rFont val="Outfit"/>
      </rPr>
      <t>4.4.</t>
    </r>
    <r>
      <rPr>
        <sz val="10"/>
        <color theme="1"/>
        <rFont val="Outfit"/>
      </rPr>
      <t xml:space="preserve">   Valor nominal de las acciones       </t>
    </r>
  </si>
  <si>
    <r>
      <rPr>
        <b/>
        <sz val="10"/>
        <color theme="1"/>
        <rFont val="Outfit"/>
      </rPr>
      <t>5.1.</t>
    </r>
    <r>
      <rPr>
        <sz val="10"/>
        <color theme="1"/>
        <rFont val="Outfit"/>
      </rPr>
      <t xml:space="preserve">                     </t>
    </r>
  </si>
  <si>
    <r>
      <rPr>
        <b/>
        <sz val="10"/>
        <color theme="1"/>
        <rFont val="Outfit"/>
      </rPr>
      <t>5.2.</t>
    </r>
    <r>
      <rPr>
        <sz val="10"/>
        <color theme="1"/>
        <rFont val="Outfit"/>
      </rPr>
      <t xml:space="preserve">            </t>
    </r>
  </si>
  <si>
    <t>CARGO</t>
  </si>
  <si>
    <t>NOMBRE Y APELLIDO</t>
  </si>
  <si>
    <t>REPRESENTANTES LEGALES</t>
  </si>
  <si>
    <t>PLANA EJECUTIVA</t>
  </si>
  <si>
    <t>SERIE</t>
  </si>
  <si>
    <t>DESDE</t>
  </si>
  <si>
    <t>HASTA</t>
  </si>
  <si>
    <t>CANTIDAD DE ACCIONES</t>
  </si>
  <si>
    <t>CLASE</t>
  </si>
  <si>
    <t>VOTO</t>
  </si>
  <si>
    <t>MONTO</t>
  </si>
  <si>
    <t>Gasto para desarrollo Web</t>
  </si>
  <si>
    <t>Recaudaciones a depositar</t>
  </si>
  <si>
    <t>Aguinaldos a Pagar</t>
  </si>
  <si>
    <t>CAMBIO CIERRE EJERCICIO AL 31/12/2021</t>
  </si>
  <si>
    <t>SALDO AL CIERRE EJERCICIO EN ₲ AL 31/12/2021</t>
  </si>
  <si>
    <t>Agencia Financiera de Desarrollo</t>
  </si>
  <si>
    <t>LETRAS</t>
  </si>
  <si>
    <t>Crédito Fiscal</t>
  </si>
  <si>
    <r>
      <rPr>
        <b/>
        <sz val="10"/>
        <color theme="1" tint="4.9989318521683403E-2"/>
        <rFont val="Outfit"/>
      </rPr>
      <t>Menos</t>
    </r>
    <r>
      <rPr>
        <b/>
        <i/>
        <sz val="10"/>
        <color theme="1" tint="4.9989318521683403E-2"/>
        <rFont val="Outfit"/>
      </rPr>
      <t>:</t>
    </r>
    <r>
      <rPr>
        <sz val="10"/>
        <color theme="1" tint="4.9989318521683403E-2"/>
        <rFont val="Outfit"/>
      </rPr>
      <t xml:space="preserve"> Previsión por menor valor</t>
    </r>
  </si>
  <si>
    <t xml:space="preserve">Acción de la Bolsa de Valores         </t>
  </si>
  <si>
    <r>
      <rPr>
        <b/>
        <sz val="10"/>
        <color theme="1" tint="4.9989318521683403E-2"/>
        <rFont val="Outfit"/>
      </rPr>
      <t>Menos:</t>
    </r>
    <r>
      <rPr>
        <sz val="10"/>
        <color theme="1" tint="4.9989318521683403E-2"/>
        <rFont val="Outfit"/>
      </rPr>
      <t xml:space="preserve"> Previsión por menor valor</t>
    </r>
  </si>
  <si>
    <t>Otras Gratificaciones</t>
  </si>
  <si>
    <t>Contrato  de Garantía</t>
  </si>
  <si>
    <t>01.01.2022</t>
  </si>
  <si>
    <t>Transferencia resultado acumulado</t>
  </si>
  <si>
    <t>Banco Rio 082678760008</t>
  </si>
  <si>
    <t>BCA – Benitez Codas &amp; Asociados (Corresponsal en Paraguay de KPMG International Cooperative)</t>
  </si>
  <si>
    <t>AE 015</t>
  </si>
  <si>
    <t xml:space="preserve">ESTADO DE CAMBIOS EN EL  PATRIMONIO NETO                                                                                                                   </t>
  </si>
  <si>
    <t>AVALON CASA DE BOLSA S.A., al cierre del periodo considerado cuenta con participación en la Bolsa de Valores de Asunción S.A. (BVA) de acuerdo a lo establecido en la Ley Nº 5.810/2017 “Mercado de Valores”.</t>
  </si>
  <si>
    <t>Perdida por Reporto</t>
  </si>
  <si>
    <t>Accionista</t>
  </si>
  <si>
    <t>La Alta Administración de la Sociedad ha modificado y unificado su criterio de devengamiento de valores de renta fija desde Enero 2022</t>
  </si>
  <si>
    <t>Totales otros activos corrientes</t>
  </si>
  <si>
    <t>INVERSIONES CORRIENTES</t>
  </si>
  <si>
    <t>INVERSIONES NO CORRIENTES</t>
  </si>
  <si>
    <t>Itacua Bienes y Raíces S.A.</t>
  </si>
  <si>
    <t>Capellán Molas N° 645 c/Presidente Gonzalez y Gral. Escobar</t>
  </si>
  <si>
    <t>Avalon Administradora de Fondos Patrimoniales de Inversión S.A</t>
  </si>
  <si>
    <t>% DE PARTICIPACIÓN DEL CAPITAL INTEGRADO</t>
  </si>
  <si>
    <t>NÚMERO DE ACCIONES</t>
  </si>
  <si>
    <t>% DE PARTICIPACIÓN DEL CAPITAL SUSCRIPTO</t>
  </si>
  <si>
    <t>% DE PARTICIPACIÓN DE LA SOCIEDAD</t>
  </si>
  <si>
    <t>Títulos de Renta Variable</t>
  </si>
  <si>
    <t>Títulos de Renta Fija</t>
  </si>
  <si>
    <t>Títulos en Reporto</t>
  </si>
  <si>
    <t>Membresía Mercado de Divisas</t>
  </si>
  <si>
    <t>Aumento (o disminución) neto de efectivo y sus equivalentes</t>
  </si>
  <si>
    <t>Saldo al inicio del ejercicio</t>
  </si>
  <si>
    <t>Base de preparación de los Estados Financieros:</t>
  </si>
  <si>
    <t xml:space="preserve">Títulos de Renta Fija CDA </t>
  </si>
  <si>
    <t xml:space="preserve">Títulos de Renta Fija  BONO </t>
  </si>
  <si>
    <t>BANCOS: Representa los fondos disponibles en cta., corriente y ahorros a la vista tanto de propias y de clientes, tanto en dólares como en guaraníes:</t>
  </si>
  <si>
    <t>Visión Banco 900483585</t>
  </si>
  <si>
    <t>Crisol y Encarnación Financiera S.A.E.C.A.</t>
  </si>
  <si>
    <t>TIPO DE VÍNCULO</t>
  </si>
  <si>
    <t>Operaciones de Reporto Extrabursátil Guaraníes</t>
  </si>
  <si>
    <t>SALDOS AL 31/12/2021</t>
  </si>
  <si>
    <t>ALTAS</t>
  </si>
  <si>
    <t>BAJAS</t>
  </si>
  <si>
    <t>REVALÚO DEL PERIODO</t>
  </si>
  <si>
    <t>ACUMULADOS AL 31/12/2021</t>
  </si>
  <si>
    <t>ACUMULADO AL CIERRE</t>
  </si>
  <si>
    <t>Muebles y Útiles</t>
  </si>
  <si>
    <t>Membresía Mercado Futuro</t>
  </si>
  <si>
    <t>Garantía Mercado Futuro</t>
  </si>
  <si>
    <t>Retención Impuesto al Valor Agregado</t>
  </si>
  <si>
    <t>Garantía de Alquiler</t>
  </si>
  <si>
    <t>Alquiler Central Telefónica Pagados Por Adelantado</t>
  </si>
  <si>
    <t>PRÉSTAMOS BANCARIOS</t>
  </si>
  <si>
    <t>Reserva de Revaluó</t>
  </si>
  <si>
    <t>Revaluó de acciones al inicio</t>
  </si>
  <si>
    <t>Servicios fibra óptica</t>
  </si>
  <si>
    <t>Servicios De Consultoría</t>
  </si>
  <si>
    <t>Garantías Constituidas:</t>
  </si>
  <si>
    <t>La firma cuenta con la libre disposición de su patrimonio.</t>
  </si>
  <si>
    <t>No Posee sanciones con la Comisión Nacional de Valores u otras entidades fiscalizadoras.</t>
  </si>
  <si>
    <t>Sofía Espinola Harms</t>
  </si>
  <si>
    <t>Darío Anibal Brugiati</t>
  </si>
  <si>
    <t>María Alejandra Achón Giménez</t>
  </si>
  <si>
    <t>Iván Andrea Krauer Carreras</t>
  </si>
  <si>
    <t>Eduardo Apud Martínez</t>
  </si>
  <si>
    <t>VALOR DE COTIZACIÓN</t>
  </si>
  <si>
    <t>SALDO INICIAL</t>
  </si>
  <si>
    <t>TIPO DE RELACIÓN</t>
  </si>
  <si>
    <t>TÍTULOS DE RENTA FIJA</t>
  </si>
  <si>
    <t>TIPO DE TÍTULO</t>
  </si>
  <si>
    <t>CANTIDAD DE TÍTULOS</t>
  </si>
  <si>
    <t>TÍTULOS DE RENTA VARIABLE</t>
  </si>
  <si>
    <t>TÍTULOS EN REPORTO</t>
  </si>
  <si>
    <t>Banco Continental 190084</t>
  </si>
  <si>
    <t>Financiera Ueno</t>
  </si>
  <si>
    <t>Reporto en Moneda Extranjera</t>
  </si>
  <si>
    <t>Financiera Ueno 469796002</t>
  </si>
  <si>
    <t>Banco Continental S.A.E.C.A</t>
  </si>
  <si>
    <t>Banco para la Comercialización y Producción S.A.</t>
  </si>
  <si>
    <t>Financiera Paraguayo Japonesa S.A.E.C.A.</t>
  </si>
  <si>
    <t>Cementos Concepción S.A.E</t>
  </si>
  <si>
    <t>Incade S.A</t>
  </si>
  <si>
    <t>Cementos Concepción S.A.E.</t>
  </si>
  <si>
    <t>Retención IDU</t>
  </si>
  <si>
    <t>Retención IRE</t>
  </si>
  <si>
    <t>Intereses Pagados Préstamos</t>
  </si>
  <si>
    <t>Contrato Futuro</t>
  </si>
  <si>
    <t>XXXl</t>
  </si>
  <si>
    <t>XXXll</t>
  </si>
  <si>
    <t>XXXlll</t>
  </si>
  <si>
    <t>XXXlV</t>
  </si>
  <si>
    <t>XXXI</t>
  </si>
  <si>
    <t>XXXII</t>
  </si>
  <si>
    <t>XXXIII</t>
  </si>
  <si>
    <t>XXXIV</t>
  </si>
  <si>
    <t>Iván Krauer</t>
  </si>
  <si>
    <t>Accionisa</t>
  </si>
  <si>
    <t>Rossana Arias</t>
  </si>
  <si>
    <t>Además, al cierre del periodo posee participación como controlantes de Avalon Administradora de Fondos Patrimoniales S.A. con capital de Gs. 9.002.000.000 que representa el 90,02% del capital social de dicha sociedad.</t>
  </si>
  <si>
    <t>Información al 30 de Setiembre de 2022</t>
  </si>
  <si>
    <t>Al 30 de Setiembre de 2022 el Capital Social de la sociedad (de acuerdo al Artículo N° 5 de los estatutos sociales) es de Gs. 100.000.000.000 representado por 1.000.000 de acciones nominativas ordinarias de valor nominal Gs. 100.000 cada una.</t>
  </si>
  <si>
    <t>CAMBIO CIERRE PERIODO AL 30/09/2022</t>
  </si>
  <si>
    <t>SALDO PERIODO EN ₲ AL 30/09/2022</t>
  </si>
  <si>
    <t>CUENTAS POR COBRAR</t>
  </si>
  <si>
    <t>Cupones por cobrar Bonos USD</t>
  </si>
  <si>
    <t>Reportos por Cobrar Bonos USD</t>
  </si>
  <si>
    <t>TIPO DE CAMBIO AL 30/09/2022</t>
  </si>
  <si>
    <t>MONTO AJUSTADO  AL 30/09/2022</t>
  </si>
  <si>
    <t>TIPO DE CAMBIO AL 30/09/2021</t>
  </si>
  <si>
    <t>MONTO AJUSTADO  AL 30/09/2021</t>
  </si>
  <si>
    <t>SALDO AL 30/09/2022</t>
  </si>
  <si>
    <t>Total Títulos de Renta Fija al 30/09/2022</t>
  </si>
  <si>
    <t>Total títulos Renta Variable al 30/09/2022</t>
  </si>
  <si>
    <t>Total títulos reportados al 30/09/2022</t>
  </si>
  <si>
    <t>Total al 30/09/2022</t>
  </si>
  <si>
    <t>Totales Inversiones corrientes al 30/09/2022</t>
  </si>
  <si>
    <t>Total Inversiones no Corrientes al 30/09/2022</t>
  </si>
  <si>
    <t>SALDOS AL  30/09/2022</t>
  </si>
  <si>
    <t>SALDOS AL 30/09/2022</t>
  </si>
  <si>
    <t>Totales al 30/09/2022</t>
  </si>
  <si>
    <t>SALDO AL 30/09/2021</t>
  </si>
  <si>
    <t>Totales al 30/09/2021</t>
  </si>
  <si>
    <t>Garantía por la suma total de Gs. 700.000.000 (Guaraníes Setecientos millones) con 7 cortes nominales de 100.000.000 (guaraníes cien millones), sobre siete Certificados de Depósitos de Ahorro de su propiedad, todos con fecha de vencimiento el 7 de septiembre del 2023</t>
  </si>
  <si>
    <t>Banco Atlas S.A</t>
  </si>
  <si>
    <t>Banco Familiar S.A.E.C.A.</t>
  </si>
  <si>
    <t>Banco GNB Paraguay S.A.</t>
  </si>
  <si>
    <t xml:space="preserve">Fic S.A. de Finanzas </t>
  </si>
  <si>
    <t>Financiera Paraguayo Japonesa S.A.E.C.A</t>
  </si>
  <si>
    <t>Solar Ahorro y Finanzas S.A.E.C.A</t>
  </si>
  <si>
    <t>Tapé Pora S.A.E.</t>
  </si>
  <si>
    <t>Tape Ruvicha S.A.E.C.A.</t>
  </si>
  <si>
    <t>Banco Basa S.A.</t>
  </si>
  <si>
    <t>Visión Banco S.A.E.C.A.</t>
  </si>
  <si>
    <t>Saldo período al 30/09/2022</t>
  </si>
  <si>
    <t>Operaciones de Reporto Extrabursátil Dólares</t>
  </si>
  <si>
    <t>Utiles de oficina en existencia</t>
  </si>
  <si>
    <t>BALANCE GENERAL AL 30/09/2022                                                                                                                                                                                                                                                                                                                                                                                                      PRESENTADO EN FORMA COMPARATIVA CON EL EJERCICIO ANTERIOR CERRADO EL 31/12/2021                                                                                                                                                                                                                                                             (Expresado en Guaraníes)</t>
  </si>
  <si>
    <t>Cupones por cobrar</t>
  </si>
  <si>
    <t>Fondo Pasivo laboral</t>
  </si>
  <si>
    <t>SALDO 30/09/2022</t>
  </si>
  <si>
    <t>Otros beneficios al personal</t>
  </si>
  <si>
    <t>CORRESPONDIENTE AL 30 DE SETIEMBRE DE 2022 PRESENTADO EN FORMA COMPARATIVA CON EL 30 DE SETIEMBRE DE 2021</t>
  </si>
  <si>
    <t>Servicios Personales</t>
  </si>
  <si>
    <t>INFORMACIÓN SOBRE EL EMISOR AL 31/03/2022</t>
  </si>
  <si>
    <t>--------------------</t>
  </si>
  <si>
    <t>417.173.200.000 40.488.702.008 672.341.075.624</t>
  </si>
  <si>
    <t>SALDO 30/09/2021</t>
  </si>
  <si>
    <t>ESTADO DE FLUJO DE EFECTIVO                                                                                                                                                                                                                                                                   CORRESPONDIENTE AL 30 DE SETIEMBRE DE 2022 PRESENTADO EN FORMA COMPARATIVA CON EL 30 DE SETIEMBRE DE 2021                                                                                                                                                             (Expresado en Guaraníes)</t>
  </si>
  <si>
    <t>Diviendos cobrados</t>
  </si>
  <si>
    <t>Participación en capital de la Administradora de Fondos</t>
  </si>
  <si>
    <t>Porcentaje de votos en la Administradora de Fondos</t>
  </si>
  <si>
    <t>ESTADO DE RESULTADOS CORRESPONDIENTE  AL 30 DE SETIEMBRE DE 2022                                                                                                                                                                                PRESENTADO EN FORMA COMPARATIVA CON EL 30 DE SETIEMBRE DE 2021                                                                                                                                (Expresado en Guaraníes)</t>
  </si>
  <si>
    <t>Total títulos permanentes al 30/09/2022</t>
  </si>
  <si>
    <t>Total títulos permanentes al 31/12/2021</t>
  </si>
  <si>
    <t>Los Estados Financieros al 30 de setiembre de 2022 fueron aprobados por Acta de Directorio N° 178 del 25/10/2022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</si>
</sst>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6">
    <numFmt numFmtId="6" formatCode="&quot;₲&quot;\ #,##0;[Red]&quot;₲&quot;\ \-#,##0"/>
    <numFmt numFmtId="41" formatCode="_ * #,##0_ ;_ * \-#,##0_ ;_ * &quot;-&quot;_ ;_ @_ "/>
    <numFmt numFmtId="43" formatCode="_ * #,##0.00_ ;_ * \-#,##0.00_ ;_ * &quot;-&quot;??_ ;_ @_ "/>
    <numFmt numFmtId="164" formatCode="_-* #,##0.00\ _€_-;\-* #,##0.00\ _€_-;_-* &quot;-&quot;??\ _€_-;_-@_-"/>
    <numFmt numFmtId="165" formatCode="_(* #,##0.00_);_(* \(#,##0.00\);_(* &quot;-&quot;??_);_(@_)"/>
    <numFmt numFmtId="166" formatCode="_ * #,##0_ ;_ * \-#,##0_ ;_ * &quot;-&quot;??_ ;_ @_ "/>
    <numFmt numFmtId="167" formatCode="_ &quot;Gs&quot;\ * #,##0_ ;_ &quot;Gs&quot;\ * \-#,##0_ ;_ &quot;Gs&quot;\ * &quot;-&quot;_ ;_ @_ "/>
    <numFmt numFmtId="168" formatCode="_ &quot;Gs&quot;\ * #,##0.00_ ;_ &quot;Gs&quot;\ * \-#,##0.00_ ;_ &quot;Gs&quot;\ * &quot;-&quot;??_ ;_ @_ "/>
    <numFmt numFmtId="169" formatCode="_ * #,##0.00_ ;_ * \-#,##0.00_ ;_ * &quot;-&quot;_ ;_ @_ "/>
    <numFmt numFmtId="170" formatCode="0.0"/>
    <numFmt numFmtId="171" formatCode="#,##0_ ;[Red]\-#,##0\ "/>
    <numFmt numFmtId="172" formatCode="#,##0.00_ ;[Red]\-#,##0.00\ "/>
    <numFmt numFmtId="173" formatCode="_-* #,##0.00_-;\-* #,##0.00_-;_-* \-??_-;_-@_-"/>
    <numFmt numFmtId="174" formatCode="_(* #,##0_);_(* \(#,##0\);_(* &quot;-&quot;??_);_(@_)"/>
    <numFmt numFmtId="175" formatCode="#,##0_ ;\-#,##0\ "/>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1" formatCode="_-* #,##0_-;\-* #,##0_-;_-* &quot;-&quot;_-;_-@_-"/>
    <numFmt numFmtId="192" formatCode="_-* #,##0.00_-;\-* #,##0.00_-;_-* &quot;-&quot;??_-;_-@_-"/>
    <numFmt numFmtId="193" formatCode="_-* #,##0_-;\-* #,##0_-;_-* &quot;-&quot;??_-;_-@_-"/>
    <numFmt numFmtId="194" formatCode="_(&quot;$&quot;* #,##0.00_);_(&quot;$&quot;* \(#,##0.00\);_(&quot;$&quot;* &quot;-&quot;??_);_(@_)"/>
    <numFmt numFmtId="195" formatCode="[$$-540A]#,##0.00_);\([$$-540A]#,##0.00\)"/>
    <numFmt numFmtId="196" formatCode="_-* #,##0.00\ &quot;Pts&quot;_-;\-* #,##0.00\ &quot;Pts&quot;_-;_-* &quot;-&quot;??\ &quot;Pts&quot;_-;_-@_-"/>
    <numFmt numFmtId="197" formatCode="0.000%"/>
    <numFmt numFmtId="198" formatCode="dd/mm/yyyy;@"/>
    <numFmt numFmtId="199" formatCode="_-* #,##0\ _€_-;\-* #,##0\ _€_-;_-* &quot;-&quot;\ _€_-;_-@_-"/>
    <numFmt numFmtId="200" formatCode="_-* #,##0\ &quot;Gs.&quot;_-;\-* #,##0\ &quot;Gs.&quot;_-;_-* &quot;-&quot;\ &quot;Gs.&quot;_-;_-@_-"/>
    <numFmt numFmtId="201" formatCode="_-* #,##0.00\ [$€]_-;\-* #,##0.00\ [$€]_-;_-* &quot;-&quot;??\ [$€]_-;_-@_-"/>
    <numFmt numFmtId="202" formatCode="_-* #,##0.00\ _G_s_._-;\-* #,##0.00\ _G_s_._-;_-* &quot;-&quot;??\ _G_s_._-;_-@_-"/>
    <numFmt numFmtId="203" formatCode="0%_);\(0%\)"/>
    <numFmt numFmtId="204" formatCode="_-* #,##0.00\ &quot;€&quot;_-;\-* #,##0.00\ &quot;€&quot;_-;_-* &quot;-&quot;??\ &quot;€&quot;_-;_-@_-"/>
    <numFmt numFmtId="205" formatCode="_-* #,##0\ _D_M_-;\-* #,##0\ _D_M_-;_-* &quot;-&quot;\ _D_M_-;_-@_-"/>
    <numFmt numFmtId="206" formatCode="_([$€]* #,##0.00_);_([$€]* \(#,##0.00\);_([$€]* &quot;-&quot;??_);_(@_)"/>
  </numFmts>
  <fonts count="135">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sz val="9.5"/>
      <color theme="1"/>
      <name val="Arial"/>
      <family val="2"/>
    </font>
    <font>
      <b/>
      <sz val="9.5"/>
      <color theme="1"/>
      <name val="Arial"/>
      <family val="2"/>
    </font>
    <font>
      <sz val="9.5"/>
      <color rgb="FFFF0000"/>
      <name val="Arial"/>
      <family val="2"/>
    </font>
    <font>
      <sz val="9.5"/>
      <color theme="1"/>
      <name val="Calibri"/>
      <family val="2"/>
      <scheme val="minor"/>
    </font>
    <font>
      <b/>
      <sz val="9.5"/>
      <color theme="1"/>
      <name val="Calibri"/>
      <family val="2"/>
      <scheme val="minor"/>
    </font>
    <font>
      <b/>
      <sz val="9.5"/>
      <name val="Calibri"/>
      <family val="2"/>
      <scheme val="minor"/>
    </font>
    <font>
      <b/>
      <i/>
      <sz val="9.5"/>
      <color theme="1"/>
      <name val="Calibri"/>
      <family val="2"/>
      <scheme val="minor"/>
    </font>
    <font>
      <sz val="9.5"/>
      <color indexed="8"/>
      <name val="Calibri"/>
      <family val="2"/>
      <scheme val="minor"/>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
      <sz val="9.5"/>
      <color theme="1"/>
      <name val="Outfit"/>
    </font>
    <font>
      <b/>
      <sz val="12"/>
      <color theme="1"/>
      <name val="Outfit"/>
    </font>
    <font>
      <sz val="10"/>
      <color theme="1"/>
      <name val="Outfit"/>
    </font>
    <font>
      <b/>
      <sz val="10"/>
      <color theme="1"/>
      <name val="Outfit"/>
    </font>
    <font>
      <b/>
      <u/>
      <sz val="12"/>
      <color theme="1"/>
      <name val="Outfit"/>
    </font>
    <font>
      <b/>
      <sz val="9.5"/>
      <color theme="1"/>
      <name val="Outfit"/>
    </font>
    <font>
      <b/>
      <u/>
      <sz val="10"/>
      <color theme="1"/>
      <name val="Outfit"/>
    </font>
    <font>
      <b/>
      <u/>
      <sz val="9.5"/>
      <color theme="1"/>
      <name val="Outfit"/>
    </font>
    <font>
      <b/>
      <u/>
      <sz val="10"/>
      <color theme="1"/>
      <name val="Arial"/>
      <family val="2"/>
    </font>
    <font>
      <sz val="10"/>
      <color theme="1"/>
      <name val="Arial"/>
      <family val="2"/>
    </font>
    <font>
      <u/>
      <sz val="10"/>
      <color theme="10"/>
      <name val="Outfit"/>
    </font>
    <font>
      <b/>
      <sz val="10"/>
      <color theme="1"/>
      <name val="Arial"/>
      <family val="2"/>
    </font>
    <font>
      <b/>
      <sz val="9"/>
      <color theme="0"/>
      <name val="Outfit"/>
    </font>
    <font>
      <sz val="9.5"/>
      <name val="Outfit"/>
    </font>
    <font>
      <b/>
      <sz val="9.5"/>
      <name val="Outfit"/>
    </font>
    <font>
      <sz val="9.5"/>
      <color rgb="FFFF0000"/>
      <name val="Outfit"/>
    </font>
    <font>
      <u/>
      <sz val="9.5"/>
      <color theme="1"/>
      <name val="Outfit"/>
    </font>
    <font>
      <b/>
      <sz val="10"/>
      <color theme="0"/>
      <name val="Outfit"/>
    </font>
    <font>
      <sz val="9.5"/>
      <color theme="0"/>
      <name val="Outfit"/>
    </font>
    <font>
      <b/>
      <sz val="10"/>
      <color theme="1" tint="4.9989318521683403E-2"/>
      <name val="Outfit"/>
    </font>
    <font>
      <sz val="10"/>
      <color theme="1" tint="4.9989318521683403E-2"/>
      <name val="Outfit"/>
    </font>
    <font>
      <sz val="9.5"/>
      <color theme="1" tint="4.9989318521683403E-2"/>
      <name val="Arial"/>
      <family val="2"/>
    </font>
    <font>
      <b/>
      <sz val="9.5"/>
      <color theme="1" tint="4.9989318521683403E-2"/>
      <name val="Arial"/>
      <family val="2"/>
    </font>
    <font>
      <b/>
      <i/>
      <sz val="10"/>
      <color theme="1" tint="4.9989318521683403E-2"/>
      <name val="Outfit"/>
    </font>
    <font>
      <b/>
      <u/>
      <sz val="10"/>
      <color theme="1" tint="4.9989318521683403E-2"/>
      <name val="Outfit"/>
    </font>
    <font>
      <b/>
      <strike/>
      <sz val="10"/>
      <color theme="1" tint="4.9989318521683403E-2"/>
      <name val="Outfit"/>
    </font>
    <font>
      <strike/>
      <sz val="10"/>
      <color theme="1" tint="4.9989318521683403E-2"/>
      <name val="Outfit"/>
    </font>
    <font>
      <i/>
      <sz val="10"/>
      <color theme="1" tint="4.9989318521683403E-2"/>
      <name val="Outfit"/>
    </font>
    <font>
      <b/>
      <sz val="9.5"/>
      <color theme="0"/>
      <name val="Outfit"/>
    </font>
    <font>
      <b/>
      <u/>
      <sz val="10"/>
      <color theme="0"/>
      <name val="Outfit"/>
    </font>
    <font>
      <sz val="10"/>
      <color theme="0"/>
      <name val="Outfit"/>
    </font>
    <font>
      <sz val="18"/>
      <color theme="3"/>
      <name val="Cambria"/>
      <family val="2"/>
      <scheme val="major"/>
    </font>
    <font>
      <b/>
      <sz val="10"/>
      <color rgb="FFFF0000"/>
      <name val="Outfit"/>
    </font>
    <font>
      <sz val="11"/>
      <color indexed="9"/>
      <name val="Calibri"/>
      <family val="2"/>
    </font>
    <font>
      <sz val="11"/>
      <color indexed="17"/>
      <name val="Calibri"/>
      <family val="2"/>
    </font>
    <font>
      <b/>
      <sz val="11"/>
      <color indexed="9"/>
      <name val="Calibri"/>
      <family val="2"/>
    </font>
    <font>
      <sz val="11"/>
      <color indexed="52"/>
      <name val="Calibri"/>
      <family val="2"/>
    </font>
    <font>
      <b/>
      <sz val="12"/>
      <color indexed="9"/>
      <name val="Calibri"/>
      <family val="2"/>
    </font>
    <font>
      <b/>
      <sz val="11"/>
      <color indexed="52"/>
      <name val="Calibri"/>
      <family val="2"/>
    </font>
    <font>
      <b/>
      <sz val="11"/>
      <color indexed="62"/>
      <name val="Calibri"/>
      <family val="2"/>
    </font>
    <font>
      <sz val="11"/>
      <color indexed="62"/>
      <name val="Calibri"/>
      <family val="2"/>
    </font>
    <font>
      <sz val="12"/>
      <color indexed="17"/>
      <name val="Calibri"/>
      <family val="2"/>
    </font>
    <font>
      <b/>
      <sz val="15"/>
      <color indexed="56"/>
      <name val="Calibri"/>
      <family val="2"/>
    </font>
    <font>
      <b/>
      <sz val="11"/>
      <color indexed="56"/>
      <name val="Calibri"/>
      <family val="2"/>
    </font>
    <font>
      <sz val="11"/>
      <color indexed="20"/>
      <name val="Calibri"/>
      <family val="2"/>
    </font>
    <font>
      <sz val="12"/>
      <color indexed="62"/>
      <name val="Calibri"/>
      <family val="2"/>
    </font>
    <font>
      <sz val="12"/>
      <color indexed="52"/>
      <name val="Calibri"/>
      <family val="2"/>
    </font>
    <font>
      <sz val="12"/>
      <color indexed="60"/>
      <name val="Calibri"/>
      <family val="2"/>
    </font>
    <font>
      <b/>
      <sz val="11"/>
      <color indexed="63"/>
      <name val="Calibri"/>
      <family val="2"/>
    </font>
    <font>
      <sz val="11"/>
      <color indexed="10"/>
      <name val="Calibri"/>
      <family val="2"/>
    </font>
    <font>
      <i/>
      <sz val="11"/>
      <color indexed="23"/>
      <name val="Calibri"/>
      <family val="2"/>
    </font>
    <font>
      <b/>
      <sz val="12"/>
      <color indexed="8"/>
      <name val="Calibri"/>
      <family val="2"/>
    </font>
    <font>
      <sz val="12"/>
      <color indexed="10"/>
      <name val="Calibri"/>
      <family val="2"/>
    </font>
    <font>
      <b/>
      <sz val="10"/>
      <name val="Arial"/>
      <family val="2"/>
    </font>
    <font>
      <b/>
      <sz val="13"/>
      <color indexed="56"/>
      <name val="Calibri"/>
      <family val="2"/>
    </font>
    <font>
      <sz val="11"/>
      <color indexed="60"/>
      <name val="Calibri"/>
      <family val="2"/>
    </font>
    <font>
      <b/>
      <sz val="10"/>
      <color indexed="10"/>
      <name val="Arial"/>
      <family val="2"/>
    </font>
    <font>
      <b/>
      <sz val="18"/>
      <color indexed="56"/>
      <name val="Cambria"/>
      <family val="2"/>
    </font>
    <font>
      <b/>
      <sz val="11"/>
      <color indexed="8"/>
      <name val="Calibri"/>
      <family val="2"/>
    </font>
    <font>
      <sz val="10"/>
      <name val="Arial"/>
      <family val="2"/>
    </font>
    <font>
      <sz val="10"/>
      <color indexed="64"/>
      <name val="Arial"/>
      <family val="2"/>
    </font>
    <font>
      <sz val="10"/>
      <name val="Courier"/>
      <family val="3"/>
    </font>
    <font>
      <sz val="10"/>
      <name val="MS Sans Serif"/>
      <family val="2"/>
    </font>
    <font>
      <sz val="11"/>
      <color theme="1"/>
      <name val="Arial"/>
      <family val="2"/>
    </font>
  </fonts>
  <fills count="67">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BAD40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7"/>
        <bgColor indexed="41"/>
      </patternFill>
    </fill>
    <fill>
      <patternFill patternType="solid">
        <fgColor indexed="26"/>
        <b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b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27"/>
      </patternFill>
    </fill>
    <fill>
      <patternFill patternType="solid">
        <fgColor indexed="22"/>
      </patternFill>
    </fill>
    <fill>
      <patternFill patternType="solid">
        <fgColor indexed="55"/>
        <bgColor indexed="23"/>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3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5">
    <xf numFmtId="0" fontId="0" fillId="0" borderId="0"/>
    <xf numFmtId="165"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4" applyNumberFormat="0" applyFont="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3" fontId="7" fillId="0" borderId="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8" fillId="0" borderId="0"/>
    <xf numFmtId="164"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0" fontId="11" fillId="0" borderId="0" applyFont="0" applyFill="0" applyBorder="0" applyAlignment="0" applyProtection="0"/>
    <xf numFmtId="178" fontId="11" fillId="0" borderId="0" applyFont="0" applyBorder="0" applyProtection="0"/>
    <xf numFmtId="182" fontId="11" fillId="0" borderId="0" applyFont="0" applyBorder="0" applyProtection="0"/>
    <xf numFmtId="179" fontId="11" fillId="0" borderId="0" applyFont="0" applyBorder="0" applyProtection="0"/>
    <xf numFmtId="183"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1" fontId="12" fillId="0" borderId="0" applyBorder="0" applyProtection="0">
      <alignment horizontal="center" textRotation="90"/>
    </xf>
    <xf numFmtId="0" fontId="12" fillId="0" borderId="0" applyNumberFormat="0" applyBorder="0" applyProtection="0">
      <alignment horizontal="center" textRotation="90"/>
    </xf>
    <xf numFmtId="180" fontId="11" fillId="0" borderId="0" applyFont="0" applyBorder="0" applyProtection="0"/>
    <xf numFmtId="184" fontId="11" fillId="0" borderId="0" applyFont="0" applyBorder="0" applyProtection="0"/>
    <xf numFmtId="0" fontId="13" fillId="0" borderId="0" applyNumberFormat="0" applyBorder="0" applyProtection="0"/>
    <xf numFmtId="181" fontId="11" fillId="0" borderId="0" applyFont="0" applyBorder="0" applyProtection="0"/>
    <xf numFmtId="181" fontId="14" fillId="0" borderId="0" applyBorder="0" applyProtection="0"/>
    <xf numFmtId="0" fontId="15" fillId="0" borderId="0" applyNumberFormat="0" applyBorder="0" applyProtection="0"/>
    <xf numFmtId="181" fontId="15" fillId="0" borderId="0" applyBorder="0" applyProtection="0"/>
    <xf numFmtId="0" fontId="15" fillId="0" borderId="0" applyNumberFormat="0" applyBorder="0" applyProtection="0"/>
    <xf numFmtId="185" fontId="15" fillId="0" borderId="0" applyBorder="0" applyProtection="0"/>
    <xf numFmtId="186" fontId="15" fillId="0" borderId="0" applyBorder="0" applyProtection="0"/>
    <xf numFmtId="185" fontId="15" fillId="0" borderId="0" applyBorder="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88"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2" fillId="0" borderId="0" applyFill="0" applyBorder="0" applyAlignment="0" applyProtection="0"/>
    <xf numFmtId="190"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89" fontId="2" fillId="0" borderId="0" applyFill="0" applyBorder="0" applyAlignment="0" applyProtection="0"/>
    <xf numFmtId="18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10" borderId="20" applyNumberFormat="0" applyAlignment="0" applyProtection="0"/>
    <xf numFmtId="0" fontId="32" fillId="11" borderId="21" applyNumberFormat="0" applyAlignment="0" applyProtection="0"/>
    <xf numFmtId="0" fontId="33" fillId="11" borderId="20" applyNumberFormat="0" applyAlignment="0" applyProtection="0"/>
    <xf numFmtId="0" fontId="34" fillId="0" borderId="22" applyNumberFormat="0" applyFill="0" applyAlignment="0" applyProtection="0"/>
    <xf numFmtId="0" fontId="35" fillId="12" borderId="23" applyNumberFormat="0" applyAlignment="0" applyProtection="0"/>
    <xf numFmtId="0" fontId="36" fillId="0" borderId="0" applyNumberFormat="0" applyFill="0" applyBorder="0" applyAlignment="0" applyProtection="0"/>
    <xf numFmtId="0" fontId="1" fillId="2" borderId="4" applyNumberFormat="0" applyFont="0" applyAlignment="0" applyProtection="0"/>
    <xf numFmtId="0" fontId="37" fillId="0" borderId="0" applyNumberFormat="0" applyFill="0" applyBorder="0" applyAlignment="0" applyProtection="0"/>
    <xf numFmtId="0" fontId="38" fillId="0" borderId="24"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1" fillId="0" borderId="1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xf numFmtId="0" fontId="53" fillId="7" borderId="0" applyNumberFormat="0" applyBorder="0" applyAlignment="0" applyProtection="0"/>
    <xf numFmtId="41" fontId="2" fillId="0" borderId="0" applyFont="0" applyFill="0" applyBorder="0" applyAlignment="0" applyProtection="0"/>
    <xf numFmtId="0" fontId="52" fillId="0" borderId="19"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92" fontId="1" fillId="0" borderId="0" applyFont="0" applyFill="0" applyBorder="0" applyAlignment="0" applyProtection="0"/>
    <xf numFmtId="0" fontId="42" fillId="0" borderId="0"/>
    <xf numFmtId="191" fontId="2" fillId="0" borderId="0" applyFont="0" applyFill="0" applyBorder="0" applyAlignment="0" applyProtection="0"/>
    <xf numFmtId="43" fontId="1" fillId="0" borderId="0" applyFont="0" applyFill="0" applyBorder="0" applyAlignment="0" applyProtection="0"/>
    <xf numFmtId="0" fontId="42"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50" fillId="0" borderId="1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44" fillId="0" borderId="0"/>
    <xf numFmtId="41" fontId="44"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4" fontId="45" fillId="0" borderId="0" applyFont="0" applyFill="0" applyBorder="0" applyAlignment="0" applyProtection="0"/>
    <xf numFmtId="0" fontId="2" fillId="0" borderId="0"/>
    <xf numFmtId="0" fontId="1" fillId="0" borderId="0"/>
    <xf numFmtId="0" fontId="46" fillId="0" borderId="0"/>
    <xf numFmtId="9" fontId="2" fillId="0" borderId="0" applyFont="0" applyFill="0" applyBorder="0" applyAlignment="0" applyProtection="0"/>
    <xf numFmtId="41" fontId="1" fillId="0" borderId="0" applyFont="0" applyFill="0" applyBorder="0" applyAlignment="0" applyProtection="0"/>
    <xf numFmtId="192"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44" fillId="0" borderId="0" applyFont="0" applyFill="0" applyBorder="0" applyAlignment="0" applyProtection="0"/>
    <xf numFmtId="0" fontId="49" fillId="0" borderId="0" applyNumberForma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41" fontId="1" fillId="0" borderId="0" applyFont="0" applyFill="0" applyBorder="0" applyAlignment="0" applyProtection="0"/>
    <xf numFmtId="192" fontId="1" fillId="0" borderId="0" applyFont="0" applyFill="0" applyBorder="0" applyAlignment="0" applyProtection="0"/>
    <xf numFmtId="0" fontId="1" fillId="0" borderId="0"/>
    <xf numFmtId="19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xf numFmtId="0" fontId="54" fillId="8" borderId="0" applyNumberFormat="0" applyBorder="0" applyAlignment="0" applyProtection="0"/>
    <xf numFmtId="41" fontId="1" fillId="0" borderId="0" applyFont="0" applyFill="0" applyBorder="0" applyAlignment="0" applyProtection="0"/>
    <xf numFmtId="0" fontId="55" fillId="9" borderId="0" applyNumberFormat="0" applyBorder="0" applyAlignment="0" applyProtection="0"/>
    <xf numFmtId="0" fontId="56" fillId="10" borderId="20" applyNumberFormat="0" applyAlignment="0" applyProtection="0"/>
    <xf numFmtId="0" fontId="57" fillId="11" borderId="21" applyNumberFormat="0" applyAlignment="0" applyProtection="0"/>
    <xf numFmtId="0" fontId="58" fillId="11" borderId="20" applyNumberFormat="0" applyAlignment="0" applyProtection="0"/>
    <xf numFmtId="0" fontId="59" fillId="0" borderId="22" applyNumberFormat="0" applyFill="0" applyAlignment="0" applyProtection="0"/>
    <xf numFmtId="0" fontId="60" fillId="12" borderId="23" applyNumberFormat="0" applyAlignment="0" applyProtection="0"/>
    <xf numFmtId="0" fontId="61" fillId="0" borderId="0" applyNumberFormat="0" applyFill="0" applyBorder="0" applyAlignment="0" applyProtection="0"/>
    <xf numFmtId="0" fontId="48" fillId="2" borderId="4" applyNumberFormat="0" applyFont="0" applyAlignment="0" applyProtection="0"/>
    <xf numFmtId="0" fontId="62" fillId="0" borderId="0" applyNumberFormat="0" applyFill="0" applyBorder="0" applyAlignment="0" applyProtection="0"/>
    <xf numFmtId="0" fontId="63" fillId="0" borderId="24" applyNumberFormat="0" applyFill="0" applyAlignment="0" applyProtection="0"/>
    <xf numFmtId="0" fontId="64"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64" fillId="36" borderId="0" applyNumberFormat="0" applyBorder="0" applyAlignment="0" applyProtection="0"/>
    <xf numFmtId="43" fontId="48"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48" fillId="0" borderId="0" applyFont="0" applyFill="0" applyBorder="0" applyAlignment="0" applyProtection="0"/>
    <xf numFmtId="195"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0" fontId="65"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48" fillId="0" borderId="0" applyFont="0" applyFill="0" applyBorder="0" applyAlignment="0" applyProtection="0"/>
    <xf numFmtId="0" fontId="2" fillId="0" borderId="0"/>
    <xf numFmtId="43" fontId="1" fillId="0" borderId="0" applyFont="0" applyFill="0" applyBorder="0" applyAlignment="0" applyProtection="0"/>
    <xf numFmtId="43" fontId="48"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5" fontId="1" fillId="0" borderId="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4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66" fillId="0" borderId="0">
      <alignment vertical="top"/>
    </xf>
    <xf numFmtId="193"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8"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5" fontId="1" fillId="0" borderId="0"/>
    <xf numFmtId="0" fontId="1" fillId="0" borderId="0"/>
    <xf numFmtId="0" fontId="48"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0" borderId="0"/>
    <xf numFmtId="0" fontId="1" fillId="0" borderId="0"/>
    <xf numFmtId="164" fontId="2" fillId="0" borderId="0" applyFont="0" applyFill="0" applyBorder="0" applyAlignment="0" applyProtection="0"/>
    <xf numFmtId="0" fontId="68" fillId="9"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6" fontId="2" fillId="0" borderId="0" applyFont="0" applyFill="0" applyBorder="0" applyAlignment="0" applyProtection="0"/>
    <xf numFmtId="192" fontId="43" fillId="0" borderId="0" applyFont="0" applyFill="0" applyBorder="0" applyAlignment="0" applyProtection="0"/>
    <xf numFmtId="0" fontId="70" fillId="0" borderId="0"/>
    <xf numFmtId="41" fontId="1" fillId="0" borderId="0" applyFont="0" applyFill="0" applyBorder="0" applyAlignment="0" applyProtection="0"/>
    <xf numFmtId="0" fontId="42" fillId="0" borderId="0"/>
    <xf numFmtId="0" fontId="69" fillId="0" borderId="0" applyNumberFormat="0" applyFill="0" applyBorder="0" applyAlignment="0" applyProtection="0"/>
    <xf numFmtId="0" fontId="39" fillId="36" borderId="0" applyNumberFormat="0" applyBorder="0" applyAlignment="0" applyProtection="0"/>
    <xf numFmtId="9" fontId="4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39" fillId="32" borderId="0" applyNumberFormat="0" applyBorder="0" applyAlignment="0" applyProtection="0"/>
    <xf numFmtId="0" fontId="39" fillId="28" borderId="0" applyNumberFormat="0" applyBorder="0" applyAlignment="0" applyProtection="0"/>
    <xf numFmtId="0" fontId="39" fillId="24" borderId="0" applyNumberFormat="0" applyBorder="0" applyAlignment="0" applyProtection="0"/>
    <xf numFmtId="43" fontId="1" fillId="0" borderId="0" applyFont="0" applyFill="0" applyBorder="0" applyAlignment="0" applyProtection="0"/>
    <xf numFmtId="197" fontId="2" fillId="0" borderId="0" applyFont="0" applyFill="0" applyBorder="0" applyAlignment="0" applyProtection="0"/>
    <xf numFmtId="0" fontId="39" fillId="20" borderId="0" applyNumberFormat="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1" fontId="2" fillId="0" borderId="0" applyFont="0" applyFill="0" applyBorder="0" applyAlignment="0" applyProtection="0"/>
    <xf numFmtId="43" fontId="2" fillId="0" borderId="0" applyFont="0" applyFill="0" applyBorder="0" applyAlignment="0" applyProtection="0"/>
    <xf numFmtId="0" fontId="39" fillId="16"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48" fillId="0" borderId="0" applyFont="0" applyFill="0" applyBorder="0" applyAlignment="0" applyProtection="0"/>
    <xf numFmtId="195"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0" fontId="1" fillId="0" borderId="0"/>
    <xf numFmtId="43" fontId="1" fillId="0" borderId="0" applyFont="0" applyFill="0" applyBorder="0" applyAlignment="0" applyProtection="0"/>
    <xf numFmtId="43" fontId="48" fillId="0" borderId="0" applyFont="0" applyFill="0" applyBorder="0" applyAlignment="0" applyProtection="0"/>
    <xf numFmtId="9" fontId="48" fillId="0" borderId="0" applyFont="0" applyFill="0" applyBorder="0" applyAlignment="0" applyProtection="0"/>
    <xf numFmtId="0" fontId="1" fillId="0" borderId="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0" fontId="43" fillId="0" borderId="0"/>
    <xf numFmtId="0" fontId="42" fillId="37"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43" fillId="0" borderId="0" applyFont="0" applyFill="0" applyBorder="0" applyAlignment="0" applyProtection="0"/>
    <xf numFmtId="0" fontId="7" fillId="0" borderId="0"/>
    <xf numFmtId="173" fontId="7" fillId="0" borderId="0" applyFill="0" applyBorder="0" applyAlignment="0" applyProtection="0"/>
    <xf numFmtId="41" fontId="2" fillId="0" borderId="0" applyFill="0" applyBorder="0" applyAlignment="0" applyProtection="0"/>
    <xf numFmtId="0" fontId="2" fillId="0" borderId="0"/>
    <xf numFmtId="0" fontId="2" fillId="0" borderId="0"/>
    <xf numFmtId="164" fontId="2" fillId="0" borderId="0" applyFill="0" applyBorder="0" applyAlignment="0" applyProtection="0"/>
    <xf numFmtId="199"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0" fontId="102" fillId="0" borderId="0" applyNumberFormat="0" applyFill="0" applyBorder="0" applyAlignment="0" applyProtection="0"/>
    <xf numFmtId="0" fontId="2" fillId="0" borderId="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42"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104" fillId="52" borderId="0" applyNumberFormat="0" applyBorder="0" applyAlignment="0" applyProtection="0"/>
    <xf numFmtId="0" fontId="104" fillId="48" borderId="0" applyNumberFormat="0" applyBorder="0" applyAlignment="0" applyProtection="0"/>
    <xf numFmtId="0" fontId="104" fillId="49"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8"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104" fillId="59" borderId="0" applyNumberFormat="0" applyBorder="0" applyAlignment="0" applyProtection="0"/>
    <xf numFmtId="0" fontId="115" fillId="40" borderId="0" applyNumberFormat="0" applyBorder="0" applyAlignment="0" applyProtection="0"/>
    <xf numFmtId="0" fontId="105" fillId="60" borderId="0" applyNumberFormat="0" applyBorder="0" applyAlignment="0" applyProtection="0"/>
    <xf numFmtId="0" fontId="109" fillId="61" borderId="30" applyNumberFormat="0" applyAlignment="0" applyProtection="0"/>
    <xf numFmtId="0" fontId="106" fillId="62" borderId="31" applyNumberFormat="0" applyAlignment="0" applyProtection="0"/>
    <xf numFmtId="0" fontId="107" fillId="0" borderId="32" applyNumberFormat="0" applyFill="0" applyAlignment="0" applyProtection="0"/>
    <xf numFmtId="0" fontId="108" fillId="62" borderId="31" applyNumberFormat="0" applyAlignment="0" applyProtection="0"/>
    <xf numFmtId="0" fontId="108" fillId="62" borderId="3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200" fontId="2" fillId="0" borderId="0" applyFill="0" applyBorder="0" applyAlignment="0" applyProtection="0"/>
    <xf numFmtId="200" fontId="2" fillId="0" borderId="0" applyFill="0" applyBorder="0" applyAlignment="0" applyProtection="0"/>
    <xf numFmtId="0" fontId="110" fillId="0" borderId="0" applyNumberFormat="0" applyFill="0" applyBorder="0" applyAlignment="0" applyProtection="0"/>
    <xf numFmtId="0" fontId="111" fillId="45" borderId="30" applyNumberFormat="0" applyAlignment="0" applyProtection="0"/>
    <xf numFmtId="201" fontId="2" fillId="0" borderId="0" applyFont="0" applyFill="0" applyBorder="0" applyAlignment="0" applyProtection="0"/>
    <xf numFmtId="0" fontId="121" fillId="0" borderId="0" applyNumberFormat="0" applyFill="0" applyBorder="0" applyAlignment="0" applyProtection="0"/>
    <xf numFmtId="0" fontId="112" fillId="60" borderId="0" applyNumberFormat="0" applyBorder="0" applyAlignment="0" applyProtection="0"/>
    <xf numFmtId="0" fontId="112" fillId="60" borderId="0" applyNumberFormat="0" applyBorder="0" applyAlignment="0" applyProtection="0"/>
    <xf numFmtId="14" fontId="124" fillId="63" borderId="33">
      <alignment horizontal="center" vertical="center" wrapText="1"/>
    </xf>
    <xf numFmtId="0" fontId="113" fillId="0" borderId="34" applyNumberFormat="0" applyFill="0" applyAlignment="0" applyProtection="0"/>
    <xf numFmtId="0" fontId="125" fillId="0" borderId="35" applyNumberFormat="0" applyFill="0" applyAlignment="0" applyProtection="0"/>
    <xf numFmtId="0" fontId="114" fillId="0" borderId="36"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6" fillId="45" borderId="30" applyNumberFormat="0" applyAlignment="0" applyProtection="0"/>
    <xf numFmtId="0" fontId="116" fillId="45" borderId="30" applyNumberFormat="0" applyAlignment="0" applyProtection="0"/>
    <xf numFmtId="0" fontId="117" fillId="0" borderId="32" applyNumberFormat="0" applyFill="0" applyAlignment="0" applyProtection="0"/>
    <xf numFmtId="0" fontId="117" fillId="0" borderId="32" applyNumberFormat="0" applyFill="0" applyAlignment="0" applyProtection="0"/>
    <xf numFmtId="176" fontId="2" fillId="0" borderId="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02" fontId="2" fillId="0" borderId="0" applyFont="0" applyFill="0" applyBorder="0" applyAlignment="0" applyProtection="0"/>
    <xf numFmtId="176" fontId="2" fillId="0" borderId="0" applyFill="0" applyBorder="0" applyAlignment="0" applyProtection="0"/>
    <xf numFmtId="0" fontId="118" fillId="51" borderId="0" applyNumberFormat="0" applyBorder="0" applyAlignment="0" applyProtection="0"/>
    <xf numFmtId="0" fontId="68" fillId="9" borderId="0" applyNumberFormat="0" applyBorder="0" applyAlignment="0" applyProtection="0"/>
    <xf numFmtId="0" fontId="126" fillId="64" borderId="0" applyNumberFormat="0" applyBorder="0" applyAlignment="0" applyProtection="0"/>
    <xf numFmtId="0" fontId="118" fillId="51" borderId="0" applyNumberFormat="0" applyBorder="0" applyAlignment="0" applyProtection="0"/>
    <xf numFmtId="0" fontId="7" fillId="0" borderId="0"/>
    <xf numFmtId="0" fontId="2" fillId="0" borderId="0"/>
    <xf numFmtId="189" fontId="2" fillId="0" borderId="0" applyFill="0" applyBorder="0" applyAlignment="0" applyProtection="0"/>
    <xf numFmtId="37" fontId="2" fillId="0" borderId="0"/>
    <xf numFmtId="189" fontId="2" fillId="0" borderId="0" applyFill="0" applyBorder="0" applyAlignment="0" applyProtection="0"/>
    <xf numFmtId="0" fontId="2" fillId="0" borderId="0"/>
    <xf numFmtId="164" fontId="2" fillId="0" borderId="0" applyFont="0" applyFill="0" applyBorder="0" applyAlignment="0" applyProtection="0"/>
    <xf numFmtId="0" fontId="65" fillId="0" borderId="0"/>
    <xf numFmtId="205" fontId="2" fillId="0" borderId="0" applyFont="0" applyFill="0" applyBorder="0" applyAlignment="0" applyProtection="0"/>
    <xf numFmtId="0" fontId="65" fillId="0" borderId="0"/>
    <xf numFmtId="0" fontId="65" fillId="0" borderId="0"/>
    <xf numFmtId="0" fontId="1" fillId="2" borderId="4" applyNumberFormat="0" applyFont="0" applyAlignment="0" applyProtection="0"/>
    <xf numFmtId="0" fontId="2" fillId="46" borderId="37" applyNumberFormat="0" applyAlignment="0" applyProtection="0"/>
    <xf numFmtId="0" fontId="2" fillId="46" borderId="37" applyNumberFormat="0" applyAlignment="0" applyProtection="0"/>
    <xf numFmtId="0" fontId="2" fillId="65" borderId="37" applyNumberFormat="0" applyFont="0" applyAlignment="0" applyProtection="0"/>
    <xf numFmtId="0" fontId="2" fillId="46" borderId="37" applyNumberFormat="0" applyAlignment="0" applyProtection="0"/>
    <xf numFmtId="0" fontId="119" fillId="61" borderId="38" applyNumberFormat="0" applyAlignment="0" applyProtection="0"/>
    <xf numFmtId="203" fontId="2" fillId="0" borderId="0" applyFont="0" applyFill="0" applyBorder="0" applyAlignment="0" applyProtection="0"/>
    <xf numFmtId="203" fontId="2" fillId="0" borderId="0" applyFont="0" applyFill="0" applyBorder="0" applyAlignment="0" applyProtection="0"/>
    <xf numFmtId="9" fontId="2" fillId="0" borderId="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20" fillId="0" borderId="0" applyNumberFormat="0" applyFill="0" applyBorder="0" applyAlignment="0" applyProtection="0"/>
    <xf numFmtId="0" fontId="127" fillId="0" borderId="0" applyFill="0" applyBorder="0" applyProtection="0">
      <alignment horizontal="left" vertical="top"/>
    </xf>
    <xf numFmtId="0" fontId="128" fillId="0" borderId="0" applyNumberFormat="0" applyFill="0" applyBorder="0" applyAlignment="0" applyProtection="0"/>
    <xf numFmtId="0" fontId="122" fillId="0" borderId="39" applyNumberFormat="0" applyFill="0" applyAlignment="0" applyProtection="0"/>
    <xf numFmtId="0" fontId="38" fillId="0" borderId="24" applyNumberFormat="0" applyFill="0" applyAlignment="0" applyProtection="0"/>
    <xf numFmtId="0" fontId="129" fillId="0" borderId="39" applyNumberFormat="0" applyFill="0" applyAlignment="0" applyProtection="0"/>
    <xf numFmtId="0" fontId="122" fillId="0" borderId="39"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 fillId="0" borderId="0"/>
    <xf numFmtId="176" fontId="2" fillId="0" borderId="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ont="0" applyFill="0" applyBorder="0" applyAlignment="0" applyProtection="0"/>
    <xf numFmtId="176" fontId="2" fillId="0" borderId="0" applyFill="0" applyBorder="0" applyAlignment="0" applyProtection="0"/>
    <xf numFmtId="191" fontId="2" fillId="0" borderId="0" applyFill="0" applyBorder="0" applyAlignment="0" applyProtection="0"/>
    <xf numFmtId="191" fontId="2" fillId="0" borderId="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202" fontId="2" fillId="0" borderId="0" applyFont="0" applyFill="0" applyBorder="0" applyAlignment="0" applyProtection="0"/>
    <xf numFmtId="176" fontId="2" fillId="0" borderId="0" applyFill="0" applyBorder="0" applyAlignment="0" applyProtection="0"/>
    <xf numFmtId="0" fontId="2" fillId="0" borderId="0"/>
    <xf numFmtId="0" fontId="2" fillId="0" borderId="0"/>
    <xf numFmtId="0" fontId="2" fillId="0" borderId="0"/>
    <xf numFmtId="37" fontId="2" fillId="0" borderId="0"/>
    <xf numFmtId="0" fontId="2" fillId="0" borderId="0"/>
    <xf numFmtId="0" fontId="2" fillId="0" borderId="0"/>
    <xf numFmtId="0" fontId="2" fillId="0" borderId="0"/>
    <xf numFmtId="189" fontId="2" fillId="0" borderId="0" applyFill="0" applyBorder="0" applyAlignment="0" applyProtection="0"/>
    <xf numFmtId="0" fontId="1" fillId="2" borderId="4" applyNumberFormat="0" applyFont="0" applyAlignment="0" applyProtection="0"/>
    <xf numFmtId="0" fontId="2" fillId="46" borderId="37" applyNumberFormat="0" applyAlignment="0" applyProtection="0"/>
    <xf numFmtId="0" fontId="2" fillId="46" borderId="37" applyNumberFormat="0" applyAlignment="0" applyProtection="0"/>
    <xf numFmtId="0" fontId="2" fillId="65" borderId="37" applyNumberFormat="0" applyFont="0" applyAlignment="0" applyProtection="0"/>
    <xf numFmtId="0" fontId="2" fillId="46" borderId="37" applyNumberFormat="0" applyAlignment="0" applyProtection="0"/>
    <xf numFmtId="203" fontId="2" fillId="0" borderId="0" applyFont="0" applyFill="0" applyBorder="0" applyAlignment="0" applyProtection="0"/>
    <xf numFmtId="203"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0" fontId="1" fillId="2" borderId="4" applyNumberFormat="0" applyFont="0" applyAlignment="0" applyProtection="0"/>
    <xf numFmtId="192" fontId="2" fillId="0" borderId="0" applyFont="0" applyFill="0" applyBorder="0" applyAlignment="0" applyProtection="0"/>
    <xf numFmtId="192" fontId="2" fillId="0" borderId="0" applyFont="0" applyFill="0" applyBorder="0" applyAlignment="0" applyProtection="0"/>
    <xf numFmtId="191" fontId="2" fillId="0" borderId="0" applyFill="0" applyBorder="0" applyAlignment="0" applyProtection="0"/>
    <xf numFmtId="191" fontId="2" fillId="0" borderId="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0" fontId="1" fillId="2" borderId="4" applyNumberFormat="0" applyFont="0" applyAlignment="0" applyProtection="0"/>
    <xf numFmtId="176" fontId="2" fillId="0" borderId="0" applyFill="0" applyBorder="0" applyAlignment="0" applyProtection="0"/>
    <xf numFmtId="176" fontId="2" fillId="0" borderId="0" applyFill="0" applyBorder="0" applyAlignment="0" applyProtection="0"/>
    <xf numFmtId="0" fontId="1" fillId="2" borderId="4" applyNumberFormat="0" applyFont="0" applyAlignment="0" applyProtection="0"/>
    <xf numFmtId="192" fontId="2" fillId="0" borderId="0" applyFont="0" applyFill="0" applyBorder="0" applyAlignment="0" applyProtection="0"/>
    <xf numFmtId="192" fontId="2" fillId="0" borderId="0" applyFont="0" applyFill="0" applyBorder="0" applyAlignment="0" applyProtection="0"/>
    <xf numFmtId="191" fontId="2" fillId="0" borderId="0" applyFill="0" applyBorder="0" applyAlignment="0" applyProtection="0"/>
    <xf numFmtId="191" fontId="2" fillId="0" borderId="0" applyFill="0" applyBorder="0" applyAlignment="0" applyProtection="0"/>
    <xf numFmtId="176" fontId="2" fillId="0" borderId="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0" fontId="1" fillId="2" borderId="4" applyNumberFormat="0" applyFont="0" applyAlignment="0" applyProtection="0"/>
    <xf numFmtId="0" fontId="2" fillId="0" borderId="0"/>
    <xf numFmtId="0" fontId="130" fillId="0" borderId="0"/>
    <xf numFmtId="164" fontId="2" fillId="0" borderId="0" applyFont="0" applyFill="0" applyBorder="0" applyAlignment="0" applyProtection="0"/>
    <xf numFmtId="0" fontId="134" fillId="0" borderId="0"/>
    <xf numFmtId="0" fontId="80" fillId="0" borderId="0"/>
    <xf numFmtId="164" fontId="2" fillId="0" borderId="0" applyFont="0" applyFill="0" applyBorder="0" applyAlignment="0" applyProtection="0"/>
    <xf numFmtId="0" fontId="80" fillId="0" borderId="0"/>
    <xf numFmtId="0" fontId="130" fillId="0" borderId="0"/>
    <xf numFmtId="43" fontId="2" fillId="0" borderId="0" applyFont="0" applyFill="0" applyBorder="0" applyAlignment="0" applyProtection="0"/>
    <xf numFmtId="0" fontId="80" fillId="0" borderId="0"/>
    <xf numFmtId="0" fontId="80" fillId="0" borderId="0"/>
    <xf numFmtId="0" fontId="80" fillId="0" borderId="0"/>
    <xf numFmtId="0" fontId="134" fillId="0" borderId="0"/>
    <xf numFmtId="0" fontId="134" fillId="0" borderId="0"/>
    <xf numFmtId="0" fontId="134" fillId="0" borderId="0"/>
    <xf numFmtId="0" fontId="80" fillId="0" borderId="0"/>
    <xf numFmtId="164" fontId="2" fillId="0" borderId="0" applyFont="0" applyFill="0" applyBorder="0" applyAlignment="0" applyProtection="0"/>
    <xf numFmtId="0" fontId="7" fillId="2" borderId="4" applyNumberFormat="0" applyFont="0" applyAlignment="0" applyProtection="0"/>
    <xf numFmtId="164" fontId="2" fillId="0" borderId="0" applyFont="0" applyFill="0" applyBorder="0" applyAlignment="0" applyProtection="0"/>
    <xf numFmtId="0" fontId="7"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0" fillId="0" borderId="0"/>
    <xf numFmtId="164" fontId="7" fillId="0" borderId="0" applyFont="0" applyFill="0" applyBorder="0" applyAlignment="0" applyProtection="0"/>
    <xf numFmtId="204" fontId="7"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30" fillId="0" borderId="0"/>
    <xf numFmtId="0" fontId="80"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204" fontId="1"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20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7" fillId="0" borderId="0" applyFont="0" applyFill="0" applyBorder="0" applyAlignment="0" applyProtection="0"/>
    <xf numFmtId="204" fontId="7"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1" fillId="0" borderId="0" applyFont="0" applyFill="0" applyBorder="0" applyAlignment="0" applyProtection="0"/>
    <xf numFmtId="204" fontId="1"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2" fillId="0" borderId="0" applyNumberFormat="0" applyFill="0" applyBorder="0" applyAlignment="0" applyProtection="0"/>
    <xf numFmtId="37" fontId="132" fillId="0" borderId="0"/>
    <xf numFmtId="164" fontId="1" fillId="0" borderId="0" applyFont="0" applyFill="0" applyBorder="0" applyAlignment="0" applyProtection="0"/>
    <xf numFmtId="0" fontId="131"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 fillId="66" borderId="0" applyNumberFormat="0" applyBorder="0" applyAlignment="0" applyProtection="0"/>
    <xf numFmtId="0" fontId="131"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204" fontId="1" fillId="0" borderId="0" applyFont="0" applyFill="0" applyBorder="0" applyAlignment="0" applyProtection="0"/>
    <xf numFmtId="0" fontId="80" fillId="0" borderId="0"/>
    <xf numFmtId="0" fontId="1" fillId="0" borderId="0"/>
    <xf numFmtId="164" fontId="1" fillId="0" borderId="0" applyFont="0" applyFill="0" applyBorder="0" applyAlignment="0" applyProtection="0"/>
    <xf numFmtId="0" fontId="7" fillId="0" borderId="0"/>
    <xf numFmtId="0" fontId="80" fillId="0" borderId="0"/>
    <xf numFmtId="0" fontId="80" fillId="0" borderId="0"/>
    <xf numFmtId="164" fontId="1" fillId="0" borderId="0" applyFont="0" applyFill="0" applyBorder="0" applyAlignment="0" applyProtection="0"/>
    <xf numFmtId="0" fontId="80" fillId="0" borderId="0"/>
    <xf numFmtId="164" fontId="1" fillId="0" borderId="0" applyFont="0" applyFill="0" applyBorder="0" applyAlignment="0" applyProtection="0"/>
    <xf numFmtId="0" fontId="133"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80"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34" fillId="0" borderId="0"/>
    <xf numFmtId="164" fontId="1" fillId="0" borderId="0" applyFont="0" applyFill="0" applyBorder="0" applyAlignment="0" applyProtection="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7" fillId="0" borderId="0" applyFont="0" applyFill="0" applyBorder="0" applyAlignment="0" applyProtection="0"/>
    <xf numFmtId="204" fontId="7"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1" fillId="0" borderId="0" applyFont="0" applyFill="0" applyBorder="0" applyAlignment="0" applyProtection="0"/>
    <xf numFmtId="20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1" fillId="0" borderId="0"/>
    <xf numFmtId="164" fontId="1" fillId="0" borderId="0" applyFont="0" applyFill="0" applyBorder="0" applyAlignment="0" applyProtection="0"/>
    <xf numFmtId="191" fontId="1" fillId="0" borderId="0" applyFont="0" applyFill="0" applyBorder="0" applyAlignment="0" applyProtection="0"/>
    <xf numFmtId="206" fontId="2" fillId="0" borderId="0" applyFont="0" applyFill="0" applyBorder="0" applyAlignment="0" applyProtection="0"/>
    <xf numFmtId="41" fontId="2" fillId="0" borderId="0" applyFont="0" applyFill="0" applyBorder="0" applyAlignment="0" applyProtection="0"/>
    <xf numFmtId="205"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2" fillId="0" borderId="0"/>
    <xf numFmtId="0" fontId="7" fillId="0" borderId="0"/>
    <xf numFmtId="0" fontId="1" fillId="0" borderId="0"/>
    <xf numFmtId="0" fontId="80" fillId="0" borderId="0"/>
    <xf numFmtId="0" fontId="80" fillId="0" borderId="0"/>
    <xf numFmtId="0" fontId="2" fillId="0" borderId="0"/>
    <xf numFmtId="0" fontId="80" fillId="0" borderId="0"/>
    <xf numFmtId="0" fontId="80" fillId="0" borderId="0"/>
    <xf numFmtId="43" fontId="2" fillId="0" borderId="0" applyFont="0" applyFill="0" applyBorder="0" applyAlignment="0" applyProtection="0"/>
    <xf numFmtId="0" fontId="2" fillId="0" borderId="0"/>
    <xf numFmtId="0" fontId="134" fillId="0" borderId="0"/>
    <xf numFmtId="0" fontId="80" fillId="0" borderId="0"/>
    <xf numFmtId="43" fontId="2" fillId="0" borderId="0" applyFont="0" applyFill="0" applyBorder="0" applyAlignment="0" applyProtection="0"/>
    <xf numFmtId="0" fontId="130" fillId="0" borderId="0"/>
    <xf numFmtId="0" fontId="80" fillId="0" borderId="0"/>
    <xf numFmtId="0" fontId="80" fillId="0" borderId="0"/>
    <xf numFmtId="0" fontId="134" fillId="0" borderId="0"/>
    <xf numFmtId="0" fontId="80" fillId="0" borderId="0"/>
    <xf numFmtId="0" fontId="80" fillId="0" borderId="0"/>
    <xf numFmtId="0" fontId="80" fillId="0" borderId="0"/>
    <xf numFmtId="0" fontId="80" fillId="0" borderId="0"/>
    <xf numFmtId="0" fontId="1" fillId="0" borderId="0"/>
    <xf numFmtId="0" fontId="80" fillId="0" borderId="0"/>
    <xf numFmtId="0" fontId="1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4" fillId="0" borderId="0"/>
    <xf numFmtId="0" fontId="80" fillId="0" borderId="0"/>
    <xf numFmtId="0" fontId="134" fillId="0" borderId="0"/>
    <xf numFmtId="0" fontId="80" fillId="0" borderId="0"/>
    <xf numFmtId="0" fontId="134" fillId="0" borderId="0"/>
    <xf numFmtId="0" fontId="80" fillId="0" borderId="0"/>
    <xf numFmtId="0" fontId="80" fillId="0" borderId="0"/>
    <xf numFmtId="0" fontId="80" fillId="0" borderId="0"/>
    <xf numFmtId="0" fontId="134" fillId="0" borderId="0"/>
    <xf numFmtId="0" fontId="80" fillId="0" borderId="0"/>
    <xf numFmtId="0" fontId="80" fillId="0" borderId="0"/>
    <xf numFmtId="0" fontId="80" fillId="0" borderId="0"/>
    <xf numFmtId="0" fontId="80" fillId="0" borderId="0"/>
    <xf numFmtId="0" fontId="80" fillId="0" borderId="0"/>
    <xf numFmtId="0" fontId="134" fillId="0" borderId="0"/>
    <xf numFmtId="0" fontId="80" fillId="0" borderId="0"/>
    <xf numFmtId="0" fontId="80" fillId="0" borderId="0"/>
    <xf numFmtId="0" fontId="80" fillId="0" borderId="0"/>
    <xf numFmtId="0" fontId="80" fillId="0" borderId="0"/>
    <xf numFmtId="0" fontId="134" fillId="0" borderId="0"/>
    <xf numFmtId="0" fontId="80" fillId="0" borderId="0"/>
    <xf numFmtId="0" fontId="80" fillId="0" borderId="0"/>
    <xf numFmtId="0" fontId="134" fillId="0" borderId="0"/>
    <xf numFmtId="0" fontId="1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4" fillId="0" borderId="0"/>
    <xf numFmtId="0" fontId="134" fillId="0" borderId="0"/>
    <xf numFmtId="0" fontId="80" fillId="0" borderId="0"/>
    <xf numFmtId="0" fontId="80" fillId="0" borderId="0"/>
    <xf numFmtId="0" fontId="134" fillId="0" borderId="0"/>
    <xf numFmtId="0" fontId="2" fillId="0" borderId="0"/>
    <xf numFmtId="0" fontId="80" fillId="0" borderId="0"/>
    <xf numFmtId="0" fontId="80" fillId="0" borderId="0"/>
    <xf numFmtId="0" fontId="80" fillId="0" borderId="0"/>
    <xf numFmtId="0" fontId="134" fillId="0" borderId="0"/>
    <xf numFmtId="0" fontId="80" fillId="0" borderId="0"/>
    <xf numFmtId="0" fontId="2" fillId="0" borderId="0"/>
    <xf numFmtId="0" fontId="134" fillId="0" borderId="0"/>
    <xf numFmtId="0" fontId="80" fillId="0" borderId="0"/>
    <xf numFmtId="0" fontId="80" fillId="0" borderId="0"/>
    <xf numFmtId="0" fontId="80" fillId="0" borderId="0"/>
    <xf numFmtId="0" fontId="80" fillId="0" borderId="0"/>
    <xf numFmtId="0" fontId="80" fillId="0" borderId="0"/>
    <xf numFmtId="0" fontId="80" fillId="0" borderId="0"/>
    <xf numFmtId="43" fontId="2" fillId="0" borderId="0" applyFont="0" applyFill="0" applyBorder="0" applyAlignment="0" applyProtection="0"/>
    <xf numFmtId="0" fontId="130" fillId="0" borderId="0"/>
    <xf numFmtId="43" fontId="2" fillId="0" borderId="0" applyFont="0" applyFill="0" applyBorder="0" applyAlignment="0" applyProtection="0"/>
    <xf numFmtId="0" fontId="130" fillId="0" borderId="0"/>
    <xf numFmtId="43" fontId="2" fillId="0" borderId="0" applyFont="0" applyFill="0" applyBorder="0" applyAlignment="0" applyProtection="0"/>
    <xf numFmtId="0" fontId="3" fillId="0" borderId="0"/>
    <xf numFmtId="199" fontId="130" fillId="0" borderId="0" applyFill="0" applyBorder="0" applyAlignment="0" applyProtection="0"/>
    <xf numFmtId="0" fontId="2" fillId="0" borderId="0"/>
    <xf numFmtId="0" fontId="47" fillId="0" borderId="0" applyNumberFormat="0" applyFill="0" applyBorder="0" applyAlignment="0" applyProtection="0">
      <alignment vertical="top"/>
      <protection locked="0"/>
    </xf>
    <xf numFmtId="164" fontId="2" fillId="0" borderId="0" applyFill="0" applyBorder="0" applyAlignment="0" applyProtection="0"/>
    <xf numFmtId="0" fontId="2" fillId="0" borderId="0" applyNumberFormat="0" applyFont="0" applyFill="0" applyBorder="0" applyAlignment="0" applyProtection="0">
      <alignment vertical="top"/>
    </xf>
    <xf numFmtId="164" fontId="2" fillId="0" borderId="0" applyFill="0" applyBorder="0" applyAlignment="0" applyProtection="0"/>
    <xf numFmtId="0" fontId="2" fillId="0" borderId="0"/>
    <xf numFmtId="0" fontId="1" fillId="0" borderId="0"/>
    <xf numFmtId="0" fontId="1" fillId="0" borderId="0"/>
  </cellStyleXfs>
  <cellXfs count="571">
    <xf numFmtId="0" fontId="0" fillId="0" borderId="0" xfId="0"/>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9"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5" fillId="0" borderId="9" xfId="0" applyFont="1" applyBorder="1"/>
    <xf numFmtId="0" fontId="5" fillId="0" borderId="9" xfId="0" applyFont="1" applyBorder="1" applyAlignment="1">
      <alignment horizontal="center"/>
    </xf>
    <xf numFmtId="3" fontId="5" fillId="0" borderId="9" xfId="0" applyNumberFormat="1" applyFont="1" applyBorder="1" applyAlignment="1">
      <alignment horizontal="center"/>
    </xf>
    <xf numFmtId="10" fontId="5" fillId="0" borderId="9" xfId="0" applyNumberFormat="1" applyFont="1" applyBorder="1" applyAlignment="1">
      <alignment horizontal="center"/>
    </xf>
    <xf numFmtId="0" fontId="17" fillId="0" borderId="0" xfId="0" applyFont="1"/>
    <xf numFmtId="2" fontId="18" fillId="0" borderId="0" xfId="0" applyNumberFormat="1" applyFont="1" applyAlignment="1">
      <alignment vertical="center" wrapText="1"/>
    </xf>
    <xf numFmtId="0" fontId="18" fillId="0" borderId="0" xfId="0" applyFont="1" applyAlignment="1">
      <alignment horizontal="center"/>
    </xf>
    <xf numFmtId="3" fontId="17" fillId="0" borderId="0" xfId="0" applyNumberFormat="1" applyFont="1"/>
    <xf numFmtId="41" fontId="17" fillId="0" borderId="0" xfId="67" applyFont="1"/>
    <xf numFmtId="3" fontId="17" fillId="5" borderId="0" xfId="0" applyNumberFormat="1" applyFont="1" applyFill="1"/>
    <xf numFmtId="0" fontId="17" fillId="5" borderId="0" xfId="0" applyFont="1" applyFill="1"/>
    <xf numFmtId="171" fontId="17" fillId="0" borderId="0" xfId="0" applyNumberFormat="1" applyFont="1"/>
    <xf numFmtId="171" fontId="18" fillId="0" borderId="0" xfId="0" applyNumberFormat="1" applyFont="1" applyAlignment="1">
      <alignment horizontal="center"/>
    </xf>
    <xf numFmtId="171" fontId="17" fillId="0" borderId="0" xfId="0" applyNumberFormat="1" applyFont="1" applyAlignment="1">
      <alignment horizontal="center"/>
    </xf>
    <xf numFmtId="0" fontId="18" fillId="0" borderId="0" xfId="4" applyFont="1" applyAlignment="1">
      <alignment horizontal="center" vertical="top" wrapText="1"/>
    </xf>
    <xf numFmtId="0" fontId="20" fillId="0" borderId="0" xfId="0" applyFont="1"/>
    <xf numFmtId="174" fontId="20" fillId="0" borderId="0" xfId="1" applyNumberFormat="1" applyFont="1"/>
    <xf numFmtId="14" fontId="21" fillId="6" borderId="9" xfId="0" applyNumberFormat="1" applyFont="1" applyFill="1" applyBorder="1" applyAlignment="1">
      <alignment horizontal="center" vertical="center" wrapText="1"/>
    </xf>
    <xf numFmtId="0" fontId="20" fillId="0" borderId="9" xfId="0" applyFont="1" applyBorder="1"/>
    <xf numFmtId="3" fontId="20" fillId="0" borderId="9" xfId="0" applyNumberFormat="1" applyFont="1" applyBorder="1" applyAlignment="1">
      <alignment horizontal="right"/>
    </xf>
    <xf numFmtId="3" fontId="20" fillId="0" borderId="0" xfId="0" applyNumberFormat="1" applyFont="1"/>
    <xf numFmtId="41" fontId="20" fillId="0" borderId="0" xfId="67" applyFont="1"/>
    <xf numFmtId="0" fontId="20" fillId="5" borderId="0" xfId="0" applyFont="1" applyFill="1"/>
    <xf numFmtId="0" fontId="20" fillId="5" borderId="9" xfId="0" applyFont="1" applyFill="1" applyBorder="1"/>
    <xf numFmtId="3" fontId="20" fillId="5" borderId="9" xfId="0" applyNumberFormat="1" applyFont="1" applyFill="1" applyBorder="1" applyAlignment="1">
      <alignment horizontal="right"/>
    </xf>
    <xf numFmtId="41" fontId="20" fillId="5" borderId="0" xfId="67" applyFont="1" applyFill="1"/>
    <xf numFmtId="0" fontId="21" fillId="3" borderId="9" xfId="0" applyFont="1" applyFill="1" applyBorder="1" applyAlignment="1">
      <alignment horizontal="center"/>
    </xf>
    <xf numFmtId="3" fontId="21" fillId="3" borderId="9" xfId="0" applyNumberFormat="1" applyFont="1" applyFill="1" applyBorder="1" applyAlignment="1">
      <alignment horizontal="right"/>
    </xf>
    <xf numFmtId="0" fontId="23" fillId="5" borderId="0" xfId="0" applyFont="1" applyFill="1" applyAlignment="1">
      <alignment horizontal="left" indent="1"/>
    </xf>
    <xf numFmtId="174" fontId="20" fillId="5" borderId="0" xfId="1" applyNumberFormat="1" applyFont="1" applyFill="1"/>
    <xf numFmtId="0" fontId="24" fillId="4" borderId="8" xfId="0" applyFont="1" applyFill="1" applyBorder="1" applyAlignment="1">
      <alignment vertical="top" wrapText="1"/>
    </xf>
    <xf numFmtId="171" fontId="24" fillId="4" borderId="9" xfId="0" applyNumberFormat="1" applyFont="1" applyFill="1" applyBorder="1" applyAlignment="1">
      <alignment horizontal="right" vertical="top" wrapText="1"/>
    </xf>
    <xf numFmtId="0" fontId="17" fillId="0" borderId="0" xfId="4" applyFont="1" applyAlignment="1">
      <alignment horizontal="center" vertical="top" wrapText="1"/>
    </xf>
    <xf numFmtId="0" fontId="25" fillId="0" borderId="0" xfId="0" applyFont="1" applyAlignment="1"/>
    <xf numFmtId="0" fontId="40" fillId="0" borderId="0" xfId="0" applyFont="1" applyAlignment="1">
      <alignment horizontal="center"/>
    </xf>
    <xf numFmtId="0" fontId="40" fillId="0" borderId="0" xfId="0" applyFont="1" applyAlignment="1">
      <alignment horizontal="left"/>
    </xf>
    <xf numFmtId="0" fontId="71" fillId="0" borderId="0" xfId="0" applyFont="1" applyAlignment="1">
      <alignment horizontal="left"/>
    </xf>
    <xf numFmtId="0" fontId="72" fillId="0" borderId="0" xfId="0" applyFont="1" applyAlignment="1">
      <alignment horizontal="center"/>
    </xf>
    <xf numFmtId="0" fontId="73" fillId="0" borderId="0" xfId="0" applyFont="1" applyAlignment="1">
      <alignment horizontal="left"/>
    </xf>
    <xf numFmtId="0" fontId="74" fillId="0" borderId="0" xfId="0" applyFont="1" applyAlignment="1">
      <alignment horizontal="center"/>
    </xf>
    <xf numFmtId="0" fontId="71" fillId="0" borderId="0" xfId="0" applyFont="1"/>
    <xf numFmtId="0" fontId="74" fillId="0" borderId="0" xfId="0" applyFont="1"/>
    <xf numFmtId="0" fontId="77" fillId="0" borderId="0" xfId="0" applyFont="1"/>
    <xf numFmtId="0" fontId="79" fillId="0" borderId="0" xfId="0" applyFont="1"/>
    <xf numFmtId="0" fontId="73" fillId="0" borderId="0" xfId="0" applyFont="1"/>
    <xf numFmtId="0" fontId="80" fillId="0" borderId="0" xfId="0" applyFont="1"/>
    <xf numFmtId="0" fontId="81" fillId="0" borderId="0" xfId="75" applyFont="1"/>
    <xf numFmtId="14" fontId="73" fillId="0" borderId="0" xfId="0" applyNumberFormat="1" applyFont="1" applyAlignment="1">
      <alignment horizontal="left"/>
    </xf>
    <xf numFmtId="0" fontId="82" fillId="0" borderId="0" xfId="0" applyFont="1"/>
    <xf numFmtId="6" fontId="73" fillId="0" borderId="0" xfId="0" applyNumberFormat="1" applyFont="1" applyAlignment="1"/>
    <xf numFmtId="6" fontId="73" fillId="0" borderId="0" xfId="0" applyNumberFormat="1" applyFont="1" applyAlignment="1">
      <alignment horizontal="right"/>
    </xf>
    <xf numFmtId="0" fontId="73" fillId="0" borderId="0" xfId="0" applyFont="1" applyAlignment="1">
      <alignment horizontal="center"/>
    </xf>
    <xf numFmtId="0" fontId="73" fillId="0" borderId="9" xfId="0" applyFont="1" applyFill="1" applyBorder="1" applyAlignment="1">
      <alignment horizontal="center"/>
    </xf>
    <xf numFmtId="3" fontId="73" fillId="0" borderId="9" xfId="0" applyNumberFormat="1" applyFont="1" applyFill="1" applyBorder="1" applyAlignment="1">
      <alignment horizontal="center"/>
    </xf>
    <xf numFmtId="3" fontId="73" fillId="0" borderId="9" xfId="0" applyNumberFormat="1" applyFont="1" applyFill="1" applyBorder="1" applyAlignment="1">
      <alignment horizontal="right"/>
    </xf>
    <xf numFmtId="3" fontId="74" fillId="0" borderId="9" xfId="0" applyNumberFormat="1" applyFont="1" applyFill="1" applyBorder="1"/>
    <xf numFmtId="0" fontId="74" fillId="0" borderId="9" xfId="0" applyFont="1" applyFill="1" applyBorder="1" applyAlignment="1"/>
    <xf numFmtId="3" fontId="74" fillId="0" borderId="9" xfId="0" applyNumberFormat="1" applyFont="1" applyFill="1" applyBorder="1" applyAlignment="1">
      <alignment horizontal="right"/>
    </xf>
    <xf numFmtId="10" fontId="74" fillId="0" borderId="9" xfId="0" applyNumberFormat="1" applyFont="1" applyFill="1" applyBorder="1" applyAlignment="1">
      <alignment horizontal="center"/>
    </xf>
    <xf numFmtId="0" fontId="73" fillId="0" borderId="0" xfId="0" applyFont="1" applyFill="1" applyAlignment="1">
      <alignment horizontal="center"/>
    </xf>
    <xf numFmtId="3" fontId="73" fillId="0" borderId="0" xfId="0" applyNumberFormat="1" applyFont="1" applyFill="1" applyAlignment="1">
      <alignment horizontal="center"/>
    </xf>
    <xf numFmtId="0" fontId="73" fillId="0" borderId="0" xfId="0" applyFont="1" applyFill="1"/>
    <xf numFmtId="3" fontId="73" fillId="0" borderId="0" xfId="0" applyNumberFormat="1" applyFont="1" applyFill="1" applyAlignment="1">
      <alignment horizontal="right"/>
    </xf>
    <xf numFmtId="0" fontId="73" fillId="0" borderId="0" xfId="0" applyFont="1" applyBorder="1" applyAlignment="1">
      <alignment horizontal="center"/>
    </xf>
    <xf numFmtId="0" fontId="77" fillId="0" borderId="0" xfId="0" applyFont="1" applyAlignment="1">
      <alignment horizontal="center"/>
    </xf>
    <xf numFmtId="10" fontId="73" fillId="0" borderId="0" xfId="0" applyNumberFormat="1" applyFont="1"/>
    <xf numFmtId="0" fontId="82" fillId="0" borderId="0" xfId="0" applyFont="1" applyAlignment="1"/>
    <xf numFmtId="0" fontId="82" fillId="0" borderId="0" xfId="0" applyFont="1" applyAlignment="1">
      <alignment horizontal="center"/>
    </xf>
    <xf numFmtId="0" fontId="47" fillId="0" borderId="0" xfId="75" applyFont="1"/>
    <xf numFmtId="0" fontId="82" fillId="0" borderId="0" xfId="0" applyFont="1" applyBorder="1" applyAlignment="1">
      <alignment horizontal="center"/>
    </xf>
    <xf numFmtId="0" fontId="80" fillId="0" borderId="0" xfId="0" applyFont="1" applyBorder="1"/>
    <xf numFmtId="0" fontId="82" fillId="0" borderId="0" xfId="0" applyFont="1" applyBorder="1" applyAlignment="1"/>
    <xf numFmtId="0" fontId="80" fillId="0" borderId="0" xfId="0" applyFont="1" applyBorder="1" applyAlignment="1">
      <alignment horizontal="left"/>
    </xf>
    <xf numFmtId="0" fontId="83" fillId="38" borderId="9" xfId="0" applyFont="1" applyFill="1" applyBorder="1" applyAlignment="1">
      <alignment horizontal="center" vertical="center" wrapText="1"/>
    </xf>
    <xf numFmtId="3" fontId="85" fillId="0" borderId="3" xfId="0" applyNumberFormat="1" applyFont="1" applyFill="1" applyBorder="1"/>
    <xf numFmtId="3" fontId="76" fillId="0" borderId="3" xfId="0" applyNumberFormat="1" applyFont="1" applyFill="1" applyBorder="1"/>
    <xf numFmtId="3" fontId="84" fillId="0" borderId="3" xfId="0" applyNumberFormat="1" applyFont="1" applyFill="1" applyBorder="1"/>
    <xf numFmtId="0" fontId="71" fillId="0" borderId="3" xfId="0" applyFont="1" applyFill="1" applyBorder="1"/>
    <xf numFmtId="0" fontId="76" fillId="0" borderId="3" xfId="0" applyFont="1" applyFill="1" applyBorder="1" applyAlignment="1">
      <alignment horizontal="center"/>
    </xf>
    <xf numFmtId="171" fontId="71" fillId="0" borderId="0" xfId="0" applyNumberFormat="1" applyFont="1"/>
    <xf numFmtId="3" fontId="71" fillId="0" borderId="0" xfId="0" applyNumberFormat="1" applyFont="1"/>
    <xf numFmtId="0" fontId="74" fillId="0" borderId="11" xfId="0" applyFont="1" applyFill="1" applyBorder="1" applyAlignment="1">
      <alignment horizontal="center"/>
    </xf>
    <xf numFmtId="0" fontId="74" fillId="0" borderId="9" xfId="0" applyFont="1" applyFill="1" applyBorder="1" applyAlignment="1">
      <alignment horizontal="center"/>
    </xf>
    <xf numFmtId="3" fontId="74" fillId="0" borderId="1" xfId="0" applyNumberFormat="1" applyFont="1" applyFill="1" applyBorder="1"/>
    <xf numFmtId="0" fontId="74" fillId="0" borderId="1" xfId="0" applyFont="1" applyFill="1" applyBorder="1" applyAlignment="1">
      <alignment horizontal="center"/>
    </xf>
    <xf numFmtId="171" fontId="73" fillId="0" borderId="0" xfId="0" applyNumberFormat="1" applyFont="1"/>
    <xf numFmtId="3" fontId="73" fillId="0" borderId="0" xfId="0" applyNumberFormat="1" applyFont="1"/>
    <xf numFmtId="0" fontId="76" fillId="0" borderId="3" xfId="0" applyFont="1" applyFill="1" applyBorder="1"/>
    <xf numFmtId="0" fontId="71" fillId="0" borderId="3" xfId="0" applyFont="1" applyFill="1" applyBorder="1" applyAlignment="1">
      <alignment horizontal="left" vertical="center" wrapText="1"/>
    </xf>
    <xf numFmtId="0" fontId="76" fillId="0" borderId="3" xfId="0" applyFont="1" applyFill="1" applyBorder="1" applyAlignment="1">
      <alignment horizontal="center" vertical="center" wrapText="1"/>
    </xf>
    <xf numFmtId="3" fontId="86" fillId="0" borderId="3" xfId="0" applyNumberFormat="1" applyFont="1" applyFill="1" applyBorder="1"/>
    <xf numFmtId="3" fontId="71" fillId="0" borderId="3" xfId="0" applyNumberFormat="1" applyFont="1" applyFill="1" applyBorder="1"/>
    <xf numFmtId="0" fontId="76" fillId="0" borderId="16" xfId="0" applyFont="1" applyFill="1" applyBorder="1"/>
    <xf numFmtId="0" fontId="76" fillId="0" borderId="16" xfId="0" applyFont="1" applyFill="1" applyBorder="1" applyAlignment="1">
      <alignment horizontal="center"/>
    </xf>
    <xf numFmtId="3" fontId="76" fillId="0" borderId="16" xfId="0" applyNumberFormat="1" applyFont="1" applyFill="1" applyBorder="1"/>
    <xf numFmtId="0" fontId="88" fillId="38" borderId="9" xfId="0" applyFont="1" applyFill="1" applyBorder="1" applyAlignment="1">
      <alignment horizontal="center" vertical="center" wrapText="1"/>
    </xf>
    <xf numFmtId="198" fontId="88" fillId="38" borderId="9" xfId="0" applyNumberFormat="1" applyFont="1" applyFill="1" applyBorder="1" applyAlignment="1">
      <alignment horizontal="center" vertical="center" wrapText="1"/>
    </xf>
    <xf numFmtId="0" fontId="84" fillId="0" borderId="3" xfId="0" applyFont="1" applyFill="1" applyBorder="1"/>
    <xf numFmtId="0" fontId="71" fillId="0" borderId="3" xfId="0" quotePrefix="1" applyFont="1" applyFill="1" applyBorder="1"/>
    <xf numFmtId="3" fontId="84" fillId="0" borderId="3" xfId="0" applyNumberFormat="1" applyFont="1" applyFill="1" applyBorder="1" applyAlignment="1">
      <alignment horizontal="right"/>
    </xf>
    <xf numFmtId="3" fontId="84" fillId="0" borderId="3" xfId="0" quotePrefix="1" applyNumberFormat="1" applyFont="1" applyFill="1" applyBorder="1" applyAlignment="1">
      <alignment horizontal="right"/>
    </xf>
    <xf numFmtId="0" fontId="76" fillId="0" borderId="3" xfId="0" applyFont="1" applyFill="1" applyBorder="1" applyAlignment="1">
      <alignment horizontal="left" vertical="center" wrapText="1"/>
    </xf>
    <xf numFmtId="3" fontId="85" fillId="0" borderId="3" xfId="0" applyNumberFormat="1" applyFont="1" applyFill="1" applyBorder="1" applyAlignment="1">
      <alignment horizontal="right" vertical="center"/>
    </xf>
    <xf numFmtId="3" fontId="85" fillId="0" borderId="3" xfId="0" applyNumberFormat="1" applyFont="1" applyFill="1" applyBorder="1" applyAlignment="1">
      <alignment vertical="center"/>
    </xf>
    <xf numFmtId="0" fontId="76" fillId="0" borderId="3" xfId="0" applyFont="1" applyFill="1" applyBorder="1" applyAlignment="1">
      <alignment horizontal="left"/>
    </xf>
    <xf numFmtId="3" fontId="84" fillId="0" borderId="0" xfId="0" applyNumberFormat="1" applyFont="1"/>
    <xf numFmtId="0" fontId="84" fillId="0" borderId="0" xfId="0" applyFont="1"/>
    <xf numFmtId="0" fontId="85" fillId="0" borderId="9" xfId="4" applyFont="1" applyFill="1" applyBorder="1" applyAlignment="1">
      <alignment horizontal="center" vertical="center" wrapText="1"/>
    </xf>
    <xf numFmtId="0" fontId="84" fillId="0" borderId="14" xfId="4" applyFont="1" applyFill="1" applyBorder="1" applyAlignment="1">
      <alignment horizontal="left" vertical="center" wrapText="1"/>
    </xf>
    <xf numFmtId="3" fontId="84" fillId="0" borderId="3" xfId="4" applyNumberFormat="1" applyFont="1" applyFill="1" applyBorder="1" applyAlignment="1">
      <alignment horizontal="right" wrapText="1"/>
    </xf>
    <xf numFmtId="3" fontId="84" fillId="0" borderId="3" xfId="3" applyNumberFormat="1" applyFont="1" applyFill="1" applyBorder="1" applyAlignment="1" applyProtection="1">
      <alignment horizontal="right" wrapText="1"/>
    </xf>
    <xf numFmtId="0" fontId="84" fillId="0" borderId="3" xfId="4" applyFont="1" applyFill="1" applyBorder="1" applyAlignment="1">
      <alignment horizontal="left" vertical="center" wrapText="1"/>
    </xf>
    <xf numFmtId="0" fontId="84" fillId="0" borderId="16" xfId="4" applyFont="1" applyFill="1" applyBorder="1" applyAlignment="1">
      <alignment horizontal="left" vertical="center" wrapText="1"/>
    </xf>
    <xf numFmtId="3" fontId="84" fillId="0" borderId="16" xfId="4" applyNumberFormat="1" applyFont="1" applyFill="1" applyBorder="1" applyAlignment="1">
      <alignment horizontal="right" wrapText="1"/>
    </xf>
    <xf numFmtId="3" fontId="85" fillId="0" borderId="9" xfId="4" applyNumberFormat="1" applyFont="1" applyFill="1" applyBorder="1" applyAlignment="1">
      <alignment horizontal="right" wrapText="1"/>
    </xf>
    <xf numFmtId="0" fontId="89" fillId="5" borderId="0" xfId="0" applyFont="1" applyFill="1"/>
    <xf numFmtId="174" fontId="89" fillId="5" borderId="0" xfId="1" applyNumberFormat="1" applyFont="1" applyFill="1"/>
    <xf numFmtId="3" fontId="89" fillId="5" borderId="0" xfId="0" applyNumberFormat="1" applyFont="1" applyFill="1"/>
    <xf numFmtId="0" fontId="71" fillId="5" borderId="0" xfId="0" applyFont="1" applyFill="1"/>
    <xf numFmtId="171" fontId="90" fillId="0" borderId="9" xfId="0" applyNumberFormat="1" applyFont="1" applyFill="1" applyBorder="1" applyAlignment="1">
      <alignment horizontal="right" vertical="top" wrapText="1"/>
    </xf>
    <xf numFmtId="171" fontId="91" fillId="0" borderId="9" xfId="0" applyNumberFormat="1" applyFont="1" applyFill="1" applyBorder="1" applyAlignment="1">
      <alignment horizontal="right" vertical="top" wrapText="1"/>
    </xf>
    <xf numFmtId="175" fontId="91" fillId="0" borderId="9" xfId="0" applyNumberFormat="1" applyFont="1" applyFill="1" applyBorder="1" applyAlignment="1">
      <alignment horizontal="right" vertical="top" wrapText="1"/>
    </xf>
    <xf numFmtId="171" fontId="90" fillId="0" borderId="9" xfId="3" applyNumberFormat="1" applyFont="1" applyFill="1" applyBorder="1" applyAlignment="1">
      <alignment horizontal="right" vertical="top" wrapText="1"/>
    </xf>
    <xf numFmtId="3" fontId="90" fillId="0" borderId="9" xfId="0" applyNumberFormat="1" applyFont="1" applyFill="1" applyBorder="1" applyAlignment="1">
      <alignment horizontal="right"/>
    </xf>
    <xf numFmtId="3" fontId="91" fillId="0" borderId="9" xfId="0" applyNumberFormat="1" applyFont="1" applyFill="1" applyBorder="1" applyAlignment="1">
      <alignment horizontal="right"/>
    </xf>
    <xf numFmtId="3" fontId="91" fillId="0" borderId="15" xfId="0" applyNumberFormat="1" applyFont="1" applyFill="1" applyBorder="1" applyAlignment="1">
      <alignment horizontal="right" vertical="top" wrapText="1"/>
    </xf>
    <xf numFmtId="3" fontId="91" fillId="0" borderId="14" xfId="0" applyNumberFormat="1" applyFont="1" applyFill="1" applyBorder="1" applyAlignment="1">
      <alignment horizontal="right" vertical="top" wrapText="1"/>
    </xf>
    <xf numFmtId="3" fontId="90" fillId="0" borderId="1" xfId="0" applyNumberFormat="1" applyFont="1" applyFill="1" applyBorder="1" applyAlignment="1">
      <alignment horizontal="right" vertical="top" wrapText="1"/>
    </xf>
    <xf numFmtId="3" fontId="91" fillId="0" borderId="9" xfId="0" applyNumberFormat="1" applyFont="1" applyFill="1" applyBorder="1" applyAlignment="1">
      <alignment horizontal="right" vertical="center" wrapText="1"/>
    </xf>
    <xf numFmtId="171" fontId="91" fillId="0" borderId="9" xfId="3" applyNumberFormat="1" applyFont="1" applyFill="1" applyBorder="1" applyAlignment="1">
      <alignment horizontal="right" vertical="center" wrapText="1"/>
    </xf>
    <xf numFmtId="3" fontId="91" fillId="0" borderId="3" xfId="0" applyNumberFormat="1" applyFont="1" applyFill="1" applyBorder="1"/>
    <xf numFmtId="166" fontId="91" fillId="0" borderId="9" xfId="3" applyNumberFormat="1" applyFont="1" applyFill="1" applyBorder="1" applyAlignment="1">
      <alignment horizontal="center" vertical="center" wrapText="1"/>
    </xf>
    <xf numFmtId="171" fontId="91" fillId="0" borderId="9" xfId="0" applyNumberFormat="1" applyFont="1" applyFill="1" applyBorder="1" applyAlignment="1">
      <alignment horizontal="right"/>
    </xf>
    <xf numFmtId="3" fontId="90" fillId="0" borderId="9" xfId="0" applyNumberFormat="1" applyFont="1" applyFill="1" applyBorder="1" applyAlignment="1">
      <alignment horizontal="right" vertical="top" wrapText="1"/>
    </xf>
    <xf numFmtId="166" fontId="90" fillId="0" borderId="9" xfId="3" applyNumberFormat="1" applyFont="1" applyFill="1" applyBorder="1" applyAlignment="1">
      <alignment horizontal="center" vertical="top" wrapText="1"/>
    </xf>
    <xf numFmtId="3" fontId="90" fillId="0" borderId="3" xfId="0" applyNumberFormat="1" applyFont="1" applyFill="1" applyBorder="1"/>
    <xf numFmtId="0" fontId="90" fillId="0" borderId="5" xfId="0" applyFont="1" applyFill="1" applyBorder="1"/>
    <xf numFmtId="0" fontId="90" fillId="0" borderId="3" xfId="0" applyFont="1" applyFill="1" applyBorder="1" applyAlignment="1">
      <alignment horizontal="center"/>
    </xf>
    <xf numFmtId="0" fontId="91" fillId="0" borderId="3" xfId="0" applyFont="1" applyFill="1" applyBorder="1"/>
    <xf numFmtId="0" fontId="90" fillId="0" borderId="14" xfId="0" applyFont="1" applyFill="1" applyBorder="1" applyAlignment="1">
      <alignment horizontal="center"/>
    </xf>
    <xf numFmtId="0" fontId="91" fillId="0" borderId="5" xfId="0" applyFont="1" applyFill="1" applyBorder="1"/>
    <xf numFmtId="0" fontId="91" fillId="0" borderId="5" xfId="0" applyFont="1" applyFill="1" applyBorder="1" applyAlignment="1">
      <alignment horizontal="left" vertical="center" wrapText="1"/>
    </xf>
    <xf numFmtId="0" fontId="90" fillId="0" borderId="3" xfId="0" applyFont="1" applyFill="1" applyBorder="1" applyAlignment="1">
      <alignment horizontal="center" vertical="top"/>
    </xf>
    <xf numFmtId="3" fontId="91" fillId="0" borderId="3" xfId="0" applyNumberFormat="1" applyFont="1" applyFill="1" applyBorder="1" applyAlignment="1">
      <alignment vertical="top" wrapText="1"/>
    </xf>
    <xf numFmtId="0" fontId="91" fillId="0" borderId="0" xfId="0" applyFont="1" applyFill="1"/>
    <xf numFmtId="0" fontId="92" fillId="0" borderId="3" xfId="0" applyFont="1" applyFill="1" applyBorder="1"/>
    <xf numFmtId="0" fontId="93" fillId="0" borderId="3" xfId="0" applyFont="1" applyFill="1" applyBorder="1" applyAlignment="1">
      <alignment horizontal="center"/>
    </xf>
    <xf numFmtId="0" fontId="90" fillId="0" borderId="3" xfId="0" applyFont="1" applyFill="1" applyBorder="1" applyAlignment="1">
      <alignment horizontal="center" vertical="center" wrapText="1"/>
    </xf>
    <xf numFmtId="0" fontId="90" fillId="0" borderId="0" xfId="0" applyFont="1" applyFill="1" applyBorder="1"/>
    <xf numFmtId="3" fontId="91" fillId="0" borderId="3" xfId="0" applyNumberFormat="1" applyFont="1" applyFill="1" applyBorder="1" applyAlignment="1">
      <alignment vertical="center"/>
    </xf>
    <xf numFmtId="0" fontId="90" fillId="0" borderId="16" xfId="0" applyFont="1" applyFill="1" applyBorder="1" applyAlignment="1">
      <alignment horizontal="center"/>
    </xf>
    <xf numFmtId="171" fontId="91" fillId="0" borderId="9" xfId="0" applyNumberFormat="1" applyFont="1" applyFill="1" applyBorder="1" applyAlignment="1">
      <alignment horizontal="right" vertical="center" wrapText="1"/>
    </xf>
    <xf numFmtId="0" fontId="91" fillId="0" borderId="0" xfId="0" applyFont="1" applyFill="1" applyAlignment="1">
      <alignment horizontal="left"/>
    </xf>
    <xf numFmtId="0" fontId="90" fillId="0" borderId="0" xfId="0" applyFont="1" applyFill="1" applyAlignment="1">
      <alignment horizontal="center"/>
    </xf>
    <xf numFmtId="0" fontId="91" fillId="0" borderId="0" xfId="0" applyFont="1" applyFill="1" applyAlignment="1">
      <alignment vertical="center"/>
    </xf>
    <xf numFmtId="0" fontId="90" fillId="0" borderId="0" xfId="0" applyFont="1" applyFill="1" applyAlignment="1"/>
    <xf numFmtId="0" fontId="90" fillId="0" borderId="0" xfId="0" applyFont="1" applyFill="1" applyAlignment="1">
      <alignment vertical="center" wrapText="1"/>
    </xf>
    <xf numFmtId="0" fontId="91" fillId="0" borderId="0" xfId="0" applyFont="1" applyFill="1" applyAlignment="1"/>
    <xf numFmtId="0" fontId="90" fillId="0" borderId="0" xfId="0" applyFont="1" applyFill="1" applyAlignment="1">
      <alignment wrapText="1"/>
    </xf>
    <xf numFmtId="0" fontId="90" fillId="0" borderId="0" xfId="0" applyFont="1" applyFill="1" applyAlignment="1">
      <alignment vertical="center"/>
    </xf>
    <xf numFmtId="171" fontId="90" fillId="0" borderId="0" xfId="0" applyNumberFormat="1" applyFont="1" applyFill="1" applyAlignment="1">
      <alignment vertical="center"/>
    </xf>
    <xf numFmtId="171" fontId="91" fillId="0" borderId="0" xfId="0" applyNumberFormat="1" applyFont="1" applyFill="1"/>
    <xf numFmtId="171" fontId="91" fillId="0" borderId="0" xfId="0" applyNumberFormat="1" applyFont="1" applyFill="1" applyAlignment="1">
      <alignment horizontal="left"/>
    </xf>
    <xf numFmtId="4" fontId="91" fillId="0" borderId="9" xfId="0" applyNumberFormat="1" applyFont="1" applyFill="1" applyBorder="1" applyAlignment="1">
      <alignment horizontal="center" vertical="center" wrapText="1"/>
    </xf>
    <xf numFmtId="0" fontId="90" fillId="0" borderId="0" xfId="0" applyFont="1" applyFill="1"/>
    <xf numFmtId="0" fontId="90" fillId="0" borderId="0" xfId="0" applyFont="1" applyFill="1" applyAlignment="1">
      <alignment horizontal="left" vertical="center"/>
    </xf>
    <xf numFmtId="0" fontId="90" fillId="0" borderId="9" xfId="0" applyFont="1" applyFill="1" applyBorder="1" applyAlignment="1">
      <alignment vertical="top" wrapText="1"/>
    </xf>
    <xf numFmtId="171" fontId="90" fillId="0" borderId="9" xfId="0" applyNumberFormat="1" applyFont="1" applyFill="1" applyBorder="1" applyAlignment="1">
      <alignment vertical="top" wrapText="1"/>
    </xf>
    <xf numFmtId="0" fontId="91" fillId="0" borderId="9" xfId="0" applyFont="1" applyFill="1" applyBorder="1" applyAlignment="1">
      <alignment horizontal="center" vertical="top" wrapText="1"/>
    </xf>
    <xf numFmtId="4" fontId="91" fillId="0" borderId="9" xfId="1" applyNumberFormat="1" applyFont="1" applyFill="1" applyBorder="1" applyAlignment="1">
      <alignment horizontal="right" vertical="top" wrapText="1"/>
    </xf>
    <xf numFmtId="172" fontId="91" fillId="0" borderId="9" xfId="0" applyNumberFormat="1" applyFont="1" applyFill="1" applyBorder="1" applyAlignment="1">
      <alignment horizontal="right" vertical="top" wrapText="1"/>
    </xf>
    <xf numFmtId="171" fontId="91" fillId="0" borderId="9" xfId="1" applyNumberFormat="1" applyFont="1" applyFill="1" applyBorder="1" applyAlignment="1">
      <alignment vertical="top" wrapText="1"/>
    </xf>
    <xf numFmtId="4" fontId="91" fillId="0" borderId="9" xfId="0" applyNumberFormat="1" applyFont="1" applyFill="1" applyBorder="1" applyAlignment="1">
      <alignment horizontal="right" vertical="top" wrapText="1"/>
    </xf>
    <xf numFmtId="4" fontId="91" fillId="0" borderId="0" xfId="0" applyNumberFormat="1" applyFont="1" applyFill="1"/>
    <xf numFmtId="3" fontId="91" fillId="0" borderId="0" xfId="0" applyNumberFormat="1" applyFont="1" applyFill="1"/>
    <xf numFmtId="171" fontId="91" fillId="0" borderId="9" xfId="0" applyNumberFormat="1" applyFont="1" applyFill="1" applyBorder="1" applyAlignment="1">
      <alignment vertical="top" wrapText="1"/>
    </xf>
    <xf numFmtId="0" fontId="91" fillId="0" borderId="9" xfId="0" applyFont="1" applyFill="1" applyBorder="1" applyAlignment="1">
      <alignment horizontal="center" vertical="center" wrapText="1"/>
    </xf>
    <xf numFmtId="172" fontId="91" fillId="0" borderId="9" xfId="0" applyNumberFormat="1" applyFont="1" applyFill="1" applyBorder="1" applyAlignment="1">
      <alignment vertical="top" wrapText="1"/>
    </xf>
    <xf numFmtId="0" fontId="90" fillId="0" borderId="0" xfId="0" applyFont="1" applyFill="1" applyBorder="1" applyAlignment="1">
      <alignment vertical="top" wrapText="1"/>
    </xf>
    <xf numFmtId="0" fontId="91" fillId="0" borderId="0" xfId="0" applyFont="1" applyFill="1" applyBorder="1"/>
    <xf numFmtId="0" fontId="91" fillId="0" borderId="9" xfId="0" applyFont="1" applyFill="1" applyBorder="1" applyAlignment="1">
      <alignment horizontal="left" vertical="top" wrapText="1"/>
    </xf>
    <xf numFmtId="172" fontId="90" fillId="0" borderId="9" xfId="0" applyNumberFormat="1" applyFont="1" applyFill="1" applyBorder="1" applyAlignment="1">
      <alignment vertical="top" wrapText="1"/>
    </xf>
    <xf numFmtId="169" fontId="91" fillId="0" borderId="0" xfId="67" applyNumberFormat="1" applyFont="1" applyFill="1"/>
    <xf numFmtId="0" fontId="90" fillId="0" borderId="9" xfId="0" applyFont="1" applyFill="1" applyBorder="1" applyAlignment="1">
      <alignment horizontal="center" vertical="top" wrapText="1"/>
    </xf>
    <xf numFmtId="4" fontId="90" fillId="0" borderId="9" xfId="0" applyNumberFormat="1" applyFont="1" applyFill="1" applyBorder="1" applyAlignment="1">
      <alignment horizontal="right" vertical="top" wrapText="1"/>
    </xf>
    <xf numFmtId="172" fontId="90" fillId="0" borderId="9" xfId="0" applyNumberFormat="1" applyFont="1" applyFill="1" applyBorder="1" applyAlignment="1">
      <alignment horizontal="right" vertical="top" wrapText="1"/>
    </xf>
    <xf numFmtId="43" fontId="91" fillId="0" borderId="0" xfId="0" applyNumberFormat="1" applyFont="1" applyFill="1" applyBorder="1"/>
    <xf numFmtId="0" fontId="94" fillId="0" borderId="0" xfId="0" applyFont="1" applyFill="1" applyBorder="1" applyAlignment="1">
      <alignment horizontal="justify" vertical="top" wrapText="1"/>
    </xf>
    <xf numFmtId="0" fontId="94" fillId="0" borderId="0" xfId="0" applyFont="1" applyFill="1" applyBorder="1" applyAlignment="1">
      <alignment horizontal="center" vertical="top" wrapText="1"/>
    </xf>
    <xf numFmtId="4" fontId="94" fillId="0" borderId="0" xfId="0" applyNumberFormat="1" applyFont="1" applyFill="1" applyBorder="1" applyAlignment="1">
      <alignment horizontal="right" vertical="top" wrapText="1"/>
    </xf>
    <xf numFmtId="171" fontId="94" fillId="0" borderId="0" xfId="0" applyNumberFormat="1" applyFont="1" applyFill="1" applyBorder="1" applyAlignment="1">
      <alignment horizontal="right" vertical="top" wrapText="1"/>
    </xf>
    <xf numFmtId="171" fontId="94" fillId="0" borderId="0" xfId="0" applyNumberFormat="1" applyFont="1" applyFill="1" applyBorder="1" applyAlignment="1">
      <alignment vertical="top" wrapText="1"/>
    </xf>
    <xf numFmtId="3" fontId="94" fillId="0" borderId="0" xfId="0" applyNumberFormat="1" applyFont="1" applyFill="1" applyBorder="1" applyAlignment="1">
      <alignment vertical="top" wrapText="1"/>
    </xf>
    <xf numFmtId="171" fontId="91" fillId="0" borderId="0" xfId="0" applyNumberFormat="1" applyFont="1" applyFill="1" applyBorder="1" applyAlignment="1">
      <alignment horizontal="right" vertical="top" wrapText="1"/>
    </xf>
    <xf numFmtId="171" fontId="91" fillId="0" borderId="0" xfId="0" applyNumberFormat="1" applyFont="1" applyFill="1" applyBorder="1" applyAlignment="1">
      <alignment vertical="top" wrapText="1"/>
    </xf>
    <xf numFmtId="3" fontId="91" fillId="0" borderId="0" xfId="0" applyNumberFormat="1" applyFont="1" applyFill="1" applyBorder="1" applyAlignment="1">
      <alignment horizontal="right" vertical="top" wrapText="1"/>
    </xf>
    <xf numFmtId="3" fontId="91" fillId="0" borderId="0" xfId="0" applyNumberFormat="1" applyFont="1" applyFill="1" applyBorder="1" applyAlignment="1">
      <alignment vertical="top" wrapText="1"/>
    </xf>
    <xf numFmtId="0" fontId="91" fillId="0" borderId="9" xfId="0" applyFont="1" applyFill="1" applyBorder="1" applyAlignment="1">
      <alignment horizontal="right" vertical="top" wrapText="1"/>
    </xf>
    <xf numFmtId="174" fontId="91" fillId="0" borderId="9" xfId="1" applyNumberFormat="1" applyFont="1" applyFill="1" applyBorder="1" applyAlignment="1">
      <alignment horizontal="right" vertical="top" wrapText="1"/>
    </xf>
    <xf numFmtId="171" fontId="91" fillId="0" borderId="9" xfId="1" applyNumberFormat="1" applyFont="1" applyFill="1" applyBorder="1" applyAlignment="1">
      <alignment horizontal="right" vertical="top" wrapText="1"/>
    </xf>
    <xf numFmtId="0" fontId="90" fillId="0" borderId="0" xfId="0" applyFont="1" applyFill="1" applyAlignment="1">
      <alignment horizontal="left"/>
    </xf>
    <xf numFmtId="172" fontId="91" fillId="0" borderId="9" xfId="0" applyNumberFormat="1" applyFont="1" applyFill="1" applyBorder="1" applyAlignment="1">
      <alignment horizontal="right" vertical="center" wrapText="1"/>
    </xf>
    <xf numFmtId="171" fontId="91" fillId="0" borderId="0" xfId="0" applyNumberFormat="1" applyFont="1" applyFill="1" applyAlignment="1">
      <alignment vertical="center"/>
    </xf>
    <xf numFmtId="3" fontId="91" fillId="0" borderId="9" xfId="0" applyNumberFormat="1" applyFont="1" applyFill="1" applyBorder="1" applyAlignment="1">
      <alignment horizontal="center" vertical="top" wrapText="1"/>
    </xf>
    <xf numFmtId="3" fontId="90" fillId="0" borderId="9" xfId="0" applyNumberFormat="1" applyFont="1" applyFill="1" applyBorder="1" applyAlignment="1">
      <alignment horizontal="center" vertical="top" wrapText="1"/>
    </xf>
    <xf numFmtId="0" fontId="91" fillId="0" borderId="0" xfId="0" applyFont="1" applyFill="1" applyBorder="1" applyAlignment="1">
      <alignment horizontal="left" vertical="top" wrapText="1"/>
    </xf>
    <xf numFmtId="3" fontId="91" fillId="0" borderId="0" xfId="0" applyNumberFormat="1" applyFont="1" applyFill="1" applyBorder="1" applyAlignment="1">
      <alignment horizontal="center" vertical="top" wrapText="1"/>
    </xf>
    <xf numFmtId="172" fontId="91" fillId="0" borderId="0" xfId="0" applyNumberFormat="1" applyFont="1" applyFill="1" applyBorder="1" applyAlignment="1">
      <alignment horizontal="right" vertical="top" wrapText="1"/>
    </xf>
    <xf numFmtId="0" fontId="91" fillId="0" borderId="0" xfId="0" applyFont="1" applyFill="1" applyAlignment="1">
      <alignment horizontal="left" vertical="center"/>
    </xf>
    <xf numFmtId="172" fontId="91" fillId="0" borderId="9" xfId="1" applyNumberFormat="1" applyFont="1" applyFill="1" applyBorder="1" applyAlignment="1">
      <alignment horizontal="right" vertical="top" wrapText="1"/>
    </xf>
    <xf numFmtId="171" fontId="91" fillId="0" borderId="0" xfId="0" applyNumberFormat="1" applyFont="1" applyFill="1" applyBorder="1"/>
    <xf numFmtId="0" fontId="91" fillId="0" borderId="0" xfId="0" applyFont="1" applyFill="1" applyBorder="1" applyAlignment="1">
      <alignment horizontal="justify" vertical="top" wrapText="1"/>
    </xf>
    <xf numFmtId="4" fontId="91" fillId="0" borderId="0" xfId="1" applyNumberFormat="1" applyFont="1" applyFill="1" applyBorder="1" applyAlignment="1">
      <alignment horizontal="right" vertical="top" wrapText="1"/>
    </xf>
    <xf numFmtId="0" fontId="90" fillId="0" borderId="9" xfId="2" applyFont="1" applyFill="1" applyBorder="1" applyAlignment="1">
      <alignment horizontal="center" vertical="top" wrapText="1"/>
    </xf>
    <xf numFmtId="171" fontId="91" fillId="0" borderId="9" xfId="2" applyNumberFormat="1" applyFont="1" applyFill="1" applyBorder="1" applyAlignment="1">
      <alignment horizontal="center" vertical="top" wrapText="1"/>
    </xf>
    <xf numFmtId="171" fontId="91" fillId="0" borderId="9" xfId="3" applyNumberFormat="1" applyFont="1" applyFill="1" applyBorder="1" applyAlignment="1">
      <alignment horizontal="right" vertical="top" wrapText="1"/>
    </xf>
    <xf numFmtId="3" fontId="91" fillId="0" borderId="9" xfId="2" applyNumberFormat="1" applyFont="1" applyFill="1" applyBorder="1" applyAlignment="1">
      <alignment horizontal="right" vertical="top" wrapText="1"/>
    </xf>
    <xf numFmtId="3" fontId="91" fillId="0" borderId="9" xfId="2" quotePrefix="1" applyNumberFormat="1" applyFont="1" applyFill="1" applyBorder="1" applyAlignment="1">
      <alignment horizontal="center" vertical="top" wrapText="1"/>
    </xf>
    <xf numFmtId="0" fontId="90" fillId="0" borderId="12" xfId="2" applyFont="1" applyFill="1" applyBorder="1" applyAlignment="1">
      <alignment horizontal="left" vertical="top" wrapText="1"/>
    </xf>
    <xf numFmtId="171" fontId="90" fillId="0" borderId="12" xfId="3" applyNumberFormat="1" applyFont="1" applyFill="1" applyBorder="1" applyAlignment="1">
      <alignment horizontal="right" vertical="top" wrapText="1"/>
    </xf>
    <xf numFmtId="3" fontId="91" fillId="0" borderId="12" xfId="2" quotePrefix="1" applyNumberFormat="1" applyFont="1" applyFill="1" applyBorder="1" applyAlignment="1">
      <alignment horizontal="center" vertical="top" wrapText="1"/>
    </xf>
    <xf numFmtId="171" fontId="90" fillId="0" borderId="9" xfId="3" applyNumberFormat="1" applyFont="1" applyFill="1" applyBorder="1" applyAlignment="1">
      <alignment vertical="top" wrapText="1"/>
    </xf>
    <xf numFmtId="0" fontId="90" fillId="0" borderId="9" xfId="2" applyFont="1" applyFill="1" applyBorder="1" applyAlignment="1">
      <alignment vertical="top" wrapText="1"/>
    </xf>
    <xf numFmtId="3" fontId="90" fillId="0" borderId="9" xfId="3" applyNumberFormat="1" applyFont="1" applyFill="1" applyBorder="1" applyAlignment="1">
      <alignment vertical="top" wrapText="1"/>
    </xf>
    <xf numFmtId="171" fontId="90" fillId="0" borderId="12" xfId="3" applyNumberFormat="1" applyFont="1" applyFill="1" applyBorder="1" applyAlignment="1">
      <alignment vertical="top" wrapText="1"/>
    </xf>
    <xf numFmtId="3" fontId="90" fillId="0" borderId="12" xfId="3" applyNumberFormat="1" applyFont="1" applyFill="1" applyBorder="1" applyAlignment="1">
      <alignment vertical="top" wrapText="1"/>
    </xf>
    <xf numFmtId="0" fontId="90" fillId="0" borderId="12" xfId="2" applyFont="1" applyFill="1" applyBorder="1" applyAlignment="1">
      <alignment vertical="top" wrapText="1"/>
    </xf>
    <xf numFmtId="175" fontId="90" fillId="0" borderId="9" xfId="77" applyNumberFormat="1" applyFont="1" applyFill="1" applyBorder="1" applyAlignment="1">
      <alignment vertical="top" wrapText="1"/>
    </xf>
    <xf numFmtId="0" fontId="91" fillId="0" borderId="12" xfId="0" applyFont="1" applyFill="1" applyBorder="1" applyAlignment="1">
      <alignment horizontal="left" vertical="center" wrapText="1"/>
    </xf>
    <xf numFmtId="0" fontId="90" fillId="0" borderId="12" xfId="2" applyFont="1" applyFill="1" applyBorder="1" applyAlignment="1">
      <alignment horizontal="center" vertical="center" wrapText="1"/>
    </xf>
    <xf numFmtId="171" fontId="91" fillId="0" borderId="12" xfId="2" applyNumberFormat="1" applyFont="1" applyFill="1" applyBorder="1" applyAlignment="1">
      <alignment horizontal="center" vertical="center" wrapText="1"/>
    </xf>
    <xf numFmtId="171" fontId="91" fillId="0" borderId="12" xfId="3" applyNumberFormat="1" applyFont="1" applyFill="1" applyBorder="1" applyAlignment="1">
      <alignment horizontal="right" vertical="center" wrapText="1"/>
    </xf>
    <xf numFmtId="166" fontId="91" fillId="0" borderId="12" xfId="3" applyNumberFormat="1" applyFont="1" applyFill="1" applyBorder="1" applyAlignment="1">
      <alignment horizontal="center" vertical="center" wrapText="1"/>
    </xf>
    <xf numFmtId="3" fontId="91" fillId="0" borderId="9" xfId="0" applyNumberFormat="1" applyFont="1" applyFill="1" applyBorder="1" applyAlignment="1">
      <alignment vertical="top" wrapText="1"/>
    </xf>
    <xf numFmtId="0" fontId="91" fillId="0" borderId="9" xfId="0" applyFont="1" applyFill="1" applyBorder="1"/>
    <xf numFmtId="0" fontId="90" fillId="0" borderId="29" xfId="2" applyFont="1" applyFill="1" applyBorder="1" applyAlignment="1">
      <alignment horizontal="left" vertical="top" wrapText="1"/>
    </xf>
    <xf numFmtId="171" fontId="90" fillId="0" borderId="29" xfId="3" applyNumberFormat="1" applyFont="1" applyFill="1" applyBorder="1" applyAlignment="1">
      <alignment vertical="top" wrapText="1"/>
    </xf>
    <xf numFmtId="3" fontId="90" fillId="0" borderId="29" xfId="3" applyNumberFormat="1" applyFont="1" applyFill="1" applyBorder="1" applyAlignment="1">
      <alignment vertical="top" wrapText="1"/>
    </xf>
    <xf numFmtId="3" fontId="91" fillId="0" borderId="29" xfId="0" applyNumberFormat="1" applyFont="1" applyFill="1" applyBorder="1" applyAlignment="1">
      <alignment vertical="top" wrapText="1"/>
    </xf>
    <xf numFmtId="0" fontId="90" fillId="0" borderId="6" xfId="2" applyFont="1" applyFill="1" applyBorder="1" applyAlignment="1">
      <alignment horizontal="left" vertical="top" wrapText="1"/>
    </xf>
    <xf numFmtId="171" fontId="90" fillId="0" borderId="6" xfId="3" applyNumberFormat="1" applyFont="1" applyFill="1" applyBorder="1" applyAlignment="1">
      <alignment vertical="top" wrapText="1"/>
    </xf>
    <xf numFmtId="3" fontId="90" fillId="0" borderId="0" xfId="3" applyNumberFormat="1" applyFont="1" applyFill="1" applyBorder="1" applyAlignment="1">
      <alignment vertical="top" wrapText="1"/>
    </xf>
    <xf numFmtId="0" fontId="96" fillId="0" borderId="9" xfId="0" applyFont="1" applyFill="1" applyBorder="1" applyAlignment="1">
      <alignment horizontal="left" vertical="top" wrapText="1"/>
    </xf>
    <xf numFmtId="171" fontId="97" fillId="0" borderId="9" xfId="3" applyNumberFormat="1" applyFont="1" applyFill="1" applyBorder="1" applyAlignment="1">
      <alignment vertical="top" wrapText="1"/>
    </xf>
    <xf numFmtId="166" fontId="97" fillId="0" borderId="9" xfId="3" applyNumberFormat="1" applyFont="1" applyFill="1" applyBorder="1" applyAlignment="1">
      <alignment vertical="top" wrapText="1"/>
    </xf>
    <xf numFmtId="3" fontId="97" fillId="0" borderId="11" xfId="3" applyNumberFormat="1" applyFont="1" applyFill="1" applyBorder="1" applyAlignment="1">
      <alignment vertical="top" wrapText="1"/>
    </xf>
    <xf numFmtId="3" fontId="97" fillId="0" borderId="9" xfId="3" applyNumberFormat="1" applyFont="1" applyFill="1" applyBorder="1" applyAlignment="1">
      <alignment vertical="top" wrapText="1"/>
    </xf>
    <xf numFmtId="0" fontId="97" fillId="0" borderId="0" xfId="0" applyFont="1" applyFill="1"/>
    <xf numFmtId="0" fontId="97" fillId="0" borderId="9" xfId="0" applyFont="1" applyFill="1" applyBorder="1" applyAlignment="1">
      <alignment horizontal="left" vertical="top" wrapText="1"/>
    </xf>
    <xf numFmtId="171" fontId="97" fillId="0" borderId="9" xfId="0" applyNumberFormat="1" applyFont="1" applyFill="1" applyBorder="1" applyAlignment="1">
      <alignment horizontal="center" vertical="top" wrapText="1"/>
    </xf>
    <xf numFmtId="0" fontId="97" fillId="0" borderId="9" xfId="0" applyFont="1" applyFill="1" applyBorder="1" applyAlignment="1">
      <alignment horizontal="center" vertical="top" wrapText="1"/>
    </xf>
    <xf numFmtId="3" fontId="97" fillId="0" borderId="11" xfId="3" applyNumberFormat="1" applyFont="1" applyFill="1" applyBorder="1" applyAlignment="1">
      <alignment horizontal="center" vertical="top" wrapText="1"/>
    </xf>
    <xf numFmtId="3" fontId="97" fillId="0" borderId="9" xfId="3" applyNumberFormat="1" applyFont="1" applyFill="1" applyBorder="1" applyAlignment="1">
      <alignment horizontal="center" vertical="top" wrapText="1"/>
    </xf>
    <xf numFmtId="0" fontId="97" fillId="0" borderId="11" xfId="0" applyFont="1" applyFill="1" applyBorder="1" applyAlignment="1">
      <alignment horizontal="center" vertical="top" wrapText="1"/>
    </xf>
    <xf numFmtId="166" fontId="90" fillId="0" borderId="9" xfId="3" applyNumberFormat="1" applyFont="1" applyFill="1" applyBorder="1" applyAlignment="1">
      <alignment horizontal="center" vertical="center" wrapText="1"/>
    </xf>
    <xf numFmtId="0" fontId="91" fillId="0" borderId="29" xfId="0" applyFont="1" applyFill="1" applyBorder="1" applyAlignment="1">
      <alignment horizontal="left" vertical="center" wrapText="1"/>
    </xf>
    <xf numFmtId="0" fontId="91" fillId="0" borderId="29" xfId="2" applyFont="1" applyFill="1" applyBorder="1" applyAlignment="1">
      <alignment horizontal="center" vertical="top" wrapText="1"/>
    </xf>
    <xf numFmtId="0" fontId="90" fillId="0" borderId="29" xfId="2" applyFont="1" applyFill="1" applyBorder="1" applyAlignment="1">
      <alignment horizontal="center" vertical="center" wrapText="1"/>
    </xf>
    <xf numFmtId="171" fontId="91" fillId="0" borderId="29" xfId="2" applyNumberFormat="1" applyFont="1" applyFill="1" applyBorder="1" applyAlignment="1">
      <alignment horizontal="center" vertical="center" wrapText="1"/>
    </xf>
    <xf numFmtId="171" fontId="91" fillId="0" borderId="29" xfId="3" applyNumberFormat="1" applyFont="1" applyFill="1" applyBorder="1" applyAlignment="1">
      <alignment horizontal="right" vertical="center" wrapText="1"/>
    </xf>
    <xf numFmtId="166" fontId="91" fillId="0" borderId="0" xfId="3" applyNumberFormat="1" applyFont="1" applyFill="1" applyBorder="1" applyAlignment="1">
      <alignment horizontal="center" vertical="center" wrapText="1"/>
    </xf>
    <xf numFmtId="3" fontId="91" fillId="0" borderId="0" xfId="0" applyNumberFormat="1" applyFont="1" applyFill="1" applyBorder="1"/>
    <xf numFmtId="166" fontId="91" fillId="0" borderId="2" xfId="3" applyNumberFormat="1" applyFont="1" applyFill="1" applyBorder="1" applyAlignment="1">
      <alignment horizontal="center" vertical="top" wrapText="1"/>
    </xf>
    <xf numFmtId="171" fontId="91" fillId="0" borderId="2" xfId="3" applyNumberFormat="1" applyFont="1" applyFill="1" applyBorder="1" applyAlignment="1">
      <alignment horizontal="right" vertical="top" wrapText="1"/>
    </xf>
    <xf numFmtId="171" fontId="98" fillId="0" borderId="0" xfId="0" applyNumberFormat="1" applyFont="1" applyFill="1"/>
    <xf numFmtId="0" fontId="90" fillId="0" borderId="0" xfId="0" applyFont="1" applyFill="1" applyAlignment="1">
      <alignment horizontal="justify"/>
    </xf>
    <xf numFmtId="0" fontId="90" fillId="0" borderId="0" xfId="0" applyFont="1" applyFill="1" applyBorder="1" applyAlignment="1"/>
    <xf numFmtId="2" fontId="90" fillId="0" borderId="9" xfId="0" applyNumberFormat="1" applyFont="1" applyFill="1" applyBorder="1" applyAlignment="1">
      <alignment horizontal="center" vertical="center" wrapText="1"/>
    </xf>
    <xf numFmtId="3" fontId="90" fillId="0" borderId="0" xfId="0" applyNumberFormat="1" applyFont="1" applyFill="1" applyBorder="1" applyAlignment="1">
      <alignment horizontal="right" vertical="top" wrapText="1"/>
    </xf>
    <xf numFmtId="0" fontId="95" fillId="0" borderId="0" xfId="0" applyFont="1" applyFill="1" applyBorder="1" applyAlignment="1"/>
    <xf numFmtId="171" fontId="90" fillId="0" borderId="0" xfId="0" applyNumberFormat="1" applyFont="1" applyFill="1" applyAlignment="1">
      <alignment horizontal="center"/>
    </xf>
    <xf numFmtId="3" fontId="90" fillId="0" borderId="0" xfId="0" applyNumberFormat="1" applyFont="1" applyFill="1" applyAlignment="1">
      <alignment horizontal="center"/>
    </xf>
    <xf numFmtId="2" fontId="90" fillId="0" borderId="1" xfId="0" applyNumberFormat="1" applyFont="1" applyFill="1" applyBorder="1" applyAlignment="1">
      <alignment horizontal="center" vertical="center" wrapText="1"/>
    </xf>
    <xf numFmtId="171" fontId="90" fillId="0" borderId="0" xfId="0" applyNumberFormat="1" applyFont="1" applyFill="1" applyAlignment="1">
      <alignment horizontal="left"/>
    </xf>
    <xf numFmtId="3" fontId="90" fillId="0" borderId="0" xfId="0" applyNumberFormat="1" applyFont="1" applyFill="1" applyAlignment="1">
      <alignment horizontal="left"/>
    </xf>
    <xf numFmtId="0" fontId="91" fillId="0" borderId="0" xfId="0" applyFont="1" applyFill="1" applyAlignment="1">
      <alignment horizontal="center"/>
    </xf>
    <xf numFmtId="171" fontId="90" fillId="0" borderId="9" xfId="0" applyNumberFormat="1" applyFont="1" applyFill="1" applyBorder="1" applyAlignment="1">
      <alignment horizontal="right"/>
    </xf>
    <xf numFmtId="170" fontId="91" fillId="0" borderId="0" xfId="0" applyNumberFormat="1" applyFont="1" applyFill="1"/>
    <xf numFmtId="41" fontId="91" fillId="0" borderId="0" xfId="67" applyFont="1" applyFill="1"/>
    <xf numFmtId="3" fontId="90" fillId="0" borderId="9" xfId="0" applyNumberFormat="1" applyFont="1" applyFill="1" applyBorder="1" applyAlignment="1">
      <alignment horizontal="right" vertical="center" wrapText="1"/>
    </xf>
    <xf numFmtId="171" fontId="90" fillId="0" borderId="9" xfId="0" applyNumberFormat="1" applyFont="1" applyFill="1" applyBorder="1" applyAlignment="1">
      <alignment horizontal="right" vertical="center" wrapText="1"/>
    </xf>
    <xf numFmtId="3" fontId="91" fillId="0" borderId="0" xfId="0" applyNumberFormat="1" applyFont="1" applyFill="1" applyBorder="1" applyAlignment="1">
      <alignment horizontal="right"/>
    </xf>
    <xf numFmtId="41" fontId="91" fillId="0" borderId="0" xfId="67" applyFont="1" applyFill="1" applyBorder="1"/>
    <xf numFmtId="0" fontId="90" fillId="0" borderId="0" xfId="0" applyFont="1" applyFill="1" applyBorder="1" applyAlignment="1">
      <alignment horizontal="center"/>
    </xf>
    <xf numFmtId="3" fontId="90" fillId="0" borderId="0" xfId="0" applyNumberFormat="1" applyFont="1" applyFill="1" applyBorder="1" applyAlignment="1">
      <alignment horizontal="right"/>
    </xf>
    <xf numFmtId="171" fontId="91" fillId="0" borderId="0" xfId="3" applyNumberFormat="1" applyFont="1" applyFill="1" applyBorder="1" applyAlignment="1">
      <alignment horizontal="justify" vertical="top" wrapText="1"/>
    </xf>
    <xf numFmtId="171" fontId="90" fillId="0" borderId="0" xfId="3" applyNumberFormat="1" applyFont="1" applyFill="1" applyBorder="1" applyAlignment="1">
      <alignment horizontal="right" vertical="top" wrapText="1"/>
    </xf>
    <xf numFmtId="0" fontId="90" fillId="0" borderId="0" xfId="0" applyFont="1" applyFill="1" applyBorder="1" applyAlignment="1">
      <alignment horizontal="left" vertical="top" wrapText="1"/>
    </xf>
    <xf numFmtId="3" fontId="91" fillId="0" borderId="9" xfId="0" applyNumberFormat="1" applyFont="1" applyFill="1" applyBorder="1" applyAlignment="1">
      <alignment horizontal="right" vertical="top" wrapText="1"/>
    </xf>
    <xf numFmtId="0" fontId="90" fillId="0" borderId="0" xfId="0" applyFont="1" applyFill="1" applyBorder="1" applyAlignment="1">
      <alignment horizontal="justify" vertical="top" wrapText="1"/>
    </xf>
    <xf numFmtId="166" fontId="91" fillId="0" borderId="0" xfId="0" applyNumberFormat="1" applyFont="1" applyFill="1" applyBorder="1" applyAlignment="1">
      <alignment horizontal="justify" vertical="top" wrapText="1"/>
    </xf>
    <xf numFmtId="0" fontId="91" fillId="0" borderId="0" xfId="0" applyFont="1" applyFill="1" applyAlignment="1">
      <alignment horizontal="justify"/>
    </xf>
    <xf numFmtId="171" fontId="91" fillId="0" borderId="9" xfId="0" applyNumberFormat="1" applyFont="1" applyFill="1" applyBorder="1" applyAlignment="1">
      <alignment horizontal="center" vertical="top" wrapText="1"/>
    </xf>
    <xf numFmtId="3" fontId="91" fillId="0" borderId="9" xfId="3" applyNumberFormat="1" applyFont="1" applyFill="1" applyBorder="1" applyAlignment="1">
      <alignment vertical="top" wrapText="1"/>
    </xf>
    <xf numFmtId="0" fontId="91" fillId="0" borderId="1" xfId="0" applyFont="1" applyFill="1" applyBorder="1" applyAlignment="1">
      <alignment horizontal="center" vertical="top" wrapText="1"/>
    </xf>
    <xf numFmtId="171" fontId="91" fillId="0" borderId="1" xfId="0" applyNumberFormat="1" applyFont="1" applyFill="1" applyBorder="1" applyAlignment="1">
      <alignment horizontal="right" vertical="top" wrapText="1"/>
    </xf>
    <xf numFmtId="171" fontId="91" fillId="0" borderId="0" xfId="0" applyNumberFormat="1" applyFont="1" applyFill="1" applyBorder="1" applyAlignment="1">
      <alignment horizontal="justify" vertical="top" wrapText="1"/>
    </xf>
    <xf numFmtId="166" fontId="91" fillId="0" borderId="7" xfId="3" applyNumberFormat="1" applyFont="1" applyFill="1" applyBorder="1" applyAlignment="1">
      <alignment horizontal="center" vertical="center" wrapText="1"/>
    </xf>
    <xf numFmtId="171" fontId="91" fillId="0" borderId="7" xfId="3" applyNumberFormat="1" applyFont="1" applyFill="1" applyBorder="1" applyAlignment="1">
      <alignment vertical="top" wrapText="1"/>
    </xf>
    <xf numFmtId="171" fontId="91" fillId="0" borderId="7" xfId="3" applyNumberFormat="1" applyFont="1" applyFill="1" applyBorder="1" applyAlignment="1">
      <alignment horizontal="right" vertical="top" wrapText="1"/>
    </xf>
    <xf numFmtId="0" fontId="90" fillId="0" borderId="1" xfId="0" applyFont="1" applyFill="1" applyBorder="1" applyAlignment="1">
      <alignment horizontal="justify" vertical="top" wrapText="1"/>
    </xf>
    <xf numFmtId="171" fontId="90" fillId="0" borderId="1" xfId="3" applyNumberFormat="1" applyFont="1" applyFill="1" applyBorder="1" applyAlignment="1">
      <alignment horizontal="right" vertical="top" wrapText="1"/>
    </xf>
    <xf numFmtId="171" fontId="90" fillId="0" borderId="0" xfId="0" applyNumberFormat="1" applyFont="1" applyFill="1" applyBorder="1" applyAlignment="1">
      <alignment horizontal="right" vertical="top" wrapText="1"/>
    </xf>
    <xf numFmtId="166" fontId="91" fillId="0" borderId="14" xfId="3" applyNumberFormat="1" applyFont="1" applyFill="1" applyBorder="1" applyAlignment="1">
      <alignment horizontal="center" vertical="center" wrapText="1"/>
    </xf>
    <xf numFmtId="171" fontId="91" fillId="0" borderId="15" xfId="0" applyNumberFormat="1" applyFont="1" applyFill="1" applyBorder="1"/>
    <xf numFmtId="171" fontId="91" fillId="0" borderId="14" xfId="0" applyNumberFormat="1" applyFont="1" applyFill="1" applyBorder="1"/>
    <xf numFmtId="171" fontId="90" fillId="0" borderId="1" xfId="0" applyNumberFormat="1" applyFont="1" applyFill="1" applyBorder="1" applyAlignment="1">
      <alignment horizontal="right" vertical="top" wrapText="1"/>
    </xf>
    <xf numFmtId="3" fontId="91" fillId="0" borderId="9" xfId="0" applyNumberFormat="1" applyFont="1" applyFill="1" applyBorder="1" applyAlignment="1">
      <alignment vertical="center" wrapText="1"/>
    </xf>
    <xf numFmtId="171" fontId="91" fillId="0" borderId="9" xfId="0" applyNumberFormat="1" applyFont="1" applyFill="1" applyBorder="1" applyAlignment="1">
      <alignment vertical="center" wrapText="1"/>
    </xf>
    <xf numFmtId="3" fontId="90" fillId="0" borderId="9" xfId="0" applyNumberFormat="1" applyFont="1" applyFill="1" applyBorder="1" applyAlignment="1">
      <alignment vertical="center" wrapText="1"/>
    </xf>
    <xf numFmtId="166" fontId="90" fillId="0" borderId="0" xfId="0" applyNumberFormat="1" applyFont="1" applyFill="1" applyBorder="1" applyAlignment="1">
      <alignment horizontal="justify" vertical="top" wrapText="1"/>
    </xf>
    <xf numFmtId="171" fontId="90" fillId="0" borderId="0" xfId="0" applyNumberFormat="1" applyFont="1" applyFill="1" applyBorder="1" applyAlignment="1">
      <alignment horizontal="justify" vertical="top" wrapText="1"/>
    </xf>
    <xf numFmtId="3" fontId="91" fillId="0" borderId="0" xfId="0" applyNumberFormat="1" applyFont="1" applyFill="1" applyBorder="1" applyAlignment="1">
      <alignment horizontal="justify" vertical="top" wrapText="1"/>
    </xf>
    <xf numFmtId="3" fontId="91" fillId="0" borderId="9" xfId="0" applyNumberFormat="1" applyFont="1" applyFill="1" applyBorder="1"/>
    <xf numFmtId="3" fontId="90" fillId="0" borderId="1" xfId="0" applyNumberFormat="1" applyFont="1" applyFill="1" applyBorder="1" applyAlignment="1">
      <alignment horizontal="right"/>
    </xf>
    <xf numFmtId="3" fontId="91" fillId="0" borderId="0" xfId="0" applyNumberFormat="1" applyFont="1" applyFill="1" applyAlignment="1">
      <alignment horizontal="center"/>
    </xf>
    <xf numFmtId="3" fontId="91" fillId="0" borderId="7" xfId="0" applyNumberFormat="1" applyFont="1" applyFill="1" applyBorder="1"/>
    <xf numFmtId="171" fontId="91" fillId="0" borderId="0" xfId="0" quotePrefix="1" applyNumberFormat="1" applyFont="1" applyFill="1"/>
    <xf numFmtId="3" fontId="91" fillId="0" borderId="15" xfId="0" applyNumberFormat="1" applyFont="1" applyFill="1" applyBorder="1"/>
    <xf numFmtId="3" fontId="91" fillId="0" borderId="14" xfId="0" applyNumberFormat="1" applyFont="1" applyFill="1" applyBorder="1"/>
    <xf numFmtId="3" fontId="90" fillId="0" borderId="9" xfId="0" applyNumberFormat="1" applyFont="1" applyFill="1" applyBorder="1"/>
    <xf numFmtId="0" fontId="90" fillId="0" borderId="0" xfId="0" applyFont="1" applyFill="1" applyBorder="1" applyAlignment="1">
      <alignment horizontal="left"/>
    </xf>
    <xf numFmtId="0" fontId="90" fillId="0" borderId="0" xfId="0" applyFont="1" applyFill="1" applyBorder="1" applyAlignment="1">
      <alignment horizontal="center" vertical="top" wrapText="1"/>
    </xf>
    <xf numFmtId="3" fontId="90" fillId="0" borderId="0" xfId="0" applyNumberFormat="1" applyFont="1" applyFill="1" applyBorder="1" applyAlignment="1">
      <alignment horizontal="center" vertical="top" wrapText="1"/>
    </xf>
    <xf numFmtId="3" fontId="91" fillId="0" borderId="0" xfId="0" applyNumberFormat="1" applyFont="1" applyFill="1" applyAlignment="1">
      <alignment vertical="center"/>
    </xf>
    <xf numFmtId="0" fontId="82" fillId="0" borderId="0" xfId="0" applyFont="1" applyFill="1" applyBorder="1" applyAlignment="1"/>
    <xf numFmtId="3" fontId="80" fillId="0" borderId="0" xfId="0" applyNumberFormat="1" applyFont="1" applyFill="1" applyBorder="1" applyAlignment="1">
      <alignment horizontal="right"/>
    </xf>
    <xf numFmtId="3" fontId="82" fillId="0" borderId="0" xfId="0" applyNumberFormat="1" applyFont="1" applyFill="1"/>
    <xf numFmtId="0" fontId="71" fillId="0" borderId="0" xfId="0" applyFont="1" applyFill="1"/>
    <xf numFmtId="0" fontId="76" fillId="0" borderId="0" xfId="0" applyFont="1" applyFill="1" applyAlignment="1">
      <alignment horizontal="center"/>
    </xf>
    <xf numFmtId="0" fontId="86" fillId="0" borderId="0" xfId="0" applyFont="1" applyFill="1"/>
    <xf numFmtId="171" fontId="71" fillId="0" borderId="0" xfId="0" applyNumberFormat="1" applyFont="1" applyFill="1"/>
    <xf numFmtId="0" fontId="17" fillId="0" borderId="0" xfId="0" applyFont="1" applyFill="1"/>
    <xf numFmtId="0" fontId="73" fillId="0" borderId="0" xfId="0" applyFont="1" applyFill="1" applyAlignment="1">
      <alignment horizontal="left"/>
    </xf>
    <xf numFmtId="0" fontId="72" fillId="0" borderId="0" xfId="0" applyFont="1" applyFill="1" applyAlignment="1">
      <alignment horizontal="center"/>
    </xf>
    <xf numFmtId="0" fontId="71" fillId="0" borderId="0" xfId="0" applyFont="1" applyFill="1" applyAlignment="1">
      <alignment horizontal="left"/>
    </xf>
    <xf numFmtId="0" fontId="76" fillId="0" borderId="14" xfId="0" applyFont="1" applyFill="1" applyBorder="1"/>
    <xf numFmtId="0" fontId="76" fillId="0" borderId="14" xfId="0" applyFont="1" applyFill="1" applyBorder="1" applyAlignment="1">
      <alignment horizontal="center"/>
    </xf>
    <xf numFmtId="3" fontId="76" fillId="0" borderId="14" xfId="0" applyNumberFormat="1" applyFont="1" applyFill="1" applyBorder="1"/>
    <xf numFmtId="0" fontId="87" fillId="0" borderId="3" xfId="0" applyFont="1" applyFill="1" applyBorder="1"/>
    <xf numFmtId="0" fontId="78" fillId="0" borderId="3" xfId="0" applyFont="1" applyFill="1" applyBorder="1" applyAlignment="1">
      <alignment horizontal="center"/>
    </xf>
    <xf numFmtId="0" fontId="76" fillId="0" borderId="3" xfId="0" quotePrefix="1" applyFont="1" applyFill="1" applyBorder="1" applyAlignment="1">
      <alignment horizontal="center"/>
    </xf>
    <xf numFmtId="3" fontId="71" fillId="0" borderId="0" xfId="0" applyNumberFormat="1" applyFont="1" applyFill="1"/>
    <xf numFmtId="3" fontId="17" fillId="0" borderId="0" xfId="0" applyNumberFormat="1" applyFont="1" applyFill="1"/>
    <xf numFmtId="3" fontId="86" fillId="0" borderId="0" xfId="0" applyNumberFormat="1" applyFont="1" applyFill="1"/>
    <xf numFmtId="0" fontId="18" fillId="0" borderId="0" xfId="0" applyFont="1" applyFill="1" applyAlignment="1">
      <alignment horizontal="center"/>
    </xf>
    <xf numFmtId="3" fontId="19" fillId="0" borderId="0" xfId="0" applyNumberFormat="1" applyFont="1" applyFill="1"/>
    <xf numFmtId="171" fontId="17" fillId="0" borderId="0" xfId="0" applyNumberFormat="1" applyFont="1" applyFill="1"/>
    <xf numFmtId="0" fontId="17" fillId="0" borderId="0" xfId="0" applyFont="1" applyFill="1" applyAlignment="1">
      <alignment horizontal="right"/>
    </xf>
    <xf numFmtId="171" fontId="19" fillId="0" borderId="0" xfId="0" applyNumberFormat="1" applyFont="1" applyFill="1"/>
    <xf numFmtId="0" fontId="19" fillId="0" borderId="0" xfId="0" applyFont="1" applyFill="1"/>
    <xf numFmtId="0" fontId="99" fillId="38" borderId="1" xfId="0" applyFont="1" applyFill="1" applyBorder="1" applyAlignment="1">
      <alignment horizontal="center" vertical="center" wrapText="1"/>
    </xf>
    <xf numFmtId="0" fontId="99" fillId="38" borderId="9" xfId="0" applyFont="1" applyFill="1" applyBorder="1" applyAlignment="1">
      <alignment horizontal="center" vertical="center" wrapText="1"/>
    </xf>
    <xf numFmtId="0" fontId="99" fillId="38" borderId="9" xfId="4" applyFont="1" applyFill="1" applyBorder="1" applyAlignment="1">
      <alignment horizontal="center" vertical="center" wrapText="1"/>
    </xf>
    <xf numFmtId="14" fontId="88" fillId="38" borderId="9" xfId="0" applyNumberFormat="1" applyFont="1" applyFill="1" applyBorder="1" applyAlignment="1">
      <alignment horizontal="center" vertical="center" wrapText="1"/>
    </xf>
    <xf numFmtId="171" fontId="88" fillId="38" borderId="9" xfId="0" applyNumberFormat="1" applyFont="1" applyFill="1" applyBorder="1" applyAlignment="1">
      <alignment horizontal="center" vertical="center" wrapText="1"/>
    </xf>
    <xf numFmtId="0" fontId="101" fillId="38" borderId="12" xfId="0" applyFont="1" applyFill="1" applyBorder="1" applyAlignment="1"/>
    <xf numFmtId="0" fontId="101" fillId="38" borderId="13" xfId="0" applyFont="1" applyFill="1" applyBorder="1" applyAlignment="1"/>
    <xf numFmtId="0" fontId="101" fillId="38" borderId="12" xfId="0" applyFont="1" applyFill="1" applyBorder="1" applyAlignment="1">
      <alignment horizontal="center"/>
    </xf>
    <xf numFmtId="0" fontId="101" fillId="38" borderId="13" xfId="0" applyFont="1" applyFill="1" applyBorder="1" applyAlignment="1">
      <alignment horizontal="center"/>
    </xf>
    <xf numFmtId="0" fontId="88" fillId="38" borderId="11" xfId="0" applyFont="1" applyFill="1" applyBorder="1" applyAlignment="1">
      <alignment horizontal="center" vertical="center" wrapText="1"/>
    </xf>
    <xf numFmtId="2" fontId="88" fillId="38" borderId="9" xfId="0" applyNumberFormat="1" applyFont="1" applyFill="1" applyBorder="1" applyAlignment="1">
      <alignment horizontal="center" vertical="center" wrapText="1"/>
    </xf>
    <xf numFmtId="49" fontId="88" fillId="38" borderId="9" xfId="0" applyNumberFormat="1" applyFont="1" applyFill="1" applyBorder="1" applyAlignment="1">
      <alignment horizontal="center" vertical="center" wrapText="1"/>
    </xf>
    <xf numFmtId="2" fontId="88" fillId="38" borderId="1" xfId="0" applyNumberFormat="1" applyFont="1" applyFill="1" applyBorder="1" applyAlignment="1">
      <alignment horizontal="center" vertical="center" wrapText="1"/>
    </xf>
    <xf numFmtId="171" fontId="88" fillId="38" borderId="1" xfId="0" applyNumberFormat="1" applyFont="1" applyFill="1" applyBorder="1" applyAlignment="1">
      <alignment horizontal="center" vertical="center" wrapText="1"/>
    </xf>
    <xf numFmtId="171" fontId="88" fillId="38" borderId="9" xfId="0" applyNumberFormat="1" applyFont="1" applyFill="1" applyBorder="1" applyAlignment="1">
      <alignment horizontal="center" vertical="center" wrapText="1"/>
    </xf>
    <xf numFmtId="0" fontId="91" fillId="0" borderId="3" xfId="0" applyFont="1" applyFill="1" applyBorder="1" applyAlignment="1">
      <alignment vertical="top"/>
    </xf>
    <xf numFmtId="0" fontId="17" fillId="0" borderId="3" xfId="0" applyFont="1" applyBorder="1"/>
    <xf numFmtId="0" fontId="18" fillId="0" borderId="3" xfId="0" applyFont="1" applyBorder="1" applyAlignment="1">
      <alignment horizontal="center"/>
    </xf>
    <xf numFmtId="171" fontId="91" fillId="0" borderId="9" xfId="2" applyNumberFormat="1" applyFont="1" applyFill="1" applyBorder="1" applyAlignment="1">
      <alignment horizontal="right" vertical="top" wrapText="1"/>
    </xf>
    <xf numFmtId="14" fontId="91" fillId="0" borderId="0" xfId="0" applyNumberFormat="1" applyFont="1" applyFill="1"/>
    <xf numFmtId="171" fontId="90" fillId="0" borderId="9" xfId="3" applyNumberFormat="1" applyFont="1" applyFill="1" applyBorder="1" applyAlignment="1">
      <alignment horizontal="right" vertical="center" wrapText="1"/>
    </xf>
    <xf numFmtId="171" fontId="91" fillId="0" borderId="11" xfId="3" applyNumberFormat="1" applyFont="1" applyFill="1" applyBorder="1" applyAlignment="1">
      <alignment vertical="center" wrapText="1"/>
    </xf>
    <xf numFmtId="171" fontId="91" fillId="0" borderId="12" xfId="3" applyNumberFormat="1" applyFont="1" applyFill="1" applyBorder="1" applyAlignment="1">
      <alignment vertical="center" wrapText="1"/>
    </xf>
    <xf numFmtId="171" fontId="91" fillId="0" borderId="13" xfId="3" applyNumberFormat="1" applyFont="1" applyFill="1" applyBorder="1" applyAlignment="1">
      <alignment vertical="center" wrapText="1"/>
    </xf>
    <xf numFmtId="0" fontId="91" fillId="0" borderId="11" xfId="0" applyFont="1" applyFill="1" applyBorder="1" applyAlignment="1">
      <alignment horizontal="left"/>
    </xf>
    <xf numFmtId="0" fontId="91" fillId="0" borderId="13" xfId="0" applyFont="1" applyFill="1" applyBorder="1" applyAlignment="1">
      <alignment horizontal="left"/>
    </xf>
    <xf numFmtId="0" fontId="83" fillId="38" borderId="9" xfId="0" applyFont="1" applyFill="1" applyBorder="1" applyAlignment="1">
      <alignment horizontal="center" vertical="center" wrapText="1"/>
    </xf>
    <xf numFmtId="174" fontId="91" fillId="0" borderId="0" xfId="0" applyNumberFormat="1" applyFont="1" applyFill="1" applyBorder="1"/>
    <xf numFmtId="41" fontId="73" fillId="0" borderId="0" xfId="67" applyFont="1"/>
    <xf numFmtId="41" fontId="73" fillId="0" borderId="0" xfId="0" applyNumberFormat="1" applyFont="1"/>
    <xf numFmtId="0" fontId="91" fillId="0" borderId="11" xfId="0" applyFont="1" applyFill="1" applyBorder="1" applyAlignment="1">
      <alignment horizontal="left"/>
    </xf>
    <xf numFmtId="0" fontId="91" fillId="0" borderId="13" xfId="0" applyFont="1" applyFill="1" applyBorder="1" applyAlignment="1">
      <alignment horizontal="left"/>
    </xf>
    <xf numFmtId="0" fontId="91" fillId="0" borderId="12" xfId="0" applyFont="1" applyFill="1" applyBorder="1" applyAlignment="1">
      <alignment horizontal="left"/>
    </xf>
    <xf numFmtId="0" fontId="91" fillId="0" borderId="11" xfId="0" applyFont="1" applyFill="1" applyBorder="1" applyAlignment="1">
      <alignment horizontal="left"/>
    </xf>
    <xf numFmtId="0" fontId="91" fillId="0" borderId="13" xfId="0" applyFont="1" applyFill="1" applyBorder="1" applyAlignment="1">
      <alignment horizontal="left"/>
    </xf>
    <xf numFmtId="0" fontId="91" fillId="0" borderId="0" xfId="0" applyFont="1" applyFill="1" applyAlignment="1">
      <alignment horizontal="left" vertical="top" wrapText="1"/>
    </xf>
    <xf numFmtId="171" fontId="103" fillId="0" borderId="0" xfId="0" applyNumberFormat="1" applyFont="1" applyFill="1"/>
    <xf numFmtId="198" fontId="99" fillId="38" borderId="1" xfId="0" applyNumberFormat="1" applyFont="1" applyFill="1" applyBorder="1" applyAlignment="1">
      <alignment horizontal="center" vertical="center" wrapText="1"/>
    </xf>
    <xf numFmtId="3" fontId="91" fillId="0" borderId="11" xfId="2" applyNumberFormat="1" applyFont="1" applyFill="1" applyBorder="1" applyAlignment="1">
      <alignment horizontal="right" vertical="top" wrapText="1"/>
    </xf>
    <xf numFmtId="171" fontId="88" fillId="38" borderId="1" xfId="0" applyNumberFormat="1" applyFont="1" applyFill="1" applyBorder="1" applyAlignment="1">
      <alignment horizontal="center" vertical="center" wrapText="1"/>
    </xf>
    <xf numFmtId="171" fontId="91" fillId="0" borderId="1" xfId="3" applyNumberFormat="1" applyFont="1" applyFill="1" applyBorder="1" applyAlignment="1">
      <alignment horizontal="right" vertical="top" wrapText="1"/>
    </xf>
    <xf numFmtId="166" fontId="90" fillId="0" borderId="29" xfId="3" applyNumberFormat="1" applyFont="1" applyFill="1" applyBorder="1" applyAlignment="1">
      <alignment horizontal="center" vertical="center" wrapText="1"/>
    </xf>
    <xf numFmtId="0" fontId="73" fillId="0" borderId="9" xfId="0" applyFont="1" applyBorder="1" applyAlignment="1">
      <alignment horizontal="center" vertical="center" wrapText="1"/>
    </xf>
    <xf numFmtId="0" fontId="83" fillId="38" borderId="11" xfId="0" applyFont="1" applyFill="1" applyBorder="1" applyAlignment="1">
      <alignment horizontal="center" vertical="center" wrapText="1"/>
    </xf>
    <xf numFmtId="0" fontId="83" fillId="38" borderId="12" xfId="0" applyFont="1" applyFill="1" applyBorder="1" applyAlignment="1">
      <alignment horizontal="center" vertical="center" wrapText="1"/>
    </xf>
    <xf numFmtId="0" fontId="83" fillId="38" borderId="13" xfId="0" applyFont="1" applyFill="1" applyBorder="1" applyAlignment="1">
      <alignment horizontal="center" vertical="center" wrapText="1"/>
    </xf>
    <xf numFmtId="0" fontId="73" fillId="0" borderId="9" xfId="0" applyFont="1" applyBorder="1" applyAlignment="1">
      <alignment horizontal="center"/>
    </xf>
    <xf numFmtId="0" fontId="17" fillId="0" borderId="0" xfId="4" applyFont="1" applyAlignment="1">
      <alignment horizontal="center" vertical="top" wrapText="1"/>
    </xf>
    <xf numFmtId="0" fontId="74" fillId="0" borderId="0" xfId="0" applyFont="1" applyAlignment="1">
      <alignment horizontal="left"/>
    </xf>
    <xf numFmtId="0" fontId="80" fillId="0" borderId="0" xfId="0" applyFont="1" applyBorder="1" applyAlignment="1">
      <alignment horizontal="left"/>
    </xf>
    <xf numFmtId="0" fontId="73" fillId="0" borderId="9" xfId="0" applyFont="1" applyFill="1" applyBorder="1" applyAlignment="1">
      <alignment horizontal="center"/>
    </xf>
    <xf numFmtId="0" fontId="83" fillId="38" borderId="11" xfId="0" applyFont="1" applyFill="1" applyBorder="1" applyAlignment="1">
      <alignment horizontal="center" vertical="center"/>
    </xf>
    <xf numFmtId="0" fontId="83" fillId="38" borderId="12" xfId="0" applyFont="1" applyFill="1" applyBorder="1" applyAlignment="1">
      <alignment horizontal="center" vertical="center"/>
    </xf>
    <xf numFmtId="0" fontId="73" fillId="0" borderId="0" xfId="0" applyFont="1" applyBorder="1" applyAlignment="1">
      <alignment horizontal="center"/>
    </xf>
    <xf numFmtId="0" fontId="74" fillId="0" borderId="9" xfId="0" applyFont="1" applyBorder="1" applyAlignment="1">
      <alignment horizontal="center"/>
    </xf>
    <xf numFmtId="10" fontId="73" fillId="0" borderId="14" xfId="0" applyNumberFormat="1" applyFont="1" applyBorder="1" applyAlignment="1">
      <alignment horizontal="center" vertical="center" wrapText="1"/>
    </xf>
    <xf numFmtId="10" fontId="73" fillId="0" borderId="3" xfId="0" applyNumberFormat="1" applyFont="1" applyBorder="1" applyAlignment="1">
      <alignment horizontal="center" vertical="center" wrapText="1"/>
    </xf>
    <xf numFmtId="10" fontId="73" fillId="0" borderId="16" xfId="0" applyNumberFormat="1" applyFont="1" applyBorder="1" applyAlignment="1">
      <alignment horizontal="center" vertical="center" wrapText="1"/>
    </xf>
    <xf numFmtId="0" fontId="74" fillId="0" borderId="0" xfId="0" applyFont="1" applyAlignment="1">
      <alignment horizontal="center"/>
    </xf>
    <xf numFmtId="6" fontId="73" fillId="0" borderId="0" xfId="0" applyNumberFormat="1" applyFont="1" applyAlignment="1">
      <alignment horizontal="right"/>
    </xf>
    <xf numFmtId="10" fontId="73" fillId="0" borderId="14" xfId="0" applyNumberFormat="1" applyFont="1" applyBorder="1" applyAlignment="1">
      <alignment horizontal="center" vertical="center"/>
    </xf>
    <xf numFmtId="10" fontId="73" fillId="0" borderId="3" xfId="0" applyNumberFormat="1" applyFont="1" applyBorder="1" applyAlignment="1">
      <alignment horizontal="center" vertical="center"/>
    </xf>
    <xf numFmtId="3" fontId="73" fillId="0" borderId="14" xfId="0" applyNumberFormat="1" applyFont="1" applyFill="1" applyBorder="1" applyAlignment="1">
      <alignment horizontal="right" vertical="center" wrapText="1"/>
    </xf>
    <xf numFmtId="3" fontId="73" fillId="0" borderId="3" xfId="0" applyNumberFormat="1" applyFont="1" applyBorder="1" applyAlignment="1">
      <alignment horizontal="right" vertical="center" wrapText="1"/>
    </xf>
    <xf numFmtId="3" fontId="73" fillId="0" borderId="3" xfId="0" applyNumberFormat="1" applyFont="1" applyFill="1" applyBorder="1" applyAlignment="1">
      <alignment horizontal="right" vertical="center" wrapText="1"/>
    </xf>
    <xf numFmtId="3" fontId="73" fillId="0" borderId="16" xfId="0" applyNumberFormat="1" applyFont="1" applyFill="1" applyBorder="1" applyAlignment="1">
      <alignment horizontal="right" vertical="center" wrapText="1"/>
    </xf>
    <xf numFmtId="10" fontId="73" fillId="0" borderId="16" xfId="0" applyNumberFormat="1" applyFont="1" applyBorder="1" applyAlignment="1">
      <alignment horizontal="center" vertical="center"/>
    </xf>
    <xf numFmtId="0" fontId="83" fillId="38" borderId="13" xfId="0" applyFont="1" applyFill="1" applyBorder="1" applyAlignment="1">
      <alignment horizontal="center" vertical="center"/>
    </xf>
    <xf numFmtId="0" fontId="73" fillId="0" borderId="11" xfId="0" applyFont="1" applyBorder="1" applyAlignment="1">
      <alignment horizontal="center"/>
    </xf>
    <xf numFmtId="0" fontId="73" fillId="0" borderId="12" xfId="0" applyFont="1" applyBorder="1" applyAlignment="1">
      <alignment horizontal="center"/>
    </xf>
    <xf numFmtId="0" fontId="73" fillId="0" borderId="13" xfId="0" applyFont="1" applyBorder="1" applyAlignment="1">
      <alignment horizontal="center"/>
    </xf>
    <xf numFmtId="0" fontId="83" fillId="38" borderId="9" xfId="0" applyFont="1" applyFill="1" applyBorder="1" applyAlignment="1">
      <alignment horizontal="center" vertical="center" wrapText="1"/>
    </xf>
    <xf numFmtId="3" fontId="73" fillId="0" borderId="16" xfId="0" applyNumberFormat="1" applyFont="1" applyBorder="1" applyAlignment="1">
      <alignment horizontal="right" vertical="center" wrapText="1"/>
    </xf>
    <xf numFmtId="0" fontId="73" fillId="0" borderId="0" xfId="0" applyFont="1" applyAlignment="1">
      <alignment horizontal="left" vertical="top" wrapText="1"/>
    </xf>
    <xf numFmtId="0" fontId="74" fillId="0" borderId="0" xfId="0" applyFont="1" applyFill="1" applyAlignment="1">
      <alignment horizontal="left"/>
    </xf>
    <xf numFmtId="0" fontId="75" fillId="0" borderId="0" xfId="0" applyFont="1" applyAlignment="1">
      <alignment horizontal="center"/>
    </xf>
    <xf numFmtId="0" fontId="6" fillId="0" borderId="9" xfId="0" applyFont="1" applyBorder="1" applyAlignment="1">
      <alignment horizontal="center" vertical="center" wrapText="1"/>
    </xf>
    <xf numFmtId="0" fontId="10" fillId="0" borderId="9" xfId="0" applyFont="1" applyBorder="1" applyAlignment="1">
      <alignment horizontal="center"/>
    </xf>
    <xf numFmtId="2" fontId="74" fillId="0" borderId="0" xfId="0" applyNumberFormat="1" applyFont="1" applyAlignment="1">
      <alignment horizontal="center" vertical="center" wrapText="1"/>
    </xf>
    <xf numFmtId="2" fontId="18" fillId="0" borderId="0" xfId="0" applyNumberFormat="1" applyFont="1" applyAlignment="1">
      <alignment horizontal="center" vertical="center" wrapText="1"/>
    </xf>
    <xf numFmtId="0" fontId="40" fillId="0" borderId="0" xfId="0" applyFont="1" applyAlignment="1">
      <alignment horizontal="center"/>
    </xf>
    <xf numFmtId="0" fontId="40" fillId="0" borderId="0" xfId="0" applyFont="1" applyAlignment="1">
      <alignment horizontal="left"/>
    </xf>
    <xf numFmtId="2" fontId="76" fillId="0" borderId="0" xfId="0" applyNumberFormat="1" applyFont="1" applyFill="1" applyAlignment="1">
      <alignment horizontal="center" vertical="center" wrapText="1"/>
    </xf>
    <xf numFmtId="0" fontId="17" fillId="0" borderId="0" xfId="4" applyFont="1" applyFill="1" applyAlignment="1">
      <alignment horizontal="center" vertical="top" wrapText="1"/>
    </xf>
    <xf numFmtId="0" fontId="82" fillId="0" borderId="0" xfId="0" applyFont="1" applyAlignment="1">
      <alignment horizontal="left"/>
    </xf>
    <xf numFmtId="0" fontId="21" fillId="6" borderId="9" xfId="0" applyFont="1" applyFill="1" applyBorder="1" applyAlignment="1">
      <alignment horizontal="center" vertical="center" wrapText="1"/>
    </xf>
    <xf numFmtId="0" fontId="22" fillId="6" borderId="9" xfId="0" applyFont="1" applyFill="1" applyBorder="1" applyAlignment="1">
      <alignment horizontal="center"/>
    </xf>
    <xf numFmtId="0" fontId="72" fillId="0" borderId="0" xfId="0" applyFont="1" applyAlignment="1">
      <alignment horizontal="center"/>
    </xf>
    <xf numFmtId="3" fontId="84" fillId="0" borderId="10" xfId="3" applyNumberFormat="1" applyFont="1" applyFill="1" applyBorder="1" applyAlignment="1" applyProtection="1">
      <alignment horizontal="center" wrapText="1"/>
    </xf>
    <xf numFmtId="3" fontId="84" fillId="0" borderId="25" xfId="3" applyNumberFormat="1" applyFont="1" applyFill="1" applyBorder="1" applyAlignment="1" applyProtection="1">
      <alignment horizontal="center" wrapText="1"/>
    </xf>
    <xf numFmtId="3" fontId="84" fillId="0" borderId="5" xfId="3" applyNumberFormat="1" applyFont="1" applyFill="1" applyBorder="1" applyAlignment="1" applyProtection="1">
      <alignment horizontal="center" wrapText="1"/>
    </xf>
    <xf numFmtId="3" fontId="84" fillId="0" borderId="26" xfId="3" applyNumberFormat="1" applyFont="1" applyFill="1" applyBorder="1" applyAlignment="1" applyProtection="1">
      <alignment horizontal="center" wrapText="1"/>
    </xf>
    <xf numFmtId="3" fontId="84" fillId="0" borderId="27" xfId="3" applyNumberFormat="1" applyFont="1" applyFill="1" applyBorder="1" applyAlignment="1" applyProtection="1">
      <alignment horizontal="center" wrapText="1"/>
    </xf>
    <xf numFmtId="3" fontId="84" fillId="0" borderId="28" xfId="3" applyNumberFormat="1" applyFont="1" applyFill="1" applyBorder="1" applyAlignment="1" applyProtection="1">
      <alignment horizontal="center" wrapText="1"/>
    </xf>
    <xf numFmtId="0" fontId="71" fillId="0" borderId="0" xfId="4" applyFont="1" applyAlignment="1">
      <alignment horizontal="center" vertical="top" wrapText="1"/>
    </xf>
    <xf numFmtId="2" fontId="74" fillId="0" borderId="6" xfId="0" applyNumberFormat="1" applyFont="1" applyBorder="1" applyAlignment="1">
      <alignment horizontal="center" vertical="center" wrapText="1"/>
    </xf>
    <xf numFmtId="0" fontId="99" fillId="38" borderId="10" xfId="4" applyFont="1" applyFill="1" applyBorder="1" applyAlignment="1">
      <alignment horizontal="center" vertical="center" wrapText="1"/>
    </xf>
    <xf numFmtId="0" fontId="99" fillId="38" borderId="5" xfId="4" applyFont="1" applyFill="1" applyBorder="1" applyAlignment="1">
      <alignment horizontal="center" vertical="center" wrapText="1"/>
    </xf>
    <xf numFmtId="0" fontId="99" fillId="38" borderId="11" xfId="4" applyFont="1" applyFill="1" applyBorder="1" applyAlignment="1">
      <alignment horizontal="center" vertical="center" wrapText="1"/>
    </xf>
    <xf numFmtId="0" fontId="99" fillId="38" borderId="12" xfId="4" applyFont="1" applyFill="1" applyBorder="1" applyAlignment="1">
      <alignment horizontal="center" vertical="center" wrapText="1"/>
    </xf>
    <xf numFmtId="0" fontId="99" fillId="38" borderId="13" xfId="4" applyFont="1" applyFill="1" applyBorder="1" applyAlignment="1">
      <alignment horizontal="center" vertical="center" wrapText="1"/>
    </xf>
    <xf numFmtId="0" fontId="99" fillId="38" borderId="9" xfId="4" applyFont="1" applyFill="1" applyBorder="1" applyAlignment="1">
      <alignment horizontal="center" vertical="center" wrapText="1"/>
    </xf>
    <xf numFmtId="0" fontId="91" fillId="0" borderId="11" xfId="0" applyFont="1" applyFill="1" applyBorder="1" applyAlignment="1">
      <alignment horizontal="left"/>
    </xf>
    <xf numFmtId="0" fontId="91" fillId="0" borderId="12" xfId="0" applyFont="1" applyFill="1" applyBorder="1" applyAlignment="1">
      <alignment horizontal="left"/>
    </xf>
    <xf numFmtId="0" fontId="91" fillId="0" borderId="13" xfId="0" applyFont="1" applyFill="1" applyBorder="1" applyAlignment="1">
      <alignment horizontal="left"/>
    </xf>
    <xf numFmtId="0" fontId="91" fillId="0" borderId="11" xfId="0" applyFont="1" applyFill="1" applyBorder="1" applyAlignment="1">
      <alignment horizontal="left" vertical="top" wrapText="1"/>
    </xf>
    <xf numFmtId="0" fontId="91" fillId="0" borderId="13" xfId="0" applyFont="1" applyFill="1" applyBorder="1" applyAlignment="1">
      <alignment horizontal="left" vertical="top" wrapText="1"/>
    </xf>
    <xf numFmtId="0" fontId="91" fillId="0" borderId="11" xfId="0" applyFont="1" applyFill="1" applyBorder="1" applyAlignment="1">
      <alignment horizontal="left" vertical="center" wrapText="1"/>
    </xf>
    <xf numFmtId="0" fontId="91" fillId="0" borderId="13" xfId="0" applyFont="1" applyFill="1" applyBorder="1" applyAlignment="1">
      <alignment horizontal="left" vertical="center" wrapText="1"/>
    </xf>
    <xf numFmtId="0" fontId="88" fillId="38" borderId="11" xfId="0" applyFont="1" applyFill="1" applyBorder="1" applyAlignment="1">
      <alignment horizontal="left" vertical="center" wrapText="1"/>
    </xf>
    <xf numFmtId="0" fontId="88" fillId="38" borderId="13" xfId="0" applyFont="1" applyFill="1" applyBorder="1" applyAlignment="1">
      <alignment horizontal="left" vertical="center" wrapText="1"/>
    </xf>
    <xf numFmtId="0" fontId="90" fillId="0" borderId="11" xfId="2" applyFont="1" applyFill="1" applyBorder="1" applyAlignment="1">
      <alignment horizontal="left" vertical="top" wrapText="1"/>
    </xf>
    <xf numFmtId="0" fontId="90" fillId="0" borderId="13" xfId="2" applyFont="1" applyFill="1" applyBorder="1" applyAlignment="1">
      <alignment horizontal="left" vertical="top" wrapText="1"/>
    </xf>
    <xf numFmtId="0" fontId="90" fillId="0" borderId="11" xfId="0" applyFont="1" applyFill="1" applyBorder="1" applyAlignment="1">
      <alignment horizontal="left"/>
    </xf>
    <xf numFmtId="0" fontId="90" fillId="0" borderId="13" xfId="0" applyFont="1" applyFill="1" applyBorder="1" applyAlignment="1">
      <alignment horizontal="left"/>
    </xf>
    <xf numFmtId="171" fontId="88" fillId="38" borderId="11" xfId="0" applyNumberFormat="1" applyFont="1" applyFill="1" applyBorder="1" applyAlignment="1">
      <alignment horizontal="center" vertical="center" wrapText="1"/>
    </xf>
    <xf numFmtId="171" fontId="88" fillId="38" borderId="13" xfId="0" applyNumberFormat="1" applyFont="1" applyFill="1" applyBorder="1" applyAlignment="1">
      <alignment horizontal="center" vertical="center" wrapText="1"/>
    </xf>
    <xf numFmtId="2" fontId="88" fillId="38" borderId="11" xfId="0" applyNumberFormat="1" applyFont="1" applyFill="1" applyBorder="1" applyAlignment="1">
      <alignment horizontal="center" vertical="center" wrapText="1"/>
    </xf>
    <xf numFmtId="2" fontId="88" fillId="38" borderId="13" xfId="0" applyNumberFormat="1" applyFont="1" applyFill="1" applyBorder="1" applyAlignment="1">
      <alignment horizontal="center" vertical="center" wrapText="1"/>
    </xf>
    <xf numFmtId="0" fontId="91" fillId="0" borderId="11" xfId="2" applyFont="1" applyFill="1" applyBorder="1" applyAlignment="1">
      <alignment horizontal="left" vertical="top" wrapText="1"/>
    </xf>
    <xf numFmtId="0" fontId="91" fillId="0" borderId="13" xfId="2" applyFont="1" applyFill="1" applyBorder="1" applyAlignment="1">
      <alignment horizontal="left" vertical="top" wrapText="1"/>
    </xf>
    <xf numFmtId="0" fontId="90" fillId="0" borderId="9" xfId="0" applyFont="1" applyFill="1" applyBorder="1" applyAlignment="1">
      <alignment horizontal="left" vertical="top" wrapText="1"/>
    </xf>
    <xf numFmtId="0" fontId="88" fillId="38" borderId="11" xfId="0" applyFont="1" applyFill="1" applyBorder="1" applyAlignment="1">
      <alignment horizontal="center" vertical="center" wrapText="1"/>
    </xf>
    <xf numFmtId="0" fontId="88" fillId="38" borderId="13" xfId="0" applyFont="1" applyFill="1" applyBorder="1" applyAlignment="1">
      <alignment horizontal="center" vertical="center" wrapText="1"/>
    </xf>
    <xf numFmtId="0" fontId="95" fillId="0" borderId="11" xfId="0" applyFont="1" applyFill="1" applyBorder="1" applyAlignment="1">
      <alignment horizontal="left" vertical="top" wrapText="1"/>
    </xf>
    <xf numFmtId="0" fontId="95" fillId="0" borderId="13" xfId="0" applyFont="1" applyFill="1" applyBorder="1" applyAlignment="1">
      <alignment horizontal="left" vertical="top" wrapText="1"/>
    </xf>
    <xf numFmtId="0" fontId="88" fillId="38" borderId="12" xfId="0" applyFont="1" applyFill="1" applyBorder="1" applyAlignment="1">
      <alignment horizontal="center" vertical="center" wrapText="1"/>
    </xf>
    <xf numFmtId="0" fontId="90" fillId="0" borderId="0" xfId="0" applyFont="1" applyFill="1" applyAlignment="1">
      <alignment horizontal="left"/>
    </xf>
    <xf numFmtId="0" fontId="90" fillId="0" borderId="11"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1" fillId="0" borderId="0" xfId="0" applyFont="1" applyFill="1" applyAlignment="1">
      <alignment horizontal="left" wrapText="1"/>
    </xf>
    <xf numFmtId="0" fontId="88" fillId="38" borderId="9" xfId="0" applyFont="1" applyFill="1" applyBorder="1" applyAlignment="1">
      <alignment horizontal="center" vertical="center" wrapText="1"/>
    </xf>
    <xf numFmtId="0" fontId="90" fillId="0" borderId="11" xfId="0" applyFont="1" applyFill="1" applyBorder="1" applyAlignment="1">
      <alignment horizontal="left" vertical="top" wrapText="1"/>
    </xf>
    <xf numFmtId="0" fontId="90" fillId="0" borderId="13" xfId="0" applyFont="1" applyFill="1" applyBorder="1" applyAlignment="1">
      <alignment horizontal="left" vertical="top" wrapText="1"/>
    </xf>
    <xf numFmtId="0" fontId="91" fillId="0" borderId="12" xfId="0" applyFont="1" applyFill="1" applyBorder="1" applyAlignment="1">
      <alignment horizontal="left" vertical="center" wrapText="1"/>
    </xf>
    <xf numFmtId="0" fontId="91" fillId="0" borderId="0" xfId="0" applyFont="1" applyFill="1" applyAlignment="1">
      <alignment horizontal="left" vertical="center" wrapText="1"/>
    </xf>
    <xf numFmtId="0" fontId="91" fillId="0" borderId="0" xfId="0" applyFont="1" applyFill="1" applyAlignment="1">
      <alignment horizontal="left" vertical="top" wrapText="1"/>
    </xf>
    <xf numFmtId="0" fontId="88" fillId="38" borderId="9" xfId="0" applyFont="1" applyFill="1" applyBorder="1" applyAlignment="1">
      <alignment horizontal="center"/>
    </xf>
    <xf numFmtId="2" fontId="88" fillId="38" borderId="14" xfId="0" applyNumberFormat="1" applyFont="1" applyFill="1" applyBorder="1" applyAlignment="1">
      <alignment horizontal="center" vertical="center" wrapText="1"/>
    </xf>
    <xf numFmtId="2" fontId="88" fillId="38" borderId="16" xfId="0" applyNumberFormat="1" applyFont="1" applyFill="1" applyBorder="1" applyAlignment="1">
      <alignment horizontal="center" vertical="center" wrapText="1"/>
    </xf>
    <xf numFmtId="0" fontId="100" fillId="38" borderId="11" xfId="0" applyFont="1" applyFill="1" applyBorder="1" applyAlignment="1">
      <alignment horizontal="left"/>
    </xf>
    <xf numFmtId="0" fontId="100" fillId="38" borderId="12" xfId="0" applyFont="1" applyFill="1" applyBorder="1" applyAlignment="1">
      <alignment horizontal="left"/>
    </xf>
    <xf numFmtId="0" fontId="100" fillId="38" borderId="13" xfId="0" applyFont="1" applyFill="1" applyBorder="1" applyAlignment="1">
      <alignment horizontal="left"/>
    </xf>
    <xf numFmtId="0" fontId="91" fillId="0" borderId="0" xfId="0" applyFont="1" applyFill="1" applyAlignment="1">
      <alignment horizontal="justify" vertical="center" wrapText="1"/>
    </xf>
    <xf numFmtId="0" fontId="91" fillId="0" borderId="9" xfId="0" applyFont="1" applyFill="1" applyBorder="1" applyAlignment="1">
      <alignment horizontal="left" vertical="center" wrapText="1"/>
    </xf>
    <xf numFmtId="0" fontId="91" fillId="0" borderId="0" xfId="4" applyFont="1" applyFill="1" applyAlignment="1">
      <alignment horizontal="center" vertical="top" wrapText="1"/>
    </xf>
    <xf numFmtId="0" fontId="91" fillId="0" borderId="0" xfId="0" applyFont="1" applyFill="1" applyAlignment="1">
      <alignment horizontal="justify"/>
    </xf>
    <xf numFmtId="166" fontId="91" fillId="0" borderId="11" xfId="3" applyNumberFormat="1" applyFont="1" applyFill="1" applyBorder="1" applyAlignment="1">
      <alignment horizontal="left" vertical="center" wrapText="1"/>
    </xf>
    <xf numFmtId="166" fontId="91" fillId="0" borderId="13" xfId="3" applyNumberFormat="1" applyFont="1" applyFill="1" applyBorder="1" applyAlignment="1">
      <alignment horizontal="left" vertical="center" wrapText="1"/>
    </xf>
    <xf numFmtId="0" fontId="91" fillId="0" borderId="11" xfId="0" quotePrefix="1" applyFont="1" applyFill="1" applyBorder="1" applyAlignment="1">
      <alignment horizontal="left" vertical="top" wrapText="1"/>
    </xf>
    <xf numFmtId="0" fontId="91" fillId="0" borderId="13" xfId="0" quotePrefix="1" applyFont="1" applyFill="1" applyBorder="1" applyAlignment="1">
      <alignment horizontal="left" vertical="top" wrapText="1"/>
    </xf>
    <xf numFmtId="2" fontId="88" fillId="38" borderId="10" xfId="0" applyNumberFormat="1" applyFont="1" applyFill="1" applyBorder="1" applyAlignment="1">
      <alignment horizontal="center" vertical="center" wrapText="1"/>
    </xf>
    <xf numFmtId="2" fontId="88" fillId="38" borderId="25" xfId="0" applyNumberFormat="1" applyFont="1" applyFill="1" applyBorder="1" applyAlignment="1">
      <alignment horizontal="center" vertical="center" wrapText="1"/>
    </xf>
    <xf numFmtId="2" fontId="88" fillId="38" borderId="27" xfId="0" applyNumberFormat="1" applyFont="1" applyFill="1" applyBorder="1" applyAlignment="1">
      <alignment horizontal="center" vertical="center" wrapText="1"/>
    </xf>
    <xf numFmtId="2" fontId="88" fillId="38" borderId="28" xfId="0" applyNumberFormat="1" applyFont="1" applyFill="1" applyBorder="1" applyAlignment="1">
      <alignment horizontal="center" vertical="center" wrapText="1"/>
    </xf>
    <xf numFmtId="0" fontId="88" fillId="38" borderId="11" xfId="0" applyFont="1" applyFill="1" applyBorder="1" applyAlignment="1">
      <alignment horizontal="center"/>
    </xf>
    <xf numFmtId="0" fontId="88" fillId="38" borderId="13" xfId="0" applyFont="1" applyFill="1" applyBorder="1" applyAlignment="1">
      <alignment horizontal="center"/>
    </xf>
    <xf numFmtId="0" fontId="90" fillId="0" borderId="0" xfId="0" applyFont="1" applyFill="1" applyAlignment="1">
      <alignment horizontal="center"/>
    </xf>
    <xf numFmtId="0" fontId="90" fillId="0" borderId="0" xfId="0" applyFont="1" applyFill="1" applyAlignment="1">
      <alignment horizontal="center" vertical="center" wrapText="1"/>
    </xf>
    <xf numFmtId="0" fontId="90" fillId="0" borderId="0" xfId="0" applyFont="1" applyFill="1" applyAlignment="1">
      <alignment horizontal="left" vertical="top" wrapText="1"/>
    </xf>
    <xf numFmtId="0" fontId="90" fillId="0" borderId="0" xfId="0" applyFont="1" applyFill="1" applyAlignment="1">
      <alignment horizontal="left" vertical="center" wrapText="1"/>
    </xf>
    <xf numFmtId="0" fontId="91" fillId="0" borderId="11" xfId="2" applyFont="1" applyFill="1" applyBorder="1" applyAlignment="1">
      <alignment vertical="top" wrapText="1"/>
    </xf>
    <xf numFmtId="0" fontId="91" fillId="0" borderId="13" xfId="2" applyFont="1" applyFill="1" applyBorder="1" applyAlignment="1">
      <alignment vertical="top" wrapText="1"/>
    </xf>
    <xf numFmtId="0" fontId="90" fillId="0" borderId="12" xfId="2" applyFont="1" applyFill="1" applyBorder="1" applyAlignment="1">
      <alignment horizontal="left" vertical="top" wrapText="1"/>
    </xf>
    <xf numFmtId="0" fontId="90" fillId="0" borderId="11" xfId="0" applyFont="1" applyFill="1" applyBorder="1" applyAlignment="1">
      <alignment horizontal="center" vertical="top" wrapText="1"/>
    </xf>
    <xf numFmtId="0" fontId="90" fillId="0" borderId="13" xfId="0" applyFont="1" applyFill="1" applyBorder="1" applyAlignment="1">
      <alignment horizontal="center" vertical="top" wrapText="1"/>
    </xf>
    <xf numFmtId="0" fontId="90" fillId="0" borderId="0" xfId="0" applyFont="1" applyFill="1" applyBorder="1" applyAlignment="1">
      <alignment horizontal="center"/>
    </xf>
    <xf numFmtId="0" fontId="88" fillId="38" borderId="9" xfId="0" applyFont="1" applyFill="1" applyBorder="1" applyAlignment="1">
      <alignment horizontal="center" vertical="top" wrapText="1"/>
    </xf>
    <xf numFmtId="2" fontId="88" fillId="38" borderId="9" xfId="0" applyNumberFormat="1" applyFont="1" applyFill="1" applyBorder="1" applyAlignment="1">
      <alignment horizontal="center" vertical="center" wrapText="1"/>
    </xf>
    <xf numFmtId="0" fontId="88" fillId="38" borderId="12" xfId="0" applyFont="1" applyFill="1" applyBorder="1" applyAlignment="1">
      <alignment horizontal="center"/>
    </xf>
    <xf numFmtId="0" fontId="90" fillId="0" borderId="5" xfId="0" applyFont="1" applyFill="1" applyBorder="1" applyAlignment="1">
      <alignment horizontal="center" vertical="center" wrapText="1"/>
    </xf>
    <xf numFmtId="0" fontId="90" fillId="0" borderId="0" xfId="0" applyFont="1" applyFill="1" applyBorder="1" applyAlignment="1">
      <alignment horizontal="center" vertical="center" wrapText="1"/>
    </xf>
    <xf numFmtId="2" fontId="90" fillId="0" borderId="9" xfId="0" applyNumberFormat="1" applyFont="1" applyFill="1" applyBorder="1" applyAlignment="1">
      <alignment horizontal="center" vertical="center" wrapText="1"/>
    </xf>
    <xf numFmtId="2" fontId="88" fillId="38" borderId="12" xfId="0" applyNumberFormat="1" applyFont="1" applyFill="1" applyBorder="1" applyAlignment="1">
      <alignment horizontal="center" vertical="center" wrapText="1"/>
    </xf>
    <xf numFmtId="0" fontId="91" fillId="0" borderId="11" xfId="0" applyFont="1" applyFill="1" applyBorder="1" applyAlignment="1">
      <alignment horizontal="center" vertical="top" wrapText="1"/>
    </xf>
    <xf numFmtId="0" fontId="91" fillId="0" borderId="13" xfId="0" applyFont="1" applyFill="1" applyBorder="1" applyAlignment="1">
      <alignment horizontal="center" vertical="top" wrapText="1"/>
    </xf>
    <xf numFmtId="0" fontId="88" fillId="38" borderId="10" xfId="0" applyFont="1" applyFill="1" applyBorder="1" applyAlignment="1">
      <alignment horizontal="center" vertical="center"/>
    </xf>
    <xf numFmtId="0" fontId="88" fillId="38" borderId="25" xfId="0" applyFont="1" applyFill="1" applyBorder="1" applyAlignment="1">
      <alignment horizontal="center" vertical="center"/>
    </xf>
    <xf numFmtId="0" fontId="88" fillId="38" borderId="27" xfId="0" applyFont="1" applyFill="1" applyBorder="1" applyAlignment="1">
      <alignment horizontal="center" vertical="center"/>
    </xf>
    <xf numFmtId="0" fontId="88" fillId="38" borderId="28" xfId="0" applyFont="1" applyFill="1" applyBorder="1" applyAlignment="1">
      <alignment horizontal="center" vertical="center"/>
    </xf>
    <xf numFmtId="0" fontId="88" fillId="38" borderId="10" xfId="0" applyFont="1" applyFill="1" applyBorder="1" applyAlignment="1">
      <alignment horizontal="center" vertical="center" wrapText="1"/>
    </xf>
    <xf numFmtId="0" fontId="88" fillId="38" borderId="25" xfId="0" applyFont="1" applyFill="1" applyBorder="1" applyAlignment="1">
      <alignment horizontal="center" vertical="center" wrapText="1"/>
    </xf>
    <xf numFmtId="0" fontId="88" fillId="38" borderId="27" xfId="0" applyFont="1" applyFill="1" applyBorder="1" applyAlignment="1">
      <alignment horizontal="center" vertical="center" wrapText="1"/>
    </xf>
    <xf numFmtId="0" fontId="88" fillId="38" borderId="28" xfId="0" applyFont="1" applyFill="1" applyBorder="1" applyAlignment="1">
      <alignment horizontal="center" vertical="center" wrapText="1"/>
    </xf>
    <xf numFmtId="0" fontId="91" fillId="0" borderId="11" xfId="0" applyFont="1" applyFill="1" applyBorder="1" applyAlignment="1">
      <alignment horizontal="left" vertical="center"/>
    </xf>
    <xf numFmtId="0" fontId="91" fillId="0" borderId="13" xfId="0" applyFont="1" applyFill="1" applyBorder="1" applyAlignment="1">
      <alignment horizontal="left" vertical="center"/>
    </xf>
    <xf numFmtId="0" fontId="90" fillId="0" borderId="11" xfId="0" applyFont="1" applyFill="1" applyBorder="1" applyAlignment="1">
      <alignment horizontal="left" vertical="center"/>
    </xf>
    <xf numFmtId="0" fontId="90" fillId="0" borderId="13" xfId="0" applyFont="1" applyFill="1" applyBorder="1" applyAlignment="1">
      <alignment horizontal="left" vertical="center"/>
    </xf>
    <xf numFmtId="3" fontId="91" fillId="0" borderId="9" xfId="0" applyNumberFormat="1" applyFont="1" applyFill="1" applyBorder="1" applyAlignment="1">
      <alignment horizontal="center" vertical="center" wrapText="1"/>
    </xf>
    <xf numFmtId="171" fontId="88" fillId="38" borderId="9" xfId="0" applyNumberFormat="1" applyFont="1" applyFill="1" applyBorder="1" applyAlignment="1">
      <alignment horizontal="center" vertical="center" wrapText="1"/>
    </xf>
    <xf numFmtId="171" fontId="91" fillId="0" borderId="11" xfId="0" applyNumberFormat="1" applyFont="1" applyFill="1" applyBorder="1" applyAlignment="1">
      <alignment horizontal="center" vertical="center" wrapText="1"/>
    </xf>
    <xf numFmtId="171" fontId="91" fillId="0" borderId="12" xfId="0" applyNumberFormat="1" applyFont="1" applyFill="1" applyBorder="1" applyAlignment="1">
      <alignment horizontal="center" vertical="center" wrapText="1"/>
    </xf>
    <xf numFmtId="171" fontId="91" fillId="0" borderId="13" xfId="0" applyNumberFormat="1" applyFont="1" applyFill="1" applyBorder="1" applyAlignment="1">
      <alignment horizontal="center" vertical="center" wrapText="1"/>
    </xf>
    <xf numFmtId="0" fontId="90" fillId="0" borderId="12" xfId="0" applyFont="1" applyFill="1" applyBorder="1" applyAlignment="1">
      <alignment horizontal="left" vertical="top" wrapText="1"/>
    </xf>
    <xf numFmtId="0" fontId="95" fillId="0" borderId="11" xfId="0" applyFont="1" applyFill="1" applyBorder="1" applyAlignment="1">
      <alignment horizontal="left"/>
    </xf>
    <xf numFmtId="0" fontId="95" fillId="0" borderId="13" xfId="0" applyFont="1" applyFill="1" applyBorder="1" applyAlignment="1">
      <alignment horizontal="left"/>
    </xf>
    <xf numFmtId="3" fontId="88" fillId="38" borderId="11" xfId="0" applyNumberFormat="1" applyFont="1" applyFill="1" applyBorder="1" applyAlignment="1">
      <alignment horizontal="center" vertical="center" wrapText="1"/>
    </xf>
    <xf numFmtId="3" fontId="88" fillId="38" borderId="12" xfId="0" applyNumberFormat="1" applyFont="1" applyFill="1" applyBorder="1" applyAlignment="1">
      <alignment horizontal="center" vertical="center" wrapText="1"/>
    </xf>
    <xf numFmtId="3" fontId="88" fillId="38" borderId="13" xfId="0" applyNumberFormat="1" applyFont="1" applyFill="1" applyBorder="1" applyAlignment="1">
      <alignment horizontal="center" vertical="center" wrapText="1"/>
    </xf>
    <xf numFmtId="0" fontId="90" fillId="0" borderId="11" xfId="2" applyFont="1" applyFill="1" applyBorder="1" applyAlignment="1">
      <alignment vertical="top" wrapText="1"/>
    </xf>
    <xf numFmtId="0" fontId="90" fillId="0" borderId="12" xfId="2" applyFont="1" applyFill="1" applyBorder="1" applyAlignment="1">
      <alignment vertical="top" wrapText="1"/>
    </xf>
    <xf numFmtId="0" fontId="90" fillId="0" borderId="13" xfId="2" applyFont="1" applyFill="1" applyBorder="1" applyAlignment="1">
      <alignment vertical="top" wrapText="1"/>
    </xf>
    <xf numFmtId="171" fontId="88" fillId="38" borderId="12" xfId="3" applyNumberFormat="1" applyFont="1" applyFill="1" applyBorder="1" applyAlignment="1">
      <alignment horizontal="center" vertical="top" wrapText="1"/>
    </xf>
    <xf numFmtId="171" fontId="88" fillId="38" borderId="13" xfId="3" applyNumberFormat="1" applyFont="1" applyFill="1" applyBorder="1" applyAlignment="1">
      <alignment horizontal="center" vertical="top" wrapText="1"/>
    </xf>
    <xf numFmtId="3" fontId="100" fillId="38" borderId="11" xfId="0" applyNumberFormat="1" applyFont="1" applyFill="1" applyBorder="1" applyAlignment="1">
      <alignment horizontal="center" vertical="center" wrapText="1"/>
    </xf>
    <xf numFmtId="3" fontId="100" fillId="38" borderId="12" xfId="0" applyNumberFormat="1" applyFont="1" applyFill="1" applyBorder="1" applyAlignment="1">
      <alignment horizontal="center" vertical="center" wrapText="1"/>
    </xf>
    <xf numFmtId="3" fontId="100" fillId="38" borderId="13" xfId="0" applyNumberFormat="1" applyFont="1" applyFill="1" applyBorder="1" applyAlignment="1">
      <alignment horizontal="center" vertical="center" wrapText="1"/>
    </xf>
    <xf numFmtId="3" fontId="100" fillId="38" borderId="11" xfId="0" applyNumberFormat="1" applyFont="1" applyFill="1" applyBorder="1" applyAlignment="1">
      <alignment horizontal="left" vertical="center" wrapText="1"/>
    </xf>
    <xf numFmtId="3" fontId="100" fillId="38" borderId="12" xfId="0" applyNumberFormat="1" applyFont="1" applyFill="1" applyBorder="1" applyAlignment="1">
      <alignment horizontal="left" vertical="center" wrapText="1"/>
    </xf>
    <xf numFmtId="3" fontId="100" fillId="38" borderId="13" xfId="0" applyNumberFormat="1" applyFont="1" applyFill="1" applyBorder="1" applyAlignment="1">
      <alignment horizontal="left" vertical="center" wrapText="1"/>
    </xf>
    <xf numFmtId="0" fontId="88" fillId="38" borderId="9" xfId="0" applyFont="1" applyFill="1" applyBorder="1" applyAlignment="1">
      <alignment horizontal="center" vertical="center"/>
    </xf>
    <xf numFmtId="0" fontId="91" fillId="0" borderId="9" xfId="0" applyFont="1" applyFill="1" applyBorder="1" applyAlignment="1">
      <alignment horizontal="left"/>
    </xf>
    <xf numFmtId="0" fontId="90" fillId="0" borderId="12" xfId="0" applyFont="1" applyFill="1" applyBorder="1" applyAlignment="1">
      <alignment horizontal="left"/>
    </xf>
    <xf numFmtId="0" fontId="91" fillId="0" borderId="0" xfId="0" applyFont="1" applyAlignment="1">
      <alignment horizontal="left" vertical="center" wrapText="1"/>
    </xf>
  </cellXfs>
  <cellStyles count="1475">
    <cellStyle name="20% - Accent1" xfId="813" xr:uid="{00000000-0005-0000-0000-000000000000}"/>
    <cellStyle name="20% - Accent2" xfId="814" xr:uid="{00000000-0005-0000-0000-000001000000}"/>
    <cellStyle name="20% - Accent3" xfId="815" xr:uid="{00000000-0005-0000-0000-000002000000}"/>
    <cellStyle name="20% - Accent4" xfId="816" xr:uid="{00000000-0005-0000-0000-000003000000}"/>
    <cellStyle name="20% - Accent5" xfId="817" xr:uid="{00000000-0005-0000-0000-000004000000}"/>
    <cellStyle name="20% - Accent6" xfId="818" xr:uid="{00000000-0005-0000-0000-000005000000}"/>
    <cellStyle name="20% - Énfasis1" xfId="467" builtinId="30" customBuiltin="1"/>
    <cellStyle name="20% - Énfasis1 10" xfId="1188" xr:uid="{00000000-0005-0000-0000-000001000000}"/>
    <cellStyle name="20% - Énfasis1 11" xfId="1202" xr:uid="{00000000-0005-0000-0000-000002000000}"/>
    <cellStyle name="20% - Énfasis1 12" xfId="1216" xr:uid="{00000000-0005-0000-0000-000003000000}"/>
    <cellStyle name="20% - Énfasis1 13" xfId="1231" xr:uid="{00000000-0005-0000-0000-000004000000}"/>
    <cellStyle name="20% - Énfasis1 14" xfId="1246" xr:uid="{00000000-0005-0000-0000-000005000000}"/>
    <cellStyle name="20% - Énfasis1 15" xfId="1289" xr:uid="{00000000-0005-0000-0000-000006000000}"/>
    <cellStyle name="20% - Énfasis1 16" xfId="1049" xr:uid="{00000000-0005-0000-0000-000007000000}"/>
    <cellStyle name="20% - Énfasis1 2" xfId="635" xr:uid="{00000000-0005-0000-0000-000074020000}"/>
    <cellStyle name="20% - Énfasis1 2 2" xfId="1306" xr:uid="{00000000-0005-0000-0000-000009000000}"/>
    <cellStyle name="20% - Énfasis1 2 3" xfId="1068" xr:uid="{00000000-0005-0000-0000-00000A000000}"/>
    <cellStyle name="20% - Énfasis1 2 4" xfId="988" xr:uid="{00000000-0005-0000-0000-000008000000}"/>
    <cellStyle name="20% - Énfasis1 3" xfId="1005" xr:uid="{00000000-0005-0000-0000-00000B000000}"/>
    <cellStyle name="20% - Énfasis1 3 2" xfId="1322" xr:uid="{00000000-0005-0000-0000-00000C000000}"/>
    <cellStyle name="20% - Énfasis1 3 3" xfId="1085" xr:uid="{00000000-0005-0000-0000-00000D000000}"/>
    <cellStyle name="20% - Énfasis1 4" xfId="1020" xr:uid="{00000000-0005-0000-0000-00000E000000}"/>
    <cellStyle name="20% - Énfasis1 4 2" xfId="1338" xr:uid="{00000000-0005-0000-0000-00000F000000}"/>
    <cellStyle name="20% - Énfasis1 4 3" xfId="1101" xr:uid="{00000000-0005-0000-0000-000010000000}"/>
    <cellStyle name="20% - Énfasis1 5" xfId="1036" xr:uid="{00000000-0005-0000-0000-000011000000}"/>
    <cellStyle name="20% - Énfasis1 5 2" xfId="1354" xr:uid="{00000000-0005-0000-0000-000012000000}"/>
    <cellStyle name="20% - Énfasis1 5 3" xfId="1118" xr:uid="{00000000-0005-0000-0000-000013000000}"/>
    <cellStyle name="20% - Énfasis1 6" xfId="1135" xr:uid="{00000000-0005-0000-0000-000014000000}"/>
    <cellStyle name="20% - Énfasis1 7" xfId="1148" xr:uid="{00000000-0005-0000-0000-000015000000}"/>
    <cellStyle name="20% - Énfasis1 8" xfId="1162" xr:uid="{00000000-0005-0000-0000-000016000000}"/>
    <cellStyle name="20% - Énfasis1 9" xfId="1175" xr:uid="{00000000-0005-0000-0000-000017000000}"/>
    <cellStyle name="20% - Énfasis2" xfId="470" builtinId="34" customBuiltin="1"/>
    <cellStyle name="20% - Énfasis2 10" xfId="1190" xr:uid="{00000000-0005-0000-0000-000019000000}"/>
    <cellStyle name="20% - Énfasis2 11" xfId="1204" xr:uid="{00000000-0005-0000-0000-00001A000000}"/>
    <cellStyle name="20% - Énfasis2 12" xfId="1218" xr:uid="{00000000-0005-0000-0000-00001B000000}"/>
    <cellStyle name="20% - Énfasis2 13" xfId="1233" xr:uid="{00000000-0005-0000-0000-00001C000000}"/>
    <cellStyle name="20% - Énfasis2 14" xfId="1248" xr:uid="{00000000-0005-0000-0000-00001D000000}"/>
    <cellStyle name="20% - Énfasis2 15" xfId="1290" xr:uid="{00000000-0005-0000-0000-00001E000000}"/>
    <cellStyle name="20% - Énfasis2 16" xfId="1051" xr:uid="{00000000-0005-0000-0000-00001F000000}"/>
    <cellStyle name="20% - Énfasis2 2" xfId="639" xr:uid="{00000000-0005-0000-0000-000075020000}"/>
    <cellStyle name="20% - Énfasis2 2 2" xfId="1308" xr:uid="{00000000-0005-0000-0000-000021000000}"/>
    <cellStyle name="20% - Énfasis2 2 3" xfId="1070" xr:uid="{00000000-0005-0000-0000-000022000000}"/>
    <cellStyle name="20% - Énfasis2 2 4" xfId="990" xr:uid="{00000000-0005-0000-0000-000020000000}"/>
    <cellStyle name="20% - Énfasis2 3" xfId="1007" xr:uid="{00000000-0005-0000-0000-000023000000}"/>
    <cellStyle name="20% - Énfasis2 3 2" xfId="1324" xr:uid="{00000000-0005-0000-0000-000024000000}"/>
    <cellStyle name="20% - Énfasis2 3 3" xfId="1087" xr:uid="{00000000-0005-0000-0000-000025000000}"/>
    <cellStyle name="20% - Énfasis2 4" xfId="1022" xr:uid="{00000000-0005-0000-0000-000026000000}"/>
    <cellStyle name="20% - Énfasis2 4 2" xfId="1340" xr:uid="{00000000-0005-0000-0000-000027000000}"/>
    <cellStyle name="20% - Énfasis2 4 3" xfId="1103" xr:uid="{00000000-0005-0000-0000-000028000000}"/>
    <cellStyle name="20% - Énfasis2 5" xfId="1038" xr:uid="{00000000-0005-0000-0000-000029000000}"/>
    <cellStyle name="20% - Énfasis2 5 2" xfId="1356" xr:uid="{00000000-0005-0000-0000-00002A000000}"/>
    <cellStyle name="20% - Énfasis2 5 3" xfId="1120" xr:uid="{00000000-0005-0000-0000-00002B000000}"/>
    <cellStyle name="20% - Énfasis2 6" xfId="1137" xr:uid="{00000000-0005-0000-0000-00002C000000}"/>
    <cellStyle name="20% - Énfasis2 7" xfId="1150" xr:uid="{00000000-0005-0000-0000-00002D000000}"/>
    <cellStyle name="20% - Énfasis2 8" xfId="1164" xr:uid="{00000000-0005-0000-0000-00002E000000}"/>
    <cellStyle name="20% - Énfasis2 9" xfId="1177" xr:uid="{00000000-0005-0000-0000-00002F000000}"/>
    <cellStyle name="20% - Énfasis3" xfId="473" builtinId="38" customBuiltin="1"/>
    <cellStyle name="20% - Énfasis3 10" xfId="1192" xr:uid="{00000000-0005-0000-0000-000031000000}"/>
    <cellStyle name="20% - Énfasis3 11" xfId="1206" xr:uid="{00000000-0005-0000-0000-000032000000}"/>
    <cellStyle name="20% - Énfasis3 12" xfId="1220" xr:uid="{00000000-0005-0000-0000-000033000000}"/>
    <cellStyle name="20% - Énfasis3 13" xfId="1235" xr:uid="{00000000-0005-0000-0000-000034000000}"/>
    <cellStyle name="20% - Énfasis3 14" xfId="1250" xr:uid="{00000000-0005-0000-0000-000035000000}"/>
    <cellStyle name="20% - Énfasis3 15" xfId="1291" xr:uid="{00000000-0005-0000-0000-000036000000}"/>
    <cellStyle name="20% - Énfasis3 16" xfId="1053" xr:uid="{00000000-0005-0000-0000-000037000000}"/>
    <cellStyle name="20% - Énfasis3 2" xfId="643" xr:uid="{00000000-0005-0000-0000-000076020000}"/>
    <cellStyle name="20% - Énfasis3 2 2" xfId="1310" xr:uid="{00000000-0005-0000-0000-000039000000}"/>
    <cellStyle name="20% - Énfasis3 2 3" xfId="1072" xr:uid="{00000000-0005-0000-0000-00003A000000}"/>
    <cellStyle name="20% - Énfasis3 2 4" xfId="992" xr:uid="{00000000-0005-0000-0000-000038000000}"/>
    <cellStyle name="20% - Énfasis3 3" xfId="1009" xr:uid="{00000000-0005-0000-0000-00003B000000}"/>
    <cellStyle name="20% - Énfasis3 3 2" xfId="1326" xr:uid="{00000000-0005-0000-0000-00003C000000}"/>
    <cellStyle name="20% - Énfasis3 3 3" xfId="1089" xr:uid="{00000000-0005-0000-0000-00003D000000}"/>
    <cellStyle name="20% - Énfasis3 4" xfId="1024" xr:uid="{00000000-0005-0000-0000-00003E000000}"/>
    <cellStyle name="20% - Énfasis3 4 2" xfId="1342" xr:uid="{00000000-0005-0000-0000-00003F000000}"/>
    <cellStyle name="20% - Énfasis3 4 3" xfId="1105" xr:uid="{00000000-0005-0000-0000-000040000000}"/>
    <cellStyle name="20% - Énfasis3 5" xfId="1040" xr:uid="{00000000-0005-0000-0000-000041000000}"/>
    <cellStyle name="20% - Énfasis3 5 2" xfId="1358" xr:uid="{00000000-0005-0000-0000-000042000000}"/>
    <cellStyle name="20% - Énfasis3 5 3" xfId="1122" xr:uid="{00000000-0005-0000-0000-000043000000}"/>
    <cellStyle name="20% - Énfasis3 6" xfId="1139" xr:uid="{00000000-0005-0000-0000-000044000000}"/>
    <cellStyle name="20% - Énfasis3 7" xfId="1152" xr:uid="{00000000-0005-0000-0000-000045000000}"/>
    <cellStyle name="20% - Énfasis3 8" xfId="1166" xr:uid="{00000000-0005-0000-0000-000046000000}"/>
    <cellStyle name="20% - Énfasis3 9" xfId="1179" xr:uid="{00000000-0005-0000-0000-000047000000}"/>
    <cellStyle name="20% - Énfasis4" xfId="476" builtinId="42" customBuiltin="1"/>
    <cellStyle name="20% - Énfasis4 10" xfId="1194" xr:uid="{00000000-0005-0000-0000-000049000000}"/>
    <cellStyle name="20% - Énfasis4 11" xfId="1208" xr:uid="{00000000-0005-0000-0000-00004A000000}"/>
    <cellStyle name="20% - Énfasis4 12" xfId="1222" xr:uid="{00000000-0005-0000-0000-00004B000000}"/>
    <cellStyle name="20% - Énfasis4 13" xfId="1237" xr:uid="{00000000-0005-0000-0000-00004C000000}"/>
    <cellStyle name="20% - Énfasis4 14" xfId="1252" xr:uid="{00000000-0005-0000-0000-00004D000000}"/>
    <cellStyle name="20% - Énfasis4 15" xfId="1292" xr:uid="{00000000-0005-0000-0000-00004E000000}"/>
    <cellStyle name="20% - Énfasis4 16" xfId="1055" xr:uid="{00000000-0005-0000-0000-00004F000000}"/>
    <cellStyle name="20% - Énfasis4 2" xfId="647" xr:uid="{00000000-0005-0000-0000-000077020000}"/>
    <cellStyle name="20% - Énfasis4 2 2" xfId="1312" xr:uid="{00000000-0005-0000-0000-000051000000}"/>
    <cellStyle name="20% - Énfasis4 2 3" xfId="1074" xr:uid="{00000000-0005-0000-0000-000052000000}"/>
    <cellStyle name="20% - Énfasis4 2 4" xfId="994" xr:uid="{00000000-0005-0000-0000-000050000000}"/>
    <cellStyle name="20% - Énfasis4 3" xfId="1011" xr:uid="{00000000-0005-0000-0000-000053000000}"/>
    <cellStyle name="20% - Énfasis4 3 2" xfId="1328" xr:uid="{00000000-0005-0000-0000-000054000000}"/>
    <cellStyle name="20% - Énfasis4 3 3" xfId="1091" xr:uid="{00000000-0005-0000-0000-000055000000}"/>
    <cellStyle name="20% - Énfasis4 4" xfId="1026" xr:uid="{00000000-0005-0000-0000-000056000000}"/>
    <cellStyle name="20% - Énfasis4 4 2" xfId="1344" xr:uid="{00000000-0005-0000-0000-000057000000}"/>
    <cellStyle name="20% - Énfasis4 4 3" xfId="1107" xr:uid="{00000000-0005-0000-0000-000058000000}"/>
    <cellStyle name="20% - Énfasis4 5" xfId="1042" xr:uid="{00000000-0005-0000-0000-000059000000}"/>
    <cellStyle name="20% - Énfasis4 5 2" xfId="1360" xr:uid="{00000000-0005-0000-0000-00005A000000}"/>
    <cellStyle name="20% - Énfasis4 5 3" xfId="1124" xr:uid="{00000000-0005-0000-0000-00005B000000}"/>
    <cellStyle name="20% - Énfasis4 6" xfId="1141" xr:uid="{00000000-0005-0000-0000-00005C000000}"/>
    <cellStyle name="20% - Énfasis4 7" xfId="1154" xr:uid="{00000000-0005-0000-0000-00005D000000}"/>
    <cellStyle name="20% - Énfasis4 8" xfId="1168" xr:uid="{00000000-0005-0000-0000-00005E000000}"/>
    <cellStyle name="20% - Énfasis4 9" xfId="1181" xr:uid="{00000000-0005-0000-0000-00005F000000}"/>
    <cellStyle name="20% - Énfasis5" xfId="479" builtinId="46" customBuiltin="1"/>
    <cellStyle name="20% - Énfasis5 10" xfId="1196" xr:uid="{00000000-0005-0000-0000-000061000000}"/>
    <cellStyle name="20% - Énfasis5 11" xfId="1210" xr:uid="{00000000-0005-0000-0000-000062000000}"/>
    <cellStyle name="20% - Énfasis5 12" xfId="1224" xr:uid="{00000000-0005-0000-0000-000063000000}"/>
    <cellStyle name="20% - Énfasis5 13" xfId="1239" xr:uid="{00000000-0005-0000-0000-000064000000}"/>
    <cellStyle name="20% - Énfasis5 14" xfId="1254" xr:uid="{00000000-0005-0000-0000-000065000000}"/>
    <cellStyle name="20% - Énfasis5 15" xfId="1293" xr:uid="{00000000-0005-0000-0000-000066000000}"/>
    <cellStyle name="20% - Énfasis5 16" xfId="1057" xr:uid="{00000000-0005-0000-0000-000067000000}"/>
    <cellStyle name="20% - Énfasis5 2" xfId="651" xr:uid="{00000000-0005-0000-0000-000078020000}"/>
    <cellStyle name="20% - Énfasis5 2 2" xfId="1314" xr:uid="{00000000-0005-0000-0000-000069000000}"/>
    <cellStyle name="20% - Énfasis5 2 3" xfId="1076" xr:uid="{00000000-0005-0000-0000-00006A000000}"/>
    <cellStyle name="20% - Énfasis5 2 4" xfId="996" xr:uid="{00000000-0005-0000-0000-000068000000}"/>
    <cellStyle name="20% - Énfasis5 3" xfId="1013" xr:uid="{00000000-0005-0000-0000-00006B000000}"/>
    <cellStyle name="20% - Énfasis5 3 2" xfId="1330" xr:uid="{00000000-0005-0000-0000-00006C000000}"/>
    <cellStyle name="20% - Énfasis5 3 3" xfId="1093" xr:uid="{00000000-0005-0000-0000-00006D000000}"/>
    <cellStyle name="20% - Énfasis5 4" xfId="1028" xr:uid="{00000000-0005-0000-0000-00006E000000}"/>
    <cellStyle name="20% - Énfasis5 4 2" xfId="1346" xr:uid="{00000000-0005-0000-0000-00006F000000}"/>
    <cellStyle name="20% - Énfasis5 4 3" xfId="1109" xr:uid="{00000000-0005-0000-0000-000070000000}"/>
    <cellStyle name="20% - Énfasis5 5" xfId="1044" xr:uid="{00000000-0005-0000-0000-000071000000}"/>
    <cellStyle name="20% - Énfasis5 5 2" xfId="1362" xr:uid="{00000000-0005-0000-0000-000072000000}"/>
    <cellStyle name="20% - Énfasis5 5 3" xfId="1126" xr:uid="{00000000-0005-0000-0000-000073000000}"/>
    <cellStyle name="20% - Énfasis5 6" xfId="1143" xr:uid="{00000000-0005-0000-0000-000074000000}"/>
    <cellStyle name="20% - Énfasis5 7" xfId="1156" xr:uid="{00000000-0005-0000-0000-000075000000}"/>
    <cellStyle name="20% - Énfasis5 8" xfId="1170" xr:uid="{00000000-0005-0000-0000-000076000000}"/>
    <cellStyle name="20% - Énfasis5 9" xfId="1183" xr:uid="{00000000-0005-0000-0000-000077000000}"/>
    <cellStyle name="20% - Énfasis6" xfId="482" builtinId="50" customBuiltin="1"/>
    <cellStyle name="20% - Énfasis6 10" xfId="1198" xr:uid="{00000000-0005-0000-0000-000079000000}"/>
    <cellStyle name="20% - Énfasis6 11" xfId="1212" xr:uid="{00000000-0005-0000-0000-00007A000000}"/>
    <cellStyle name="20% - Énfasis6 12" xfId="1226" xr:uid="{00000000-0005-0000-0000-00007B000000}"/>
    <cellStyle name="20% - Énfasis6 13" xfId="1241" xr:uid="{00000000-0005-0000-0000-00007C000000}"/>
    <cellStyle name="20% - Énfasis6 14" xfId="1256" xr:uid="{00000000-0005-0000-0000-00007D000000}"/>
    <cellStyle name="20% - Énfasis6 15" xfId="1294" xr:uid="{00000000-0005-0000-0000-00007E000000}"/>
    <cellStyle name="20% - Énfasis6 16" xfId="1059" xr:uid="{00000000-0005-0000-0000-00007F000000}"/>
    <cellStyle name="20% - Énfasis6 2" xfId="655" xr:uid="{00000000-0005-0000-0000-000079020000}"/>
    <cellStyle name="20% - Énfasis6 2 2" xfId="1316" xr:uid="{00000000-0005-0000-0000-000081000000}"/>
    <cellStyle name="20% - Énfasis6 2 3" xfId="1078" xr:uid="{00000000-0005-0000-0000-000082000000}"/>
    <cellStyle name="20% - Énfasis6 2 4" xfId="998" xr:uid="{00000000-0005-0000-0000-000080000000}"/>
    <cellStyle name="20% - Énfasis6 3" xfId="1015" xr:uid="{00000000-0005-0000-0000-000083000000}"/>
    <cellStyle name="20% - Énfasis6 3 2" xfId="1332" xr:uid="{00000000-0005-0000-0000-000084000000}"/>
    <cellStyle name="20% - Énfasis6 3 3" xfId="1095" xr:uid="{00000000-0005-0000-0000-000085000000}"/>
    <cellStyle name="20% - Énfasis6 4" xfId="1030" xr:uid="{00000000-0005-0000-0000-000086000000}"/>
    <cellStyle name="20% - Énfasis6 4 2" xfId="1348" xr:uid="{00000000-0005-0000-0000-000087000000}"/>
    <cellStyle name="20% - Énfasis6 4 3" xfId="1111" xr:uid="{00000000-0005-0000-0000-000088000000}"/>
    <cellStyle name="20% - Énfasis6 5" xfId="1046" xr:uid="{00000000-0005-0000-0000-000089000000}"/>
    <cellStyle name="20% - Énfasis6 5 2" xfId="1364" xr:uid="{00000000-0005-0000-0000-00008A000000}"/>
    <cellStyle name="20% - Énfasis6 5 3" xfId="1128" xr:uid="{00000000-0005-0000-0000-00008B000000}"/>
    <cellStyle name="20% - Énfasis6 6" xfId="1145" xr:uid="{00000000-0005-0000-0000-00008C000000}"/>
    <cellStyle name="20% - Énfasis6 7" xfId="1158" xr:uid="{00000000-0005-0000-0000-00008D000000}"/>
    <cellStyle name="20% - Énfasis6 8" xfId="1172" xr:uid="{00000000-0005-0000-0000-00008E000000}"/>
    <cellStyle name="20% - Énfasis6 9" xfId="1185" xr:uid="{00000000-0005-0000-0000-00008F000000}"/>
    <cellStyle name="40% - Accent1" xfId="819" xr:uid="{00000000-0005-0000-0000-000006000000}"/>
    <cellStyle name="40% - Accent2" xfId="820" xr:uid="{00000000-0005-0000-0000-000007000000}"/>
    <cellStyle name="40% - Accent3" xfId="821" xr:uid="{00000000-0005-0000-0000-000008000000}"/>
    <cellStyle name="40% - Accent4" xfId="822" xr:uid="{00000000-0005-0000-0000-000009000000}"/>
    <cellStyle name="40% - Accent5" xfId="823" xr:uid="{00000000-0005-0000-0000-00000A000000}"/>
    <cellStyle name="40% - Accent6" xfId="824" xr:uid="{00000000-0005-0000-0000-00000B000000}"/>
    <cellStyle name="40% - Énfasis1" xfId="468" builtinId="31" customBuiltin="1"/>
    <cellStyle name="40% - Énfasis1 10" xfId="1189" xr:uid="{00000000-0005-0000-0000-000091000000}"/>
    <cellStyle name="40% - Énfasis1 11" xfId="1203" xr:uid="{00000000-0005-0000-0000-000092000000}"/>
    <cellStyle name="40% - Énfasis1 12" xfId="1217" xr:uid="{00000000-0005-0000-0000-000093000000}"/>
    <cellStyle name="40% - Énfasis1 13" xfId="1232" xr:uid="{00000000-0005-0000-0000-000094000000}"/>
    <cellStyle name="40% - Énfasis1 14" xfId="1247" xr:uid="{00000000-0005-0000-0000-000095000000}"/>
    <cellStyle name="40% - Énfasis1 15" xfId="1295" xr:uid="{00000000-0005-0000-0000-000096000000}"/>
    <cellStyle name="40% - Énfasis1 16" xfId="1050" xr:uid="{00000000-0005-0000-0000-000097000000}"/>
    <cellStyle name="40% - Énfasis1 2" xfId="636" xr:uid="{00000000-0005-0000-0000-00007A020000}"/>
    <cellStyle name="40% - Énfasis1 2 2" xfId="1307" xr:uid="{00000000-0005-0000-0000-000099000000}"/>
    <cellStyle name="40% - Énfasis1 2 3" xfId="1069" xr:uid="{00000000-0005-0000-0000-00009A000000}"/>
    <cellStyle name="40% - Énfasis1 2 4" xfId="989" xr:uid="{00000000-0005-0000-0000-000098000000}"/>
    <cellStyle name="40% - Énfasis1 3" xfId="1006" xr:uid="{00000000-0005-0000-0000-00009B000000}"/>
    <cellStyle name="40% - Énfasis1 3 2" xfId="1323" xr:uid="{00000000-0005-0000-0000-00009C000000}"/>
    <cellStyle name="40% - Énfasis1 3 3" xfId="1086" xr:uid="{00000000-0005-0000-0000-00009D000000}"/>
    <cellStyle name="40% - Énfasis1 4" xfId="1021" xr:uid="{00000000-0005-0000-0000-00009E000000}"/>
    <cellStyle name="40% - Énfasis1 4 2" xfId="1339" xr:uid="{00000000-0005-0000-0000-00009F000000}"/>
    <cellStyle name="40% - Énfasis1 4 3" xfId="1102" xr:uid="{00000000-0005-0000-0000-0000A0000000}"/>
    <cellStyle name="40% - Énfasis1 5" xfId="1037" xr:uid="{00000000-0005-0000-0000-0000A1000000}"/>
    <cellStyle name="40% - Énfasis1 5 2" xfId="1355" xr:uid="{00000000-0005-0000-0000-0000A2000000}"/>
    <cellStyle name="40% - Énfasis1 5 3" xfId="1119" xr:uid="{00000000-0005-0000-0000-0000A3000000}"/>
    <cellStyle name="40% - Énfasis1 6" xfId="1136" xr:uid="{00000000-0005-0000-0000-0000A4000000}"/>
    <cellStyle name="40% - Énfasis1 7" xfId="1149" xr:uid="{00000000-0005-0000-0000-0000A5000000}"/>
    <cellStyle name="40% - Énfasis1 8" xfId="1163" xr:uid="{00000000-0005-0000-0000-0000A6000000}"/>
    <cellStyle name="40% - Énfasis1 9" xfId="1176" xr:uid="{00000000-0005-0000-0000-0000A7000000}"/>
    <cellStyle name="40% - Énfasis2" xfId="471" builtinId="35" customBuiltin="1"/>
    <cellStyle name="40% - Énfasis2 10" xfId="1191" xr:uid="{00000000-0005-0000-0000-0000A9000000}"/>
    <cellStyle name="40% - Énfasis2 11" xfId="1205" xr:uid="{00000000-0005-0000-0000-0000AA000000}"/>
    <cellStyle name="40% - Énfasis2 12" xfId="1219" xr:uid="{00000000-0005-0000-0000-0000AB000000}"/>
    <cellStyle name="40% - Énfasis2 13" xfId="1234" xr:uid="{00000000-0005-0000-0000-0000AC000000}"/>
    <cellStyle name="40% - Énfasis2 14" xfId="1249" xr:uid="{00000000-0005-0000-0000-0000AD000000}"/>
    <cellStyle name="40% - Énfasis2 15" xfId="1296" xr:uid="{00000000-0005-0000-0000-0000AE000000}"/>
    <cellStyle name="40% - Énfasis2 16" xfId="1052" xr:uid="{00000000-0005-0000-0000-0000AF000000}"/>
    <cellStyle name="40% - Énfasis2 2" xfId="640" xr:uid="{00000000-0005-0000-0000-00007B020000}"/>
    <cellStyle name="40% - Énfasis2 2 2" xfId="1309" xr:uid="{00000000-0005-0000-0000-0000B1000000}"/>
    <cellStyle name="40% - Énfasis2 2 3" xfId="1071" xr:uid="{00000000-0005-0000-0000-0000B2000000}"/>
    <cellStyle name="40% - Énfasis2 2 4" xfId="991" xr:uid="{00000000-0005-0000-0000-0000B0000000}"/>
    <cellStyle name="40% - Énfasis2 3" xfId="1008" xr:uid="{00000000-0005-0000-0000-0000B3000000}"/>
    <cellStyle name="40% - Énfasis2 3 2" xfId="1325" xr:uid="{00000000-0005-0000-0000-0000B4000000}"/>
    <cellStyle name="40% - Énfasis2 3 3" xfId="1088" xr:uid="{00000000-0005-0000-0000-0000B5000000}"/>
    <cellStyle name="40% - Énfasis2 4" xfId="1023" xr:uid="{00000000-0005-0000-0000-0000B6000000}"/>
    <cellStyle name="40% - Énfasis2 4 2" xfId="1341" xr:uid="{00000000-0005-0000-0000-0000B7000000}"/>
    <cellStyle name="40% - Énfasis2 4 3" xfId="1104" xr:uid="{00000000-0005-0000-0000-0000B8000000}"/>
    <cellStyle name="40% - Énfasis2 5" xfId="1039" xr:uid="{00000000-0005-0000-0000-0000B9000000}"/>
    <cellStyle name="40% - Énfasis2 5 2" xfId="1357" xr:uid="{00000000-0005-0000-0000-0000BA000000}"/>
    <cellStyle name="40% - Énfasis2 5 3" xfId="1121" xr:uid="{00000000-0005-0000-0000-0000BB000000}"/>
    <cellStyle name="40% - Énfasis2 6" xfId="1138" xr:uid="{00000000-0005-0000-0000-0000BC000000}"/>
    <cellStyle name="40% - Énfasis2 7" xfId="1151" xr:uid="{00000000-0005-0000-0000-0000BD000000}"/>
    <cellStyle name="40% - Énfasis2 8" xfId="1165" xr:uid="{00000000-0005-0000-0000-0000BE000000}"/>
    <cellStyle name="40% - Énfasis2 9" xfId="1178" xr:uid="{00000000-0005-0000-0000-0000BF000000}"/>
    <cellStyle name="40% - Énfasis3" xfId="474" builtinId="39" customBuiltin="1"/>
    <cellStyle name="40% - Énfasis3 10" xfId="1193" xr:uid="{00000000-0005-0000-0000-0000C1000000}"/>
    <cellStyle name="40% - Énfasis3 11" xfId="1207" xr:uid="{00000000-0005-0000-0000-0000C2000000}"/>
    <cellStyle name="40% - Énfasis3 12" xfId="1221" xr:uid="{00000000-0005-0000-0000-0000C3000000}"/>
    <cellStyle name="40% - Énfasis3 13" xfId="1236" xr:uid="{00000000-0005-0000-0000-0000C4000000}"/>
    <cellStyle name="40% - Énfasis3 14" xfId="1251" xr:uid="{00000000-0005-0000-0000-0000C5000000}"/>
    <cellStyle name="40% - Énfasis3 15" xfId="1297" xr:uid="{00000000-0005-0000-0000-0000C6000000}"/>
    <cellStyle name="40% - Énfasis3 16" xfId="1054" xr:uid="{00000000-0005-0000-0000-0000C7000000}"/>
    <cellStyle name="40% - Énfasis3 2" xfId="644" xr:uid="{00000000-0005-0000-0000-00007C020000}"/>
    <cellStyle name="40% - Énfasis3 2 2" xfId="1311" xr:uid="{00000000-0005-0000-0000-0000C9000000}"/>
    <cellStyle name="40% - Énfasis3 2 3" xfId="1073" xr:uid="{00000000-0005-0000-0000-0000CA000000}"/>
    <cellStyle name="40% - Énfasis3 2 4" xfId="993" xr:uid="{00000000-0005-0000-0000-0000C8000000}"/>
    <cellStyle name="40% - Énfasis3 3" xfId="1010" xr:uid="{00000000-0005-0000-0000-0000CB000000}"/>
    <cellStyle name="40% - Énfasis3 3 2" xfId="1327" xr:uid="{00000000-0005-0000-0000-0000CC000000}"/>
    <cellStyle name="40% - Énfasis3 3 3" xfId="1090" xr:uid="{00000000-0005-0000-0000-0000CD000000}"/>
    <cellStyle name="40% - Énfasis3 4" xfId="1025" xr:uid="{00000000-0005-0000-0000-0000CE000000}"/>
    <cellStyle name="40% - Énfasis3 4 2" xfId="1343" xr:uid="{00000000-0005-0000-0000-0000CF000000}"/>
    <cellStyle name="40% - Énfasis3 4 3" xfId="1106" xr:uid="{00000000-0005-0000-0000-0000D0000000}"/>
    <cellStyle name="40% - Énfasis3 5" xfId="1041" xr:uid="{00000000-0005-0000-0000-0000D1000000}"/>
    <cellStyle name="40% - Énfasis3 5 2" xfId="1359" xr:uid="{00000000-0005-0000-0000-0000D2000000}"/>
    <cellStyle name="40% - Énfasis3 5 3" xfId="1123" xr:uid="{00000000-0005-0000-0000-0000D3000000}"/>
    <cellStyle name="40% - Énfasis3 6" xfId="1140" xr:uid="{00000000-0005-0000-0000-0000D4000000}"/>
    <cellStyle name="40% - Énfasis3 7" xfId="1153" xr:uid="{00000000-0005-0000-0000-0000D5000000}"/>
    <cellStyle name="40% - Énfasis3 8" xfId="1167" xr:uid="{00000000-0005-0000-0000-0000D6000000}"/>
    <cellStyle name="40% - Énfasis3 9" xfId="1180" xr:uid="{00000000-0005-0000-0000-0000D7000000}"/>
    <cellStyle name="40% - Énfasis4" xfId="477" builtinId="43" customBuiltin="1"/>
    <cellStyle name="40% - Énfasis4 10" xfId="1195" xr:uid="{00000000-0005-0000-0000-0000D9000000}"/>
    <cellStyle name="40% - Énfasis4 11" xfId="1209" xr:uid="{00000000-0005-0000-0000-0000DA000000}"/>
    <cellStyle name="40% - Énfasis4 12" xfId="1223" xr:uid="{00000000-0005-0000-0000-0000DB000000}"/>
    <cellStyle name="40% - Énfasis4 13" xfId="1238" xr:uid="{00000000-0005-0000-0000-0000DC000000}"/>
    <cellStyle name="40% - Énfasis4 14" xfId="1253" xr:uid="{00000000-0005-0000-0000-0000DD000000}"/>
    <cellStyle name="40% - Énfasis4 15" xfId="1298" xr:uid="{00000000-0005-0000-0000-0000DE000000}"/>
    <cellStyle name="40% - Énfasis4 16" xfId="1056" xr:uid="{00000000-0005-0000-0000-0000DF000000}"/>
    <cellStyle name="40% - Énfasis4 2" xfId="648" xr:uid="{00000000-0005-0000-0000-00007D020000}"/>
    <cellStyle name="40% - Énfasis4 2 2" xfId="1313" xr:uid="{00000000-0005-0000-0000-0000E1000000}"/>
    <cellStyle name="40% - Énfasis4 2 3" xfId="1075" xr:uid="{00000000-0005-0000-0000-0000E2000000}"/>
    <cellStyle name="40% - Énfasis4 2 4" xfId="995" xr:uid="{00000000-0005-0000-0000-0000E0000000}"/>
    <cellStyle name="40% - Énfasis4 3" xfId="1012" xr:uid="{00000000-0005-0000-0000-0000E3000000}"/>
    <cellStyle name="40% - Énfasis4 3 2" xfId="1329" xr:uid="{00000000-0005-0000-0000-0000E4000000}"/>
    <cellStyle name="40% - Énfasis4 3 3" xfId="1092" xr:uid="{00000000-0005-0000-0000-0000E5000000}"/>
    <cellStyle name="40% - Énfasis4 4" xfId="1027" xr:uid="{00000000-0005-0000-0000-0000E6000000}"/>
    <cellStyle name="40% - Énfasis4 4 2" xfId="1345" xr:uid="{00000000-0005-0000-0000-0000E7000000}"/>
    <cellStyle name="40% - Énfasis4 4 3" xfId="1108" xr:uid="{00000000-0005-0000-0000-0000E8000000}"/>
    <cellStyle name="40% - Énfasis4 5" xfId="1043" xr:uid="{00000000-0005-0000-0000-0000E9000000}"/>
    <cellStyle name="40% - Énfasis4 5 2" xfId="1361" xr:uid="{00000000-0005-0000-0000-0000EA000000}"/>
    <cellStyle name="40% - Énfasis4 5 3" xfId="1125" xr:uid="{00000000-0005-0000-0000-0000EB000000}"/>
    <cellStyle name="40% - Énfasis4 6" xfId="1142" xr:uid="{00000000-0005-0000-0000-0000EC000000}"/>
    <cellStyle name="40% - Énfasis4 7" xfId="1155" xr:uid="{00000000-0005-0000-0000-0000ED000000}"/>
    <cellStyle name="40% - Énfasis4 8" xfId="1169" xr:uid="{00000000-0005-0000-0000-0000EE000000}"/>
    <cellStyle name="40% - Énfasis4 9" xfId="1182" xr:uid="{00000000-0005-0000-0000-0000EF000000}"/>
    <cellStyle name="40% - Énfasis5" xfId="480" builtinId="47" customBuiltin="1"/>
    <cellStyle name="40% - Énfasis5 10" xfId="1197" xr:uid="{00000000-0005-0000-0000-0000F1000000}"/>
    <cellStyle name="40% - Énfasis5 11" xfId="1211" xr:uid="{00000000-0005-0000-0000-0000F2000000}"/>
    <cellStyle name="40% - Énfasis5 12" xfId="1225" xr:uid="{00000000-0005-0000-0000-0000F3000000}"/>
    <cellStyle name="40% - Énfasis5 13" xfId="1240" xr:uid="{00000000-0005-0000-0000-0000F4000000}"/>
    <cellStyle name="40% - Énfasis5 14" xfId="1255" xr:uid="{00000000-0005-0000-0000-0000F5000000}"/>
    <cellStyle name="40% - Énfasis5 15" xfId="1299" xr:uid="{00000000-0005-0000-0000-0000F6000000}"/>
    <cellStyle name="40% - Énfasis5 16" xfId="1058" xr:uid="{00000000-0005-0000-0000-0000F7000000}"/>
    <cellStyle name="40% - Énfasis5 2" xfId="652" xr:uid="{00000000-0005-0000-0000-00007E020000}"/>
    <cellStyle name="40% - Énfasis5 2 2" xfId="1315" xr:uid="{00000000-0005-0000-0000-0000F9000000}"/>
    <cellStyle name="40% - Énfasis5 2 3" xfId="1077" xr:uid="{00000000-0005-0000-0000-0000FA000000}"/>
    <cellStyle name="40% - Énfasis5 2 4" xfId="997" xr:uid="{00000000-0005-0000-0000-0000F8000000}"/>
    <cellStyle name="40% - Énfasis5 3" xfId="1014" xr:uid="{00000000-0005-0000-0000-0000FB000000}"/>
    <cellStyle name="40% - Énfasis5 3 2" xfId="1331" xr:uid="{00000000-0005-0000-0000-0000FC000000}"/>
    <cellStyle name="40% - Énfasis5 3 3" xfId="1094" xr:uid="{00000000-0005-0000-0000-0000FD000000}"/>
    <cellStyle name="40% - Énfasis5 4" xfId="1029" xr:uid="{00000000-0005-0000-0000-0000FE000000}"/>
    <cellStyle name="40% - Énfasis5 4 2" xfId="1347" xr:uid="{00000000-0005-0000-0000-0000FF000000}"/>
    <cellStyle name="40% - Énfasis5 4 3" xfId="1110" xr:uid="{00000000-0005-0000-0000-000000010000}"/>
    <cellStyle name="40% - Énfasis5 5" xfId="1045" xr:uid="{00000000-0005-0000-0000-000001010000}"/>
    <cellStyle name="40% - Énfasis5 5 2" xfId="1363" xr:uid="{00000000-0005-0000-0000-000002010000}"/>
    <cellStyle name="40% - Énfasis5 5 3" xfId="1127" xr:uid="{00000000-0005-0000-0000-000003010000}"/>
    <cellStyle name="40% - Énfasis5 6" xfId="1144" xr:uid="{00000000-0005-0000-0000-000004010000}"/>
    <cellStyle name="40% - Énfasis5 7" xfId="1157" xr:uid="{00000000-0005-0000-0000-000005010000}"/>
    <cellStyle name="40% - Énfasis5 8" xfId="1171" xr:uid="{00000000-0005-0000-0000-000006010000}"/>
    <cellStyle name="40% - Énfasis5 9" xfId="1184" xr:uid="{00000000-0005-0000-0000-000007010000}"/>
    <cellStyle name="40% - Énfasis6" xfId="483" builtinId="51" customBuiltin="1"/>
    <cellStyle name="40% - Énfasis6 10" xfId="1199" xr:uid="{00000000-0005-0000-0000-000009010000}"/>
    <cellStyle name="40% - Énfasis6 11" xfId="1213" xr:uid="{00000000-0005-0000-0000-00000A010000}"/>
    <cellStyle name="40% - Énfasis6 12" xfId="1227" xr:uid="{00000000-0005-0000-0000-00000B010000}"/>
    <cellStyle name="40% - Énfasis6 13" xfId="1242" xr:uid="{00000000-0005-0000-0000-00000C010000}"/>
    <cellStyle name="40% - Énfasis6 14" xfId="1257" xr:uid="{00000000-0005-0000-0000-00000D010000}"/>
    <cellStyle name="40% - Énfasis6 15" xfId="1300" xr:uid="{00000000-0005-0000-0000-00000E010000}"/>
    <cellStyle name="40% - Énfasis6 16" xfId="1060" xr:uid="{00000000-0005-0000-0000-00000F010000}"/>
    <cellStyle name="40% - Énfasis6 2" xfId="656" xr:uid="{00000000-0005-0000-0000-00007F020000}"/>
    <cellStyle name="40% - Énfasis6 2 2" xfId="1317" xr:uid="{00000000-0005-0000-0000-000011010000}"/>
    <cellStyle name="40% - Énfasis6 2 3" xfId="1079" xr:uid="{00000000-0005-0000-0000-000012010000}"/>
    <cellStyle name="40% - Énfasis6 2 4" xfId="999" xr:uid="{00000000-0005-0000-0000-000010010000}"/>
    <cellStyle name="40% - Énfasis6 3" xfId="1016" xr:uid="{00000000-0005-0000-0000-000013010000}"/>
    <cellStyle name="40% - Énfasis6 3 2" xfId="1333" xr:uid="{00000000-0005-0000-0000-000014010000}"/>
    <cellStyle name="40% - Énfasis6 3 3" xfId="1096" xr:uid="{00000000-0005-0000-0000-000015010000}"/>
    <cellStyle name="40% - Énfasis6 4" xfId="1031" xr:uid="{00000000-0005-0000-0000-000016010000}"/>
    <cellStyle name="40% - Énfasis6 4 2" xfId="1349" xr:uid="{00000000-0005-0000-0000-000017010000}"/>
    <cellStyle name="40% - Énfasis6 4 3" xfId="1112" xr:uid="{00000000-0005-0000-0000-000018010000}"/>
    <cellStyle name="40% - Énfasis6 5" xfId="1047" xr:uid="{00000000-0005-0000-0000-000019010000}"/>
    <cellStyle name="40% - Énfasis6 5 2" xfId="1365" xr:uid="{00000000-0005-0000-0000-00001A010000}"/>
    <cellStyle name="40% - Énfasis6 5 3" xfId="1129" xr:uid="{00000000-0005-0000-0000-00001B010000}"/>
    <cellStyle name="40% - Énfasis6 6" xfId="1146" xr:uid="{00000000-0005-0000-0000-00001C010000}"/>
    <cellStyle name="40% - Énfasis6 7" xfId="1159" xr:uid="{00000000-0005-0000-0000-00001D010000}"/>
    <cellStyle name="40% - Énfasis6 8" xfId="1173" xr:uid="{00000000-0005-0000-0000-00001E010000}"/>
    <cellStyle name="40% - Énfasis6 9" xfId="1186" xr:uid="{00000000-0005-0000-0000-00001F010000}"/>
    <cellStyle name="60% - Accent1" xfId="825" xr:uid="{00000000-0005-0000-0000-00000C000000}"/>
    <cellStyle name="60% - Accent2" xfId="826" xr:uid="{00000000-0005-0000-0000-00000D000000}"/>
    <cellStyle name="60% - Accent3" xfId="827" xr:uid="{00000000-0005-0000-0000-00000E000000}"/>
    <cellStyle name="60% - Accent4" xfId="828" xr:uid="{00000000-0005-0000-0000-00000F000000}"/>
    <cellStyle name="60% - Accent5" xfId="829" xr:uid="{00000000-0005-0000-0000-000010000000}"/>
    <cellStyle name="60% - Accent6" xfId="830" xr:uid="{00000000-0005-0000-0000-00001100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Accent1" xfId="831" xr:uid="{00000000-0005-0000-0000-000012000000}"/>
    <cellStyle name="Accent2" xfId="832" xr:uid="{00000000-0005-0000-0000-000013000000}"/>
    <cellStyle name="Accent3" xfId="833" xr:uid="{00000000-0005-0000-0000-000014000000}"/>
    <cellStyle name="Accent4" xfId="834" xr:uid="{00000000-0005-0000-0000-000015000000}"/>
    <cellStyle name="Accent5" xfId="835" xr:uid="{00000000-0005-0000-0000-000016000000}"/>
    <cellStyle name="Accent6" xfId="836" xr:uid="{00000000-0005-0000-0000-000017000000}"/>
    <cellStyle name="Bad" xfId="837" xr:uid="{00000000-0005-0000-0000-000018000000}"/>
    <cellStyle name="Buena" xfId="852" xr:uid="{00000000-0005-0000-0000-000019000000}"/>
    <cellStyle name="Buena 2" xfId="838" xr:uid="{00000000-0005-0000-0000-00001A000000}"/>
    <cellStyle name="Bueno" xfId="455" builtinId="26" customBuiltin="1"/>
    <cellStyle name="Bueno 2" xfId="488" xr:uid="{00000000-0005-0000-0000-000086020000}"/>
    <cellStyle name="Calculation" xfId="839" xr:uid="{00000000-0005-0000-0000-00001B000000}"/>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de comprobación 2 2" xfId="840" xr:uid="{00000000-0005-0000-0000-00001D000000}"/>
    <cellStyle name="Celda de comprobación 3" xfId="842" xr:uid="{00000000-0005-0000-0000-00001C000000}"/>
    <cellStyle name="Celda vinculada" xfId="460" builtinId="24" customBuiltin="1"/>
    <cellStyle name="Celda vinculada 2" xfId="628" xr:uid="{00000000-0005-0000-0000-000089020000}"/>
    <cellStyle name="Celda vinculada 2 2" xfId="841" xr:uid="{00000000-0005-0000-0000-00001F000000}"/>
    <cellStyle name="Celda vinculada 3" xfId="862" xr:uid="{00000000-0005-0000-0000-00001E000000}"/>
    <cellStyle name="Check Cell 2" xfId="843" xr:uid="{00000000-0005-0000-0000-000020000000}"/>
    <cellStyle name="Comma [0]" xfId="162" xr:uid="{00000000-0005-0000-0000-000000000000}"/>
    <cellStyle name="Comma [0] 2" xfId="623" xr:uid="{00000000-0005-0000-0000-000000000000}"/>
    <cellStyle name="Comma [0] 2 2" xfId="1370" xr:uid="{00000000-0005-0000-0000-00002A010000}"/>
    <cellStyle name="Comma 10" xfId="844" xr:uid="{00000000-0005-0000-0000-000021000000}"/>
    <cellStyle name="Comma 10 2" xfId="845" xr:uid="{00000000-0005-0000-0000-000022000000}"/>
    <cellStyle name="Comma 10 2 2" xfId="911" xr:uid="{83FBFD5F-F68F-4974-9449-DF5E555F198F}"/>
    <cellStyle name="Comma 10 2 2 2" xfId="947" xr:uid="{22A8379C-7002-4EF4-A949-EDA0DA723FC2}"/>
    <cellStyle name="Comma 10 2 2 3" xfId="958" xr:uid="{BF873D63-05D9-4002-B09F-29B30236F2AB}"/>
    <cellStyle name="Comma 10 3" xfId="910" xr:uid="{EAD1F3B0-9971-4B2D-AC40-ECD4CE2B8EF7}"/>
    <cellStyle name="Comma 10 3 2" xfId="946" xr:uid="{174C0763-9240-4BB9-B9DA-6F0407658878}"/>
    <cellStyle name="Comma 10 3 3" xfId="957" xr:uid="{C77B5C0F-2957-4996-B0A0-68F48A912997}"/>
    <cellStyle name="Comma 13" xfId="667" xr:uid="{00000000-0005-0000-0000-000016000000}"/>
    <cellStyle name="Comma 13 2" xfId="686" xr:uid="{00000000-0005-0000-0000-000017000000}"/>
    <cellStyle name="Comma 2" xfId="100" xr:uid="{00000000-0005-0000-0000-000072000000}"/>
    <cellStyle name="Comma 2 2" xfId="673" xr:uid="{00000000-0005-0000-0000-000019000000}"/>
    <cellStyle name="Comma 2 2 2" xfId="691" xr:uid="{00000000-0005-0000-0000-00001A000000}"/>
    <cellStyle name="Comma 2 2 2 2" xfId="913" xr:uid="{0B7D00F4-749C-46BB-B601-1D18C0775FAF}"/>
    <cellStyle name="Comma 2 2 3" xfId="847" xr:uid="{00000000-0005-0000-0000-000024000000}"/>
    <cellStyle name="Comma 2 3" xfId="688" xr:uid="{00000000-0005-0000-0000-00001B000000}"/>
    <cellStyle name="Comma 2 3 2" xfId="912" xr:uid="{9193B358-507D-4E37-86BF-402777C71518}"/>
    <cellStyle name="Comma 2 4" xfId="670" xr:uid="{00000000-0005-0000-0000-00001C000000}"/>
    <cellStyle name="Comma 2 4 2" xfId="689" xr:uid="{00000000-0005-0000-0000-00001D000000}"/>
    <cellStyle name="Comma 2 5" xfId="772" xr:uid="{EFFBF99B-D33C-4056-B41D-BA4CCE3BD137}"/>
    <cellStyle name="Comma 2 6" xfId="669" xr:uid="{00000000-0005-0000-0000-000018000000}"/>
    <cellStyle name="Comma 2 7" xfId="846" xr:uid="{00000000-0005-0000-0000-000023000000}"/>
    <cellStyle name="Comma 3" xfId="163" xr:uid="{00000000-0005-0000-0000-000001000000}"/>
    <cellStyle name="Comma 3 2" xfId="267" xr:uid="{00000000-0005-0000-0000-000037010000}"/>
    <cellStyle name="Comma 4" xfId="666" xr:uid="{00000000-0005-0000-0000-00001E000000}"/>
    <cellStyle name="Comma 4 2" xfId="563" xr:uid="{00000000-0005-0000-0000-000001000000}"/>
    <cellStyle name="Comma 4 2 2" xfId="767" xr:uid="{EFC10F40-34EF-4918-B20A-ECFAC74F8D27}"/>
    <cellStyle name="Comma 4 2 3" xfId="745" xr:uid="{402D9B6D-EEE6-47CF-B885-0BE42E1F41BE}"/>
    <cellStyle name="Comma 4 2 4" xfId="685" xr:uid="{00000000-0005-0000-0000-00001F000000}"/>
    <cellStyle name="Comma 4 2 5" xfId="750" xr:uid="{00000000-0005-0000-0000-000000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Encabezado 4 2 2" xfId="848" xr:uid="{00000000-0005-0000-0000-000027000000}"/>
    <cellStyle name="Encabezado 4 3" xfId="858" xr:uid="{00000000-0005-0000-0000-00002600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ntrada 2 2" xfId="849" xr:uid="{00000000-0005-0000-0000-000029000000}"/>
    <cellStyle name="Entrada 3" xfId="860" xr:uid="{00000000-0005-0000-0000-000028000000}"/>
    <cellStyle name="Euro" xfId="850" xr:uid="{00000000-0005-0000-0000-00002A000000}"/>
    <cellStyle name="Euro 2" xfId="914" xr:uid="{F180E580-A6D7-45F6-A96E-D51C5EB5532C}"/>
    <cellStyle name="Euro 3" xfId="1371" xr:uid="{00000000-0005-0000-0000-00003401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 Built-in Normal 3" xfId="1263" xr:uid="{00000000-0005-0000-0000-000035010000}"/>
    <cellStyle name="Excel_BuiltIn_Comma 1" xfId="166" xr:uid="{00000000-0005-0000-0000-000004000000}"/>
    <cellStyle name="Explanatory Text" xfId="851" xr:uid="{00000000-0005-0000-0000-00002B000000}"/>
    <cellStyle name="Good 2" xfId="853" xr:uid="{00000000-0005-0000-0000-00002C000000}"/>
    <cellStyle name="Heading" xfId="167" xr:uid="{00000000-0005-0000-0000-000006000000}"/>
    <cellStyle name="Heading 1" xfId="168" xr:uid="{00000000-0005-0000-0000-000007000000}"/>
    <cellStyle name="Heading 1 2" xfId="855" xr:uid="{00000000-0005-0000-0000-00002E000000}"/>
    <cellStyle name="Heading 2" xfId="856" xr:uid="{00000000-0005-0000-0000-00002F000000}"/>
    <cellStyle name="Heading 3" xfId="857" xr:uid="{00000000-0005-0000-0000-000030000000}"/>
    <cellStyle name="Heading 4" xfId="854" xr:uid="{00000000-0005-0000-0000-00002D000000}"/>
    <cellStyle name="Heading 4 2" xfId="859" xr:uid="{00000000-0005-0000-0000-000031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ipervínculo 5" xfId="1468" xr:uid="{00000000-0005-0000-0000-0000C7050000}"/>
    <cellStyle name="Hyperlink 2" xfId="270" xr:uid="{00000000-0005-0000-0000-00003A010000}"/>
    <cellStyle name="Incorrecto" xfId="456" builtinId="27" customBuiltin="1"/>
    <cellStyle name="Incorrecto 2" xfId="622" xr:uid="{00000000-0005-0000-0000-0000A3020000}"/>
    <cellStyle name="Input 2" xfId="861" xr:uid="{00000000-0005-0000-0000-000032000000}"/>
    <cellStyle name="Intermitente" xfId="785" xr:uid="{291B5DD6-96DB-46D5-942F-48552C574993}"/>
    <cellStyle name="Linked Cell 2" xfId="863" xr:uid="{00000000-0005-0000-0000-000033000000}"/>
    <cellStyle name="Millares" xfId="1" builtinId="3"/>
    <cellStyle name="Millares [0]" xfId="67" builtinId="6"/>
    <cellStyle name="Millares [0] 10" xfId="297" xr:uid="{00000000-0005-0000-0000-00003F010000}"/>
    <cellStyle name="Millares [0] 10 2" xfId="590" xr:uid="{00000000-0005-0000-0000-000007000000}"/>
    <cellStyle name="Millares [0] 11" xfId="593" xr:uid="{00000000-0005-0000-0000-000008000000}"/>
    <cellStyle name="Millares [0] 11 2" xfId="620" xr:uid="{00000000-0005-0000-0000-000009000000}"/>
    <cellStyle name="Millares [0] 12" xfId="486" xr:uid="{00000000-0005-0000-0000-0000F4010000}"/>
    <cellStyle name="Millares [0] 13" xfId="674" xr:uid="{00000000-0005-0000-0000-0000A5020000}"/>
    <cellStyle name="Millares [0] 14" xfId="801" xr:uid="{00000000-0005-0000-0000-00002C030000}"/>
    <cellStyle name="Millares [0] 15" xfId="805" xr:uid="{00000000-0005-0000-0000-00002F030000}"/>
    <cellStyle name="Millares [0] 16" xfId="884" xr:uid="{00000000-0005-0000-0000-000039010000}"/>
    <cellStyle name="Millares [0] 17" xfId="1466" xr:uid="{00000000-0005-0000-0000-0000C5050000}"/>
    <cellStyle name="Millares [0] 2" xfId="23" xr:uid="{00000000-0005-0000-0000-000005000000}"/>
    <cellStyle name="Millares [0] 2 10" xfId="730" xr:uid="{00000000-0005-0000-0000-000028000000}"/>
    <cellStyle name="Millares [0] 2 11" xfId="1062" xr:uid="{00000000-0005-0000-0000-00003A010000}"/>
    <cellStyle name="Millares [0] 2 2" xfId="81" xr:uid="{00000000-0005-0000-0000-000005000000}"/>
    <cellStyle name="Millares [0] 2 2 2" xfId="139" xr:uid="{00000000-0005-0000-0000-000005000000}"/>
    <cellStyle name="Millares [0] 2 2 2 2" xfId="357" xr:uid="{00000000-0005-0000-0000-000005000000}"/>
    <cellStyle name="Millares [0] 2 2 2 3" xfId="678" xr:uid="{00000000-0005-0000-0000-000030000000}"/>
    <cellStyle name="Millares [0] 2 2 2 4" xfId="672" xr:uid="{01A3EA54-97F3-44B5-8FE8-D9DB95B74A1F}"/>
    <cellStyle name="Millares [0] 2 2 2 5" xfId="949" xr:uid="{20973A5F-F316-4EBB-8D20-7550A80D9101}"/>
    <cellStyle name="Millares [0] 2 2 3" xfId="305" xr:uid="{00000000-0005-0000-0000-000005000000}"/>
    <cellStyle name="Millares [0] 2 2 3 2" xfId="960" xr:uid="{D30281E8-1289-48AE-A870-1844D5639860}"/>
    <cellStyle name="Millares [0] 2 2 4" xfId="594" xr:uid="{00000000-0005-0000-0000-00000B000000}"/>
    <cellStyle name="Millares [0] 2 2 5" xfId="660" xr:uid="{00000000-0005-0000-0000-00002F000000}"/>
    <cellStyle name="Millares [0] 2 2 6" xfId="592" xr:uid="{00000000-0005-0000-0000-00000C000000}"/>
    <cellStyle name="Millares [0] 2 2 6 2" xfId="608" xr:uid="{00000000-0005-0000-0000-00000D000000}"/>
    <cellStyle name="Millares [0] 2 2 7" xfId="722" xr:uid="{00000000-0005-0000-0000-000029000000}"/>
    <cellStyle name="Millares [0] 2 2 8" xfId="917" xr:uid="{6C00584F-C304-4B8D-BD23-045948EA098C}"/>
    <cellStyle name="Millares [0] 2 2 9" xfId="1372" xr:uid="{00000000-0005-0000-0000-00003B010000}"/>
    <cellStyle name="Millares [0] 2 3" xfId="111" xr:uid="{00000000-0005-0000-0000-000005000000}"/>
    <cellStyle name="Millares [0] 2 3 2" xfId="329" xr:uid="{00000000-0005-0000-0000-000005000000}"/>
    <cellStyle name="Millares [0] 2 3 3" xfId="606" xr:uid="{00000000-0005-0000-0000-00000E000000}"/>
    <cellStyle name="Millares [0] 2 3 4" xfId="701" xr:uid="{9CD4C902-266E-40B3-BED7-E981F8217213}"/>
    <cellStyle name="Millares [0] 2 4" xfId="172" xr:uid="{00000000-0005-0000-0000-00000B000000}"/>
    <cellStyle name="Millares [0] 2 4 2" xfId="591" xr:uid="{00000000-0005-0000-0000-00000F000000}"/>
    <cellStyle name="Millares [0] 2 4 3" xfId="756" xr:uid="{09CA0D56-DABF-40CC-9A54-DCBA873FFE11}"/>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2 8" xfId="489" xr:uid="{00000000-0005-0000-0000-00000A000000}"/>
    <cellStyle name="Millares [0] 2 9" xfId="659" xr:uid="{00000000-0005-0000-0000-00002E000000}"/>
    <cellStyle name="Millares [0] 3" xfId="70" xr:uid="{00000000-0005-0000-0000-000072000000}"/>
    <cellStyle name="Millares [0] 3 2" xfId="103" xr:uid="{00000000-0005-0000-0000-000075000000}"/>
    <cellStyle name="Millares [0] 3 2 2" xfId="595" xr:uid="{00000000-0005-0000-0000-000011000000}"/>
    <cellStyle name="Millares [0] 3 2 3" xfId="679" xr:uid="{00000000-0005-0000-0000-000032000000}"/>
    <cellStyle name="Millares [0] 3 2 4" xfId="948" xr:uid="{177CC79C-C0B4-4202-B72A-C438472324FA}"/>
    <cellStyle name="Millares [0] 3 3" xfId="132" xr:uid="{00000000-0005-0000-0000-000072000000}"/>
    <cellStyle name="Millares [0] 3 3 2" xfId="350" xr:uid="{00000000-0005-0000-0000-000072000000}"/>
    <cellStyle name="Millares [0] 3 3 3" xfId="749" xr:uid="{955E15BA-42A1-4A51-99DE-C7F51FF0273E}"/>
    <cellStyle name="Millares [0] 3 3 4" xfId="959" xr:uid="{1FE64268-1086-487E-955B-305B7C82889F}"/>
    <cellStyle name="Millares [0] 3 4" xfId="298" xr:uid="{00000000-0005-0000-0000-000072000000}"/>
    <cellStyle name="Millares [0] 3 5" xfId="570" xr:uid="{00000000-0005-0000-0000-000010000000}"/>
    <cellStyle name="Millares [0] 3 6" xfId="916" xr:uid="{815F5293-BBC1-43A0-A5C8-5401FB24DBA7}"/>
    <cellStyle name="Millares [0] 3 7" xfId="1373" xr:uid="{00000000-0005-0000-0000-00003C010000}"/>
    <cellStyle name="Millares [0] 4" xfId="74" xr:uid="{00000000-0005-0000-0000-000074000000}"/>
    <cellStyle name="Millares [0] 4 2" xfId="133" xr:uid="{00000000-0005-0000-0000-000074000000}"/>
    <cellStyle name="Millares [0] 4 2 2" xfId="351" xr:uid="{00000000-0005-0000-0000-000074000000}"/>
    <cellStyle name="Millares [0] 4 2 3" xfId="603" xr:uid="{00000000-0005-0000-0000-000013000000}"/>
    <cellStyle name="Millares [0] 4 3" xfId="299" xr:uid="{00000000-0005-0000-0000-000074000000}"/>
    <cellStyle name="Millares [0] 4 3 2" xfId="709" xr:uid="{62E62FAF-4FE1-4ACC-A32B-DAC22B8221C3}"/>
    <cellStyle name="Millares [0] 4 4" xfId="499" xr:uid="{00000000-0005-0000-0000-000012000000}"/>
    <cellStyle name="Millares [0] 5" xfId="131" xr:uid="{00000000-0005-0000-0000-000098000000}"/>
    <cellStyle name="Millares [0] 5 2" xfId="349" xr:uid="{00000000-0005-0000-0000-000098000000}"/>
    <cellStyle name="Millares [0] 5 2 2" xfId="765" xr:uid="{4C6305AA-17FA-4E39-8B87-CFA2B4C03C66}"/>
    <cellStyle name="Millares [0] 5 3" xfId="587" xr:uid="{00000000-0005-0000-0000-000014000000}"/>
    <cellStyle name="Millares [0] 5 4" xfId="743" xr:uid="{8EF7375A-25F3-4599-BB4D-F18D4219FAC1}"/>
    <cellStyle name="Millares [0] 6" xfId="158" xr:uid="{00000000-0005-0000-0000-0000CB000000}"/>
    <cellStyle name="Millares [0] 6 2" xfId="376" xr:uid="{00000000-0005-0000-0000-0000CB000000}"/>
    <cellStyle name="Millares [0] 6 2 2" xfId="782" xr:uid="{54224E3D-FDB0-4231-831A-99184D54135B}"/>
    <cellStyle name="Millares [0] 6 3" xfId="611" xr:uid="{00000000-0005-0000-0000-000015000000}"/>
    <cellStyle name="Millares [0] 6 4" xfId="692" xr:uid="{00000000-0005-0000-0000-000036000000}"/>
    <cellStyle name="Millares [0] 7" xfId="189" xr:uid="{00000000-0005-0000-0000-0000E6000000}"/>
    <cellStyle name="Millares [0] 7 2" xfId="380" xr:uid="{00000000-0005-0000-0000-0000E6000000}"/>
    <cellStyle name="Millares [0] 7 2 2" xfId="714" xr:uid="{AB8C8806-3A52-4E64-9A13-CF1654C9F5DF}"/>
    <cellStyle name="Millares [0] 7 3" xfId="614" xr:uid="{00000000-0005-0000-0000-000016000000}"/>
    <cellStyle name="Millares [0] 8" xfId="226" xr:uid="{00000000-0005-0000-0000-0000F6000000}"/>
    <cellStyle name="Millares [0] 8 2" xfId="411" xr:uid="{00000000-0005-0000-0000-0000F6000000}"/>
    <cellStyle name="Millares [0] 8 3" xfId="618" xr:uid="{00000000-0005-0000-0000-000017000000}"/>
    <cellStyle name="Millares [0] 9" xfId="258" xr:uid="{00000000-0005-0000-0000-000013010000}"/>
    <cellStyle name="Millares [0] 9 2" xfId="443" xr:uid="{00000000-0005-0000-0000-000013010000}"/>
    <cellStyle name="Millares [0] 9 2 2" xfId="619" xr:uid="{00000000-0005-0000-0000-000019000000}"/>
    <cellStyle name="Millares 10" xfId="5" xr:uid="{00000000-0005-0000-0000-000006000000}"/>
    <cellStyle name="Millares 10 10" xfId="1281" xr:uid="{00000000-0005-0000-0000-00003D010000}"/>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2 4" xfId="596" xr:uid="{00000000-0005-0000-0000-00001A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0 8" xfId="663" xr:uid="{49B29B52-B7D9-4A7C-96DE-851D74077AAC}"/>
    <cellStyle name="Millares 10 9" xfId="944" xr:uid="{F1785DDF-B0CD-4622-BA40-FA446518F14C}"/>
    <cellStyle name="Millares 100 11" xfId="501" xr:uid="{00000000-0005-0000-0000-00001B000000}"/>
    <cellStyle name="Millares 100 11 2" xfId="766" xr:uid="{B2127B8F-005C-410A-ADD9-F34D4687B64F}"/>
    <cellStyle name="Millares 100 11 3" xfId="725" xr:uid="{49A37FAC-62EB-443E-88CC-D02B1DDB15DB}"/>
    <cellStyle name="Millares 100 11 4" xfId="706" xr:uid="{29594439-1CB9-4F16-8814-E192CB2D9BA0}"/>
    <cellStyle name="Millares 109" xfId="779" xr:uid="{EA6C5285-A06F-41D4-B2EF-45393673F66B}"/>
    <cellStyle name="Millares 11" xfId="25" xr:uid="{00000000-0005-0000-0000-000008000000}"/>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1 7" xfId="744" xr:uid="{B931DCD7-B8BC-4BA7-9DC3-B85FC3078488}"/>
    <cellStyle name="Millares 11 8" xfId="954" xr:uid="{CE5B10E3-A975-450A-B32D-A50747DCEF80}"/>
    <cellStyle name="Millares 11 9" xfId="1283" xr:uid="{00000000-0005-0000-0000-00003E010000}"/>
    <cellStyle name="Millares 111" xfId="781" xr:uid="{E27C65A4-F3B2-4B5F-B0D6-2DDE790D279E}"/>
    <cellStyle name="Millares 12" xfId="26" xr:uid="{00000000-0005-0000-0000-00000900000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2 7" xfId="740" xr:uid="{6F5E5D2F-66CF-4D1F-9E17-76533F43A769}"/>
    <cellStyle name="Millares 12 8" xfId="955" xr:uid="{1F558FC2-977E-4F12-86BA-3F3C93CE48F8}"/>
    <cellStyle name="Millares 12 9" xfId="1286" xr:uid="{00000000-0005-0000-0000-00003F010000}"/>
    <cellStyle name="Millares 13" xfId="27" xr:uid="{00000000-0005-0000-0000-00000A000000}"/>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3 7" xfId="786" xr:uid="{D5375CC9-05F4-42B1-8260-807E36EB79AD}"/>
    <cellStyle name="Millares 13 8" xfId="961" xr:uid="{D5C7B416-FF97-4CC0-9D35-F73931AD90B1}"/>
    <cellStyle name="Millares 13 9" xfId="1285" xr:uid="{00000000-0005-0000-0000-000040010000}"/>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4 7" xfId="787" xr:uid="{2A07394F-3CB5-467F-9B52-3250A219858B}"/>
    <cellStyle name="Millares 14 8" xfId="1287" xr:uid="{00000000-0005-0000-0000-000041010000}"/>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5 7" xfId="746" xr:uid="{985B8BE7-8808-42B5-8A44-79B93689998E}"/>
    <cellStyle name="Millares 15 8" xfId="1288" xr:uid="{00000000-0005-0000-0000-000042010000}"/>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6 7" xfId="700" xr:uid="{0F19C72A-E996-4B71-BED8-4A2BB999F9A8}"/>
    <cellStyle name="Millares 16 8" xfId="1302" xr:uid="{00000000-0005-0000-0000-000043010000}"/>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7 7" xfId="789" xr:uid="{C80E0EBC-B696-4B32-898F-7C7E5B11360C}"/>
    <cellStyle name="Millares 17 8" xfId="1301" xr:uid="{00000000-0005-0000-0000-000044010000}"/>
    <cellStyle name="Millares 174 2" xfId="491" xr:uid="{00000000-0005-0000-0000-00001C000000}"/>
    <cellStyle name="Millares 174 2 2" xfId="575" xr:uid="{00000000-0005-0000-0000-00001D000000}"/>
    <cellStyle name="Millares 174 2 3" xfId="753" xr:uid="{DE6FA76A-B9A2-472F-BA6A-A8BD658F3B3B}"/>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8 7" xfId="790" xr:uid="{6D0AC315-131A-46F1-B95F-F4F21DF48956}"/>
    <cellStyle name="Millares 18 8" xfId="1367" xr:uid="{00000000-0005-0000-0000-000045010000}"/>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19 7" xfId="788" xr:uid="{2EB75D63-B21D-47E5-8876-C69381A5331C}"/>
    <cellStyle name="Millares 19 8" xfId="1048" xr:uid="{00000000-0005-0000-0000-000046010000}"/>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12" xfId="697" xr:uid="{00000000-0005-0000-0000-00002B000000}"/>
    <cellStyle name="Millares 2 13" xfId="865" xr:uid="{00000000-0005-0000-0000-000037000000}"/>
    <cellStyle name="Millares 2 14" xfId="986" xr:uid="{00000000-0005-0000-0000-000047010000}"/>
    <cellStyle name="Millares 2 2" xfId="20" xr:uid="{00000000-0005-0000-0000-000012000000}"/>
    <cellStyle name="Millares 2 2 10" xfId="680" xr:uid="{00000000-0005-0000-0000-000038000000}"/>
    <cellStyle name="Millares 2 2 11" xfId="754" xr:uid="{00000000-0005-0000-0000-000008000000}"/>
    <cellStyle name="Millares 2 2 12" xfId="741" xr:uid="{D8682A9A-C502-43E2-8259-B357FBD18454}"/>
    <cellStyle name="Millares 2 2 13" xfId="866" xr:uid="{00000000-0005-0000-0000-000038000000}"/>
    <cellStyle name="Millares 2 2 14" xfId="984" xr:uid="{00000000-0005-0000-0000-000048010000}"/>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2 5" xfId="770" xr:uid="{D0DEAB66-B994-474B-A886-5108715D6E4C}"/>
    <cellStyle name="Millares 2 2 2 6" xfId="919" xr:uid="{CF664B7A-24AD-469D-B8A6-E32F683C4B3A}"/>
    <cellStyle name="Millares 2 2 2 7" xfId="1200" xr:uid="{00000000-0005-0000-0000-000049010000}"/>
    <cellStyle name="Millares 2 2 3" xfId="110" xr:uid="{00000000-0005-0000-0000-000012000000}"/>
    <cellStyle name="Millares 2 2 3 2" xfId="328" xr:uid="{00000000-0005-0000-0000-000012000000}"/>
    <cellStyle name="Millares 2 2 3 3" xfId="752" xr:uid="{767DE66F-C412-4DAF-9895-CF3BE9D6602E}"/>
    <cellStyle name="Millares 2 2 3 4" xfId="1266" xr:uid="{00000000-0005-0000-0000-00004A010000}"/>
    <cellStyle name="Millares 2 2 4" xfId="160" xr:uid="{AE7BE31E-95D5-4B54-91EB-BB2B7DFA8B33}"/>
    <cellStyle name="Millares 2 2 4 2" xfId="378" xr:uid="{AE7BE31E-95D5-4B54-91EB-BB2B7DFA8B33}"/>
    <cellStyle name="Millares 2 2 4 3" xfId="1303" xr:uid="{00000000-0005-0000-0000-00004B010000}"/>
    <cellStyle name="Millares 2 2 5" xfId="184" xr:uid="{00000000-0005-0000-0000-00002C000000}"/>
    <cellStyle name="Millares 2 2 5 2" xfId="379" xr:uid="{00000000-0005-0000-0000-00002C000000}"/>
    <cellStyle name="Millares 2 2 5 3" xfId="1065" xr:uid="{00000000-0005-0000-0000-00004C01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2 9" xfId="574" xr:uid="{00000000-0005-0000-0000-00001F000000}"/>
    <cellStyle name="Millares 2 3" xfId="65" xr:uid="{00000000-0005-0000-0000-000013000000}"/>
    <cellStyle name="Millares 2 3 10" xfId="719" xr:uid="{71FDA0A5-1E8E-43B4-8946-4D354BF4493F}"/>
    <cellStyle name="Millares 2 3 11" xfId="918" xr:uid="{2E20CAF5-41E1-414F-9742-4722004CB21B}"/>
    <cellStyle name="Millares 2 3 12" xfId="1160" xr:uid="{00000000-0005-0000-0000-00004D010000}"/>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2 4" xfId="764" xr:uid="{E1A0D783-6DD3-4877-8785-D880C9B6A962}"/>
    <cellStyle name="Millares 2 3 2 5" xfId="1276" xr:uid="{00000000-0005-0000-0000-00004E010000}"/>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3 8" xfId="497" xr:uid="{00000000-0005-0000-0000-000020000000}"/>
    <cellStyle name="Millares 2 3 9" xfId="705" xr:uid="{392C3749-287C-4215-8288-04C1C29FF1E0}"/>
    <cellStyle name="Millares 2 4" xfId="73" xr:uid="{E428490C-D012-4CC2-9509-7FB1DF95992C}"/>
    <cellStyle name="Millares 2 4 2" xfId="774" xr:uid="{EF355690-540C-4D36-8E0C-B2D2248F0EA2}"/>
    <cellStyle name="Millares 2 4 3" xfId="699" xr:uid="{DB87CCE2-A259-41EB-8E73-5D4AB8BEEDF0}"/>
    <cellStyle name="Millares 2 4 4" xfId="1258" xr:uid="{00000000-0005-0000-0000-00004F010000}"/>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5 4" xfId="721" xr:uid="{5FFD262A-CE0C-4FC9-8DE9-9BA3B04BC590}"/>
    <cellStyle name="Millares 2 5 5" xfId="1304" xr:uid="{00000000-0005-0000-0000-000050010000}"/>
    <cellStyle name="Millares 2 6" xfId="107" xr:uid="{00000000-0005-0000-0000-000011000000}"/>
    <cellStyle name="Millares 2 6 2" xfId="325" xr:uid="{00000000-0005-0000-0000-000011000000}"/>
    <cellStyle name="Millares 2 6 3" xfId="1066" xr:uid="{00000000-0005-0000-0000-000051010000}"/>
    <cellStyle name="Millares 2 7" xfId="159" xr:uid="{3F340669-2BB1-4358-A72C-756C569854ED}"/>
    <cellStyle name="Millares 2 7 2" xfId="377" xr:uid="{3F340669-2BB1-4358-A72C-756C569854ED}"/>
    <cellStyle name="Millares 2 7 3" xfId="1374" xr:uid="{00000000-0005-0000-0000-000052010000}"/>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0 2" xfId="676" xr:uid="{00000000-0005-0000-0000-000039000000}"/>
    <cellStyle name="Millares 20 3" xfId="1063" xr:uid="{00000000-0005-0000-0000-000053010000}"/>
    <cellStyle name="Millares 21" xfId="71" xr:uid="{00000000-0005-0000-0000-000073000000}"/>
    <cellStyle name="Millares 21 2" xfId="102" xr:uid="{00000000-0005-0000-0000-000074000000}"/>
    <cellStyle name="Millares 21 3" xfId="791" xr:uid="{B5DEADCE-5FB1-48A7-B199-96374A0598DD}"/>
    <cellStyle name="Millares 212" xfId="500" xr:uid="{00000000-0005-0000-0000-000021000000}"/>
    <cellStyle name="Millares 212 2" xfId="588" xr:uid="{00000000-0005-0000-0000-000022000000}"/>
    <cellStyle name="Millares 212 3" xfId="724" xr:uid="{CE484482-18D8-4C05-B017-311B14435C4C}"/>
    <cellStyle name="Millares 22" xfId="76" xr:uid="{00000000-0005-0000-0000-00007B000000}"/>
    <cellStyle name="Millares 22 2" xfId="134" xr:uid="{00000000-0005-0000-0000-00007B000000}"/>
    <cellStyle name="Millares 22 2 2" xfId="352" xr:uid="{00000000-0005-0000-0000-00007B000000}"/>
    <cellStyle name="Millares 22 3" xfId="300" xr:uid="{00000000-0005-0000-0000-00007B000000}"/>
    <cellStyle name="Millares 22 4" xfId="792" xr:uid="{11F58D7B-D1E3-4701-A66C-A3DC8451C825}"/>
    <cellStyle name="Millares 22 5" xfId="1369" xr:uid="{00000000-0005-0000-0000-000055010000}"/>
    <cellStyle name="Millares 23" xfId="106" xr:uid="{00000000-0005-0000-0000-000097000000}"/>
    <cellStyle name="Millares 23 2" xfId="324" xr:uid="{00000000-0005-0000-0000-000097000000}"/>
    <cellStyle name="Millares 23 3" xfId="793" xr:uid="{909087A5-228F-4611-9D75-68E145F16100}"/>
    <cellStyle name="Millares 24" xfId="129" xr:uid="{00000000-0005-0000-0000-0000CA000000}"/>
    <cellStyle name="Millares 24 2" xfId="347" xr:uid="{00000000-0005-0000-0000-0000CA000000}"/>
    <cellStyle name="Millares 24 3" xfId="794" xr:uid="{98DB76A7-AC82-48D6-8597-382E1999102B}"/>
    <cellStyle name="Millares 25" xfId="183" xr:uid="{00000000-0005-0000-0000-0000E5000000}"/>
    <cellStyle name="Millares 25 2" xfId="795" xr:uid="{EE7D2D58-EDEC-4DB7-A2AF-6393C3779ECA}"/>
    <cellStyle name="Millares 26" xfId="191" xr:uid="{00000000-0005-0000-0000-0000F4000000}"/>
    <cellStyle name="Millares 26 2" xfId="796" xr:uid="{CD0F566B-933C-4887-B822-838D648F5053}"/>
    <cellStyle name="Millares 27" xfId="200" xr:uid="{00000000-0005-0000-0000-0000F5000000}"/>
    <cellStyle name="Millares 27 2" xfId="385" xr:uid="{00000000-0005-0000-0000-0000F5000000}"/>
    <cellStyle name="Millares 27 3" xfId="797" xr:uid="{000168F9-4786-4CC1-8447-21DFCB23AC99}"/>
    <cellStyle name="Millares 28" xfId="224" xr:uid="{00000000-0005-0000-0000-00000E010000}"/>
    <cellStyle name="Millares 28 2" xfId="409" xr:uid="{00000000-0005-0000-0000-00000E010000}"/>
    <cellStyle name="Millares 28 3" xfId="728" xr:uid="{AD19E835-D794-4D18-8624-13E399E0B790}"/>
    <cellStyle name="Millares 29" xfId="228" xr:uid="{00000000-0005-0000-0000-00000F010000}"/>
    <cellStyle name="Millares 29 2" xfId="413" xr:uid="{00000000-0005-0000-0000-00000F010000}"/>
    <cellStyle name="Millares 29 3" xfId="798" xr:uid="{1176F594-B175-40B9-A2E1-F151A8E027F0}"/>
    <cellStyle name="Millares 3" xfId="34" xr:uid="{00000000-0005-0000-0000-000014000000}"/>
    <cellStyle name="Millares 3 10" xfId="867" xr:uid="{00000000-0005-0000-0000-000039000000}"/>
    <cellStyle name="Millares 3 11" xfId="567" xr:uid="{00000000-0005-0000-0000-000024000000}"/>
    <cellStyle name="Millares 3 11 2" xfId="768" xr:uid="{F667A7C1-A8F0-4C7B-B096-C53BD4569A93}"/>
    <cellStyle name="Millares 3 11 3" xfId="747" xr:uid="{1ABE125F-70EB-4105-B412-1ED89A97EACA}"/>
    <cellStyle name="Millares 3 11 4" xfId="708" xr:uid="{28216971-338F-43DF-89F5-30110FFFE00E}"/>
    <cellStyle name="Millares 3 12" xfId="1001" xr:uid="{00000000-0005-0000-0000-000056010000}"/>
    <cellStyle name="Millares 3 2" xfId="92" xr:uid="{00000000-0005-0000-0000-000014000000}"/>
    <cellStyle name="Millares 3 2 2" xfId="150" xr:uid="{00000000-0005-0000-0000-000014000000}"/>
    <cellStyle name="Millares 3 2 2 2" xfId="368" xr:uid="{00000000-0005-0000-0000-000014000000}"/>
    <cellStyle name="Millares 3 2 2 3" xfId="687" xr:uid="{00000000-0005-0000-0000-00003C000000}"/>
    <cellStyle name="Millares 3 2 2 4" xfId="950" xr:uid="{45977EE5-A379-4F7C-BB30-BA82C17C020C}"/>
    <cellStyle name="Millares 3 2 3" xfId="316" xr:uid="{00000000-0005-0000-0000-000014000000}"/>
    <cellStyle name="Millares 3 2 3 2" xfId="962" xr:uid="{05DD45DB-9C33-4FE1-9DD9-4C4AD64ABF63}"/>
    <cellStyle name="Millares 3 2 4" xfId="607" xr:uid="{00000000-0005-0000-0000-000025000000}"/>
    <cellStyle name="Millares 3 2 5" xfId="702" xr:uid="{B6C29419-DCBD-485C-A856-8B4033FABF35}"/>
    <cellStyle name="Millares 3 2 6" xfId="920" xr:uid="{C3E93EAA-9273-49C7-A8CF-179B93EA100B}"/>
    <cellStyle name="Millares 3 3" xfId="122" xr:uid="{00000000-0005-0000-0000-000014000000}"/>
    <cellStyle name="Millares 3 3 2" xfId="340" xr:uid="{00000000-0005-0000-0000-000014000000}"/>
    <cellStyle name="Millares 3 3 3" xfId="604" xr:uid="{00000000-0005-0000-0000-000026000000}"/>
    <cellStyle name="Millares 3 3 4" xfId="683" xr:uid="{00000000-0005-0000-0000-00003D000000}"/>
    <cellStyle name="Millares 3 3 5" xfId="1268" xr:uid="{00000000-0005-0000-0000-000058010000}"/>
    <cellStyle name="Millares 3 4" xfId="185" xr:uid="{00000000-0005-0000-0000-00002D000000}"/>
    <cellStyle name="Millares 3 4 2" xfId="758" xr:uid="{666912F5-612A-49A0-A9B5-DFAC4C390924}"/>
    <cellStyle name="Millares 3 4 3" xfId="1318" xr:uid="{00000000-0005-0000-0000-000059010000}"/>
    <cellStyle name="Millares 3 5" xfId="217" xr:uid="{00000000-0005-0000-0000-000014000000}"/>
    <cellStyle name="Millares 3 5 2" xfId="402" xr:uid="{00000000-0005-0000-0000-000014000000}"/>
    <cellStyle name="Millares 3 5 3" xfId="1081" xr:uid="{00000000-0005-0000-0000-00005A010000}"/>
    <cellStyle name="Millares 3 6" xfId="246" xr:uid="{00000000-0005-0000-0000-000014000000}"/>
    <cellStyle name="Millares 3 6 2" xfId="431" xr:uid="{00000000-0005-0000-0000-000014000000}"/>
    <cellStyle name="Millares 3 7" xfId="289" xr:uid="{00000000-0005-0000-0000-000014000000}"/>
    <cellStyle name="Millares 3 8" xfId="492" xr:uid="{00000000-0005-0000-0000-000023000000}"/>
    <cellStyle name="Millares 3 9" xfId="664" xr:uid="{00000000-0005-0000-0000-00003A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10" xfId="1003" xr:uid="{00000000-0005-0000-0000-00005B010000}"/>
    <cellStyle name="Millares 4 2" xfId="93" xr:uid="{00000000-0005-0000-0000-000015000000}"/>
    <cellStyle name="Millares 4 2 2" xfId="151" xr:uid="{00000000-0005-0000-0000-000015000000}"/>
    <cellStyle name="Millares 4 2 2 2" xfId="369" xr:uid="{00000000-0005-0000-0000-000015000000}"/>
    <cellStyle name="Millares 4 2 2 2 2" xfId="952" xr:uid="{B3789A8D-9543-46EE-8A25-EB41D05C0172}"/>
    <cellStyle name="Millares 4 2 2 3" xfId="964" xr:uid="{5EBB79FF-9F73-4026-B548-3CE457C2B832}"/>
    <cellStyle name="Millares 4 2 2 4" xfId="922" xr:uid="{D30D9329-5F2C-47DC-9840-BA5965AFB5AD}"/>
    <cellStyle name="Millares 4 2 3" xfId="317" xr:uid="{00000000-0005-0000-0000-000015000000}"/>
    <cellStyle name="Millares 4 2 4" xfId="761" xr:uid="{6128EC50-BC7B-424E-A70E-6A4820DA390E}"/>
    <cellStyle name="Millares 4 2 5" xfId="869" xr:uid="{00000000-0005-0000-0000-00003B000000}"/>
    <cellStyle name="Millares 4 2 6" xfId="1278" xr:uid="{00000000-0005-0000-0000-00005C010000}"/>
    <cellStyle name="Millares 4 3" xfId="123" xr:uid="{00000000-0005-0000-0000-000015000000}"/>
    <cellStyle name="Millares 4 3 2" xfId="341" xr:uid="{00000000-0005-0000-0000-000015000000}"/>
    <cellStyle name="Millares 4 3 2 2" xfId="951" xr:uid="{969A6BBD-13D7-4563-87FA-1E37DDB72DCF}"/>
    <cellStyle name="Millares 4 3 3" xfId="694" xr:uid="{00000000-0005-0000-0000-00003F000000}"/>
    <cellStyle name="Millares 4 3 3 2" xfId="963" xr:uid="{95492611-3200-4AF4-937A-CCBE65823440}"/>
    <cellStyle name="Millares 4 3 4" xfId="921" xr:uid="{5653ECC9-FED2-4E01-AD8C-C2A615291970}"/>
    <cellStyle name="Millares 4 3 5" xfId="1270" xr:uid="{00000000-0005-0000-0000-00005D010000}"/>
    <cellStyle name="Millares 4 30" xfId="597" xr:uid="{00000000-0005-0000-0000-000028000000}"/>
    <cellStyle name="Millares 4 4" xfId="198" xr:uid="{9B508403-B59D-410C-AF97-275F8CAF651E}"/>
    <cellStyle name="Millares 4 4 2" xfId="383" xr:uid="{9B508403-B59D-410C-AF97-275F8CAF651E}"/>
    <cellStyle name="Millares 4 4 3" xfId="1320" xr:uid="{00000000-0005-0000-0000-00005E010000}"/>
    <cellStyle name="Millares 4 5" xfId="218" xr:uid="{00000000-0005-0000-0000-000015000000}"/>
    <cellStyle name="Millares 4 5 2" xfId="403" xr:uid="{00000000-0005-0000-0000-000015000000}"/>
    <cellStyle name="Millares 4 5 3" xfId="1083" xr:uid="{00000000-0005-0000-0000-00005F010000}"/>
    <cellStyle name="Millares 4 6" xfId="247" xr:uid="{00000000-0005-0000-0000-000015000000}"/>
    <cellStyle name="Millares 4 6 2" xfId="432" xr:uid="{00000000-0005-0000-0000-000015000000}"/>
    <cellStyle name="Millares 4 7" xfId="290" xr:uid="{00000000-0005-0000-0000-000015000000}"/>
    <cellStyle name="Millares 4 8" xfId="581" xr:uid="{00000000-0005-0000-0000-000027000000}"/>
    <cellStyle name="Millares 4 9" xfId="868" xr:uid="{00000000-0005-0000-0000-00003A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9" xfId="485" xr:uid="{00000000-0005-0000-0000-0000F3010000}"/>
    <cellStyle name="Millares 5" xfId="36" xr:uid="{00000000-0005-0000-0000-000016000000}"/>
    <cellStyle name="Millares 5 10" xfId="870" xr:uid="{00000000-0005-0000-0000-00003C000000}"/>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2 4" xfId="612" xr:uid="{00000000-0005-0000-0000-00002A000000}"/>
    <cellStyle name="Millares 5 2 5" xfId="763" xr:uid="{9781A9F2-CDC2-48C0-9797-EB630CB8C0F8}"/>
    <cellStyle name="Millares 5 2 6" xfId="923" xr:uid="{F86C96DD-E5D7-4E12-B9DA-46004A67CF7F}"/>
    <cellStyle name="Millares 5 3" xfId="124" xr:uid="{00000000-0005-0000-0000-000016000000}"/>
    <cellStyle name="Millares 5 3 2" xfId="342" xr:uid="{00000000-0005-0000-0000-000016000000}"/>
    <cellStyle name="Millares 5 3 3" xfId="1336" xr:uid="{00000000-0005-0000-0000-000062010000}"/>
    <cellStyle name="Millares 5 4" xfId="199" xr:uid="{36A4E28A-E546-43AF-8031-4C9D60BFA452}"/>
    <cellStyle name="Millares 5 4 2" xfId="384" xr:uid="{36A4E28A-E546-43AF-8031-4C9D60BFA452}"/>
    <cellStyle name="Millares 5 4 3" xfId="1099" xr:uid="{00000000-0005-0000-0000-000063010000}"/>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5 8" xfId="583" xr:uid="{00000000-0005-0000-0000-000029000000}"/>
    <cellStyle name="Millares 5 9" xfId="677" xr:uid="{00000000-0005-0000-0000-000040000000}"/>
    <cellStyle name="Millares 50" xfId="658" xr:uid="{00000000-0005-0000-0000-0000A4020000}"/>
    <cellStyle name="Millares 51" xfId="735" xr:uid="{00000000-0005-0000-0000-000000030000}"/>
    <cellStyle name="Millares 52" xfId="748" xr:uid="{00000000-0005-0000-0000-000004030000}"/>
    <cellStyle name="Millares 53" xfId="736" xr:uid="{00000000-0005-0000-0000-00000D030000}"/>
    <cellStyle name="Millares 54" xfId="800" xr:uid="{00000000-0005-0000-0000-00002B030000}"/>
    <cellStyle name="Millares 55" xfId="804" xr:uid="{00000000-0005-0000-0000-00002E030000}"/>
    <cellStyle name="Millares 56" xfId="806" xr:uid="{00000000-0005-0000-0000-000031030000}"/>
    <cellStyle name="Millares 57" xfId="808" xr:uid="{00000000-0005-0000-0000-000033030000}"/>
    <cellStyle name="Millares 58" xfId="810" xr:uid="{00000000-0005-0000-0000-000035030000}"/>
    <cellStyle name="Millares 59" xfId="864" xr:uid="{00000000-0005-0000-0000-000073030000}"/>
    <cellStyle name="Millares 6" xfId="6" xr:uid="{00000000-0005-0000-0000-000017000000}"/>
    <cellStyle name="Millares 6 10" xfId="1032" xr:uid="{00000000-0005-0000-0000-000064010000}"/>
    <cellStyle name="Millares 6 2" xfId="37" xr:uid="{00000000-0005-0000-0000-000018000000}"/>
    <cellStyle name="Millares 6 2 10" xfId="1132" xr:uid="{00000000-0005-0000-0000-000065010000}"/>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2 4" xfId="1366" xr:uid="{00000000-0005-0000-0000-00006601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2 7" xfId="615" xr:uid="{00000000-0005-0000-0000-00002C000000}"/>
    <cellStyle name="Millares 6 2 8" xfId="778" xr:uid="{9B1509B4-088D-4280-B591-64911C00BFC9}"/>
    <cellStyle name="Millares 6 2 9" xfId="924" xr:uid="{EC34BCAE-53DF-457A-BA9B-6A41884C8719}"/>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3 4" xfId="775" xr:uid="{BC5DD612-757F-4BBB-BE8D-0AD44A4F92F7}"/>
    <cellStyle name="Millares 6 3 5" xfId="1274" xr:uid="{00000000-0005-0000-0000-000067010000}"/>
    <cellStyle name="Millares 6 4" xfId="109" xr:uid="{00000000-0005-0000-0000-000017000000}"/>
    <cellStyle name="Millares 6 4 2" xfId="327" xr:uid="{00000000-0005-0000-0000-000017000000}"/>
    <cellStyle name="Millares 6 4 3" xfId="1351" xr:uid="{00000000-0005-0000-0000-000068010000}"/>
    <cellStyle name="Millares 6 5" xfId="203" xr:uid="{00000000-0005-0000-0000-000017000000}"/>
    <cellStyle name="Millares 6 5 2" xfId="388" xr:uid="{00000000-0005-0000-0000-000017000000}"/>
    <cellStyle name="Millares 6 5 3" xfId="1114" xr:uid="{00000000-0005-0000-0000-000069010000}"/>
    <cellStyle name="Millares 6 6" xfId="232" xr:uid="{00000000-0005-0000-0000-000017000000}"/>
    <cellStyle name="Millares 6 6 2" xfId="417" xr:uid="{00000000-0005-0000-0000-000017000000}"/>
    <cellStyle name="Millares 6 7" xfId="276" xr:uid="{00000000-0005-0000-0000-000017000000}"/>
    <cellStyle name="Millares 6 8" xfId="584" xr:uid="{00000000-0005-0000-0000-00002B000000}"/>
    <cellStyle name="Millares 6 9" xfId="871" xr:uid="{00000000-0005-0000-0000-00003D000000}"/>
    <cellStyle name="Millares 60" xfId="880" xr:uid="{00000000-0005-0000-0000-0000CB030000}"/>
    <cellStyle name="Millares 61" xfId="932" xr:uid="{00000000-0005-0000-0000-0000CD030000}"/>
    <cellStyle name="Millares 62" xfId="878" xr:uid="{00000000-0005-0000-0000-0000CF030000}"/>
    <cellStyle name="Millares 63" xfId="882" xr:uid="{00000000-0005-0000-0000-000038010000}"/>
    <cellStyle name="Millares 64" xfId="968" xr:uid="{00000000-0005-0000-0000-000038010000}"/>
    <cellStyle name="Millares 65" xfId="971" xr:uid="{00000000-0005-0000-0000-000038010000}"/>
    <cellStyle name="Millares 654 2 2" xfId="568" xr:uid="{00000000-0005-0000-0000-00002D000000}"/>
    <cellStyle name="Millares 656" xfId="578" xr:uid="{00000000-0005-0000-0000-00002E000000}"/>
    <cellStyle name="Millares 656 2" xfId="771" xr:uid="{2C42FD04-0BD7-4DBB-B22A-CE5D5D2FFD69}"/>
    <cellStyle name="Millares 656 3" xfId="668" xr:uid="{00000000-0005-0000-0000-00000C000000}"/>
    <cellStyle name="Millares 657" xfId="571" xr:uid="{00000000-0005-0000-0000-00002F000000}"/>
    <cellStyle name="Millares 657 2" xfId="769" xr:uid="{1A8E5154-9946-4419-A09B-968C2AAE865E}"/>
    <cellStyle name="Millares 657 3" xfId="707" xr:uid="{00000000-0005-0000-0000-00000D000000}"/>
    <cellStyle name="Millares 66" xfId="1388" xr:uid="{00000000-0005-0000-0000-00005C050000}"/>
    <cellStyle name="Millares 67" xfId="1384" xr:uid="{00000000-0005-0000-0000-0000BB050000}"/>
    <cellStyle name="Millares 68" xfId="974" xr:uid="{00000000-0005-0000-0000-0000BD050000}"/>
    <cellStyle name="Millares 69" xfId="1460" xr:uid="{00000000-0005-0000-0000-0000BF050000}"/>
    <cellStyle name="Millares 7" xfId="38" xr:uid="{00000000-0005-0000-0000-000019000000}"/>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2 4" xfId="617" xr:uid="{00000000-0005-0000-0000-000031000000}"/>
    <cellStyle name="Millares 7 2 5" xfId="1375" xr:uid="{00000000-0005-0000-0000-00006B010000}"/>
    <cellStyle name="Millares 7 3" xfId="126" xr:uid="{00000000-0005-0000-0000-000019000000}"/>
    <cellStyle name="Millares 7 3 2" xfId="344" xr:uid="{00000000-0005-0000-0000-000019000000}"/>
    <cellStyle name="Millares 7 3 3" xfId="1064" xr:uid="{00000000-0005-0000-0000-00006C01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7 7" xfId="582" xr:uid="{00000000-0005-0000-0000-000030000000}"/>
    <cellStyle name="Millares 7 8" xfId="909" xr:uid="{00000000-0005-0000-0000-00003E000000}"/>
    <cellStyle name="Millares 7 9" xfId="982" xr:uid="{00000000-0005-0000-0000-00006A010000}"/>
    <cellStyle name="Millares 70" xfId="1462" xr:uid="{00000000-0005-0000-0000-0000C1050000}"/>
    <cellStyle name="Millares 71" xfId="1464" xr:uid="{00000000-0005-0000-0000-0000C3050000}"/>
    <cellStyle name="Millares 72" xfId="1469" xr:uid="{00000000-0005-0000-0000-0000C8050000}"/>
    <cellStyle name="Millares 73" xfId="1471" xr:uid="{00000000-0005-0000-0000-0000CD050000}"/>
    <cellStyle name="Millares 74" xfId="1262" xr:uid="{00000000-0005-0000-0000-00006D010000}"/>
    <cellStyle name="Millares 74 2" xfId="1271" xr:uid="{00000000-0005-0000-0000-00006E010000}"/>
    <cellStyle name="Millares 74 3" xfId="1279" xr:uid="{00000000-0005-0000-0000-00006F010000}"/>
    <cellStyle name="Millares 8" xfId="39" xr:uid="{00000000-0005-0000-0000-00001A000000}"/>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2 4" xfId="1228" xr:uid="{00000000-0005-0000-0000-000071010000}"/>
    <cellStyle name="Millares 8 3" xfId="127" xr:uid="{00000000-0005-0000-0000-00001A000000}"/>
    <cellStyle name="Millares 8 3 2" xfId="345" xr:uid="{00000000-0005-0000-0000-00001A000000}"/>
    <cellStyle name="Millares 8 3 3" xfId="1116" xr:uid="{00000000-0005-0000-0000-00007201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8 7" xfId="586" xr:uid="{00000000-0005-0000-0000-000032000000}"/>
    <cellStyle name="Millares 8 8" xfId="915" xr:uid="{64786C5B-AA3B-4111-BEBC-A8F5DA43948B}"/>
    <cellStyle name="Millares 8 9" xfId="1034" xr:uid="{00000000-0005-0000-0000-000070010000}"/>
    <cellStyle name="Millares 88" xfId="780" xr:uid="{40CF08D7-A1F7-4672-B1B2-829FE2911387}"/>
    <cellStyle name="Millares 9" xfId="40" xr:uid="{00000000-0005-0000-0000-00001B00000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2 4" xfId="1244" xr:uid="{00000000-0005-0000-0000-000074010000}"/>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illares 9 7" xfId="783" xr:uid="{FDB10440-10B6-42EF-93FB-DCABDAC77B27}"/>
    <cellStyle name="Millares 9 8" xfId="943" xr:uid="{A3C42E48-0F60-4309-B154-6E15366FC176}"/>
    <cellStyle name="Millares 9 9" xfId="1061" xr:uid="{00000000-0005-0000-0000-000073010000}"/>
    <cellStyle name="Moneda [0] 2" xfId="42" xr:uid="{00000000-0005-0000-0000-00001C000000}"/>
    <cellStyle name="Moneda 10" xfId="598" xr:uid="{00000000-0005-0000-0000-000033000000}"/>
    <cellStyle name="Moneda 2" xfId="41" xr:uid="{00000000-0005-0000-0000-00001D000000}"/>
    <cellStyle name="Moneda 2 2" xfId="1259" xr:uid="{00000000-0005-0000-0000-000076010000}"/>
    <cellStyle name="Moneda 2 3" xfId="1319" xr:uid="{00000000-0005-0000-0000-000077010000}"/>
    <cellStyle name="Moneda 2 4" xfId="1082" xr:uid="{00000000-0005-0000-0000-000078010000}"/>
    <cellStyle name="Moneda 2 5" xfId="1002" xr:uid="{00000000-0005-0000-0000-000075010000}"/>
    <cellStyle name="Moneda 3" xfId="62" xr:uid="{00000000-0005-0000-0000-00001E000000}"/>
    <cellStyle name="Moneda 3 2" xfId="1352" xr:uid="{00000000-0005-0000-0000-00007A010000}"/>
    <cellStyle name="Moneda 3 3" xfId="1115" xr:uid="{00000000-0005-0000-0000-00007B010000}"/>
    <cellStyle name="Moneda 3 4" xfId="1033" xr:uid="{00000000-0005-0000-0000-000079010000}"/>
    <cellStyle name="Neutral 2" xfId="624" xr:uid="{00000000-0005-0000-0000-0000D2020000}"/>
    <cellStyle name="Neutral 2 2" xfId="873" xr:uid="{00000000-0005-0000-0000-000040000000}"/>
    <cellStyle name="Neutral 3" xfId="720" xr:uid="{00000000-0005-0000-0000-00002A030000}"/>
    <cellStyle name="Neutral 3 2" xfId="874" xr:uid="{00000000-0005-0000-0000-000041000000}"/>
    <cellStyle name="Neutral 4" xfId="875" xr:uid="{00000000-0005-0000-0000-000042000000}"/>
    <cellStyle name="Neutral 5" xfId="872" xr:uid="{00000000-0005-0000-0000-000095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2 2" xfId="1275" xr:uid="{00000000-0005-0000-0000-00007F010000}"/>
    <cellStyle name="Normal 10 2 3" xfId="1386" xr:uid="{00000000-0005-0000-0000-000005000000}"/>
    <cellStyle name="Normal 10 3" xfId="876" xr:uid="{00000000-0005-0000-0000-000044000000}"/>
    <cellStyle name="Normal 10 4" xfId="1229" xr:uid="{00000000-0005-0000-0000-00007E010000}"/>
    <cellStyle name="Normal 10 5" xfId="1400" xr:uid="{00000000-0005-0000-0000-000004000000}"/>
    <cellStyle name="Normal 10 6" xfId="605" xr:uid="{00000000-0005-0000-0000-000036000000}"/>
    <cellStyle name="Normal 10 8" xfId="877" xr:uid="{00000000-0005-0000-0000-000045000000}"/>
    <cellStyle name="Normal 10 8 2" xfId="925" xr:uid="{200DF828-32FC-4FBB-9F18-C5BC99E9399B}"/>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1 5" xfId="1280" xr:uid="{00000000-0005-0000-0000-000080010000}"/>
    <cellStyle name="Normal 11 6" xfId="1407" xr:uid="{00000000-0005-0000-0000-000006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 3" xfId="1426" xr:uid="{00000000-0005-0000-0000-00000700000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3 3" xfId="1243" xr:uid="{00000000-0005-0000-0000-000082010000}"/>
    <cellStyle name="Normal 13 4" xfId="1420" xr:uid="{00000000-0005-0000-0000-000008000000}"/>
    <cellStyle name="Normal 14" xfId="11" xr:uid="{00000000-0005-0000-0000-000028000000}"/>
    <cellStyle name="Normal 14 2" xfId="47" xr:uid="{00000000-0005-0000-0000-000029000000}"/>
    <cellStyle name="Normal 14 3" xfId="579" xr:uid="{00000000-0005-0000-0000-000046000000}"/>
    <cellStyle name="Normal 14 4" xfId="1394" xr:uid="{00000000-0005-0000-0000-000009000000}"/>
    <cellStyle name="Normal 15" xfId="12" xr:uid="{00000000-0005-0000-0000-00002A000000}"/>
    <cellStyle name="Normal 15 2" xfId="48" xr:uid="{00000000-0005-0000-0000-00002B000000}"/>
    <cellStyle name="Normal 15 3" xfId="1368" xr:uid="{00000000-0005-0000-0000-000084010000}"/>
    <cellStyle name="Normal 15 4" xfId="977" xr:uid="{00000000-0005-0000-0000-00000A000000}"/>
    <cellStyle name="Normal 16" xfId="49" xr:uid="{00000000-0005-0000-0000-00002C000000}"/>
    <cellStyle name="Normal 16 2" xfId="1441" xr:uid="{00000000-0005-0000-0000-00000C000000}"/>
    <cellStyle name="Normal 16 3" xfId="1398" xr:uid="{00000000-0005-0000-0000-00000B000000}"/>
    <cellStyle name="Normal 16 4" xfId="1473" xr:uid="{00000000-0005-0000-0000-000009000000}"/>
    <cellStyle name="Normal 17" xfId="13" xr:uid="{00000000-0005-0000-0000-00002D000000}"/>
    <cellStyle name="Normal 17 2" xfId="50" xr:uid="{00000000-0005-0000-0000-00002E000000}"/>
    <cellStyle name="Normal 17 3" xfId="1265" xr:uid="{00000000-0005-0000-0000-00000D000000}"/>
    <cellStyle name="Normal 17 4" xfId="1474" xr:uid="{00000000-0005-0000-0000-00000A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8 5" xfId="1451" xr:uid="{00000000-0005-0000-0000-00000E000000}"/>
    <cellStyle name="Normal 19" xfId="21" xr:uid="{00000000-0005-0000-0000-000030000000}"/>
    <cellStyle name="Normal 19 2" xfId="1414" xr:uid="{00000000-0005-0000-0000-00000F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14 2" xfId="1131" xr:uid="{00000000-0005-0000-0000-00008601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 xfId="1401" xr:uid="{00000000-0005-0000-0000-000011000000}"/>
    <cellStyle name="Normal 2 2 59" xfId="600" xr:uid="{00000000-0005-0000-0000-00004C000000}"/>
    <cellStyle name="Normal 2 3" xfId="64" xr:uid="{00000000-0005-0000-0000-000036000000}"/>
    <cellStyle name="Normal 2 3 2" xfId="704" xr:uid="{8EA477F3-F902-4297-8A1B-1F7DBDE793AB}"/>
    <cellStyle name="Normal 2 3 3" xfId="908" xr:uid="{00000000-0005-0000-0000-00004A000000}"/>
    <cellStyle name="Normal 2 4" xfId="72" xr:uid="{99678F10-466D-489E-96B1-4B8BB0AFD0D5}"/>
    <cellStyle name="Normal 2 4 2" xfId="729" xr:uid="{00000000-0005-0000-0000-000032000000}"/>
    <cellStyle name="Normal 2 4 3" xfId="1261" xr:uid="{00000000-0005-0000-0000-000089010000}"/>
    <cellStyle name="Normal 2 5" xfId="175" xr:uid="{00000000-0005-0000-0000-00000F000000}"/>
    <cellStyle name="Normal 2 5 2" xfId="1284" xr:uid="{00000000-0005-0000-0000-00008A010000}"/>
    <cellStyle name="Normal 2 6" xfId="493" xr:uid="{00000000-0005-0000-0000-000048000000}"/>
    <cellStyle name="Normal 2 6 2" xfId="1376" xr:uid="{00000000-0005-0000-0000-00008B010000}"/>
    <cellStyle name="Normal 2 7" xfId="1277" xr:uid="{00000000-0005-0000-0000-000010000000}"/>
    <cellStyle name="Normal 2 8" xfId="1470" xr:uid="{00000000-0005-0000-0000-00000C000000}"/>
    <cellStyle name="Normal 20" xfId="63" xr:uid="{00000000-0005-0000-0000-000037000000}"/>
    <cellStyle name="Normal 20 2" xfId="1427" xr:uid="{00000000-0005-0000-0000-000012000000}"/>
    <cellStyle name="Normal 21" xfId="68" xr:uid="{4DFC0050-B368-40A6-A853-A07F092FC44A}"/>
    <cellStyle name="Normal 21 2" xfId="979" xr:uid="{00000000-0005-0000-0000-000014000000}"/>
    <cellStyle name="Normal 21 3" xfId="1260" xr:uid="{00000000-0005-0000-0000-000013000000}"/>
    <cellStyle name="Normal 22" xfId="161" xr:uid="{00000000-0005-0000-0000-0000DB000000}"/>
    <cellStyle name="Normal 22 2" xfId="972" xr:uid="{00000000-0005-0000-0000-000015000000}"/>
    <cellStyle name="Normal 23" xfId="487" xr:uid="{00000000-0005-0000-0000-0000D3020000}"/>
    <cellStyle name="Normal 23 2" xfId="1439" xr:uid="{00000000-0005-0000-0000-000016000000}"/>
    <cellStyle name="Normal 24" xfId="799" xr:uid="{00000000-0005-0000-0000-00002D030000}"/>
    <cellStyle name="Normal 24 2" xfId="1417" xr:uid="{00000000-0005-0000-0000-000017000000}"/>
    <cellStyle name="Normal 25" xfId="802" xr:uid="{00000000-0005-0000-0000-000030030000}"/>
    <cellStyle name="Normal 25 2" xfId="1436" xr:uid="{00000000-0005-0000-0000-000018000000}"/>
    <cellStyle name="Normal 26" xfId="803" xr:uid="{00000000-0005-0000-0000-000032030000}"/>
    <cellStyle name="Normal 26 2" xfId="1411" xr:uid="{00000000-0005-0000-0000-00001A000000}"/>
    <cellStyle name="Normal 26 3" xfId="1437" xr:uid="{00000000-0005-0000-0000-000019000000}"/>
    <cellStyle name="Normal 27" xfId="807" xr:uid="{00000000-0005-0000-0000-000034030000}"/>
    <cellStyle name="Normal 27 2" xfId="1396" xr:uid="{00000000-0005-0000-0000-00001B000000}"/>
    <cellStyle name="Normal 28" xfId="809" xr:uid="{00000000-0005-0000-0000-000036030000}"/>
    <cellStyle name="Normal 28 2" xfId="1424" xr:uid="{00000000-0005-0000-0000-00001C000000}"/>
    <cellStyle name="Normal 29" xfId="812" xr:uid="{00000000-0005-0000-0000-000099030000}"/>
    <cellStyle name="Normal 29 2" xfId="1456" xr:uid="{00000000-0005-0000-0000-00001D00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2 4" xfId="928" xr:uid="{F4FBE6BD-B183-4978-A47A-2161FD6D7392}"/>
    <cellStyle name="Normal 3 2 3" xfId="711" xr:uid="{F861DD81-0F1F-4173-8976-BA0E91FD2549}"/>
    <cellStyle name="Normal 3 2 4" xfId="762" xr:uid="{990F46B6-A77F-406E-B684-8D4CF2CBAC35}"/>
    <cellStyle name="Normal 3 2 5" xfId="675" xr:uid="{00000000-0005-0000-0000-00004B000000}"/>
    <cellStyle name="Normal 3 2 6" xfId="879" xr:uid="{00000000-0005-0000-0000-00004C000000}"/>
    <cellStyle name="Normal 3 3" xfId="194" xr:uid="{5CE79F21-8477-4B51-ACF6-5CA805EC66EC}"/>
    <cellStyle name="Normal 3 3 2" xfId="731" xr:uid="{00000000-0005-0000-0000-000034000000}"/>
    <cellStyle name="Normal 3 3 3" xfId="927" xr:uid="{8DA9D092-76DA-451E-9566-FB3964B2B428}"/>
    <cellStyle name="Normal 3 4" xfId="186" xr:uid="{00000000-0005-0000-0000-000030000000}"/>
    <cellStyle name="Normal 3 4 2" xfId="712" xr:uid="{EB0DF11F-98C5-4AB7-B19F-A872C745DBDE}"/>
    <cellStyle name="Normal 3 4 3" xfId="1377" xr:uid="{00000000-0005-0000-0000-00008F010000}"/>
    <cellStyle name="Normal 3 5" xfId="985" xr:uid="{00000000-0005-0000-0000-00008C010000}"/>
    <cellStyle name="Normal 3 6" xfId="976" xr:uid="{00000000-0005-0000-0000-00001E000000}"/>
    <cellStyle name="Normal 30" xfId="896" xr:uid="{00000000-0005-0000-0000-0000CC030000}"/>
    <cellStyle name="Normal 30 2" xfId="1408" xr:uid="{00000000-0005-0000-0000-00001F000000}"/>
    <cellStyle name="Normal 31" xfId="926" xr:uid="{00000000-0005-0000-0000-0000CE030000}"/>
    <cellStyle name="Normal 31 2" xfId="1454" xr:uid="{00000000-0005-0000-0000-000020000000}"/>
    <cellStyle name="Normal 32" xfId="966" xr:uid="{00000000-0005-0000-0000-0000D0030000}"/>
    <cellStyle name="Normal 32 2" xfId="1428" xr:uid="{00000000-0005-0000-0000-000021000000}"/>
    <cellStyle name="Normal 33" xfId="967" xr:uid="{00000000-0005-0000-0000-000028050000}"/>
    <cellStyle name="Normal 33 2" xfId="1383" xr:uid="{00000000-0005-0000-0000-000022000000}"/>
    <cellStyle name="Normal 34" xfId="973" xr:uid="{00000000-0005-0000-0000-000059050000}"/>
    <cellStyle name="Normal 34 2" xfId="969" xr:uid="{00000000-0005-0000-0000-000024000000}"/>
    <cellStyle name="Normal 34 3" xfId="1402" xr:uid="{00000000-0005-0000-0000-000023000000}"/>
    <cellStyle name="Normal 35" xfId="1017" xr:uid="{00000000-0005-0000-0000-00005B050000}"/>
    <cellStyle name="Normal 35 2" xfId="1395" xr:uid="{00000000-0005-0000-0000-000025000000}"/>
    <cellStyle name="Normal 36" xfId="1422" xr:uid="{00000000-0005-0000-0000-000026000000}"/>
    <cellStyle name="Normal 37" xfId="1421" xr:uid="{00000000-0005-0000-0000-000027000000}"/>
    <cellStyle name="Normal 38" xfId="1435" xr:uid="{00000000-0005-0000-0000-000028000000}"/>
    <cellStyle name="Normal 38 2" xfId="1282" xr:uid="{00000000-0005-0000-0000-000029000000}"/>
    <cellStyle name="Normal 39" xfId="1455" xr:uid="{00000000-0005-0000-0000-00002A000000}"/>
    <cellStyle name="Normal 4" xfId="54" xr:uid="{00000000-0005-0000-0000-000039000000}"/>
    <cellStyle name="Normal 4 2" xfId="196" xr:uid="{C354E0DF-C3C5-4CA9-A531-F55855723B9B}"/>
    <cellStyle name="Normal 4 2 2" xfId="682" xr:uid="{00000000-0005-0000-0000-00004F000000}"/>
    <cellStyle name="Normal 4 2 2 2" xfId="929" xr:uid="{82A83A2C-0A27-4479-8C73-7FFB678F383E}"/>
    <cellStyle name="Normal 4 2 3" xfId="755" xr:uid="{1EB6BBA0-4E1B-4BB5-93DB-340EF6148157}"/>
    <cellStyle name="Normal 4 2 4" xfId="881" xr:uid="{00000000-0005-0000-0000-00004E000000}"/>
    <cellStyle name="Normal 4 2 5" xfId="1269" xr:uid="{00000000-0005-0000-0000-000091010000}"/>
    <cellStyle name="Normal 4 3" xfId="188" xr:uid="{00000000-0005-0000-0000-000032000000}"/>
    <cellStyle name="Normal 4 3 2" xfId="681" xr:uid="{00000000-0005-0000-0000-000050000000}"/>
    <cellStyle name="Normal 4 4" xfId="710" xr:uid="{E59CBC82-92CE-47D7-817B-8FD5280DD78B}"/>
    <cellStyle name="Normal 4 4 2" xfId="1080" xr:uid="{00000000-0005-0000-0000-000093010000}"/>
    <cellStyle name="Normal 4 5" xfId="757" xr:uid="{192576D4-66B0-473A-87EA-6EF85DB815F4}"/>
    <cellStyle name="Normal 4 5 2" xfId="1378" xr:uid="{00000000-0005-0000-0000-000094010000}"/>
    <cellStyle name="Normal 4 6" xfId="662" xr:uid="{00000000-0005-0000-0000-00004D000000}"/>
    <cellStyle name="Normal 4 7" xfId="1457" xr:uid="{00000000-0005-0000-0000-00002B000000}"/>
    <cellStyle name="Normal 40" xfId="1429" xr:uid="{00000000-0005-0000-0000-00002C000000}"/>
    <cellStyle name="Normal 41" xfId="1431" xr:uid="{00000000-0005-0000-0000-00002D000000}"/>
    <cellStyle name="Normal 42" xfId="1018" xr:uid="{00000000-0005-0000-0000-00002E000000}"/>
    <cellStyle name="Normal 43" xfId="1404" xr:uid="{00000000-0005-0000-0000-00002F000000}"/>
    <cellStyle name="Normal 44" xfId="1406" xr:uid="{00000000-0005-0000-0000-000030000000}"/>
    <cellStyle name="Normal 45" xfId="1390" xr:uid="{00000000-0005-0000-0000-000031000000}"/>
    <cellStyle name="Normal 46" xfId="1446" xr:uid="{00000000-0005-0000-0000-000032000000}"/>
    <cellStyle name="Normal 47" xfId="1459" xr:uid="{00000000-0005-0000-0000-000033000000}"/>
    <cellStyle name="Normal 48" xfId="1264" xr:uid="{00000000-0005-0000-0000-000034000000}"/>
    <cellStyle name="Normal 49" xfId="1447" xr:uid="{00000000-0005-0000-0000-000035000000}"/>
    <cellStyle name="Normal 5" xfId="55" xr:uid="{00000000-0005-0000-0000-00003A000000}"/>
    <cellStyle name="Normal 5 2" xfId="613" xr:uid="{00000000-0005-0000-0000-00004F000000}"/>
    <cellStyle name="Normal 5 2 2" xfId="671" xr:uid="{00000000-0005-0000-0000-000052000000}"/>
    <cellStyle name="Normal 5 2 3" xfId="930" xr:uid="{EE0C634D-ADF5-4E22-9D3F-34B4BC2E5A0E}"/>
    <cellStyle name="Normal 5 3" xfId="760" xr:uid="{9A55F012-29B9-4D59-A7A5-59936CA7B974}"/>
    <cellStyle name="Normal 5 4" xfId="784" xr:uid="{EC095524-B008-499A-876B-73490E5DC835}"/>
    <cellStyle name="Normal 5 4 2" xfId="1334" xr:uid="{00000000-0005-0000-0000-000098010000}"/>
    <cellStyle name="Normal 5 5" xfId="1097" xr:uid="{00000000-0005-0000-0000-000099010000}"/>
    <cellStyle name="Normal 5 6" xfId="1409" xr:uid="{00000000-0005-0000-0000-000036000000}"/>
    <cellStyle name="Normal 50" xfId="1432" xr:uid="{00000000-0005-0000-0000-000037000000}"/>
    <cellStyle name="Normal 51" xfId="1458" xr:uid="{00000000-0005-0000-0000-000038000000}"/>
    <cellStyle name="Normal 52" xfId="1412" xr:uid="{00000000-0005-0000-0000-000039000000}"/>
    <cellStyle name="Normal 53" xfId="1444" xr:uid="{00000000-0005-0000-0000-00003A000000}"/>
    <cellStyle name="Normal 54" xfId="1449" xr:uid="{00000000-0005-0000-0000-00003B000000}"/>
    <cellStyle name="Normal 55" xfId="1000" xr:uid="{00000000-0005-0000-0000-00003C000000}"/>
    <cellStyle name="Normal 56" xfId="1410" xr:uid="{00000000-0005-0000-0000-00003D000000}"/>
    <cellStyle name="Normal 57" xfId="1440" xr:uid="{00000000-0005-0000-0000-00003E000000}"/>
    <cellStyle name="Normal 58" xfId="1380" xr:uid="{00000000-0005-0000-0000-00003F000000}"/>
    <cellStyle name="Normal 59" xfId="1418" xr:uid="{00000000-0005-0000-0000-000040000000}"/>
    <cellStyle name="Normal 6" xfId="14" xr:uid="{00000000-0005-0000-0000-00003B000000}"/>
    <cellStyle name="Normal 6 2" xfId="56" xr:uid="{00000000-0005-0000-0000-00003C000000}"/>
    <cellStyle name="Normal 6 2 2" xfId="777" xr:uid="{E28FDB4C-C646-4256-A923-623F882AA03C}"/>
    <cellStyle name="Normal 6 2 3" xfId="1434" xr:uid="{00000000-0005-0000-0000-000042000000}"/>
    <cellStyle name="Normal 6 3" xfId="197" xr:uid="{2F2850D3-057A-4630-A5DF-99DDC033FC2D}"/>
    <cellStyle name="Normal 6 4" xfId="601" xr:uid="{00000000-0005-0000-0000-000050000000}"/>
    <cellStyle name="Normal 6 4 2" xfId="1335" xr:uid="{00000000-0005-0000-0000-00009D010000}"/>
    <cellStyle name="Normal 6 5" xfId="883" xr:uid="{00000000-0005-0000-0000-000050000000}"/>
    <cellStyle name="Normal 6 5 2" xfId="1098" xr:uid="{00000000-0005-0000-0000-00009E010000}"/>
    <cellStyle name="Normal 6 6" xfId="1403" xr:uid="{00000000-0005-0000-0000-000041000000}"/>
    <cellStyle name="Normal 60" xfId="1443" xr:uid="{00000000-0005-0000-0000-000043000000}"/>
    <cellStyle name="Normal 601" xfId="553" xr:uid="{00000000-0005-0000-0000-000051000000}"/>
    <cellStyle name="Normal 605" xfId="509" xr:uid="{00000000-0005-0000-0000-000052000000}"/>
    <cellStyle name="Normal 606" xfId="508" xr:uid="{00000000-0005-0000-0000-000053000000}"/>
    <cellStyle name="Normal 61" xfId="981" xr:uid="{00000000-0005-0000-0000-000044000000}"/>
    <cellStyle name="Normal 62" xfId="1267" xr:uid="{00000000-0005-0000-0000-000045000000}"/>
    <cellStyle name="Normal 62 3" xfId="693" xr:uid="{00000000-0005-0000-0000-000053000000}"/>
    <cellStyle name="Normal 63" xfId="1391" xr:uid="{00000000-0005-0000-0000-000046000000}"/>
    <cellStyle name="Normal 636" xfId="506" xr:uid="{00000000-0005-0000-0000-000054000000}"/>
    <cellStyle name="Normal 64" xfId="1423" xr:uid="{00000000-0005-0000-0000-000047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 xfId="1448" xr:uid="{00000000-0005-0000-0000-000048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xfId="1382" xr:uid="{00000000-0005-0000-0000-000049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 xfId="1438" xr:uid="{00000000-0005-0000-0000-00004A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 xfId="975" xr:uid="{00000000-0005-0000-0000-00004B000000}"/>
    <cellStyle name="Normal 684" xfId="549" xr:uid="{00000000-0005-0000-0000-000071000000}"/>
    <cellStyle name="Normal 69" xfId="1416" xr:uid="{00000000-0005-0000-0000-00004C000000}"/>
    <cellStyle name="Normal 7" xfId="57" xr:uid="{00000000-0005-0000-0000-00003D000000}"/>
    <cellStyle name="Normal 7 2" xfId="616" xr:uid="{00000000-0005-0000-0000-000072000000}"/>
    <cellStyle name="Normal 7 2 2" xfId="931" xr:uid="{95ED70F9-52EB-4B33-B8C6-8A4FAB279F79}"/>
    <cellStyle name="Normal 7 3" xfId="1350" xr:uid="{00000000-0005-0000-0000-0000A1010000}"/>
    <cellStyle name="Normal 7 4" xfId="1113" xr:uid="{00000000-0005-0000-0000-0000A2010000}"/>
    <cellStyle name="Normal 7 5" xfId="1405" xr:uid="{00000000-0005-0000-0000-00004D000000}"/>
    <cellStyle name="Normal 70" xfId="970" xr:uid="{00000000-0005-0000-0000-00004E000000}"/>
    <cellStyle name="Normal 71" xfId="1393" xr:uid="{00000000-0005-0000-0000-00004F000000}"/>
    <cellStyle name="Normal 713" xfId="539" xr:uid="{00000000-0005-0000-0000-000073000000}"/>
    <cellStyle name="Normal 714" xfId="540" xr:uid="{00000000-0005-0000-0000-000074000000}"/>
    <cellStyle name="Normal 715" xfId="541" xr:uid="{00000000-0005-0000-0000-000075000000}"/>
    <cellStyle name="Normal 72" xfId="978" xr:uid="{00000000-0005-0000-0000-000050000000}"/>
    <cellStyle name="Normal 73" xfId="1433" xr:uid="{00000000-0005-0000-0000-000051000000}"/>
    <cellStyle name="Normal 74" xfId="1413" xr:uid="{00000000-0005-0000-0000-000052000000}"/>
    <cellStyle name="Normal 744" xfId="559" xr:uid="{00000000-0005-0000-0000-000076000000}"/>
    <cellStyle name="Normal 75" xfId="980" xr:uid="{00000000-0005-0000-0000-000053000000}"/>
    <cellStyle name="Normal 76" xfId="1392" xr:uid="{00000000-0005-0000-0000-000054000000}"/>
    <cellStyle name="Normal 77" xfId="1453" xr:uid="{00000000-0005-0000-0000-000055000000}"/>
    <cellStyle name="Normal 78" xfId="1399" xr:uid="{00000000-0005-0000-0000-000056000000}"/>
    <cellStyle name="Normal 79" xfId="1425" xr:uid="{00000000-0005-0000-0000-000057000000}"/>
    <cellStyle name="Normal 8" xfId="15" xr:uid="{00000000-0005-0000-0000-00003E000000}"/>
    <cellStyle name="Normal 8 2" xfId="58" xr:uid="{00000000-0005-0000-0000-00003F000000}"/>
    <cellStyle name="Normal 8 2 2" xfId="886" xr:uid="{00000000-0005-0000-0000-000053000000}"/>
    <cellStyle name="Normal 8 2 3" xfId="1272" xr:uid="{00000000-0005-0000-0000-0000A4010000}"/>
    <cellStyle name="Normal 8 3" xfId="589" xr:uid="{00000000-0005-0000-0000-000077000000}"/>
    <cellStyle name="Normal 8 3 2" xfId="1133" xr:uid="{00000000-0005-0000-0000-0000A5010000}"/>
    <cellStyle name="Normal 8 4" xfId="885" xr:uid="{00000000-0005-0000-0000-000052000000}"/>
    <cellStyle name="Normal 8 5" xfId="1387" xr:uid="{00000000-0005-0000-0000-000058000000}"/>
    <cellStyle name="Normal 80" xfId="1430" xr:uid="{00000000-0005-0000-0000-000059000000}"/>
    <cellStyle name="Normal 802" xfId="565" xr:uid="{00000000-0005-0000-0000-000078000000}"/>
    <cellStyle name="Normal 81" xfId="1442" xr:uid="{00000000-0005-0000-0000-00005A000000}"/>
    <cellStyle name="Normal 82" xfId="1415" xr:uid="{00000000-0005-0000-0000-00005B000000}"/>
    <cellStyle name="Normal 83" xfId="1450" xr:uid="{00000000-0005-0000-0000-00005C000000}"/>
    <cellStyle name="Normal 84" xfId="1445" xr:uid="{00000000-0005-0000-0000-00005D000000}"/>
    <cellStyle name="Normal 85" xfId="1419" xr:uid="{00000000-0005-0000-0000-00005E000000}"/>
    <cellStyle name="Normal 86" xfId="1397" xr:uid="{00000000-0005-0000-0000-00005F000000}"/>
    <cellStyle name="Normal 87" xfId="1452" xr:uid="{00000000-0005-0000-0000-00005D050000}"/>
    <cellStyle name="Normal 88" xfId="1381" xr:uid="{00000000-0005-0000-0000-0000BC050000}"/>
    <cellStyle name="Normal 89" xfId="1385" xr:uid="{00000000-0005-0000-0000-0000BE050000}"/>
    <cellStyle name="Normal 9" xfId="16" xr:uid="{00000000-0005-0000-0000-000040000000}"/>
    <cellStyle name="Normal 9 2" xfId="59" xr:uid="{00000000-0005-0000-0000-000041000000}"/>
    <cellStyle name="Normal 9 2 2" xfId="1273" xr:uid="{00000000-0005-0000-0000-0000A7010000}"/>
    <cellStyle name="Normal 9 3" xfId="1214" xr:uid="{00000000-0005-0000-0000-0000A6010000}"/>
    <cellStyle name="Normal 9 4" xfId="1379" xr:uid="{00000000-0005-0000-0000-000060000000}"/>
    <cellStyle name="Normal 90" xfId="1389" xr:uid="{00000000-0005-0000-0000-0000C0050000}"/>
    <cellStyle name="Normal 91" xfId="1461" xr:uid="{00000000-0005-0000-0000-0000C2050000}"/>
    <cellStyle name="Normal 92" xfId="1463" xr:uid="{00000000-0005-0000-0000-0000C4050000}"/>
    <cellStyle name="Normal 93" xfId="1465" xr:uid="{00000000-0005-0000-0000-0000C6050000}"/>
    <cellStyle name="Normal 94" xfId="1467" xr:uid="{00000000-0005-0000-0000-0000C9050000}"/>
    <cellStyle name="Normal 944" xfId="503" xr:uid="{00000000-0005-0000-0000-000079000000}"/>
    <cellStyle name="Normal 947" xfId="505" xr:uid="{00000000-0005-0000-0000-00007A000000}"/>
    <cellStyle name="Normal 95" xfId="1472" xr:uid="{00000000-0005-0000-0000-0000CE05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10" xfId="1174" xr:uid="{00000000-0005-0000-0000-0000A8010000}"/>
    <cellStyle name="Notas 11" xfId="1187" xr:uid="{00000000-0005-0000-0000-0000A9010000}"/>
    <cellStyle name="Notas 12" xfId="1201" xr:uid="{00000000-0005-0000-0000-0000AA010000}"/>
    <cellStyle name="Notas 13" xfId="1215" xr:uid="{00000000-0005-0000-0000-0000AB010000}"/>
    <cellStyle name="Notas 14" xfId="1230" xr:uid="{00000000-0005-0000-0000-0000AC010000}"/>
    <cellStyle name="Notas 15" xfId="1245" xr:uid="{00000000-0005-0000-0000-0000AD010000}"/>
    <cellStyle name="Notas 2" xfId="60" xr:uid="{00000000-0005-0000-0000-000042000000}"/>
    <cellStyle name="Notas 2 2" xfId="933" xr:uid="{F90C3A67-2722-432C-817D-3F5CF6187CF9}"/>
    <cellStyle name="Notas 2 2 2" xfId="953" xr:uid="{EDCBCCDA-9783-4E06-B280-68096A5DDFA7}"/>
    <cellStyle name="Notas 2 2 3" xfId="965" xr:uid="{EF1AB362-93EA-4D39-93CA-3E442AF88443}"/>
    <cellStyle name="Notas 2 3" xfId="945" xr:uid="{66D5ECD5-E4D4-442D-B12E-CDBF7C9F52CC}"/>
    <cellStyle name="Notas 2 4" xfId="956" xr:uid="{B67CAFC0-7BCB-4C30-AC17-FA69B6B8DFC0}"/>
    <cellStyle name="Notas 2 5" xfId="887" xr:uid="{00000000-0005-0000-0000-000057000000}"/>
    <cellStyle name="Notas 2 6" xfId="983" xr:uid="{00000000-0005-0000-0000-0000AE010000}"/>
    <cellStyle name="Notas 3" xfId="631" xr:uid="{00000000-0005-0000-0000-0000F2020000}"/>
    <cellStyle name="Notas 3 2" xfId="934" xr:uid="{8079D730-1DE6-4C9E-AB8E-231510F8B858}"/>
    <cellStyle name="Notas 3 2 2" xfId="1305" xr:uid="{00000000-0005-0000-0000-0000B0010000}"/>
    <cellStyle name="Notas 3 3" xfId="888" xr:uid="{00000000-0005-0000-0000-000058000000}"/>
    <cellStyle name="Notas 3 3 2" xfId="1067" xr:uid="{00000000-0005-0000-0000-0000B1010000}"/>
    <cellStyle name="Notas 3 4" xfId="987" xr:uid="{00000000-0005-0000-0000-0000AF010000}"/>
    <cellStyle name="Notas 4" xfId="935" xr:uid="{35F568DD-5CD7-4C9C-95D8-F65ACE730983}"/>
    <cellStyle name="Notas 4 2" xfId="1321" xr:uid="{00000000-0005-0000-0000-0000B3010000}"/>
    <cellStyle name="Notas 4 3" xfId="1084" xr:uid="{00000000-0005-0000-0000-0000B4010000}"/>
    <cellStyle name="Notas 4 4" xfId="1004" xr:uid="{00000000-0005-0000-0000-0000B2010000}"/>
    <cellStyle name="Notas 5" xfId="889" xr:uid="{00000000-0005-0000-0000-000056000000}"/>
    <cellStyle name="Notas 5 2" xfId="1337" xr:uid="{00000000-0005-0000-0000-0000B6010000}"/>
    <cellStyle name="Notas 5 3" xfId="1100" xr:uid="{00000000-0005-0000-0000-0000B7010000}"/>
    <cellStyle name="Notas 5 4" xfId="1019" xr:uid="{00000000-0005-0000-0000-0000B5010000}"/>
    <cellStyle name="Notas 6" xfId="1035" xr:uid="{00000000-0005-0000-0000-0000B8010000}"/>
    <cellStyle name="Notas 6 2" xfId="1353" xr:uid="{00000000-0005-0000-0000-0000B9010000}"/>
    <cellStyle name="Notas 6 3" xfId="1117" xr:uid="{00000000-0005-0000-0000-0000BA010000}"/>
    <cellStyle name="Notas 7" xfId="1134" xr:uid="{00000000-0005-0000-0000-0000BB010000}"/>
    <cellStyle name="Notas 8" xfId="1147" xr:uid="{00000000-0005-0000-0000-0000BC010000}"/>
    <cellStyle name="Notas 9" xfId="1161" xr:uid="{00000000-0005-0000-0000-0000BD010000}"/>
    <cellStyle name="Note 2" xfId="890" xr:uid="{00000000-0005-0000-0000-000059000000}"/>
    <cellStyle name="Note 2 2" xfId="936" xr:uid="{697D1F7C-57BD-418A-87B1-B3C0D794A59C}"/>
    <cellStyle name="Note 3" xfId="891" xr:uid="{00000000-0005-0000-0000-00005A000000}"/>
    <cellStyle name="Note 3 2" xfId="937" xr:uid="{2059E959-4B84-4E39-9F47-F6AA690CE217}"/>
    <cellStyle name="Output" xfId="892" xr:uid="{00000000-0005-0000-0000-00005B000000}"/>
    <cellStyle name="Percent (0)" xfId="893" xr:uid="{00000000-0005-0000-0000-00005C000000}"/>
    <cellStyle name="Percent (0) 2" xfId="894" xr:uid="{00000000-0005-0000-0000-00005D000000}"/>
    <cellStyle name="Percent (0) 2 2" xfId="939" xr:uid="{AEEF2051-332C-494A-A4A1-DF40FEE7909D}"/>
    <cellStyle name="Percent (0) 3" xfId="938" xr:uid="{2188AD0B-A53B-4385-8A6C-D2354D558418}"/>
    <cellStyle name="Percent 2" xfId="105" xr:uid="{00000000-0005-0000-0000-000078000000}"/>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2 4" xfId="940" xr:uid="{9A3BC751-10BD-4697-B1A3-11A20CEAE585}"/>
    <cellStyle name="Porcentaje 2 3" xfId="776" xr:uid="{CC99F799-6892-41FB-8435-A17C325438C4}"/>
    <cellStyle name="Porcentaje 2 4" xfId="703" xr:uid="{8D97FCB0-8234-474E-B4D5-864B4D64F129}"/>
    <cellStyle name="Porcentaje 2 5" xfId="895" xr:uid="{00000000-0005-0000-0000-00005E000000}"/>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Porcentual 2" xfId="897" xr:uid="{00000000-0005-0000-0000-000060000000}"/>
    <cellStyle name="Porcentual 2 2" xfId="898" xr:uid="{00000000-0005-0000-0000-000061000000}"/>
    <cellStyle name="Porcentual 2 2 2" xfId="942" xr:uid="{D10D83E0-A9E2-4F53-BE30-669A42BBFC3D}"/>
    <cellStyle name="Porcentual 2 3" xfId="941" xr:uid="{895CA68C-07D5-49DF-90F1-775F1A9189CF}"/>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de advertencia 2 2" xfId="899" xr:uid="{00000000-0005-0000-0000-000063000000}"/>
    <cellStyle name="Texto de advertencia 3" xfId="906" xr:uid="{00000000-0005-0000-0000-000062000000}"/>
    <cellStyle name="Texto explicativo" xfId="464" builtinId="53" customBuiltin="1"/>
    <cellStyle name="Texto explicativo 2" xfId="632" xr:uid="{00000000-0005-0000-0000-0000FA020000}"/>
    <cellStyle name="Tickmark" xfId="900" xr:uid="{00000000-0005-0000-0000-000064000000}"/>
    <cellStyle name="Title" xfId="901" xr:uid="{00000000-0005-0000-0000-000065000000}"/>
    <cellStyle name="Título" xfId="811" builtinId="15" customBuiltin="1"/>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ítulo 4 2 2" xfId="1130" xr:uid="{00000000-0005-0000-0000-0000C7010000}"/>
    <cellStyle name="Total" xfId="465" builtinId="25" customBuiltin="1"/>
    <cellStyle name="Total 2" xfId="633" xr:uid="{00000000-0005-0000-0000-0000FE020000}"/>
    <cellStyle name="Total 2 2" xfId="903" xr:uid="{00000000-0005-0000-0000-000067000000}"/>
    <cellStyle name="Total 3" xfId="904" xr:uid="{00000000-0005-0000-0000-000068000000}"/>
    <cellStyle name="Total 4" xfId="905" xr:uid="{00000000-0005-0000-0000-000069000000}"/>
    <cellStyle name="Total 5" xfId="902" xr:uid="{00000000-0005-0000-0000-0000C6030000}"/>
    <cellStyle name="Warning Text 2" xfId="907" xr:uid="{00000000-0005-0000-0000-00006A00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2"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Estilo de tabla dinámica 1" table="0" count="0" xr9:uid="{00000000-0011-0000-FFFF-FFFF00000000}"/>
  </tableStyles>
  <colors>
    <mruColors>
      <color rgb="FF00FF00"/>
      <color rgb="FFBAD40F"/>
      <color rgb="FFCDC800"/>
      <color rgb="FFCCCC00"/>
      <color rgb="FFD1CC00"/>
      <color rgb="FF0099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35859</xdr:colOff>
      <xdr:row>0</xdr:row>
      <xdr:rowOff>71718</xdr:rowOff>
    </xdr:from>
    <xdr:to>
      <xdr:col>4</xdr:col>
      <xdr:colOff>227405</xdr:colOff>
      <xdr:row>3</xdr:row>
      <xdr:rowOff>147693</xdr:rowOff>
    </xdr:to>
    <xdr:pic>
      <xdr:nvPicPr>
        <xdr:cNvPr id="2" name="Imagen 1">
          <a:extLst>
            <a:ext uri="{FF2B5EF4-FFF2-40B4-BE49-F238E27FC236}">
              <a16:creationId xmlns:a16="http://schemas.microsoft.com/office/drawing/2014/main" id="{E27B1BE5-EE38-4FFB-8F25-CDE3567FC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788" y="71718"/>
          <a:ext cx="2441688" cy="560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44823</xdr:colOff>
      <xdr:row>0</xdr:row>
      <xdr:rowOff>125506</xdr:rowOff>
    </xdr:from>
    <xdr:to>
      <xdr:col>1</xdr:col>
      <xdr:colOff>2549263</xdr:colOff>
      <xdr:row>3</xdr:row>
      <xdr:rowOff>171898</xdr:rowOff>
    </xdr:to>
    <xdr:pic>
      <xdr:nvPicPr>
        <xdr:cNvPr id="2" name="Imagen 1">
          <a:extLst>
            <a:ext uri="{FF2B5EF4-FFF2-40B4-BE49-F238E27FC236}">
              <a16:creationId xmlns:a16="http://schemas.microsoft.com/office/drawing/2014/main" id="{37B041C8-FE29-415F-9116-D581864DAA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776" y="125506"/>
          <a:ext cx="2504440" cy="560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26894</xdr:colOff>
      <xdr:row>1</xdr:row>
      <xdr:rowOff>26894</xdr:rowOff>
    </xdr:from>
    <xdr:to>
      <xdr:col>1</xdr:col>
      <xdr:colOff>2533239</xdr:colOff>
      <xdr:row>4</xdr:row>
      <xdr:rowOff>110490</xdr:rowOff>
    </xdr:to>
    <xdr:pic>
      <xdr:nvPicPr>
        <xdr:cNvPr id="2" name="Imagen 1">
          <a:extLst>
            <a:ext uri="{FF2B5EF4-FFF2-40B4-BE49-F238E27FC236}">
              <a16:creationId xmlns:a16="http://schemas.microsoft.com/office/drawing/2014/main" id="{ED57407E-8CE9-4304-9340-6B414A5B8F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788" y="188259"/>
          <a:ext cx="2504440" cy="560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44824</xdr:colOff>
      <xdr:row>1</xdr:row>
      <xdr:rowOff>26894</xdr:rowOff>
    </xdr:from>
    <xdr:to>
      <xdr:col>1</xdr:col>
      <xdr:colOff>2549264</xdr:colOff>
      <xdr:row>4</xdr:row>
      <xdr:rowOff>106680</xdr:rowOff>
    </xdr:to>
    <xdr:pic>
      <xdr:nvPicPr>
        <xdr:cNvPr id="2" name="Imagen 1">
          <a:extLst>
            <a:ext uri="{FF2B5EF4-FFF2-40B4-BE49-F238E27FC236}">
              <a16:creationId xmlns:a16="http://schemas.microsoft.com/office/drawing/2014/main" id="{908464B0-F430-4FB1-9819-AA0DA4C72B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718" y="188259"/>
          <a:ext cx="2504440" cy="5600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35859</xdr:colOff>
      <xdr:row>1</xdr:row>
      <xdr:rowOff>17930</xdr:rowOff>
    </xdr:from>
    <xdr:to>
      <xdr:col>2</xdr:col>
      <xdr:colOff>57636</xdr:colOff>
      <xdr:row>4</xdr:row>
      <xdr:rowOff>97716</xdr:rowOff>
    </xdr:to>
    <xdr:pic>
      <xdr:nvPicPr>
        <xdr:cNvPr id="2" name="Imagen 1">
          <a:extLst>
            <a:ext uri="{FF2B5EF4-FFF2-40B4-BE49-F238E27FC236}">
              <a16:creationId xmlns:a16="http://schemas.microsoft.com/office/drawing/2014/main" id="{436E578C-4167-49A1-AC80-6D378015F2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53" y="340659"/>
          <a:ext cx="2504440" cy="560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604</xdr:row>
      <xdr:rowOff>0</xdr:rowOff>
    </xdr:from>
    <xdr:to>
      <xdr:col>6</xdr:col>
      <xdr:colOff>304800</xdr:colOff>
      <xdr:row>605</xdr:row>
      <xdr:rowOff>99054</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26894</xdr:colOff>
      <xdr:row>1</xdr:row>
      <xdr:rowOff>53788</xdr:rowOff>
    </xdr:from>
    <xdr:to>
      <xdr:col>2</xdr:col>
      <xdr:colOff>2041525</xdr:colOff>
      <xdr:row>4</xdr:row>
      <xdr:rowOff>99059</xdr:rowOff>
    </xdr:to>
    <xdr:pic>
      <xdr:nvPicPr>
        <xdr:cNvPr id="3" name="Imagen 2">
          <a:extLst>
            <a:ext uri="{FF2B5EF4-FFF2-40B4-BE49-F238E27FC236}">
              <a16:creationId xmlns:a16="http://schemas.microsoft.com/office/drawing/2014/main" id="{612AA1CB-BE07-4826-887B-38C4E78BE5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06" y="394447"/>
          <a:ext cx="2504440" cy="560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ow r="4">
          <cell r="B4">
            <v>13525418929</v>
          </cell>
        </row>
        <row r="28">
          <cell r="B28">
            <v>24138311</v>
          </cell>
        </row>
        <row r="33">
          <cell r="B33">
            <v>531156208</v>
          </cell>
        </row>
        <row r="38">
          <cell r="B38">
            <v>75767202</v>
          </cell>
        </row>
        <row r="42">
          <cell r="B42">
            <v>9663552201</v>
          </cell>
        </row>
        <row r="43">
          <cell r="B43">
            <v>853165781</v>
          </cell>
        </row>
      </sheetData>
      <sheetData sheetId="2"/>
      <sheetData sheetId="3"/>
      <sheetData sheetId="4">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5:R227"/>
  <sheetViews>
    <sheetView showGridLines="0" topLeftCell="A181" zoomScale="85" zoomScaleNormal="85" workbookViewId="0">
      <selection activeCell="O206" sqref="O206"/>
    </sheetView>
  </sheetViews>
  <sheetFormatPr baseColWidth="10" defaultColWidth="11.5546875" defaultRowHeight="12"/>
  <cols>
    <col min="1" max="2" width="11.5546875" style="10"/>
    <col min="3" max="3" width="4.44140625" style="10" customWidth="1"/>
    <col min="4" max="4" width="29.33203125" style="10" customWidth="1"/>
    <col min="5" max="5" width="20.33203125" style="10" customWidth="1"/>
    <col min="6" max="6" width="12.109375" style="10" customWidth="1"/>
    <col min="7" max="11" width="11.44140625" style="10" customWidth="1"/>
    <col min="12" max="12" width="18.33203125" style="10" customWidth="1"/>
    <col min="13" max="13" width="15.6640625" style="10" customWidth="1"/>
    <col min="14" max="14" width="19.88671875" style="10" customWidth="1"/>
    <col min="15" max="15" width="22.109375" style="10" customWidth="1"/>
    <col min="16" max="16" width="11.5546875" style="10"/>
    <col min="17" max="17" width="20.88671875" style="10" customWidth="1"/>
    <col min="18" max="16384" width="11.5546875" style="10"/>
  </cols>
  <sheetData>
    <row r="5" spans="3:18" ht="18.600000000000001" customHeight="1">
      <c r="C5" s="431" t="s">
        <v>312</v>
      </c>
      <c r="D5" s="431"/>
      <c r="E5" s="431"/>
      <c r="F5" s="431"/>
      <c r="G5" s="431"/>
      <c r="H5" s="431"/>
      <c r="I5" s="431"/>
      <c r="J5" s="431"/>
    </row>
    <row r="6" spans="3:18" ht="12.6" customHeight="1">
      <c r="C6" s="44" t="s">
        <v>695</v>
      </c>
      <c r="D6" s="45"/>
      <c r="E6" s="40"/>
      <c r="F6" s="40"/>
      <c r="G6" s="40"/>
      <c r="H6" s="40"/>
      <c r="I6" s="40"/>
      <c r="J6" s="40"/>
    </row>
    <row r="7" spans="3:18" ht="12.6" customHeight="1">
      <c r="C7" s="44" t="s">
        <v>696</v>
      </c>
      <c r="D7" s="45"/>
      <c r="E7" s="40"/>
      <c r="F7" s="40"/>
      <c r="G7" s="40"/>
      <c r="H7" s="40"/>
      <c r="I7" s="40"/>
      <c r="J7" s="40"/>
    </row>
    <row r="8" spans="3:18" ht="19.95" customHeight="1">
      <c r="D8" s="40"/>
      <c r="E8" s="40"/>
      <c r="F8" s="40"/>
      <c r="G8" s="40"/>
      <c r="H8" s="40"/>
      <c r="I8" s="40"/>
      <c r="J8" s="40"/>
      <c r="K8" s="40"/>
    </row>
    <row r="9" spans="3:18" ht="15.6">
      <c r="C9" s="432" t="s">
        <v>569</v>
      </c>
      <c r="D9" s="432"/>
      <c r="E9" s="432"/>
      <c r="F9" s="432"/>
      <c r="G9" s="432"/>
      <c r="H9" s="432"/>
      <c r="I9" s="432"/>
      <c r="J9" s="432"/>
      <c r="K9" s="432"/>
      <c r="L9" s="39"/>
      <c r="M9" s="39"/>
      <c r="N9" s="39"/>
      <c r="O9" s="39"/>
      <c r="P9" s="39"/>
    </row>
    <row r="10" spans="3:18" ht="15" customHeight="1">
      <c r="C10" s="415" t="s">
        <v>854</v>
      </c>
      <c r="D10" s="415"/>
      <c r="E10" s="415"/>
      <c r="F10" s="415"/>
      <c r="G10" s="415"/>
      <c r="H10" s="415"/>
      <c r="I10" s="415"/>
      <c r="J10" s="415"/>
      <c r="K10" s="415"/>
      <c r="L10" s="72"/>
      <c r="M10" s="51"/>
      <c r="N10" s="51"/>
      <c r="O10" s="51"/>
      <c r="P10" s="51"/>
      <c r="Q10" s="51"/>
      <c r="R10" s="51"/>
    </row>
    <row r="11" spans="3:18" ht="15" customHeight="1">
      <c r="C11" s="73"/>
      <c r="D11" s="73"/>
      <c r="E11" s="73"/>
      <c r="F11" s="73"/>
      <c r="G11" s="73"/>
      <c r="H11" s="73"/>
      <c r="I11" s="73"/>
      <c r="J11" s="73"/>
      <c r="K11" s="73"/>
      <c r="L11" s="72"/>
      <c r="M11" s="51"/>
      <c r="N11" s="51"/>
      <c r="O11" s="51"/>
      <c r="P11" s="51"/>
      <c r="Q11" s="51"/>
      <c r="R11" s="51"/>
    </row>
    <row r="12" spans="3:18" ht="13.2">
      <c r="C12" s="47" t="s">
        <v>553</v>
      </c>
      <c r="D12" s="47" t="s">
        <v>554</v>
      </c>
      <c r="E12" s="48"/>
      <c r="F12" s="48"/>
      <c r="G12" s="48"/>
      <c r="H12" s="48"/>
      <c r="I12" s="48"/>
      <c r="J12" s="49"/>
      <c r="K12" s="49"/>
      <c r="L12" s="49"/>
      <c r="M12" s="49"/>
      <c r="N12" s="51"/>
      <c r="O12" s="51"/>
      <c r="P12" s="51"/>
      <c r="Q12" s="51"/>
      <c r="R12" s="51"/>
    </row>
    <row r="13" spans="3:18" ht="13.2">
      <c r="C13" s="50"/>
      <c r="D13" s="50"/>
      <c r="E13" s="50"/>
      <c r="F13" s="50"/>
      <c r="G13" s="50"/>
      <c r="H13" s="50"/>
      <c r="I13" s="50"/>
      <c r="J13" s="51"/>
      <c r="K13" s="51"/>
      <c r="L13" s="51"/>
      <c r="M13" s="51"/>
      <c r="N13" s="51"/>
      <c r="O13" s="51"/>
      <c r="P13" s="51"/>
      <c r="Q13" s="51"/>
      <c r="R13" s="51"/>
    </row>
    <row r="14" spans="3:18" ht="13.2">
      <c r="C14" s="50" t="s">
        <v>718</v>
      </c>
      <c r="D14" s="50" t="s">
        <v>536</v>
      </c>
      <c r="E14" s="50"/>
      <c r="F14" s="50"/>
      <c r="G14" s="50" t="s">
        <v>312</v>
      </c>
      <c r="H14" s="50"/>
      <c r="I14" s="50"/>
      <c r="J14" s="51"/>
      <c r="K14" s="51"/>
      <c r="L14" s="51"/>
      <c r="M14" s="51"/>
      <c r="N14" s="51"/>
      <c r="O14" s="51"/>
      <c r="P14" s="51"/>
      <c r="Q14" s="51"/>
      <c r="R14" s="51"/>
    </row>
    <row r="15" spans="3:18" ht="13.2">
      <c r="C15" s="50" t="s">
        <v>719</v>
      </c>
      <c r="D15" s="50" t="s">
        <v>537</v>
      </c>
      <c r="E15" s="50"/>
      <c r="F15" s="50"/>
      <c r="G15" s="50" t="s">
        <v>550</v>
      </c>
      <c r="H15" s="50"/>
      <c r="I15" s="50"/>
      <c r="J15" s="51"/>
      <c r="K15" s="51"/>
      <c r="L15" s="51"/>
      <c r="M15" s="51"/>
      <c r="N15" s="51"/>
      <c r="O15" s="51"/>
      <c r="P15" s="51"/>
      <c r="Q15" s="51"/>
      <c r="R15" s="51"/>
    </row>
    <row r="16" spans="3:18" ht="13.2">
      <c r="C16" s="50" t="s">
        <v>720</v>
      </c>
      <c r="D16" s="50" t="s">
        <v>538</v>
      </c>
      <c r="E16" s="50"/>
      <c r="F16" s="50"/>
      <c r="G16" s="50" t="s">
        <v>311</v>
      </c>
      <c r="H16" s="50"/>
      <c r="I16" s="50"/>
      <c r="J16" s="51"/>
      <c r="K16" s="51"/>
      <c r="L16" s="51"/>
      <c r="M16" s="51"/>
      <c r="N16" s="51"/>
      <c r="O16" s="51"/>
      <c r="P16" s="51"/>
      <c r="Q16" s="51"/>
      <c r="R16" s="51"/>
    </row>
    <row r="17" spans="1:18" ht="13.2">
      <c r="C17" s="50" t="s">
        <v>721</v>
      </c>
      <c r="D17" s="50" t="s">
        <v>539</v>
      </c>
      <c r="E17" s="50"/>
      <c r="F17" s="50"/>
      <c r="G17" s="50" t="s">
        <v>551</v>
      </c>
      <c r="H17" s="50"/>
      <c r="I17" s="50"/>
      <c r="J17" s="51"/>
      <c r="K17" s="51"/>
      <c r="L17" s="51"/>
      <c r="M17" s="51"/>
      <c r="N17" s="51"/>
      <c r="O17" s="51"/>
      <c r="P17" s="51"/>
      <c r="Q17" s="51"/>
      <c r="R17" s="51"/>
    </row>
    <row r="18" spans="1:18" ht="13.2">
      <c r="C18" s="50" t="s">
        <v>722</v>
      </c>
      <c r="D18" s="50" t="s">
        <v>540</v>
      </c>
      <c r="E18" s="50"/>
      <c r="F18" s="50"/>
      <c r="G18" s="50" t="s">
        <v>310</v>
      </c>
      <c r="H18" s="50"/>
      <c r="I18" s="50"/>
      <c r="J18" s="51"/>
      <c r="K18" s="51"/>
      <c r="L18" s="51"/>
      <c r="M18" s="51"/>
      <c r="N18" s="51"/>
      <c r="O18" s="51"/>
      <c r="P18" s="51"/>
      <c r="Q18" s="51"/>
      <c r="R18" s="51"/>
    </row>
    <row r="19" spans="1:18" ht="13.2">
      <c r="C19" s="50" t="s">
        <v>723</v>
      </c>
      <c r="D19" s="50" t="s">
        <v>541</v>
      </c>
      <c r="E19" s="50"/>
      <c r="F19" s="50"/>
      <c r="G19" s="52" t="s">
        <v>309</v>
      </c>
      <c r="H19" s="50"/>
      <c r="I19" s="50"/>
      <c r="J19" s="51"/>
      <c r="K19" s="51"/>
      <c r="L19" s="51"/>
      <c r="M19" s="51"/>
      <c r="N19" s="51"/>
      <c r="O19" s="74"/>
      <c r="P19" s="51"/>
      <c r="Q19" s="51"/>
      <c r="R19" s="51"/>
    </row>
    <row r="20" spans="1:18" ht="13.2">
      <c r="C20" s="50" t="s">
        <v>724</v>
      </c>
      <c r="D20" s="50" t="s">
        <v>542</v>
      </c>
      <c r="E20" s="50"/>
      <c r="F20" s="50"/>
      <c r="G20" s="52" t="s">
        <v>308</v>
      </c>
      <c r="H20" s="50"/>
      <c r="I20" s="50"/>
      <c r="J20" s="51"/>
      <c r="K20" s="51"/>
      <c r="L20" s="51"/>
      <c r="M20" s="51"/>
      <c r="N20" s="51"/>
      <c r="O20" s="51"/>
      <c r="P20" s="51"/>
      <c r="Q20" s="51"/>
      <c r="R20" s="51"/>
    </row>
    <row r="21" spans="1:18" ht="13.2">
      <c r="C21" s="50" t="s">
        <v>725</v>
      </c>
      <c r="D21" s="50" t="s">
        <v>543</v>
      </c>
      <c r="E21" s="50"/>
      <c r="F21" s="50"/>
      <c r="G21" s="50" t="s">
        <v>551</v>
      </c>
      <c r="H21" s="50"/>
      <c r="I21" s="50"/>
      <c r="J21" s="51"/>
      <c r="K21" s="51"/>
      <c r="L21" s="51"/>
      <c r="M21" s="51"/>
      <c r="N21" s="51"/>
      <c r="O21" s="51"/>
      <c r="P21" s="51"/>
      <c r="Q21" s="51"/>
      <c r="R21" s="51"/>
    </row>
    <row r="22" spans="1:18" ht="13.2">
      <c r="C22" s="51"/>
      <c r="D22" s="51"/>
      <c r="E22" s="51"/>
      <c r="F22" s="51"/>
      <c r="G22" s="51"/>
      <c r="H22" s="51"/>
      <c r="I22" s="51"/>
      <c r="J22" s="51"/>
      <c r="K22" s="51"/>
      <c r="L22" s="51"/>
      <c r="M22" s="51"/>
      <c r="N22" s="51"/>
      <c r="O22" s="51"/>
      <c r="P22" s="51"/>
      <c r="Q22" s="51"/>
      <c r="R22" s="51"/>
    </row>
    <row r="23" spans="1:18" ht="13.2">
      <c r="C23" s="47" t="s">
        <v>555</v>
      </c>
      <c r="D23" s="47" t="s">
        <v>556</v>
      </c>
      <c r="E23" s="47"/>
      <c r="F23" s="47"/>
      <c r="G23" s="50"/>
      <c r="H23" s="47"/>
      <c r="I23" s="50"/>
      <c r="J23" s="47"/>
      <c r="K23" s="47"/>
      <c r="L23" s="54"/>
      <c r="M23" s="54"/>
      <c r="N23" s="51"/>
      <c r="O23" s="51"/>
      <c r="P23" s="51"/>
      <c r="Q23" s="51"/>
      <c r="R23" s="51"/>
    </row>
    <row r="24" spans="1:18" ht="13.2">
      <c r="C24" s="50"/>
      <c r="D24" s="50"/>
      <c r="E24" s="50"/>
      <c r="F24" s="50"/>
      <c r="G24" s="50"/>
      <c r="H24" s="50"/>
      <c r="I24" s="50"/>
      <c r="J24" s="50"/>
      <c r="K24" s="50"/>
      <c r="L24" s="51"/>
      <c r="M24" s="51"/>
      <c r="N24" s="51"/>
      <c r="O24" s="51"/>
      <c r="P24" s="51"/>
      <c r="Q24" s="51"/>
      <c r="R24" s="51"/>
    </row>
    <row r="25" spans="1:18" ht="13.2">
      <c r="C25" s="50" t="s">
        <v>726</v>
      </c>
      <c r="D25" s="50" t="s">
        <v>544</v>
      </c>
      <c r="E25" s="50"/>
      <c r="F25" s="50"/>
      <c r="G25" s="53">
        <v>39638</v>
      </c>
      <c r="H25" s="50"/>
      <c r="I25" s="50"/>
      <c r="J25" s="50"/>
      <c r="K25" s="50"/>
      <c r="L25" s="51"/>
      <c r="M25" s="51"/>
      <c r="N25" s="51"/>
      <c r="O25" s="51"/>
      <c r="P25" s="51"/>
      <c r="Q25" s="51"/>
      <c r="R25" s="51"/>
    </row>
    <row r="26" spans="1:18" ht="13.2">
      <c r="C26" s="50" t="s">
        <v>727</v>
      </c>
      <c r="D26" s="50" t="s">
        <v>545</v>
      </c>
      <c r="E26" s="50"/>
      <c r="F26" s="50"/>
      <c r="G26" s="44">
        <v>590</v>
      </c>
      <c r="H26" s="50"/>
      <c r="I26" s="50"/>
      <c r="J26" s="50"/>
      <c r="K26" s="50"/>
      <c r="L26" s="51"/>
      <c r="M26" s="51"/>
      <c r="N26" s="51"/>
      <c r="O26" s="51"/>
      <c r="P26" s="51"/>
      <c r="Q26" s="51"/>
      <c r="R26" s="51"/>
    </row>
    <row r="27" spans="1:18" ht="13.2">
      <c r="C27" s="50" t="s">
        <v>728</v>
      </c>
      <c r="D27" s="50" t="s">
        <v>546</v>
      </c>
      <c r="E27" s="50"/>
      <c r="F27" s="50"/>
      <c r="G27" s="44" t="s">
        <v>552</v>
      </c>
      <c r="H27" s="50"/>
      <c r="I27" s="50"/>
      <c r="J27" s="50"/>
      <c r="K27" s="50"/>
      <c r="L27" s="51"/>
      <c r="M27" s="51"/>
      <c r="N27" s="51"/>
      <c r="O27" s="51"/>
      <c r="P27" s="51"/>
      <c r="Q27" s="51"/>
      <c r="R27" s="51"/>
    </row>
    <row r="28" spans="1:18" ht="13.2">
      <c r="C28" s="50" t="s">
        <v>729</v>
      </c>
      <c r="D28" s="50" t="s">
        <v>547</v>
      </c>
      <c r="E28" s="50"/>
      <c r="F28" s="50"/>
      <c r="G28" s="53">
        <v>41204</v>
      </c>
      <c r="H28" s="50"/>
      <c r="I28" s="50"/>
      <c r="J28" s="50"/>
      <c r="K28" s="50"/>
      <c r="L28" s="51"/>
      <c r="M28" s="51"/>
      <c r="N28" s="51"/>
      <c r="O28" s="51"/>
      <c r="P28" s="51"/>
      <c r="Q28" s="51"/>
      <c r="R28" s="51"/>
    </row>
    <row r="29" spans="1:18" ht="13.2">
      <c r="C29" s="50" t="s">
        <v>506</v>
      </c>
      <c r="D29" s="50" t="s">
        <v>548</v>
      </c>
      <c r="E29" s="50"/>
      <c r="F29" s="50"/>
      <c r="G29" s="53">
        <v>41348</v>
      </c>
      <c r="H29" s="50"/>
      <c r="I29" s="50"/>
      <c r="J29" s="50"/>
      <c r="K29" s="50"/>
      <c r="L29" s="51"/>
      <c r="M29" s="51"/>
      <c r="N29" s="51"/>
      <c r="O29" s="51"/>
      <c r="P29" s="51"/>
      <c r="Q29" s="51"/>
      <c r="R29" s="51"/>
    </row>
    <row r="30" spans="1:18" ht="13.2">
      <c r="C30" s="50" t="s">
        <v>506</v>
      </c>
      <c r="D30" s="50" t="s">
        <v>549</v>
      </c>
      <c r="E30" s="50"/>
      <c r="F30" s="50"/>
      <c r="G30" s="53">
        <v>42292</v>
      </c>
      <c r="H30" s="50"/>
      <c r="I30" s="50"/>
      <c r="J30" s="50"/>
      <c r="K30" s="50"/>
      <c r="L30" s="51"/>
      <c r="M30" s="51"/>
      <c r="N30" s="51"/>
      <c r="O30" s="51"/>
      <c r="P30" s="51"/>
      <c r="Q30" s="51"/>
      <c r="R30" s="51"/>
    </row>
    <row r="31" spans="1:18" ht="13.2">
      <c r="C31" s="50" t="s">
        <v>730</v>
      </c>
      <c r="D31" s="50" t="s">
        <v>545</v>
      </c>
      <c r="E31" s="50"/>
      <c r="F31" s="50"/>
      <c r="G31" s="44">
        <v>245</v>
      </c>
      <c r="H31" s="50"/>
      <c r="I31" s="50"/>
      <c r="J31" s="50"/>
      <c r="K31" s="50"/>
      <c r="L31" s="51"/>
      <c r="M31" s="51"/>
      <c r="N31" s="51"/>
      <c r="O31" s="51"/>
      <c r="P31" s="51"/>
      <c r="Q31" s="51"/>
      <c r="R31" s="51"/>
    </row>
    <row r="32" spans="1:18" ht="13.2">
      <c r="A32" s="10" t="s">
        <v>307</v>
      </c>
      <c r="C32" s="50" t="s">
        <v>506</v>
      </c>
      <c r="D32" s="50" t="s">
        <v>545</v>
      </c>
      <c r="E32" s="50"/>
      <c r="F32" s="50"/>
      <c r="G32" s="44">
        <v>245</v>
      </c>
      <c r="H32" s="50"/>
      <c r="I32" s="50"/>
      <c r="J32" s="50"/>
      <c r="K32" s="50"/>
      <c r="L32" s="51"/>
      <c r="M32" s="51"/>
      <c r="N32" s="51"/>
      <c r="O32" s="51"/>
      <c r="P32" s="51"/>
      <c r="Q32" s="51"/>
      <c r="R32" s="51"/>
    </row>
    <row r="33" spans="3:18" ht="13.2">
      <c r="C33" s="50" t="s">
        <v>506</v>
      </c>
      <c r="D33" s="50" t="s">
        <v>545</v>
      </c>
      <c r="E33" s="50"/>
      <c r="F33" s="50"/>
      <c r="G33" s="44">
        <v>1</v>
      </c>
      <c r="H33" s="50"/>
      <c r="I33" s="50"/>
      <c r="J33" s="50"/>
      <c r="K33" s="50"/>
      <c r="L33" s="51"/>
      <c r="M33" s="51"/>
      <c r="N33" s="51"/>
      <c r="O33" s="51"/>
      <c r="P33" s="51"/>
      <c r="Q33" s="51"/>
      <c r="R33" s="51"/>
    </row>
    <row r="34" spans="3:18" ht="13.2">
      <c r="C34" s="50"/>
      <c r="D34" s="50"/>
      <c r="E34" s="50"/>
      <c r="F34" s="50"/>
      <c r="G34" s="50"/>
      <c r="H34" s="50"/>
      <c r="I34" s="50"/>
      <c r="J34" s="50"/>
      <c r="K34" s="50"/>
      <c r="L34" s="51"/>
      <c r="M34" s="51"/>
      <c r="N34" s="51"/>
      <c r="O34" s="51"/>
      <c r="P34" s="51"/>
      <c r="Q34" s="51"/>
      <c r="R34" s="51"/>
    </row>
    <row r="35" spans="3:18" ht="13.2">
      <c r="C35" s="47" t="s">
        <v>507</v>
      </c>
      <c r="D35" s="47" t="s">
        <v>508</v>
      </c>
      <c r="E35" s="47"/>
      <c r="F35" s="47"/>
      <c r="G35" s="47"/>
      <c r="H35" s="47"/>
      <c r="I35" s="47"/>
      <c r="J35" s="47"/>
      <c r="K35" s="47"/>
      <c r="L35" s="54"/>
      <c r="M35" s="54"/>
      <c r="N35" s="51"/>
      <c r="O35" s="51"/>
      <c r="P35" s="51"/>
      <c r="Q35" s="51"/>
      <c r="R35" s="51"/>
    </row>
    <row r="36" spans="3:18" ht="13.2">
      <c r="C36" s="54"/>
      <c r="D36" s="54"/>
      <c r="E36" s="54"/>
      <c r="F36" s="54"/>
      <c r="G36" s="54"/>
      <c r="H36" s="54"/>
      <c r="I36" s="54"/>
      <c r="J36" s="54"/>
      <c r="K36" s="54"/>
      <c r="L36" s="54"/>
      <c r="M36" s="54"/>
      <c r="N36" s="51"/>
      <c r="O36" s="51"/>
      <c r="P36" s="51"/>
      <c r="Q36" s="51"/>
      <c r="R36" s="51"/>
    </row>
    <row r="37" spans="3:18" ht="15" customHeight="1">
      <c r="C37" s="408" t="s">
        <v>737</v>
      </c>
      <c r="D37" s="409"/>
      <c r="E37" s="409"/>
      <c r="F37" s="424"/>
      <c r="G37" s="408" t="s">
        <v>738</v>
      </c>
      <c r="H37" s="409"/>
      <c r="I37" s="409"/>
      <c r="J37" s="409"/>
      <c r="K37" s="409"/>
      <c r="L37" s="75"/>
      <c r="M37" s="75"/>
      <c r="N37" s="76"/>
      <c r="O37" s="76"/>
      <c r="P37" s="51"/>
      <c r="Q37" s="51"/>
      <c r="R37" s="51"/>
    </row>
    <row r="38" spans="3:18" ht="15" customHeight="1">
      <c r="C38" s="408" t="s">
        <v>739</v>
      </c>
      <c r="D38" s="409"/>
      <c r="E38" s="409"/>
      <c r="F38" s="409"/>
      <c r="G38" s="409"/>
      <c r="H38" s="409"/>
      <c r="I38" s="409"/>
      <c r="J38" s="409"/>
      <c r="K38" s="409"/>
      <c r="L38" s="331"/>
      <c r="M38" s="77"/>
      <c r="N38" s="77"/>
      <c r="O38" s="77"/>
      <c r="P38" s="51"/>
      <c r="Q38" s="51"/>
      <c r="R38" s="51"/>
    </row>
    <row r="39" spans="3:18" ht="15" customHeight="1">
      <c r="C39" s="403" t="s">
        <v>514</v>
      </c>
      <c r="D39" s="403"/>
      <c r="E39" s="403"/>
      <c r="F39" s="403"/>
      <c r="G39" s="403" t="s">
        <v>522</v>
      </c>
      <c r="H39" s="403"/>
      <c r="I39" s="403"/>
      <c r="J39" s="403"/>
      <c r="K39" s="403"/>
      <c r="L39" s="332"/>
      <c r="M39" s="78"/>
      <c r="N39" s="406"/>
      <c r="O39" s="406"/>
      <c r="P39" s="51"/>
      <c r="Q39" s="51"/>
      <c r="R39" s="51"/>
    </row>
    <row r="40" spans="3:18" ht="15" customHeight="1">
      <c r="C40" s="403" t="s">
        <v>515</v>
      </c>
      <c r="D40" s="403"/>
      <c r="E40" s="403"/>
      <c r="F40" s="403"/>
      <c r="G40" s="403" t="s">
        <v>516</v>
      </c>
      <c r="H40" s="403"/>
      <c r="I40" s="403"/>
      <c r="J40" s="403"/>
      <c r="K40" s="403"/>
      <c r="L40" s="332"/>
      <c r="M40" s="78"/>
      <c r="N40" s="76"/>
      <c r="O40" s="76"/>
      <c r="P40" s="51"/>
      <c r="Q40" s="51"/>
      <c r="R40" s="51"/>
    </row>
    <row r="41" spans="3:18" ht="15" customHeight="1">
      <c r="C41" s="403" t="s">
        <v>455</v>
      </c>
      <c r="D41" s="403"/>
      <c r="E41" s="403"/>
      <c r="F41" s="403"/>
      <c r="G41" s="403" t="s">
        <v>517</v>
      </c>
      <c r="H41" s="403"/>
      <c r="I41" s="403"/>
      <c r="J41" s="403"/>
      <c r="K41" s="403"/>
      <c r="L41" s="332"/>
      <c r="M41" s="78"/>
      <c r="N41" s="76"/>
      <c r="O41" s="76"/>
      <c r="P41" s="51"/>
      <c r="Q41" s="51"/>
      <c r="R41" s="51"/>
    </row>
    <row r="42" spans="3:18" ht="15" customHeight="1">
      <c r="C42" s="403" t="s">
        <v>455</v>
      </c>
      <c r="D42" s="403"/>
      <c r="E42" s="403"/>
      <c r="F42" s="403"/>
      <c r="G42" s="403" t="s">
        <v>815</v>
      </c>
      <c r="H42" s="403"/>
      <c r="I42" s="403"/>
      <c r="J42" s="403"/>
      <c r="K42" s="403"/>
      <c r="L42" s="332"/>
      <c r="M42" s="78"/>
      <c r="N42" s="76"/>
      <c r="O42" s="76"/>
      <c r="P42" s="51"/>
      <c r="Q42" s="51"/>
      <c r="R42" s="51"/>
    </row>
    <row r="43" spans="3:18" ht="15" customHeight="1">
      <c r="C43" s="403" t="s">
        <v>455</v>
      </c>
      <c r="D43" s="403"/>
      <c r="E43" s="403"/>
      <c r="F43" s="403"/>
      <c r="G43" s="403" t="s">
        <v>816</v>
      </c>
      <c r="H43" s="403"/>
      <c r="I43" s="403"/>
      <c r="J43" s="403"/>
      <c r="K43" s="403"/>
      <c r="L43" s="332"/>
      <c r="M43" s="78"/>
      <c r="N43" s="76"/>
      <c r="O43" s="76"/>
      <c r="P43" s="51"/>
      <c r="Q43" s="51"/>
      <c r="R43" s="51"/>
    </row>
    <row r="44" spans="3:18" ht="15" customHeight="1">
      <c r="C44" s="403" t="s">
        <v>524</v>
      </c>
      <c r="D44" s="403"/>
      <c r="E44" s="403"/>
      <c r="F44" s="403"/>
      <c r="G44" s="403" t="s">
        <v>819</v>
      </c>
      <c r="H44" s="403"/>
      <c r="I44" s="403"/>
      <c r="J44" s="403"/>
      <c r="K44" s="403"/>
      <c r="L44" s="332"/>
      <c r="M44" s="78"/>
      <c r="N44" s="76"/>
      <c r="O44" s="76"/>
      <c r="P44" s="51"/>
      <c r="Q44" s="51"/>
      <c r="R44" s="51"/>
    </row>
    <row r="45" spans="3:18" ht="15" customHeight="1">
      <c r="C45" s="408" t="s">
        <v>740</v>
      </c>
      <c r="D45" s="409"/>
      <c r="E45" s="409"/>
      <c r="F45" s="409"/>
      <c r="G45" s="409"/>
      <c r="H45" s="409"/>
      <c r="I45" s="409"/>
      <c r="J45" s="409"/>
      <c r="K45" s="409"/>
      <c r="L45" s="331"/>
      <c r="M45" s="77"/>
      <c r="N45" s="77"/>
      <c r="O45" s="77"/>
      <c r="P45" s="51"/>
      <c r="Q45" s="51"/>
      <c r="R45" s="51"/>
    </row>
    <row r="46" spans="3:18" ht="15" customHeight="1">
      <c r="C46" s="403" t="s">
        <v>525</v>
      </c>
      <c r="D46" s="403"/>
      <c r="E46" s="403"/>
      <c r="F46" s="403"/>
      <c r="G46" s="403" t="s">
        <v>816</v>
      </c>
      <c r="H46" s="403"/>
      <c r="I46" s="403"/>
      <c r="J46" s="403"/>
      <c r="K46" s="403"/>
      <c r="L46" s="332"/>
      <c r="M46" s="78"/>
      <c r="N46" s="76"/>
      <c r="O46" s="76"/>
      <c r="P46" s="51"/>
      <c r="Q46" s="51"/>
      <c r="R46" s="51"/>
    </row>
    <row r="47" spans="3:18" ht="15" customHeight="1">
      <c r="C47" s="403" t="s">
        <v>526</v>
      </c>
      <c r="D47" s="403"/>
      <c r="E47" s="403"/>
      <c r="F47" s="403"/>
      <c r="G47" s="403" t="s">
        <v>818</v>
      </c>
      <c r="H47" s="403"/>
      <c r="I47" s="403"/>
      <c r="J47" s="403"/>
      <c r="K47" s="403"/>
      <c r="L47" s="332"/>
      <c r="M47" s="78"/>
      <c r="N47" s="76"/>
      <c r="O47" s="76"/>
      <c r="P47" s="51"/>
      <c r="Q47" s="51"/>
      <c r="R47" s="51"/>
    </row>
    <row r="48" spans="3:18" ht="15" customHeight="1">
      <c r="C48" s="425" t="s">
        <v>527</v>
      </c>
      <c r="D48" s="426"/>
      <c r="E48" s="426"/>
      <c r="F48" s="427"/>
      <c r="G48" s="425" t="s">
        <v>517</v>
      </c>
      <c r="H48" s="426"/>
      <c r="I48" s="426"/>
      <c r="J48" s="426"/>
      <c r="K48" s="427"/>
      <c r="L48" s="332"/>
      <c r="M48" s="78"/>
      <c r="N48" s="76"/>
      <c r="O48" s="76"/>
      <c r="P48" s="51"/>
      <c r="Q48" s="51"/>
      <c r="R48" s="51"/>
    </row>
    <row r="49" spans="3:18" ht="15" customHeight="1">
      <c r="C49" s="403" t="s">
        <v>528</v>
      </c>
      <c r="D49" s="403"/>
      <c r="E49" s="403"/>
      <c r="F49" s="403"/>
      <c r="G49" s="403" t="s">
        <v>519</v>
      </c>
      <c r="H49" s="403"/>
      <c r="I49" s="403"/>
      <c r="J49" s="403"/>
      <c r="K49" s="403"/>
      <c r="L49" s="332"/>
      <c r="M49" s="78"/>
      <c r="N49" s="76"/>
      <c r="O49" s="76"/>
      <c r="P49" s="51"/>
      <c r="Q49" s="51"/>
      <c r="R49" s="51"/>
    </row>
    <row r="50" spans="3:18" ht="15" customHeight="1">
      <c r="C50" s="403" t="s">
        <v>529</v>
      </c>
      <c r="D50" s="403"/>
      <c r="E50" s="403"/>
      <c r="F50" s="403"/>
      <c r="G50" s="403" t="s">
        <v>817</v>
      </c>
      <c r="H50" s="403"/>
      <c r="I50" s="403"/>
      <c r="J50" s="403"/>
      <c r="K50" s="403"/>
      <c r="L50" s="332"/>
      <c r="M50" s="78"/>
      <c r="N50" s="76"/>
      <c r="O50" s="76"/>
      <c r="P50" s="51"/>
      <c r="Q50" s="51"/>
      <c r="R50" s="51"/>
    </row>
    <row r="51" spans="3:18" ht="15" customHeight="1">
      <c r="C51" s="403" t="s">
        <v>523</v>
      </c>
      <c r="D51" s="403"/>
      <c r="E51" s="403"/>
      <c r="F51" s="403"/>
      <c r="G51" s="403" t="s">
        <v>520</v>
      </c>
      <c r="H51" s="403"/>
      <c r="I51" s="403"/>
      <c r="J51" s="403"/>
      <c r="K51" s="403"/>
      <c r="L51" s="332"/>
      <c r="M51" s="78"/>
      <c r="N51" s="76"/>
      <c r="O51" s="76"/>
      <c r="P51" s="51"/>
      <c r="Q51" s="51"/>
      <c r="R51" s="51"/>
    </row>
    <row r="52" spans="3:18" ht="13.2">
      <c r="C52" s="47"/>
      <c r="D52" s="47"/>
      <c r="E52" s="47"/>
      <c r="F52" s="47"/>
      <c r="G52" s="47"/>
      <c r="H52" s="47"/>
      <c r="I52" s="47"/>
      <c r="J52" s="47"/>
      <c r="K52" s="47"/>
      <c r="L52" s="333"/>
      <c r="M52" s="54"/>
      <c r="N52" s="51"/>
      <c r="O52" s="51"/>
      <c r="P52" s="51"/>
      <c r="Q52" s="51"/>
      <c r="R52" s="51"/>
    </row>
    <row r="53" spans="3:18" ht="13.2">
      <c r="C53" s="51"/>
      <c r="D53" s="51"/>
      <c r="E53" s="51"/>
      <c r="F53" s="51"/>
      <c r="G53" s="51"/>
      <c r="H53" s="51"/>
      <c r="I53" s="51"/>
      <c r="J53" s="51"/>
      <c r="K53" s="51"/>
      <c r="L53" s="51"/>
      <c r="M53" s="51"/>
      <c r="N53" s="51"/>
      <c r="O53" s="51"/>
      <c r="P53" s="51"/>
      <c r="Q53" s="51"/>
      <c r="R53" s="51"/>
    </row>
    <row r="54" spans="3:18" ht="13.2">
      <c r="C54" s="47" t="s">
        <v>557</v>
      </c>
      <c r="D54" s="47" t="s">
        <v>558</v>
      </c>
      <c r="E54" s="47"/>
      <c r="F54" s="47"/>
      <c r="G54" s="47"/>
      <c r="H54" s="47"/>
      <c r="I54" s="47"/>
      <c r="J54" s="47"/>
      <c r="K54" s="47"/>
      <c r="L54" s="47"/>
      <c r="M54" s="47"/>
      <c r="N54" s="50"/>
      <c r="O54" s="50"/>
      <c r="P54" s="50"/>
      <c r="Q54" s="50"/>
      <c r="R54" s="50"/>
    </row>
    <row r="55" spans="3:18" ht="13.2">
      <c r="C55" s="50"/>
      <c r="D55" s="50"/>
      <c r="E55" s="50"/>
      <c r="F55" s="50"/>
      <c r="G55" s="50"/>
      <c r="H55" s="50"/>
      <c r="I55" s="50"/>
      <c r="J55" s="50"/>
      <c r="K55" s="50"/>
      <c r="L55" s="50"/>
      <c r="M55" s="50"/>
      <c r="N55" s="50"/>
      <c r="O55" s="50"/>
      <c r="P55" s="50"/>
      <c r="Q55" s="50"/>
      <c r="R55" s="50"/>
    </row>
    <row r="56" spans="3:18" ht="27.6" customHeight="1">
      <c r="C56" s="430" t="s">
        <v>855</v>
      </c>
      <c r="D56" s="430"/>
      <c r="E56" s="430"/>
      <c r="F56" s="430"/>
      <c r="G56" s="430"/>
      <c r="H56" s="430"/>
      <c r="I56" s="430"/>
      <c r="J56" s="430"/>
      <c r="K56" s="430"/>
      <c r="L56" s="430"/>
      <c r="M56" s="430"/>
      <c r="N56" s="430"/>
      <c r="O56" s="430"/>
      <c r="P56" s="430"/>
      <c r="Q56" s="430"/>
      <c r="R56" s="430"/>
    </row>
    <row r="57" spans="3:18" ht="13.2">
      <c r="C57" s="50" t="s">
        <v>731</v>
      </c>
      <c r="D57" s="50"/>
      <c r="E57" s="50"/>
      <c r="F57" s="416">
        <v>34000000000</v>
      </c>
      <c r="G57" s="416"/>
      <c r="H57" s="50"/>
      <c r="I57" s="50"/>
      <c r="J57" s="50"/>
      <c r="K57" s="50"/>
      <c r="L57" s="50"/>
      <c r="M57" s="50"/>
      <c r="N57" s="50"/>
      <c r="O57" s="55"/>
      <c r="P57" s="50"/>
      <c r="Q57" s="50"/>
      <c r="R57" s="50"/>
    </row>
    <row r="58" spans="3:18" ht="13.2">
      <c r="C58" s="50" t="s">
        <v>732</v>
      </c>
      <c r="D58" s="50"/>
      <c r="E58" s="50"/>
      <c r="F58" s="416">
        <v>34000000000</v>
      </c>
      <c r="G58" s="416"/>
      <c r="H58" s="56"/>
      <c r="I58" s="50"/>
      <c r="J58" s="50"/>
      <c r="K58" s="50"/>
      <c r="L58" s="50"/>
      <c r="M58" s="50"/>
      <c r="N58" s="50"/>
      <c r="O58" s="50"/>
      <c r="P58" s="50"/>
      <c r="Q58" s="50"/>
      <c r="R58" s="50"/>
    </row>
    <row r="59" spans="3:18" ht="13.2">
      <c r="C59" s="50" t="s">
        <v>733</v>
      </c>
      <c r="D59" s="50"/>
      <c r="E59" s="50"/>
      <c r="F59" s="416">
        <v>34000000000</v>
      </c>
      <c r="G59" s="416"/>
      <c r="H59" s="56"/>
      <c r="I59" s="50"/>
      <c r="J59" s="50"/>
      <c r="K59" s="50"/>
      <c r="L59" s="50"/>
      <c r="M59" s="50"/>
      <c r="N59" s="50"/>
      <c r="O59" s="50"/>
      <c r="P59" s="50"/>
      <c r="Q59" s="50"/>
      <c r="R59" s="50"/>
    </row>
    <row r="60" spans="3:18" ht="13.2">
      <c r="C60" s="50" t="s">
        <v>734</v>
      </c>
      <c r="D60" s="50"/>
      <c r="E60" s="50"/>
      <c r="F60" s="416">
        <v>100000</v>
      </c>
      <c r="G60" s="416"/>
      <c r="H60" s="56"/>
      <c r="I60" s="50"/>
      <c r="J60" s="50"/>
      <c r="K60" s="50"/>
      <c r="L60" s="50"/>
      <c r="M60" s="50"/>
      <c r="N60" s="50"/>
      <c r="O60" s="50"/>
      <c r="P60" s="50"/>
      <c r="Q60" s="50"/>
      <c r="R60" s="50"/>
    </row>
    <row r="61" spans="3:18" ht="13.2">
      <c r="C61" s="50"/>
      <c r="D61" s="50"/>
      <c r="E61" s="50"/>
      <c r="F61" s="50"/>
      <c r="G61" s="50"/>
      <c r="H61" s="50"/>
      <c r="I61" s="50"/>
      <c r="J61" s="50"/>
      <c r="K61" s="50"/>
      <c r="L61" s="50"/>
      <c r="M61" s="50"/>
      <c r="N61" s="50"/>
      <c r="O61" s="50"/>
      <c r="P61" s="50"/>
      <c r="Q61" s="50"/>
      <c r="R61" s="50"/>
    </row>
    <row r="62" spans="3:18" ht="13.2">
      <c r="C62" s="415" t="s">
        <v>559</v>
      </c>
      <c r="D62" s="415"/>
      <c r="E62" s="415"/>
      <c r="F62" s="415"/>
      <c r="G62" s="415"/>
      <c r="H62" s="415"/>
      <c r="I62" s="415"/>
      <c r="J62" s="415"/>
      <c r="K62" s="415"/>
      <c r="L62" s="415"/>
      <c r="M62" s="415"/>
      <c r="N62" s="50"/>
      <c r="O62" s="50"/>
      <c r="P62" s="50"/>
      <c r="Q62" s="50"/>
      <c r="R62" s="50"/>
    </row>
    <row r="63" spans="3:18" ht="52.8">
      <c r="C63" s="101" t="s">
        <v>474</v>
      </c>
      <c r="D63" s="101" t="s">
        <v>394</v>
      </c>
      <c r="E63" s="101" t="s">
        <v>741</v>
      </c>
      <c r="F63" s="101" t="s">
        <v>778</v>
      </c>
      <c r="G63" s="101" t="s">
        <v>742</v>
      </c>
      <c r="H63" s="101" t="s">
        <v>743</v>
      </c>
      <c r="I63" s="101" t="s">
        <v>744</v>
      </c>
      <c r="J63" s="101" t="s">
        <v>745</v>
      </c>
      <c r="K63" s="101" t="s">
        <v>746</v>
      </c>
      <c r="L63" s="101" t="s">
        <v>747</v>
      </c>
      <c r="M63" s="101" t="s">
        <v>777</v>
      </c>
      <c r="N63" s="57"/>
      <c r="O63" s="50"/>
      <c r="P63" s="50"/>
      <c r="Q63" s="50"/>
      <c r="R63" s="50"/>
    </row>
    <row r="64" spans="3:18" ht="13.2">
      <c r="C64" s="399">
        <v>1</v>
      </c>
      <c r="D64" s="399" t="s">
        <v>386</v>
      </c>
      <c r="E64" s="58" t="s">
        <v>475</v>
      </c>
      <c r="F64" s="59">
        <v>1</v>
      </c>
      <c r="G64" s="59">
        <v>1</v>
      </c>
      <c r="H64" s="59">
        <v>3880</v>
      </c>
      <c r="I64" s="419">
        <f>297721+39684</f>
        <v>337405</v>
      </c>
      <c r="J64" s="58" t="s">
        <v>476</v>
      </c>
      <c r="K64" s="419">
        <f>297721+39684</f>
        <v>337405</v>
      </c>
      <c r="L64" s="60">
        <v>388000000</v>
      </c>
      <c r="M64" s="417">
        <v>0.99239999999999995</v>
      </c>
      <c r="N64" s="50"/>
      <c r="O64" s="50"/>
      <c r="P64" s="50"/>
      <c r="Q64" s="50"/>
      <c r="R64" s="50"/>
    </row>
    <row r="65" spans="3:18" ht="13.2">
      <c r="C65" s="399"/>
      <c r="D65" s="399"/>
      <c r="E65" s="58" t="s">
        <v>475</v>
      </c>
      <c r="F65" s="59">
        <v>3</v>
      </c>
      <c r="G65" s="59">
        <v>4641</v>
      </c>
      <c r="H65" s="59">
        <v>7600</v>
      </c>
      <c r="I65" s="420"/>
      <c r="J65" s="58" t="s">
        <v>476</v>
      </c>
      <c r="K65" s="421"/>
      <c r="L65" s="60">
        <v>296000000</v>
      </c>
      <c r="M65" s="418"/>
      <c r="N65" s="50"/>
      <c r="O65" s="50"/>
      <c r="P65" s="50"/>
      <c r="Q65" s="50"/>
      <c r="R65" s="50"/>
    </row>
    <row r="66" spans="3:18" ht="13.2">
      <c r="C66" s="399"/>
      <c r="D66" s="399"/>
      <c r="E66" s="58" t="s">
        <v>475</v>
      </c>
      <c r="F66" s="59">
        <v>4</v>
      </c>
      <c r="G66" s="59">
        <v>7601</v>
      </c>
      <c r="H66" s="59">
        <v>10000</v>
      </c>
      <c r="I66" s="420"/>
      <c r="J66" s="58" t="s">
        <v>476</v>
      </c>
      <c r="K66" s="421"/>
      <c r="L66" s="60">
        <v>240000000</v>
      </c>
      <c r="M66" s="418"/>
      <c r="N66" s="50"/>
      <c r="O66" s="50"/>
      <c r="P66" s="50"/>
      <c r="Q66" s="50"/>
      <c r="R66" s="50"/>
    </row>
    <row r="67" spans="3:18" ht="13.2">
      <c r="C67" s="399"/>
      <c r="D67" s="399"/>
      <c r="E67" s="58" t="s">
        <v>477</v>
      </c>
      <c r="F67" s="59">
        <v>5</v>
      </c>
      <c r="G67" s="59">
        <v>1</v>
      </c>
      <c r="H67" s="59">
        <v>10000</v>
      </c>
      <c r="I67" s="420"/>
      <c r="J67" s="58" t="s">
        <v>476</v>
      </c>
      <c r="K67" s="421"/>
      <c r="L67" s="60">
        <v>1000000000</v>
      </c>
      <c r="M67" s="418"/>
      <c r="N67" s="50"/>
      <c r="O67" s="50"/>
      <c r="P67" s="50"/>
      <c r="Q67" s="50"/>
      <c r="R67" s="50"/>
    </row>
    <row r="68" spans="3:18" ht="13.2">
      <c r="C68" s="399"/>
      <c r="D68" s="399"/>
      <c r="E68" s="58" t="s">
        <v>478</v>
      </c>
      <c r="F68" s="59">
        <v>6</v>
      </c>
      <c r="G68" s="59">
        <v>1</v>
      </c>
      <c r="H68" s="59">
        <v>10000</v>
      </c>
      <c r="I68" s="420"/>
      <c r="J68" s="58" t="s">
        <v>476</v>
      </c>
      <c r="K68" s="421"/>
      <c r="L68" s="60">
        <v>1000000000</v>
      </c>
      <c r="M68" s="418"/>
      <c r="N68" s="50"/>
      <c r="O68" s="50"/>
      <c r="P68" s="50"/>
      <c r="Q68" s="50"/>
      <c r="R68" s="50"/>
    </row>
    <row r="69" spans="3:18" ht="13.2">
      <c r="C69" s="399"/>
      <c r="D69" s="399"/>
      <c r="E69" s="58" t="s">
        <v>479</v>
      </c>
      <c r="F69" s="59">
        <v>7</v>
      </c>
      <c r="G69" s="59">
        <v>1</v>
      </c>
      <c r="H69" s="59">
        <v>10000</v>
      </c>
      <c r="I69" s="420"/>
      <c r="J69" s="58" t="s">
        <v>476</v>
      </c>
      <c r="K69" s="421"/>
      <c r="L69" s="60">
        <v>1000000000</v>
      </c>
      <c r="M69" s="418"/>
      <c r="N69" s="50"/>
      <c r="O69" s="50"/>
      <c r="P69" s="50"/>
      <c r="Q69" s="50"/>
      <c r="R69" s="50"/>
    </row>
    <row r="70" spans="3:18" ht="13.2">
      <c r="C70" s="399"/>
      <c r="D70" s="399"/>
      <c r="E70" s="58" t="s">
        <v>480</v>
      </c>
      <c r="F70" s="59">
        <v>8</v>
      </c>
      <c r="G70" s="59">
        <v>1</v>
      </c>
      <c r="H70" s="59">
        <v>10000</v>
      </c>
      <c r="I70" s="420"/>
      <c r="J70" s="58" t="s">
        <v>476</v>
      </c>
      <c r="K70" s="421"/>
      <c r="L70" s="60">
        <v>1000000000</v>
      </c>
      <c r="M70" s="418"/>
      <c r="N70" s="50"/>
      <c r="O70" s="50"/>
      <c r="P70" s="50"/>
      <c r="Q70" s="50"/>
      <c r="R70" s="50"/>
    </row>
    <row r="71" spans="3:18" ht="13.2">
      <c r="C71" s="399"/>
      <c r="D71" s="399"/>
      <c r="E71" s="58" t="s">
        <v>481</v>
      </c>
      <c r="F71" s="59">
        <v>9</v>
      </c>
      <c r="G71" s="59">
        <v>1</v>
      </c>
      <c r="H71" s="59">
        <v>10000</v>
      </c>
      <c r="I71" s="420"/>
      <c r="J71" s="58" t="s">
        <v>476</v>
      </c>
      <c r="K71" s="421"/>
      <c r="L71" s="60">
        <v>1000000000</v>
      </c>
      <c r="M71" s="418"/>
      <c r="N71" s="50"/>
      <c r="O71" s="50"/>
      <c r="P71" s="50"/>
      <c r="Q71" s="50"/>
      <c r="R71" s="50"/>
    </row>
    <row r="72" spans="3:18" ht="13.2">
      <c r="C72" s="399"/>
      <c r="D72" s="399"/>
      <c r="E72" s="58" t="s">
        <v>482</v>
      </c>
      <c r="F72" s="59">
        <v>10</v>
      </c>
      <c r="G72" s="59">
        <v>1</v>
      </c>
      <c r="H72" s="59">
        <v>10000</v>
      </c>
      <c r="I72" s="420"/>
      <c r="J72" s="58" t="s">
        <v>476</v>
      </c>
      <c r="K72" s="421"/>
      <c r="L72" s="60">
        <v>1000000000</v>
      </c>
      <c r="M72" s="418"/>
      <c r="N72" s="50"/>
      <c r="O72" s="50"/>
      <c r="P72" s="50"/>
      <c r="Q72" s="50"/>
      <c r="R72" s="50"/>
    </row>
    <row r="73" spans="3:18" ht="13.2">
      <c r="C73" s="399"/>
      <c r="D73" s="399"/>
      <c r="E73" s="58" t="s">
        <v>483</v>
      </c>
      <c r="F73" s="59">
        <v>11</v>
      </c>
      <c r="G73" s="59">
        <v>1</v>
      </c>
      <c r="H73" s="59">
        <v>10000</v>
      </c>
      <c r="I73" s="420"/>
      <c r="J73" s="58" t="s">
        <v>476</v>
      </c>
      <c r="K73" s="421"/>
      <c r="L73" s="60">
        <v>1000000000</v>
      </c>
      <c r="M73" s="418"/>
      <c r="N73" s="50"/>
      <c r="O73" s="50"/>
      <c r="P73" s="50"/>
      <c r="Q73" s="50"/>
      <c r="R73" s="50"/>
    </row>
    <row r="74" spans="3:18" ht="13.2">
      <c r="C74" s="399"/>
      <c r="D74" s="399"/>
      <c r="E74" s="58" t="s">
        <v>484</v>
      </c>
      <c r="F74" s="59">
        <v>12</v>
      </c>
      <c r="G74" s="59">
        <v>1</v>
      </c>
      <c r="H74" s="59">
        <v>10000</v>
      </c>
      <c r="I74" s="420"/>
      <c r="J74" s="58" t="s">
        <v>476</v>
      </c>
      <c r="K74" s="421"/>
      <c r="L74" s="60">
        <v>1000000000</v>
      </c>
      <c r="M74" s="418"/>
      <c r="N74" s="50"/>
      <c r="O74" s="50"/>
      <c r="P74" s="50"/>
      <c r="Q74" s="50"/>
      <c r="R74" s="50"/>
    </row>
    <row r="75" spans="3:18" ht="13.2">
      <c r="C75" s="399"/>
      <c r="D75" s="399"/>
      <c r="E75" s="58" t="s">
        <v>485</v>
      </c>
      <c r="F75" s="59">
        <v>13</v>
      </c>
      <c r="G75" s="59">
        <v>1</v>
      </c>
      <c r="H75" s="59">
        <v>10000</v>
      </c>
      <c r="I75" s="420"/>
      <c r="J75" s="58" t="s">
        <v>476</v>
      </c>
      <c r="K75" s="421"/>
      <c r="L75" s="60">
        <v>1000000000</v>
      </c>
      <c r="M75" s="418"/>
      <c r="N75" s="50"/>
      <c r="O75" s="50"/>
      <c r="P75" s="50"/>
      <c r="Q75" s="50"/>
      <c r="R75" s="50"/>
    </row>
    <row r="76" spans="3:18" ht="13.2">
      <c r="C76" s="399"/>
      <c r="D76" s="399"/>
      <c r="E76" s="58" t="s">
        <v>486</v>
      </c>
      <c r="F76" s="59">
        <v>15</v>
      </c>
      <c r="G76" s="59">
        <v>836</v>
      </c>
      <c r="H76" s="59">
        <v>10000</v>
      </c>
      <c r="I76" s="420"/>
      <c r="J76" s="58" t="s">
        <v>476</v>
      </c>
      <c r="K76" s="421"/>
      <c r="L76" s="60">
        <v>916500000</v>
      </c>
      <c r="M76" s="418"/>
      <c r="N76" s="50"/>
      <c r="O76" s="50"/>
      <c r="P76" s="50"/>
      <c r="Q76" s="50"/>
      <c r="R76" s="50"/>
    </row>
    <row r="77" spans="3:18" ht="13.2">
      <c r="C77" s="399"/>
      <c r="D77" s="399"/>
      <c r="E77" s="58" t="s">
        <v>487</v>
      </c>
      <c r="F77" s="59">
        <v>16</v>
      </c>
      <c r="G77" s="59">
        <v>1</v>
      </c>
      <c r="H77" s="59">
        <v>10000</v>
      </c>
      <c r="I77" s="420"/>
      <c r="J77" s="58" t="s">
        <v>476</v>
      </c>
      <c r="K77" s="421"/>
      <c r="L77" s="60">
        <v>1000000000</v>
      </c>
      <c r="M77" s="418"/>
      <c r="N77" s="50"/>
      <c r="O77" s="50"/>
      <c r="P77" s="50"/>
      <c r="Q77" s="50"/>
      <c r="R77" s="50"/>
    </row>
    <row r="78" spans="3:18" ht="13.2">
      <c r="C78" s="399"/>
      <c r="D78" s="399"/>
      <c r="E78" s="58" t="s">
        <v>496</v>
      </c>
      <c r="F78" s="59">
        <v>17</v>
      </c>
      <c r="G78" s="59">
        <v>1</v>
      </c>
      <c r="H78" s="59">
        <v>10000</v>
      </c>
      <c r="I78" s="420"/>
      <c r="J78" s="58" t="s">
        <v>476</v>
      </c>
      <c r="K78" s="421"/>
      <c r="L78" s="60">
        <v>1000000000</v>
      </c>
      <c r="M78" s="418"/>
      <c r="N78" s="50"/>
      <c r="O78" s="50"/>
      <c r="P78" s="50"/>
      <c r="Q78" s="50"/>
      <c r="R78" s="50"/>
    </row>
    <row r="79" spans="3:18" ht="13.2">
      <c r="C79" s="399"/>
      <c r="D79" s="399"/>
      <c r="E79" s="58" t="s">
        <v>488</v>
      </c>
      <c r="F79" s="59">
        <v>18</v>
      </c>
      <c r="G79" s="59">
        <v>1</v>
      </c>
      <c r="H79" s="59">
        <v>10000</v>
      </c>
      <c r="I79" s="420"/>
      <c r="J79" s="58" t="s">
        <v>476</v>
      </c>
      <c r="K79" s="421"/>
      <c r="L79" s="60">
        <v>1000000000</v>
      </c>
      <c r="M79" s="418"/>
      <c r="N79" s="50"/>
      <c r="O79" s="50"/>
      <c r="P79" s="50"/>
      <c r="Q79" s="50"/>
      <c r="R79" s="50"/>
    </row>
    <row r="80" spans="3:18" ht="13.2">
      <c r="C80" s="399"/>
      <c r="D80" s="399"/>
      <c r="E80" s="58" t="s">
        <v>489</v>
      </c>
      <c r="F80" s="59">
        <v>19</v>
      </c>
      <c r="G80" s="59">
        <v>1</v>
      </c>
      <c r="H80" s="59">
        <v>10000</v>
      </c>
      <c r="I80" s="420"/>
      <c r="J80" s="58" t="s">
        <v>476</v>
      </c>
      <c r="K80" s="421"/>
      <c r="L80" s="60">
        <v>1000000000</v>
      </c>
      <c r="M80" s="418"/>
      <c r="N80" s="50"/>
      <c r="O80" s="50"/>
      <c r="P80" s="50"/>
      <c r="Q80" s="50"/>
      <c r="R80" s="50"/>
    </row>
    <row r="81" spans="3:18" ht="13.2">
      <c r="C81" s="399"/>
      <c r="D81" s="399"/>
      <c r="E81" s="58" t="s">
        <v>490</v>
      </c>
      <c r="F81" s="59">
        <v>20</v>
      </c>
      <c r="G81" s="59">
        <v>1</v>
      </c>
      <c r="H81" s="59">
        <v>10000</v>
      </c>
      <c r="I81" s="420"/>
      <c r="J81" s="58" t="s">
        <v>476</v>
      </c>
      <c r="K81" s="421"/>
      <c r="L81" s="60">
        <v>1000000000</v>
      </c>
      <c r="M81" s="418"/>
      <c r="N81" s="50"/>
      <c r="O81" s="50"/>
      <c r="P81" s="50"/>
      <c r="Q81" s="50"/>
      <c r="R81" s="50"/>
    </row>
    <row r="82" spans="3:18" ht="13.2">
      <c r="C82" s="399"/>
      <c r="D82" s="399"/>
      <c r="E82" s="58" t="s">
        <v>491</v>
      </c>
      <c r="F82" s="59">
        <v>21</v>
      </c>
      <c r="G82" s="59">
        <v>1</v>
      </c>
      <c r="H82" s="59">
        <v>10000</v>
      </c>
      <c r="I82" s="420"/>
      <c r="J82" s="58" t="s">
        <v>476</v>
      </c>
      <c r="K82" s="421"/>
      <c r="L82" s="60">
        <v>1000000000</v>
      </c>
      <c r="M82" s="418"/>
      <c r="N82" s="50"/>
      <c r="O82" s="50"/>
      <c r="P82" s="50"/>
      <c r="Q82" s="50"/>
      <c r="R82" s="50"/>
    </row>
    <row r="83" spans="3:18" ht="13.2">
      <c r="C83" s="399"/>
      <c r="D83" s="399"/>
      <c r="E83" s="58" t="s">
        <v>492</v>
      </c>
      <c r="F83" s="59">
        <v>22</v>
      </c>
      <c r="G83" s="59">
        <v>1</v>
      </c>
      <c r="H83" s="59">
        <v>10000</v>
      </c>
      <c r="I83" s="420"/>
      <c r="J83" s="58" t="s">
        <v>476</v>
      </c>
      <c r="K83" s="421"/>
      <c r="L83" s="60">
        <v>1000000000</v>
      </c>
      <c r="M83" s="418"/>
      <c r="N83" s="50"/>
      <c r="O83" s="50"/>
      <c r="P83" s="50"/>
      <c r="Q83" s="50"/>
      <c r="R83" s="50"/>
    </row>
    <row r="84" spans="3:18" ht="13.2">
      <c r="C84" s="399"/>
      <c r="D84" s="399"/>
      <c r="E84" s="58" t="s">
        <v>493</v>
      </c>
      <c r="F84" s="59">
        <v>23</v>
      </c>
      <c r="G84" s="59">
        <v>1</v>
      </c>
      <c r="H84" s="59">
        <v>10000</v>
      </c>
      <c r="I84" s="420"/>
      <c r="J84" s="58" t="s">
        <v>476</v>
      </c>
      <c r="K84" s="421"/>
      <c r="L84" s="60">
        <v>1000000000</v>
      </c>
      <c r="M84" s="418"/>
      <c r="N84" s="50"/>
      <c r="O84" s="50"/>
      <c r="P84" s="50"/>
      <c r="Q84" s="50"/>
      <c r="R84" s="50"/>
    </row>
    <row r="85" spans="3:18" ht="13.2">
      <c r="C85" s="399"/>
      <c r="D85" s="399"/>
      <c r="E85" s="58" t="s">
        <v>494</v>
      </c>
      <c r="F85" s="59">
        <v>24</v>
      </c>
      <c r="G85" s="59">
        <v>1</v>
      </c>
      <c r="H85" s="59">
        <v>10000</v>
      </c>
      <c r="I85" s="420"/>
      <c r="J85" s="58" t="s">
        <v>476</v>
      </c>
      <c r="K85" s="421"/>
      <c r="L85" s="60">
        <v>1000000000</v>
      </c>
      <c r="M85" s="418"/>
      <c r="N85" s="50"/>
      <c r="O85" s="385"/>
      <c r="P85" s="50"/>
      <c r="Q85" s="385"/>
      <c r="R85" s="50"/>
    </row>
    <row r="86" spans="3:18" ht="13.2">
      <c r="C86" s="399"/>
      <c r="D86" s="399"/>
      <c r="E86" s="58" t="s">
        <v>495</v>
      </c>
      <c r="F86" s="59">
        <v>25</v>
      </c>
      <c r="G86" s="59">
        <v>1</v>
      </c>
      <c r="H86" s="59">
        <v>10000</v>
      </c>
      <c r="I86" s="420"/>
      <c r="J86" s="58" t="s">
        <v>476</v>
      </c>
      <c r="K86" s="421"/>
      <c r="L86" s="60">
        <v>1000000000</v>
      </c>
      <c r="M86" s="418"/>
      <c r="N86" s="50"/>
      <c r="O86" s="385"/>
      <c r="P86" s="50"/>
      <c r="Q86" s="385"/>
      <c r="R86" s="50"/>
    </row>
    <row r="87" spans="3:18" ht="13.2">
      <c r="C87" s="399"/>
      <c r="D87" s="399"/>
      <c r="E87" s="58" t="s">
        <v>497</v>
      </c>
      <c r="F87" s="59">
        <v>26</v>
      </c>
      <c r="G87" s="58">
        <v>77</v>
      </c>
      <c r="H87" s="59">
        <v>10000</v>
      </c>
      <c r="I87" s="420"/>
      <c r="J87" s="58" t="s">
        <v>476</v>
      </c>
      <c r="K87" s="421"/>
      <c r="L87" s="60">
        <v>992400000</v>
      </c>
      <c r="M87" s="418"/>
      <c r="N87" s="50"/>
      <c r="O87" s="50"/>
      <c r="P87" s="50"/>
      <c r="Q87" s="386"/>
      <c r="R87" s="50"/>
    </row>
    <row r="88" spans="3:18" ht="13.2">
      <c r="C88" s="399"/>
      <c r="D88" s="399"/>
      <c r="E88" s="58" t="s">
        <v>498</v>
      </c>
      <c r="F88" s="59">
        <v>28</v>
      </c>
      <c r="G88" s="59">
        <v>1</v>
      </c>
      <c r="H88" s="59">
        <v>10000</v>
      </c>
      <c r="I88" s="420"/>
      <c r="J88" s="58" t="s">
        <v>476</v>
      </c>
      <c r="K88" s="421"/>
      <c r="L88" s="60">
        <v>1000000000</v>
      </c>
      <c r="M88" s="418"/>
      <c r="N88" s="50"/>
      <c r="O88" s="50"/>
      <c r="P88" s="50"/>
      <c r="Q88" s="50"/>
      <c r="R88" s="50"/>
    </row>
    <row r="89" spans="3:18" ht="13.2">
      <c r="C89" s="399"/>
      <c r="D89" s="399"/>
      <c r="E89" s="58" t="s">
        <v>499</v>
      </c>
      <c r="F89" s="59">
        <v>29</v>
      </c>
      <c r="G89" s="59">
        <v>1</v>
      </c>
      <c r="H89" s="59">
        <v>10000</v>
      </c>
      <c r="I89" s="420"/>
      <c r="J89" s="58" t="s">
        <v>476</v>
      </c>
      <c r="K89" s="421"/>
      <c r="L89" s="60">
        <v>1000000000</v>
      </c>
      <c r="M89" s="418"/>
      <c r="N89" s="50"/>
      <c r="O89" s="50"/>
      <c r="P89" s="50"/>
      <c r="Q89" s="50"/>
      <c r="R89" s="50"/>
    </row>
    <row r="90" spans="3:18" ht="13.2">
      <c r="C90" s="399"/>
      <c r="D90" s="399"/>
      <c r="E90" s="58" t="s">
        <v>500</v>
      </c>
      <c r="F90" s="59">
        <v>30</v>
      </c>
      <c r="G90" s="59">
        <v>1</v>
      </c>
      <c r="H90" s="59">
        <v>10000</v>
      </c>
      <c r="I90" s="420"/>
      <c r="J90" s="58" t="s">
        <v>476</v>
      </c>
      <c r="K90" s="421"/>
      <c r="L90" s="60">
        <v>1000000000</v>
      </c>
      <c r="M90" s="418"/>
      <c r="N90" s="50"/>
      <c r="O90" s="50"/>
      <c r="P90" s="50"/>
      <c r="Q90" s="50"/>
      <c r="R90" s="50"/>
    </row>
    <row r="91" spans="3:18" ht="13.2">
      <c r="C91" s="399"/>
      <c r="D91" s="399"/>
      <c r="E91" s="58" t="s">
        <v>501</v>
      </c>
      <c r="F91" s="59">
        <v>31</v>
      </c>
      <c r="G91" s="59">
        <v>1</v>
      </c>
      <c r="H91" s="59">
        <v>10000</v>
      </c>
      <c r="I91" s="420"/>
      <c r="J91" s="58" t="s">
        <v>476</v>
      </c>
      <c r="K91" s="421"/>
      <c r="L91" s="60">
        <v>1000000000</v>
      </c>
      <c r="M91" s="418"/>
      <c r="N91" s="50"/>
      <c r="O91" s="50"/>
      <c r="P91" s="50"/>
      <c r="Q91" s="50"/>
      <c r="R91" s="50"/>
    </row>
    <row r="92" spans="3:18" ht="13.2">
      <c r="C92" s="399"/>
      <c r="D92" s="399"/>
      <c r="E92" s="58" t="s">
        <v>502</v>
      </c>
      <c r="F92" s="59">
        <v>32</v>
      </c>
      <c r="G92" s="59">
        <v>1</v>
      </c>
      <c r="H92" s="59">
        <v>10000</v>
      </c>
      <c r="I92" s="420"/>
      <c r="J92" s="58" t="s">
        <v>476</v>
      </c>
      <c r="K92" s="421"/>
      <c r="L92" s="60">
        <v>1000000000</v>
      </c>
      <c r="M92" s="418"/>
      <c r="N92" s="50"/>
      <c r="O92" s="50"/>
      <c r="P92" s="50"/>
      <c r="Q92" s="50"/>
      <c r="R92" s="50"/>
    </row>
    <row r="93" spans="3:18" ht="13.2">
      <c r="C93" s="399"/>
      <c r="D93" s="399"/>
      <c r="E93" s="58" t="s">
        <v>503</v>
      </c>
      <c r="F93" s="59">
        <v>33</v>
      </c>
      <c r="G93" s="59">
        <v>1</v>
      </c>
      <c r="H93" s="59">
        <v>10000</v>
      </c>
      <c r="I93" s="420"/>
      <c r="J93" s="58" t="s">
        <v>476</v>
      </c>
      <c r="K93" s="421"/>
      <c r="L93" s="60">
        <v>1000000000</v>
      </c>
      <c r="M93" s="418"/>
      <c r="N93" s="50"/>
      <c r="O93" s="50"/>
      <c r="P93" s="50"/>
      <c r="Q93" s="50"/>
      <c r="R93" s="50"/>
    </row>
    <row r="94" spans="3:18" ht="13.2">
      <c r="C94" s="399"/>
      <c r="D94" s="399"/>
      <c r="E94" s="58" t="s">
        <v>504</v>
      </c>
      <c r="F94" s="59">
        <v>34</v>
      </c>
      <c r="G94" s="59">
        <v>1</v>
      </c>
      <c r="H94" s="59">
        <v>10000</v>
      </c>
      <c r="I94" s="420"/>
      <c r="J94" s="58" t="s">
        <v>476</v>
      </c>
      <c r="K94" s="421"/>
      <c r="L94" s="60">
        <v>1000000000</v>
      </c>
      <c r="M94" s="418"/>
      <c r="N94" s="50"/>
      <c r="O94" s="50"/>
      <c r="P94" s="50"/>
      <c r="Q94" s="50"/>
      <c r="R94" s="50"/>
    </row>
    <row r="95" spans="3:18" ht="13.2">
      <c r="C95" s="399"/>
      <c r="D95" s="399"/>
      <c r="E95" s="58" t="s">
        <v>505</v>
      </c>
      <c r="F95" s="59">
        <v>35</v>
      </c>
      <c r="G95" s="59">
        <v>1</v>
      </c>
      <c r="H95" s="59">
        <v>9392</v>
      </c>
      <c r="I95" s="420"/>
      <c r="J95" s="58" t="s">
        <v>476</v>
      </c>
      <c r="K95" s="421"/>
      <c r="L95" s="60">
        <v>939200000</v>
      </c>
      <c r="M95" s="418"/>
      <c r="N95" s="50"/>
      <c r="O95" s="50"/>
      <c r="P95" s="50"/>
      <c r="Q95" s="50"/>
      <c r="R95" s="50"/>
    </row>
    <row r="96" spans="3:18" ht="13.2">
      <c r="C96" s="399"/>
      <c r="D96" s="399"/>
      <c r="E96" s="58" t="s">
        <v>842</v>
      </c>
      <c r="F96" s="59">
        <v>36</v>
      </c>
      <c r="G96" s="59">
        <v>1</v>
      </c>
      <c r="H96" s="59">
        <v>10000</v>
      </c>
      <c r="I96" s="420"/>
      <c r="J96" s="58" t="s">
        <v>476</v>
      </c>
      <c r="K96" s="421"/>
      <c r="L96" s="60">
        <v>1000000000</v>
      </c>
      <c r="M96" s="418"/>
      <c r="N96" s="50"/>
      <c r="O96" s="50"/>
      <c r="P96" s="50"/>
      <c r="Q96" s="50"/>
      <c r="R96" s="50"/>
    </row>
    <row r="97" spans="3:18" ht="13.2">
      <c r="C97" s="399"/>
      <c r="D97" s="399"/>
      <c r="E97" s="58" t="s">
        <v>843</v>
      </c>
      <c r="F97" s="59">
        <v>37</v>
      </c>
      <c r="G97" s="59">
        <v>1</v>
      </c>
      <c r="H97" s="59">
        <v>10000</v>
      </c>
      <c r="I97" s="420"/>
      <c r="J97" s="58" t="s">
        <v>476</v>
      </c>
      <c r="K97" s="421"/>
      <c r="L97" s="60">
        <v>1000000000</v>
      </c>
      <c r="M97" s="418"/>
      <c r="N97" s="50"/>
      <c r="O97" s="50"/>
      <c r="P97" s="50"/>
      <c r="Q97" s="50"/>
      <c r="R97" s="50"/>
    </row>
    <row r="98" spans="3:18" ht="13.2">
      <c r="C98" s="399"/>
      <c r="D98" s="399"/>
      <c r="E98" s="58" t="s">
        <v>844</v>
      </c>
      <c r="F98" s="59">
        <v>38</v>
      </c>
      <c r="G98" s="59">
        <v>1</v>
      </c>
      <c r="H98" s="59">
        <v>10000</v>
      </c>
      <c r="I98" s="420"/>
      <c r="J98" s="58" t="s">
        <v>476</v>
      </c>
      <c r="K98" s="421"/>
      <c r="L98" s="60">
        <v>1000000000</v>
      </c>
      <c r="M98" s="418"/>
      <c r="N98" s="50"/>
      <c r="O98" s="50"/>
      <c r="P98" s="50"/>
      <c r="Q98" s="50"/>
      <c r="R98" s="50"/>
    </row>
    <row r="99" spans="3:18" ht="13.2">
      <c r="C99" s="399"/>
      <c r="D99" s="399"/>
      <c r="E99" s="58" t="s">
        <v>845</v>
      </c>
      <c r="F99" s="59">
        <v>39</v>
      </c>
      <c r="G99" s="59">
        <v>1</v>
      </c>
      <c r="H99" s="59">
        <v>9684</v>
      </c>
      <c r="I99" s="420"/>
      <c r="J99" s="58" t="s">
        <v>476</v>
      </c>
      <c r="K99" s="421"/>
      <c r="L99" s="60">
        <v>968400000</v>
      </c>
      <c r="M99" s="418"/>
      <c r="N99" s="50"/>
      <c r="O99" s="50"/>
      <c r="P99" s="50"/>
      <c r="Q99" s="50"/>
      <c r="R99" s="50"/>
    </row>
    <row r="100" spans="3:18" ht="12.75" customHeight="1">
      <c r="C100" s="399">
        <v>2</v>
      </c>
      <c r="D100" s="399" t="s">
        <v>568</v>
      </c>
      <c r="E100" s="58" t="s">
        <v>475</v>
      </c>
      <c r="F100" s="59">
        <v>2</v>
      </c>
      <c r="G100" s="59">
        <v>3881</v>
      </c>
      <c r="H100" s="59">
        <v>4640</v>
      </c>
      <c r="I100" s="419">
        <f>2279+316</f>
        <v>2595</v>
      </c>
      <c r="J100" s="58" t="s">
        <v>476</v>
      </c>
      <c r="K100" s="419">
        <v>2595</v>
      </c>
      <c r="L100" s="60">
        <v>76000000</v>
      </c>
      <c r="M100" s="412">
        <v>7.6E-3</v>
      </c>
      <c r="N100" s="50"/>
      <c r="O100" s="50"/>
      <c r="P100" s="50"/>
      <c r="Q100" s="50"/>
      <c r="R100" s="50"/>
    </row>
    <row r="101" spans="3:18" ht="13.2">
      <c r="C101" s="399"/>
      <c r="D101" s="399"/>
      <c r="E101" s="58" t="s">
        <v>486</v>
      </c>
      <c r="F101" s="59">
        <v>14</v>
      </c>
      <c r="G101" s="58">
        <v>1</v>
      </c>
      <c r="H101" s="59">
        <v>835</v>
      </c>
      <c r="I101" s="421"/>
      <c r="J101" s="58" t="s">
        <v>476</v>
      </c>
      <c r="K101" s="420"/>
      <c r="L101" s="60">
        <v>83500000</v>
      </c>
      <c r="M101" s="413"/>
      <c r="N101" s="50"/>
      <c r="O101" s="50"/>
      <c r="P101" s="50"/>
      <c r="Q101" s="50"/>
      <c r="R101" s="50"/>
    </row>
    <row r="102" spans="3:18" ht="13.2">
      <c r="C102" s="399"/>
      <c r="D102" s="399"/>
      <c r="E102" s="58" t="s">
        <v>497</v>
      </c>
      <c r="F102" s="59">
        <v>27</v>
      </c>
      <c r="G102" s="58">
        <v>1</v>
      </c>
      <c r="H102" s="59">
        <v>76</v>
      </c>
      <c r="I102" s="421"/>
      <c r="J102" s="58" t="s">
        <v>476</v>
      </c>
      <c r="K102" s="420"/>
      <c r="L102" s="60">
        <v>7600000</v>
      </c>
      <c r="M102" s="413"/>
      <c r="N102" s="50"/>
      <c r="O102" s="50"/>
      <c r="P102" s="50"/>
      <c r="Q102" s="50"/>
      <c r="R102" s="50"/>
    </row>
    <row r="103" spans="3:18" ht="13.2">
      <c r="C103" s="399"/>
      <c r="D103" s="399"/>
      <c r="E103" s="58" t="s">
        <v>505</v>
      </c>
      <c r="F103" s="59">
        <v>36</v>
      </c>
      <c r="G103" s="59">
        <v>9393</v>
      </c>
      <c r="H103" s="59">
        <v>10000</v>
      </c>
      <c r="I103" s="421"/>
      <c r="J103" s="58" t="s">
        <v>476</v>
      </c>
      <c r="K103" s="420"/>
      <c r="L103" s="60">
        <v>60800000</v>
      </c>
      <c r="M103" s="413"/>
      <c r="N103" s="50"/>
      <c r="O103" s="50"/>
      <c r="P103" s="50"/>
      <c r="Q103" s="50"/>
      <c r="R103" s="50"/>
    </row>
    <row r="104" spans="3:18" ht="13.2">
      <c r="C104" s="399"/>
      <c r="D104" s="399"/>
      <c r="E104" s="58" t="s">
        <v>845</v>
      </c>
      <c r="F104" s="59">
        <v>39</v>
      </c>
      <c r="G104" s="59">
        <v>1</v>
      </c>
      <c r="H104" s="59">
        <v>316</v>
      </c>
      <c r="I104" s="422"/>
      <c r="J104" s="58" t="s">
        <v>476</v>
      </c>
      <c r="K104" s="429"/>
      <c r="L104" s="60">
        <v>31600000</v>
      </c>
      <c r="M104" s="414"/>
      <c r="N104" s="50"/>
      <c r="O104" s="50"/>
      <c r="P104" s="50"/>
      <c r="Q104" s="50"/>
      <c r="R104" s="50"/>
    </row>
    <row r="105" spans="3:18" ht="13.2">
      <c r="C105" s="411" t="s">
        <v>68</v>
      </c>
      <c r="D105" s="411"/>
      <c r="E105" s="411"/>
      <c r="F105" s="411"/>
      <c r="G105" s="411"/>
      <c r="H105" s="411"/>
      <c r="I105" s="61">
        <f>SUM(I64:I104)</f>
        <v>340000</v>
      </c>
      <c r="J105" s="62"/>
      <c r="K105" s="61">
        <f>SUM(K64:K104)</f>
        <v>340000</v>
      </c>
      <c r="L105" s="63">
        <f>SUM(L64:L104)</f>
        <v>34000000000</v>
      </c>
      <c r="M105" s="64">
        <f>SUM(M64:M104)</f>
        <v>1</v>
      </c>
      <c r="N105" s="50"/>
      <c r="O105" s="50"/>
      <c r="P105" s="50"/>
      <c r="Q105" s="50"/>
      <c r="R105" s="50"/>
    </row>
    <row r="106" spans="3:18" ht="13.2">
      <c r="C106" s="50"/>
      <c r="D106" s="50"/>
      <c r="E106" s="65"/>
      <c r="F106" s="66"/>
      <c r="G106" s="65"/>
      <c r="H106" s="66"/>
      <c r="I106" s="67"/>
      <c r="J106" s="65"/>
      <c r="K106" s="67"/>
      <c r="L106" s="68"/>
      <c r="M106" s="50"/>
      <c r="N106" s="50"/>
      <c r="O106" s="50"/>
      <c r="P106" s="50"/>
      <c r="Q106" s="50"/>
      <c r="R106" s="50"/>
    </row>
    <row r="107" spans="3:18" ht="13.2">
      <c r="C107" s="50"/>
      <c r="D107" s="50"/>
      <c r="E107" s="50"/>
      <c r="F107" s="50"/>
      <c r="G107" s="50"/>
      <c r="H107" s="50"/>
      <c r="I107" s="50"/>
      <c r="J107" s="50"/>
      <c r="K107" s="50"/>
      <c r="L107" s="50"/>
      <c r="M107" s="50"/>
      <c r="N107" s="50"/>
      <c r="O107" s="50"/>
      <c r="P107" s="50"/>
      <c r="Q107" s="50"/>
      <c r="R107" s="50"/>
    </row>
    <row r="108" spans="3:18" ht="13.2">
      <c r="C108" s="415" t="s">
        <v>560</v>
      </c>
      <c r="D108" s="415"/>
      <c r="E108" s="415"/>
      <c r="F108" s="415"/>
      <c r="G108" s="415"/>
      <c r="H108" s="415"/>
      <c r="I108" s="415"/>
      <c r="J108" s="415"/>
      <c r="K108" s="415"/>
      <c r="L108" s="415"/>
      <c r="M108" s="415"/>
      <c r="N108" s="50"/>
      <c r="O108" s="50"/>
      <c r="P108" s="50"/>
      <c r="Q108" s="50"/>
      <c r="R108" s="50"/>
    </row>
    <row r="109" spans="3:18" ht="48" customHeight="1">
      <c r="C109" s="79" t="s">
        <v>474</v>
      </c>
      <c r="D109" s="79" t="s">
        <v>394</v>
      </c>
      <c r="E109" s="79" t="s">
        <v>741</v>
      </c>
      <c r="F109" s="79" t="s">
        <v>778</v>
      </c>
      <c r="G109" s="79" t="s">
        <v>742</v>
      </c>
      <c r="H109" s="79" t="s">
        <v>743</v>
      </c>
      <c r="I109" s="79" t="s">
        <v>744</v>
      </c>
      <c r="J109" s="79" t="s">
        <v>745</v>
      </c>
      <c r="K109" s="79" t="s">
        <v>746</v>
      </c>
      <c r="L109" s="79" t="s">
        <v>747</v>
      </c>
      <c r="M109" s="79" t="s">
        <v>779</v>
      </c>
      <c r="N109" s="50"/>
      <c r="O109" s="50"/>
      <c r="P109" s="50"/>
      <c r="Q109" s="50"/>
      <c r="R109" s="50"/>
    </row>
    <row r="110" spans="3:18" ht="13.2">
      <c r="C110" s="399">
        <v>1</v>
      </c>
      <c r="D110" s="399" t="s">
        <v>386</v>
      </c>
      <c r="E110" s="58" t="s">
        <v>475</v>
      </c>
      <c r="F110" s="59">
        <v>1</v>
      </c>
      <c r="G110" s="59">
        <v>1</v>
      </c>
      <c r="H110" s="59">
        <v>3880</v>
      </c>
      <c r="I110" s="419">
        <v>337405</v>
      </c>
      <c r="J110" s="58" t="s">
        <v>476</v>
      </c>
      <c r="K110" s="419">
        <v>337405</v>
      </c>
      <c r="L110" s="60">
        <v>388000000</v>
      </c>
      <c r="M110" s="417">
        <v>0.99239999999999995</v>
      </c>
      <c r="N110" s="50"/>
      <c r="O110" s="50"/>
      <c r="P110" s="50"/>
      <c r="Q110" s="50"/>
      <c r="R110" s="50"/>
    </row>
    <row r="111" spans="3:18" ht="12.75" customHeight="1">
      <c r="C111" s="399"/>
      <c r="D111" s="399"/>
      <c r="E111" s="58" t="s">
        <v>475</v>
      </c>
      <c r="F111" s="59">
        <v>3</v>
      </c>
      <c r="G111" s="59">
        <v>4641</v>
      </c>
      <c r="H111" s="59">
        <v>7600</v>
      </c>
      <c r="I111" s="420"/>
      <c r="J111" s="58" t="s">
        <v>476</v>
      </c>
      <c r="K111" s="421"/>
      <c r="L111" s="60">
        <v>296000000</v>
      </c>
      <c r="M111" s="418"/>
      <c r="N111" s="50"/>
      <c r="O111" s="50"/>
      <c r="P111" s="50"/>
      <c r="Q111" s="50"/>
      <c r="R111" s="50"/>
    </row>
    <row r="112" spans="3:18" ht="12.75" customHeight="1">
      <c r="C112" s="399"/>
      <c r="D112" s="399"/>
      <c r="E112" s="58" t="s">
        <v>475</v>
      </c>
      <c r="F112" s="59">
        <v>4</v>
      </c>
      <c r="G112" s="59">
        <v>7601</v>
      </c>
      <c r="H112" s="59">
        <v>10000</v>
      </c>
      <c r="I112" s="420"/>
      <c r="J112" s="58" t="s">
        <v>476</v>
      </c>
      <c r="K112" s="421"/>
      <c r="L112" s="60">
        <v>240000000</v>
      </c>
      <c r="M112" s="418"/>
      <c r="N112" s="50"/>
      <c r="O112" s="50"/>
      <c r="P112" s="50"/>
      <c r="Q112" s="50"/>
      <c r="R112" s="50"/>
    </row>
    <row r="113" spans="3:18" ht="12.75" customHeight="1">
      <c r="C113" s="399"/>
      <c r="D113" s="399"/>
      <c r="E113" s="58" t="s">
        <v>477</v>
      </c>
      <c r="F113" s="59">
        <v>5</v>
      </c>
      <c r="G113" s="59">
        <v>1</v>
      </c>
      <c r="H113" s="59">
        <v>10000</v>
      </c>
      <c r="I113" s="420"/>
      <c r="J113" s="58" t="s">
        <v>476</v>
      </c>
      <c r="K113" s="421"/>
      <c r="L113" s="60">
        <v>1000000000</v>
      </c>
      <c r="M113" s="418"/>
      <c r="N113" s="50"/>
      <c r="O113" s="50"/>
      <c r="P113" s="50"/>
      <c r="Q113" s="50"/>
      <c r="R113" s="50"/>
    </row>
    <row r="114" spans="3:18" ht="12.75" customHeight="1">
      <c r="C114" s="399"/>
      <c r="D114" s="399"/>
      <c r="E114" s="58" t="s">
        <v>478</v>
      </c>
      <c r="F114" s="59">
        <v>6</v>
      </c>
      <c r="G114" s="59">
        <v>1</v>
      </c>
      <c r="H114" s="59">
        <v>10000</v>
      </c>
      <c r="I114" s="420"/>
      <c r="J114" s="58" t="s">
        <v>476</v>
      </c>
      <c r="K114" s="421"/>
      <c r="L114" s="60">
        <v>1000000000</v>
      </c>
      <c r="M114" s="418"/>
      <c r="N114" s="50"/>
      <c r="O114" s="50"/>
      <c r="P114" s="50"/>
      <c r="Q114" s="50"/>
      <c r="R114" s="50"/>
    </row>
    <row r="115" spans="3:18" ht="12.75" customHeight="1">
      <c r="C115" s="399"/>
      <c r="D115" s="399"/>
      <c r="E115" s="58" t="s">
        <v>479</v>
      </c>
      <c r="F115" s="59">
        <v>7</v>
      </c>
      <c r="G115" s="59">
        <v>1</v>
      </c>
      <c r="H115" s="59">
        <v>10000</v>
      </c>
      <c r="I115" s="420"/>
      <c r="J115" s="58" t="s">
        <v>476</v>
      </c>
      <c r="K115" s="421"/>
      <c r="L115" s="60">
        <v>1000000000</v>
      </c>
      <c r="M115" s="418"/>
      <c r="N115" s="50"/>
      <c r="O115" s="50"/>
      <c r="P115" s="50"/>
      <c r="Q115" s="50"/>
      <c r="R115" s="50"/>
    </row>
    <row r="116" spans="3:18" ht="12.75" customHeight="1">
      <c r="C116" s="399"/>
      <c r="D116" s="399"/>
      <c r="E116" s="58" t="s">
        <v>480</v>
      </c>
      <c r="F116" s="59">
        <v>8</v>
      </c>
      <c r="G116" s="59">
        <v>1</v>
      </c>
      <c r="H116" s="59">
        <v>10000</v>
      </c>
      <c r="I116" s="420"/>
      <c r="J116" s="58" t="s">
        <v>476</v>
      </c>
      <c r="K116" s="421"/>
      <c r="L116" s="60">
        <v>1000000000</v>
      </c>
      <c r="M116" s="418"/>
      <c r="N116" s="50"/>
      <c r="O116" s="50"/>
      <c r="P116" s="50"/>
      <c r="Q116" s="50"/>
      <c r="R116" s="50"/>
    </row>
    <row r="117" spans="3:18" ht="12.75" customHeight="1">
      <c r="C117" s="399"/>
      <c r="D117" s="399"/>
      <c r="E117" s="58" t="s">
        <v>481</v>
      </c>
      <c r="F117" s="59">
        <v>9</v>
      </c>
      <c r="G117" s="59">
        <v>1</v>
      </c>
      <c r="H117" s="59">
        <v>10000</v>
      </c>
      <c r="I117" s="420"/>
      <c r="J117" s="58" t="s">
        <v>476</v>
      </c>
      <c r="K117" s="421"/>
      <c r="L117" s="60">
        <v>1000000000</v>
      </c>
      <c r="M117" s="418"/>
      <c r="N117" s="50"/>
      <c r="O117" s="50"/>
      <c r="P117" s="50"/>
      <c r="Q117" s="50"/>
      <c r="R117" s="50"/>
    </row>
    <row r="118" spans="3:18" ht="12.75" customHeight="1">
      <c r="C118" s="399"/>
      <c r="D118" s="399"/>
      <c r="E118" s="58" t="s">
        <v>482</v>
      </c>
      <c r="F118" s="59">
        <v>10</v>
      </c>
      <c r="G118" s="59">
        <v>1</v>
      </c>
      <c r="H118" s="59">
        <v>10000</v>
      </c>
      <c r="I118" s="420"/>
      <c r="J118" s="58" t="s">
        <v>476</v>
      </c>
      <c r="K118" s="421"/>
      <c r="L118" s="60">
        <v>1000000000</v>
      </c>
      <c r="M118" s="418"/>
      <c r="N118" s="50"/>
      <c r="O118" s="50"/>
      <c r="P118" s="50"/>
      <c r="Q118" s="50"/>
      <c r="R118" s="50"/>
    </row>
    <row r="119" spans="3:18" ht="12.75" customHeight="1">
      <c r="C119" s="399"/>
      <c r="D119" s="399"/>
      <c r="E119" s="58" t="s">
        <v>483</v>
      </c>
      <c r="F119" s="59">
        <v>11</v>
      </c>
      <c r="G119" s="59">
        <v>1</v>
      </c>
      <c r="H119" s="59">
        <v>10000</v>
      </c>
      <c r="I119" s="420"/>
      <c r="J119" s="58" t="s">
        <v>476</v>
      </c>
      <c r="K119" s="421"/>
      <c r="L119" s="60">
        <v>1000000000</v>
      </c>
      <c r="M119" s="418"/>
      <c r="N119" s="50"/>
      <c r="O119" s="50"/>
      <c r="P119" s="50"/>
      <c r="Q119" s="50"/>
      <c r="R119" s="50"/>
    </row>
    <row r="120" spans="3:18" ht="12.75" customHeight="1">
      <c r="C120" s="399"/>
      <c r="D120" s="399"/>
      <c r="E120" s="58" t="s">
        <v>484</v>
      </c>
      <c r="F120" s="59">
        <v>12</v>
      </c>
      <c r="G120" s="59">
        <v>1</v>
      </c>
      <c r="H120" s="59">
        <v>10000</v>
      </c>
      <c r="I120" s="420"/>
      <c r="J120" s="58" t="s">
        <v>476</v>
      </c>
      <c r="K120" s="421"/>
      <c r="L120" s="60">
        <v>1000000000</v>
      </c>
      <c r="M120" s="418"/>
      <c r="N120" s="50"/>
      <c r="O120" s="50"/>
      <c r="P120" s="50"/>
      <c r="Q120" s="50"/>
      <c r="R120" s="50"/>
    </row>
    <row r="121" spans="3:18" ht="12.75" customHeight="1">
      <c r="C121" s="399"/>
      <c r="D121" s="399"/>
      <c r="E121" s="58" t="s">
        <v>485</v>
      </c>
      <c r="F121" s="59">
        <v>13</v>
      </c>
      <c r="G121" s="59">
        <v>1</v>
      </c>
      <c r="H121" s="59">
        <v>10000</v>
      </c>
      <c r="I121" s="420"/>
      <c r="J121" s="58" t="s">
        <v>476</v>
      </c>
      <c r="K121" s="421"/>
      <c r="L121" s="60">
        <v>1000000000</v>
      </c>
      <c r="M121" s="418"/>
      <c r="N121" s="50"/>
      <c r="O121" s="50"/>
      <c r="P121" s="50"/>
      <c r="Q121" s="50"/>
      <c r="R121" s="50"/>
    </row>
    <row r="122" spans="3:18" ht="12.75" customHeight="1">
      <c r="C122" s="399"/>
      <c r="D122" s="399"/>
      <c r="E122" s="58" t="s">
        <v>486</v>
      </c>
      <c r="F122" s="59">
        <v>15</v>
      </c>
      <c r="G122" s="59">
        <v>836</v>
      </c>
      <c r="H122" s="59">
        <v>10000</v>
      </c>
      <c r="I122" s="420"/>
      <c r="J122" s="58" t="s">
        <v>476</v>
      </c>
      <c r="K122" s="421"/>
      <c r="L122" s="60">
        <v>916500000</v>
      </c>
      <c r="M122" s="418"/>
      <c r="N122" s="50"/>
      <c r="O122" s="50"/>
      <c r="P122" s="50"/>
      <c r="Q122" s="50"/>
      <c r="R122" s="50"/>
    </row>
    <row r="123" spans="3:18" ht="12.75" customHeight="1">
      <c r="C123" s="399"/>
      <c r="D123" s="399"/>
      <c r="E123" s="58" t="s">
        <v>487</v>
      </c>
      <c r="F123" s="59">
        <v>16</v>
      </c>
      <c r="G123" s="59">
        <v>1</v>
      </c>
      <c r="H123" s="59">
        <v>10000</v>
      </c>
      <c r="I123" s="420"/>
      <c r="J123" s="58" t="s">
        <v>476</v>
      </c>
      <c r="K123" s="421"/>
      <c r="L123" s="60">
        <v>1000000000</v>
      </c>
      <c r="M123" s="418"/>
      <c r="N123" s="50"/>
      <c r="O123" s="50"/>
      <c r="P123" s="50"/>
      <c r="Q123" s="50"/>
      <c r="R123" s="50"/>
    </row>
    <row r="124" spans="3:18" ht="12.75" customHeight="1">
      <c r="C124" s="399"/>
      <c r="D124" s="399"/>
      <c r="E124" s="58" t="s">
        <v>496</v>
      </c>
      <c r="F124" s="59">
        <v>17</v>
      </c>
      <c r="G124" s="59">
        <v>1</v>
      </c>
      <c r="H124" s="59">
        <v>10000</v>
      </c>
      <c r="I124" s="420"/>
      <c r="J124" s="58" t="s">
        <v>476</v>
      </c>
      <c r="K124" s="421"/>
      <c r="L124" s="60">
        <v>1000000000</v>
      </c>
      <c r="M124" s="418"/>
      <c r="N124" s="50"/>
      <c r="O124" s="50"/>
      <c r="P124" s="50"/>
      <c r="Q124" s="50"/>
      <c r="R124" s="50"/>
    </row>
    <row r="125" spans="3:18" ht="12.75" customHeight="1">
      <c r="C125" s="399"/>
      <c r="D125" s="399"/>
      <c r="E125" s="58" t="s">
        <v>488</v>
      </c>
      <c r="F125" s="59">
        <v>18</v>
      </c>
      <c r="G125" s="59">
        <v>1</v>
      </c>
      <c r="H125" s="59">
        <v>10000</v>
      </c>
      <c r="I125" s="420"/>
      <c r="J125" s="58" t="s">
        <v>476</v>
      </c>
      <c r="K125" s="421"/>
      <c r="L125" s="60">
        <v>1000000000</v>
      </c>
      <c r="M125" s="418"/>
      <c r="N125" s="50"/>
      <c r="O125" s="50"/>
      <c r="P125" s="50"/>
      <c r="Q125" s="50"/>
      <c r="R125" s="50"/>
    </row>
    <row r="126" spans="3:18" ht="12.75" customHeight="1">
      <c r="C126" s="399"/>
      <c r="D126" s="399"/>
      <c r="E126" s="58" t="s">
        <v>489</v>
      </c>
      <c r="F126" s="59">
        <v>19</v>
      </c>
      <c r="G126" s="59">
        <v>1</v>
      </c>
      <c r="H126" s="59">
        <v>10000</v>
      </c>
      <c r="I126" s="420"/>
      <c r="J126" s="58" t="s">
        <v>476</v>
      </c>
      <c r="K126" s="421"/>
      <c r="L126" s="60">
        <v>1000000000</v>
      </c>
      <c r="M126" s="418"/>
      <c r="N126" s="50"/>
      <c r="O126" s="50"/>
      <c r="P126" s="50"/>
      <c r="Q126" s="50"/>
      <c r="R126" s="50"/>
    </row>
    <row r="127" spans="3:18" ht="12.75" customHeight="1">
      <c r="C127" s="399"/>
      <c r="D127" s="399"/>
      <c r="E127" s="58" t="s">
        <v>490</v>
      </c>
      <c r="F127" s="59">
        <v>20</v>
      </c>
      <c r="G127" s="59">
        <v>1</v>
      </c>
      <c r="H127" s="59">
        <v>10000</v>
      </c>
      <c r="I127" s="420"/>
      <c r="J127" s="58" t="s">
        <v>476</v>
      </c>
      <c r="K127" s="421"/>
      <c r="L127" s="60">
        <v>1000000000</v>
      </c>
      <c r="M127" s="418"/>
      <c r="N127" s="50"/>
      <c r="O127" s="50"/>
      <c r="P127" s="50"/>
      <c r="Q127" s="50"/>
      <c r="R127" s="50"/>
    </row>
    <row r="128" spans="3:18" ht="12.75" customHeight="1">
      <c r="C128" s="399"/>
      <c r="D128" s="399"/>
      <c r="E128" s="58" t="s">
        <v>491</v>
      </c>
      <c r="F128" s="59">
        <v>21</v>
      </c>
      <c r="G128" s="59">
        <v>1</v>
      </c>
      <c r="H128" s="59">
        <v>10000</v>
      </c>
      <c r="I128" s="420"/>
      <c r="J128" s="58" t="s">
        <v>476</v>
      </c>
      <c r="K128" s="421"/>
      <c r="L128" s="60">
        <v>1000000000</v>
      </c>
      <c r="M128" s="418"/>
      <c r="N128" s="50"/>
      <c r="O128" s="50"/>
      <c r="P128" s="50"/>
      <c r="Q128" s="50"/>
      <c r="R128" s="50"/>
    </row>
    <row r="129" spans="3:18" ht="12.75" customHeight="1">
      <c r="C129" s="399"/>
      <c r="D129" s="399"/>
      <c r="E129" s="58" t="s">
        <v>492</v>
      </c>
      <c r="F129" s="59">
        <v>22</v>
      </c>
      <c r="G129" s="59">
        <v>1</v>
      </c>
      <c r="H129" s="59">
        <v>10000</v>
      </c>
      <c r="I129" s="420"/>
      <c r="J129" s="58" t="s">
        <v>476</v>
      </c>
      <c r="K129" s="421"/>
      <c r="L129" s="60">
        <v>1000000000</v>
      </c>
      <c r="M129" s="418"/>
      <c r="N129" s="50"/>
      <c r="O129" s="50"/>
      <c r="P129" s="50"/>
      <c r="Q129" s="50"/>
      <c r="R129" s="50"/>
    </row>
    <row r="130" spans="3:18" ht="12.75" customHeight="1">
      <c r="C130" s="399"/>
      <c r="D130" s="399"/>
      <c r="E130" s="58" t="s">
        <v>493</v>
      </c>
      <c r="F130" s="59">
        <v>23</v>
      </c>
      <c r="G130" s="59">
        <v>1</v>
      </c>
      <c r="H130" s="59">
        <v>10000</v>
      </c>
      <c r="I130" s="420"/>
      <c r="J130" s="58" t="s">
        <v>476</v>
      </c>
      <c r="K130" s="421"/>
      <c r="L130" s="60">
        <v>1000000000</v>
      </c>
      <c r="M130" s="418"/>
      <c r="N130" s="50"/>
      <c r="O130" s="50"/>
      <c r="P130" s="50"/>
      <c r="Q130" s="50"/>
      <c r="R130" s="50"/>
    </row>
    <row r="131" spans="3:18" ht="12.75" customHeight="1">
      <c r="C131" s="399"/>
      <c r="D131" s="399"/>
      <c r="E131" s="58" t="s">
        <v>494</v>
      </c>
      <c r="F131" s="59">
        <v>24</v>
      </c>
      <c r="G131" s="59">
        <v>1</v>
      </c>
      <c r="H131" s="59">
        <v>10000</v>
      </c>
      <c r="I131" s="420"/>
      <c r="J131" s="58" t="s">
        <v>476</v>
      </c>
      <c r="K131" s="421"/>
      <c r="L131" s="60">
        <v>1000000000</v>
      </c>
      <c r="M131" s="418"/>
      <c r="N131" s="50"/>
      <c r="O131" s="50"/>
      <c r="P131" s="50"/>
      <c r="Q131" s="50"/>
      <c r="R131" s="50"/>
    </row>
    <row r="132" spans="3:18" ht="12.75" customHeight="1">
      <c r="C132" s="399"/>
      <c r="D132" s="399"/>
      <c r="E132" s="58" t="s">
        <v>495</v>
      </c>
      <c r="F132" s="59">
        <v>25</v>
      </c>
      <c r="G132" s="59">
        <v>1</v>
      </c>
      <c r="H132" s="59">
        <v>10000</v>
      </c>
      <c r="I132" s="420"/>
      <c r="J132" s="58" t="s">
        <v>476</v>
      </c>
      <c r="K132" s="421"/>
      <c r="L132" s="60">
        <v>1000000000</v>
      </c>
      <c r="M132" s="418"/>
      <c r="N132" s="50"/>
      <c r="O132" s="50"/>
      <c r="P132" s="50"/>
      <c r="Q132" s="50"/>
      <c r="R132" s="50"/>
    </row>
    <row r="133" spans="3:18" ht="12.75" customHeight="1">
      <c r="C133" s="399"/>
      <c r="D133" s="399"/>
      <c r="E133" s="58" t="s">
        <v>497</v>
      </c>
      <c r="F133" s="59">
        <v>26</v>
      </c>
      <c r="G133" s="58">
        <v>77</v>
      </c>
      <c r="H133" s="59">
        <v>10000</v>
      </c>
      <c r="I133" s="420"/>
      <c r="J133" s="58" t="s">
        <v>476</v>
      </c>
      <c r="K133" s="421"/>
      <c r="L133" s="60">
        <v>992400000</v>
      </c>
      <c r="M133" s="418"/>
      <c r="N133" s="50"/>
      <c r="O133" s="50"/>
      <c r="P133" s="50"/>
      <c r="Q133" s="50"/>
      <c r="R133" s="50"/>
    </row>
    <row r="134" spans="3:18" ht="12.75" customHeight="1">
      <c r="C134" s="399"/>
      <c r="D134" s="399"/>
      <c r="E134" s="58" t="s">
        <v>498</v>
      </c>
      <c r="F134" s="59">
        <v>28</v>
      </c>
      <c r="G134" s="59">
        <v>1</v>
      </c>
      <c r="H134" s="59">
        <v>10000</v>
      </c>
      <c r="I134" s="420"/>
      <c r="J134" s="58" t="s">
        <v>476</v>
      </c>
      <c r="K134" s="421"/>
      <c r="L134" s="60">
        <v>1000000000</v>
      </c>
      <c r="M134" s="418"/>
      <c r="N134" s="50"/>
      <c r="O134" s="50"/>
      <c r="P134" s="50"/>
      <c r="Q134" s="50"/>
      <c r="R134" s="50"/>
    </row>
    <row r="135" spans="3:18" ht="12.75" customHeight="1">
      <c r="C135" s="399"/>
      <c r="D135" s="399"/>
      <c r="E135" s="58" t="s">
        <v>499</v>
      </c>
      <c r="F135" s="59">
        <v>29</v>
      </c>
      <c r="G135" s="59">
        <v>1</v>
      </c>
      <c r="H135" s="59">
        <v>10000</v>
      </c>
      <c r="I135" s="420"/>
      <c r="J135" s="58" t="s">
        <v>476</v>
      </c>
      <c r="K135" s="421"/>
      <c r="L135" s="60">
        <v>1000000000</v>
      </c>
      <c r="M135" s="418"/>
      <c r="N135" s="50"/>
      <c r="O135" s="50"/>
      <c r="P135" s="50"/>
      <c r="Q135" s="50"/>
      <c r="R135" s="50"/>
    </row>
    <row r="136" spans="3:18" ht="12.75" customHeight="1">
      <c r="C136" s="399"/>
      <c r="D136" s="399"/>
      <c r="E136" s="58" t="s">
        <v>500</v>
      </c>
      <c r="F136" s="59">
        <v>30</v>
      </c>
      <c r="G136" s="59">
        <v>1</v>
      </c>
      <c r="H136" s="59">
        <v>10000</v>
      </c>
      <c r="I136" s="420"/>
      <c r="J136" s="58" t="s">
        <v>476</v>
      </c>
      <c r="K136" s="421"/>
      <c r="L136" s="60">
        <v>1000000000</v>
      </c>
      <c r="M136" s="418"/>
      <c r="N136" s="50"/>
      <c r="O136" s="50"/>
      <c r="P136" s="50"/>
      <c r="Q136" s="50"/>
      <c r="R136" s="50"/>
    </row>
    <row r="137" spans="3:18" ht="12.75" customHeight="1">
      <c r="C137" s="399"/>
      <c r="D137" s="399"/>
      <c r="E137" s="58" t="s">
        <v>501</v>
      </c>
      <c r="F137" s="59">
        <v>31</v>
      </c>
      <c r="G137" s="59">
        <v>1</v>
      </c>
      <c r="H137" s="59">
        <v>10000</v>
      </c>
      <c r="I137" s="420"/>
      <c r="J137" s="58" t="s">
        <v>476</v>
      </c>
      <c r="K137" s="421"/>
      <c r="L137" s="60">
        <v>1000000000</v>
      </c>
      <c r="M137" s="418"/>
      <c r="N137" s="50"/>
      <c r="O137" s="50"/>
      <c r="P137" s="50"/>
      <c r="Q137" s="50"/>
      <c r="R137" s="50"/>
    </row>
    <row r="138" spans="3:18" ht="12.75" customHeight="1">
      <c r="C138" s="399"/>
      <c r="D138" s="399"/>
      <c r="E138" s="58" t="s">
        <v>502</v>
      </c>
      <c r="F138" s="59">
        <v>32</v>
      </c>
      <c r="G138" s="59">
        <v>1</v>
      </c>
      <c r="H138" s="59">
        <v>10000</v>
      </c>
      <c r="I138" s="420"/>
      <c r="J138" s="58" t="s">
        <v>476</v>
      </c>
      <c r="K138" s="421"/>
      <c r="L138" s="60">
        <v>1000000000</v>
      </c>
      <c r="M138" s="418"/>
      <c r="N138" s="50"/>
      <c r="O138" s="50"/>
      <c r="P138" s="50"/>
      <c r="Q138" s="50"/>
      <c r="R138" s="50"/>
    </row>
    <row r="139" spans="3:18" ht="12.75" customHeight="1">
      <c r="C139" s="399"/>
      <c r="D139" s="399"/>
      <c r="E139" s="58" t="s">
        <v>503</v>
      </c>
      <c r="F139" s="59">
        <v>33</v>
      </c>
      <c r="G139" s="59">
        <v>1</v>
      </c>
      <c r="H139" s="59">
        <v>10000</v>
      </c>
      <c r="I139" s="420"/>
      <c r="J139" s="58" t="s">
        <v>476</v>
      </c>
      <c r="K139" s="421"/>
      <c r="L139" s="60">
        <v>1000000000</v>
      </c>
      <c r="M139" s="418"/>
      <c r="N139" s="50"/>
      <c r="O139" s="50"/>
      <c r="P139" s="50"/>
      <c r="Q139" s="50"/>
      <c r="R139" s="50"/>
    </row>
    <row r="140" spans="3:18" ht="12.75" customHeight="1">
      <c r="C140" s="399"/>
      <c r="D140" s="399"/>
      <c r="E140" s="58" t="s">
        <v>504</v>
      </c>
      <c r="F140" s="59">
        <v>34</v>
      </c>
      <c r="G140" s="59">
        <v>1</v>
      </c>
      <c r="H140" s="59">
        <v>10000</v>
      </c>
      <c r="I140" s="420"/>
      <c r="J140" s="58" t="s">
        <v>476</v>
      </c>
      <c r="K140" s="421"/>
      <c r="L140" s="60">
        <v>1000000000</v>
      </c>
      <c r="M140" s="418"/>
      <c r="N140" s="50"/>
      <c r="O140" s="50"/>
      <c r="P140" s="50"/>
      <c r="Q140" s="50"/>
      <c r="R140" s="50"/>
    </row>
    <row r="141" spans="3:18" ht="12.75" customHeight="1">
      <c r="C141" s="399"/>
      <c r="D141" s="399"/>
      <c r="E141" s="58" t="s">
        <v>505</v>
      </c>
      <c r="F141" s="59">
        <v>35</v>
      </c>
      <c r="G141" s="59">
        <v>1</v>
      </c>
      <c r="H141" s="59">
        <v>9392</v>
      </c>
      <c r="I141" s="420"/>
      <c r="J141" s="58" t="s">
        <v>476</v>
      </c>
      <c r="K141" s="421"/>
      <c r="L141" s="60">
        <v>939200000</v>
      </c>
      <c r="M141" s="418"/>
      <c r="N141" s="50"/>
      <c r="O141" s="50"/>
      <c r="P141" s="50"/>
      <c r="Q141" s="50"/>
      <c r="R141" s="50"/>
    </row>
    <row r="142" spans="3:18" ht="12.75" customHeight="1">
      <c r="C142" s="399"/>
      <c r="D142" s="399"/>
      <c r="E142" s="58" t="s">
        <v>846</v>
      </c>
      <c r="F142" s="59">
        <v>36</v>
      </c>
      <c r="G142" s="59">
        <v>1</v>
      </c>
      <c r="H142" s="59">
        <v>10000</v>
      </c>
      <c r="I142" s="420"/>
      <c r="J142" s="58" t="s">
        <v>476</v>
      </c>
      <c r="K142" s="421"/>
      <c r="L142" s="60">
        <v>1000000000</v>
      </c>
      <c r="M142" s="418"/>
      <c r="N142" s="50"/>
      <c r="O142" s="50"/>
      <c r="P142" s="50"/>
      <c r="Q142" s="50"/>
      <c r="R142" s="50"/>
    </row>
    <row r="143" spans="3:18" ht="12.75" customHeight="1">
      <c r="C143" s="399"/>
      <c r="D143" s="399"/>
      <c r="E143" s="58" t="s">
        <v>847</v>
      </c>
      <c r="F143" s="59">
        <v>37</v>
      </c>
      <c r="G143" s="59">
        <v>1</v>
      </c>
      <c r="H143" s="59">
        <v>10000</v>
      </c>
      <c r="I143" s="420"/>
      <c r="J143" s="58" t="s">
        <v>476</v>
      </c>
      <c r="K143" s="421"/>
      <c r="L143" s="60">
        <v>1000000000</v>
      </c>
      <c r="M143" s="418"/>
      <c r="N143" s="50"/>
      <c r="O143" s="50"/>
      <c r="P143" s="50"/>
      <c r="Q143" s="50"/>
      <c r="R143" s="50"/>
    </row>
    <row r="144" spans="3:18" ht="12.75" customHeight="1">
      <c r="C144" s="399"/>
      <c r="D144" s="399"/>
      <c r="E144" s="58" t="s">
        <v>848</v>
      </c>
      <c r="F144" s="59">
        <v>38</v>
      </c>
      <c r="G144" s="59">
        <v>1</v>
      </c>
      <c r="H144" s="59">
        <v>10000</v>
      </c>
      <c r="I144" s="420"/>
      <c r="J144" s="58" t="s">
        <v>476</v>
      </c>
      <c r="K144" s="421"/>
      <c r="L144" s="60">
        <v>1000000000</v>
      </c>
      <c r="M144" s="418"/>
      <c r="N144" s="50"/>
      <c r="O144" s="50"/>
      <c r="P144" s="50"/>
      <c r="Q144" s="50"/>
      <c r="R144" s="50"/>
    </row>
    <row r="145" spans="3:18" ht="12.75" customHeight="1">
      <c r="C145" s="399"/>
      <c r="D145" s="399"/>
      <c r="E145" s="58" t="s">
        <v>849</v>
      </c>
      <c r="F145" s="59">
        <v>39</v>
      </c>
      <c r="G145" s="59">
        <v>1</v>
      </c>
      <c r="H145" s="59">
        <v>9684</v>
      </c>
      <c r="I145" s="429"/>
      <c r="J145" s="58" t="s">
        <v>476</v>
      </c>
      <c r="K145" s="422"/>
      <c r="L145" s="60">
        <v>968400000</v>
      </c>
      <c r="M145" s="423"/>
      <c r="N145" s="50"/>
      <c r="O145" s="50"/>
      <c r="P145" s="50"/>
      <c r="Q145" s="50"/>
      <c r="R145" s="50"/>
    </row>
    <row r="146" spans="3:18" ht="12.75" customHeight="1">
      <c r="C146" s="399">
        <v>2</v>
      </c>
      <c r="D146" s="399" t="s">
        <v>568</v>
      </c>
      <c r="E146" s="58" t="s">
        <v>475</v>
      </c>
      <c r="F146" s="59">
        <v>2</v>
      </c>
      <c r="G146" s="59">
        <v>3881</v>
      </c>
      <c r="H146" s="59">
        <v>4640</v>
      </c>
      <c r="I146" s="419">
        <v>2595</v>
      </c>
      <c r="J146" s="58" t="s">
        <v>476</v>
      </c>
      <c r="K146" s="419">
        <v>2595</v>
      </c>
      <c r="L146" s="60">
        <v>76000000</v>
      </c>
      <c r="M146" s="412">
        <v>7.6E-3</v>
      </c>
      <c r="N146" s="50"/>
      <c r="O146" s="50"/>
      <c r="P146" s="50"/>
      <c r="Q146" s="50"/>
      <c r="R146" s="50"/>
    </row>
    <row r="147" spans="3:18" ht="12.75" customHeight="1">
      <c r="C147" s="399"/>
      <c r="D147" s="399"/>
      <c r="E147" s="58" t="s">
        <v>486</v>
      </c>
      <c r="F147" s="59">
        <v>14</v>
      </c>
      <c r="G147" s="58">
        <v>1</v>
      </c>
      <c r="H147" s="59">
        <v>835</v>
      </c>
      <c r="I147" s="421"/>
      <c r="J147" s="58" t="s">
        <v>476</v>
      </c>
      <c r="K147" s="420"/>
      <c r="L147" s="60">
        <v>83500000</v>
      </c>
      <c r="M147" s="413"/>
      <c r="N147" s="50"/>
      <c r="O147" s="50"/>
      <c r="P147" s="50"/>
      <c r="Q147" s="50"/>
      <c r="R147" s="50"/>
    </row>
    <row r="148" spans="3:18" ht="12.75" customHeight="1">
      <c r="C148" s="399"/>
      <c r="D148" s="399"/>
      <c r="E148" s="58" t="s">
        <v>497</v>
      </c>
      <c r="F148" s="59">
        <v>27</v>
      </c>
      <c r="G148" s="58">
        <v>1</v>
      </c>
      <c r="H148" s="59">
        <v>76</v>
      </c>
      <c r="I148" s="421"/>
      <c r="J148" s="58" t="s">
        <v>476</v>
      </c>
      <c r="K148" s="420"/>
      <c r="L148" s="60">
        <v>7600000</v>
      </c>
      <c r="M148" s="413"/>
      <c r="N148" s="50"/>
      <c r="O148" s="50"/>
      <c r="P148" s="50"/>
      <c r="Q148" s="50"/>
      <c r="R148" s="50"/>
    </row>
    <row r="149" spans="3:18" ht="12.75" customHeight="1">
      <c r="C149" s="399"/>
      <c r="D149" s="399"/>
      <c r="E149" s="58" t="s">
        <v>505</v>
      </c>
      <c r="F149" s="59">
        <v>36</v>
      </c>
      <c r="G149" s="59">
        <v>9393</v>
      </c>
      <c r="H149" s="59">
        <v>10000</v>
      </c>
      <c r="I149" s="421"/>
      <c r="J149" s="58" t="s">
        <v>476</v>
      </c>
      <c r="K149" s="420"/>
      <c r="L149" s="60">
        <v>60800000</v>
      </c>
      <c r="M149" s="413"/>
      <c r="N149" s="50"/>
      <c r="O149" s="50"/>
      <c r="P149" s="50"/>
      <c r="Q149" s="50"/>
      <c r="R149" s="50"/>
    </row>
    <row r="150" spans="3:18" ht="12.75" customHeight="1">
      <c r="C150" s="399"/>
      <c r="D150" s="399"/>
      <c r="E150" s="58" t="s">
        <v>849</v>
      </c>
      <c r="F150" s="59">
        <v>39</v>
      </c>
      <c r="G150" s="59">
        <v>1</v>
      </c>
      <c r="H150" s="59">
        <v>316</v>
      </c>
      <c r="I150" s="422"/>
      <c r="J150" s="58" t="s">
        <v>476</v>
      </c>
      <c r="K150" s="429"/>
      <c r="L150" s="60">
        <v>31600000</v>
      </c>
      <c r="M150" s="414"/>
      <c r="N150" s="50"/>
      <c r="O150" s="50"/>
      <c r="P150" s="50"/>
      <c r="Q150" s="50"/>
      <c r="R150" s="50"/>
    </row>
    <row r="151" spans="3:18" ht="13.2">
      <c r="C151" s="411" t="s">
        <v>68</v>
      </c>
      <c r="D151" s="411"/>
      <c r="E151" s="411"/>
      <c r="F151" s="411"/>
      <c r="G151" s="411"/>
      <c r="H151" s="411"/>
      <c r="I151" s="61">
        <f>SUM(I110:I150)</f>
        <v>340000</v>
      </c>
      <c r="J151" s="62"/>
      <c r="K151" s="61">
        <f>SUM(K110:K150)</f>
        <v>340000</v>
      </c>
      <c r="L151" s="63">
        <f>SUM(L110:L150)</f>
        <v>34000000000</v>
      </c>
      <c r="M151" s="64">
        <f>SUM(M110:M150)</f>
        <v>1</v>
      </c>
      <c r="N151" s="50"/>
      <c r="O151" s="50"/>
      <c r="P151" s="50"/>
      <c r="Q151" s="50"/>
      <c r="R151" s="50"/>
    </row>
    <row r="152" spans="3:18" ht="13.2">
      <c r="C152" s="50"/>
      <c r="D152" s="50"/>
      <c r="E152" s="50"/>
      <c r="F152" s="50"/>
      <c r="G152" s="50"/>
      <c r="H152" s="50"/>
      <c r="I152" s="50"/>
      <c r="J152" s="50"/>
      <c r="K152" s="50"/>
      <c r="L152" s="50"/>
      <c r="M152" s="50"/>
      <c r="N152" s="50"/>
      <c r="O152" s="50"/>
      <c r="P152" s="50"/>
      <c r="Q152" s="50"/>
      <c r="R152" s="50"/>
    </row>
    <row r="153" spans="3:18" ht="13.2">
      <c r="C153" s="50"/>
      <c r="D153" s="50"/>
      <c r="E153" s="50"/>
      <c r="F153" s="50"/>
      <c r="G153" s="50"/>
      <c r="H153" s="50"/>
      <c r="I153" s="50"/>
      <c r="J153" s="50"/>
      <c r="K153" s="50"/>
      <c r="L153" s="50"/>
      <c r="M153" s="50"/>
      <c r="N153" s="50"/>
      <c r="O153" s="50"/>
      <c r="P153" s="50"/>
      <c r="Q153" s="50"/>
      <c r="R153" s="50"/>
    </row>
    <row r="154" spans="3:18" ht="34.5" customHeight="1">
      <c r="C154" s="79" t="s">
        <v>474</v>
      </c>
      <c r="D154" s="383" t="s">
        <v>394</v>
      </c>
      <c r="E154" s="400" t="s">
        <v>512</v>
      </c>
      <c r="F154" s="401"/>
      <c r="G154" s="402"/>
      <c r="H154" s="400" t="s">
        <v>780</v>
      </c>
      <c r="I154" s="401"/>
      <c r="J154" s="402"/>
      <c r="K154" s="50"/>
      <c r="L154" s="50"/>
      <c r="M154" s="50"/>
      <c r="N154" s="50"/>
      <c r="O154" s="50"/>
      <c r="P154" s="50"/>
      <c r="Q154" s="50"/>
      <c r="R154" s="50"/>
    </row>
    <row r="155" spans="3:18" ht="13.2">
      <c r="C155" s="399">
        <v>1</v>
      </c>
      <c r="D155" s="399" t="s">
        <v>386</v>
      </c>
      <c r="E155" s="403" t="s">
        <v>324</v>
      </c>
      <c r="F155" s="403"/>
      <c r="G155" s="403"/>
      <c r="H155" s="403">
        <v>2.69</v>
      </c>
      <c r="I155" s="403"/>
      <c r="J155" s="403"/>
      <c r="K155" s="50"/>
      <c r="L155" s="50"/>
      <c r="M155" s="50"/>
      <c r="N155" s="50"/>
      <c r="O155" s="50"/>
      <c r="P155" s="50"/>
      <c r="Q155" s="50"/>
      <c r="R155" s="50"/>
    </row>
    <row r="156" spans="3:18" ht="12" customHeight="1">
      <c r="C156" s="399"/>
      <c r="D156" s="399"/>
      <c r="E156" s="403" t="s">
        <v>327</v>
      </c>
      <c r="F156" s="403"/>
      <c r="G156" s="403"/>
      <c r="H156" s="403">
        <v>1.24</v>
      </c>
      <c r="I156" s="403"/>
      <c r="J156" s="403"/>
      <c r="K156" s="50"/>
      <c r="L156" s="50"/>
      <c r="M156" s="50"/>
      <c r="N156" s="50"/>
      <c r="O156" s="50"/>
      <c r="P156" s="50"/>
      <c r="Q156" s="50"/>
      <c r="R156" s="50"/>
    </row>
    <row r="157" spans="3:18" ht="12" customHeight="1">
      <c r="C157" s="399"/>
      <c r="D157" s="399"/>
      <c r="E157" s="403" t="s">
        <v>330</v>
      </c>
      <c r="F157" s="403"/>
      <c r="G157" s="403"/>
      <c r="H157" s="403">
        <v>4.79</v>
      </c>
      <c r="I157" s="403"/>
      <c r="J157" s="403"/>
      <c r="K157" s="50"/>
      <c r="L157" s="50"/>
      <c r="M157" s="50"/>
      <c r="N157" s="50"/>
      <c r="O157" s="50"/>
      <c r="P157" s="50"/>
      <c r="Q157" s="50"/>
      <c r="R157" s="50"/>
    </row>
    <row r="158" spans="3:18" ht="12" customHeight="1">
      <c r="C158" s="399"/>
      <c r="D158" s="399"/>
      <c r="E158" s="403" t="s">
        <v>332</v>
      </c>
      <c r="F158" s="403"/>
      <c r="G158" s="403"/>
      <c r="H158" s="403">
        <v>73.180000000000007</v>
      </c>
      <c r="I158" s="403"/>
      <c r="J158" s="403"/>
      <c r="K158" s="50"/>
      <c r="L158" s="50"/>
      <c r="M158" s="50"/>
      <c r="N158" s="50"/>
      <c r="O158" s="50"/>
      <c r="P158" s="50"/>
      <c r="Q158" s="50"/>
      <c r="R158" s="50"/>
    </row>
    <row r="159" spans="3:18" ht="12" customHeight="1">
      <c r="C159" s="399"/>
      <c r="D159" s="399"/>
      <c r="E159" s="407" t="s">
        <v>339</v>
      </c>
      <c r="F159" s="407"/>
      <c r="G159" s="407"/>
      <c r="H159" s="403">
        <v>0.71</v>
      </c>
      <c r="I159" s="403"/>
      <c r="J159" s="403"/>
      <c r="K159" s="50"/>
      <c r="L159" s="50"/>
      <c r="M159" s="50"/>
      <c r="N159" s="50"/>
      <c r="O159" s="50"/>
      <c r="P159" s="50"/>
      <c r="Q159" s="50"/>
      <c r="R159" s="50"/>
    </row>
    <row r="160" spans="3:18" ht="13.2">
      <c r="C160" s="50"/>
      <c r="D160" s="50"/>
      <c r="E160" s="410"/>
      <c r="F160" s="410"/>
      <c r="G160" s="410"/>
      <c r="H160" s="69"/>
      <c r="I160" s="50"/>
      <c r="J160" s="50"/>
      <c r="K160" s="50"/>
      <c r="L160" s="50"/>
      <c r="M160" s="50"/>
      <c r="N160" s="50"/>
      <c r="O160" s="50"/>
      <c r="P160" s="50"/>
      <c r="Q160" s="50"/>
      <c r="R160" s="50"/>
    </row>
    <row r="161" spans="3:18" ht="13.2">
      <c r="C161" s="50"/>
      <c r="D161" s="50"/>
      <c r="E161" s="50"/>
      <c r="F161" s="50"/>
      <c r="G161" s="50"/>
      <c r="H161" s="50"/>
      <c r="I161" s="50"/>
      <c r="J161" s="50"/>
      <c r="K161" s="50"/>
      <c r="L161" s="50"/>
      <c r="M161" s="50"/>
      <c r="N161" s="50"/>
      <c r="O161" s="50"/>
      <c r="P161" s="50"/>
      <c r="Q161" s="50"/>
      <c r="R161" s="50"/>
    </row>
    <row r="162" spans="3:18" ht="32.25" customHeight="1">
      <c r="C162" s="79" t="s">
        <v>474</v>
      </c>
      <c r="D162" s="79" t="s">
        <v>394</v>
      </c>
      <c r="E162" s="400" t="s">
        <v>512</v>
      </c>
      <c r="F162" s="401"/>
      <c r="G162" s="402"/>
      <c r="H162" s="400" t="s">
        <v>780</v>
      </c>
      <c r="I162" s="401"/>
      <c r="J162" s="402"/>
      <c r="K162" s="50"/>
      <c r="L162" s="50"/>
      <c r="M162" s="50"/>
      <c r="N162" s="50"/>
      <c r="O162" s="50"/>
      <c r="P162" s="50"/>
      <c r="Q162" s="50"/>
      <c r="R162" s="50"/>
    </row>
    <row r="163" spans="3:18" ht="13.2">
      <c r="C163" s="399">
        <v>1</v>
      </c>
      <c r="D163" s="399" t="s">
        <v>332</v>
      </c>
      <c r="E163" s="403" t="s">
        <v>565</v>
      </c>
      <c r="F163" s="403"/>
      <c r="G163" s="403"/>
      <c r="H163" s="403">
        <v>71.569999999999993</v>
      </c>
      <c r="I163" s="403"/>
      <c r="J163" s="403"/>
      <c r="K163" s="50"/>
      <c r="L163" s="50"/>
      <c r="M163" s="50"/>
      <c r="N163" s="50"/>
      <c r="O163" s="50"/>
      <c r="P163" s="50"/>
      <c r="Q163" s="50"/>
      <c r="R163" s="50"/>
    </row>
    <row r="164" spans="3:18" ht="13.2">
      <c r="C164" s="399"/>
      <c r="D164" s="399"/>
      <c r="E164" s="403" t="s">
        <v>566</v>
      </c>
      <c r="F164" s="403"/>
      <c r="G164" s="403"/>
      <c r="H164" s="403">
        <v>24.53</v>
      </c>
      <c r="I164" s="403"/>
      <c r="J164" s="403"/>
      <c r="K164" s="50"/>
      <c r="L164" s="50"/>
      <c r="M164" s="50"/>
      <c r="N164" s="50"/>
      <c r="O164" s="50"/>
      <c r="P164" s="50"/>
      <c r="Q164" s="50"/>
      <c r="R164" s="50"/>
    </row>
    <row r="165" spans="3:18" ht="13.2">
      <c r="C165" s="399"/>
      <c r="D165" s="399"/>
      <c r="E165" s="403" t="s">
        <v>567</v>
      </c>
      <c r="F165" s="403"/>
      <c r="G165" s="403"/>
      <c r="H165" s="403">
        <v>1.95</v>
      </c>
      <c r="I165" s="403"/>
      <c r="J165" s="403"/>
      <c r="K165" s="50"/>
      <c r="L165" s="50"/>
      <c r="M165" s="50"/>
      <c r="N165" s="50"/>
      <c r="O165" s="50"/>
      <c r="P165" s="50"/>
      <c r="Q165" s="50"/>
      <c r="R165" s="50"/>
    </row>
    <row r="166" spans="3:18" ht="13.2">
      <c r="C166" s="399"/>
      <c r="D166" s="399"/>
      <c r="E166" s="403" t="s">
        <v>518</v>
      </c>
      <c r="F166" s="403"/>
      <c r="G166" s="403"/>
      <c r="H166" s="403">
        <v>1.95</v>
      </c>
      <c r="I166" s="403"/>
      <c r="J166" s="403"/>
      <c r="K166" s="50"/>
      <c r="L166" s="50"/>
      <c r="M166" s="50"/>
      <c r="N166" s="50"/>
      <c r="O166" s="50"/>
      <c r="P166" s="50"/>
      <c r="Q166" s="50"/>
      <c r="R166" s="50"/>
    </row>
    <row r="167" spans="3:18" ht="13.2">
      <c r="C167" s="50"/>
      <c r="D167" s="50"/>
      <c r="E167" s="50"/>
      <c r="F167" s="50"/>
      <c r="G167" s="50"/>
      <c r="H167" s="50"/>
      <c r="I167" s="50"/>
      <c r="J167" s="50"/>
      <c r="K167" s="50"/>
      <c r="L167" s="50"/>
      <c r="M167" s="50"/>
      <c r="N167" s="50"/>
      <c r="O167" s="50"/>
      <c r="P167" s="50"/>
      <c r="Q167" s="50"/>
      <c r="R167" s="50"/>
    </row>
    <row r="168" spans="3:18" ht="28.2" customHeight="1">
      <c r="C168" s="47" t="s">
        <v>509</v>
      </c>
      <c r="D168" s="47" t="s">
        <v>510</v>
      </c>
      <c r="E168" s="47"/>
      <c r="F168" s="47"/>
      <c r="G168" s="50"/>
      <c r="H168" s="47"/>
      <c r="I168" s="47"/>
      <c r="J168" s="47"/>
      <c r="K168" s="47"/>
      <c r="L168" s="47"/>
      <c r="M168" s="47"/>
      <c r="N168" s="70"/>
      <c r="O168" s="50"/>
      <c r="P168" s="50"/>
      <c r="Q168" s="50"/>
      <c r="R168" s="50"/>
    </row>
    <row r="169" spans="3:18" ht="12" customHeight="1">
      <c r="C169" s="50"/>
      <c r="D169" s="50"/>
      <c r="E169" s="50"/>
      <c r="F169" s="50"/>
      <c r="G169" s="50"/>
      <c r="H169" s="50"/>
      <c r="I169" s="50"/>
      <c r="J169" s="50"/>
      <c r="K169" s="50"/>
      <c r="L169" s="50"/>
      <c r="M169" s="50"/>
      <c r="N169" s="50"/>
      <c r="O169" s="50"/>
      <c r="P169" s="50"/>
      <c r="Q169" s="50"/>
      <c r="R169" s="50"/>
    </row>
    <row r="170" spans="3:18" ht="12" customHeight="1">
      <c r="C170" s="50" t="s">
        <v>735</v>
      </c>
      <c r="D170" s="50" t="s">
        <v>563</v>
      </c>
      <c r="E170" s="50"/>
      <c r="F170" s="50"/>
      <c r="G170" s="50" t="s">
        <v>764</v>
      </c>
      <c r="H170" s="50"/>
      <c r="I170" s="50"/>
      <c r="J170" s="50"/>
      <c r="K170" s="50"/>
      <c r="L170" s="50"/>
      <c r="M170" s="50"/>
      <c r="N170" s="50"/>
      <c r="O170" s="57"/>
      <c r="P170" s="50"/>
      <c r="Q170" s="50"/>
      <c r="R170" s="50"/>
    </row>
    <row r="171" spans="3:18" ht="12" customHeight="1">
      <c r="C171" s="50" t="s">
        <v>736</v>
      </c>
      <c r="D171" s="50" t="s">
        <v>564</v>
      </c>
      <c r="E171" s="50"/>
      <c r="F171" s="50"/>
      <c r="G171" s="50" t="s">
        <v>765</v>
      </c>
      <c r="H171" s="50"/>
      <c r="I171" s="50"/>
      <c r="J171" s="50"/>
      <c r="K171" s="50"/>
      <c r="L171" s="50"/>
      <c r="M171" s="50"/>
      <c r="N171" s="50"/>
      <c r="O171" s="50"/>
      <c r="P171" s="50"/>
      <c r="Q171" s="50"/>
      <c r="R171" s="50"/>
    </row>
    <row r="172" spans="3:18" ht="12" customHeight="1">
      <c r="C172" s="50"/>
      <c r="D172" s="50"/>
      <c r="E172" s="50"/>
      <c r="F172" s="50"/>
      <c r="G172" s="50"/>
      <c r="H172" s="50"/>
      <c r="I172" s="50"/>
      <c r="J172" s="50"/>
      <c r="K172" s="50"/>
      <c r="L172" s="50"/>
      <c r="M172" s="50"/>
      <c r="N172" s="50"/>
      <c r="O172" s="50"/>
      <c r="P172" s="50"/>
      <c r="Q172" s="50"/>
      <c r="R172" s="50"/>
    </row>
    <row r="173" spans="3:18" ht="12" customHeight="1">
      <c r="C173" s="47" t="s">
        <v>511</v>
      </c>
      <c r="D173" s="47" t="s">
        <v>513</v>
      </c>
      <c r="E173" s="47"/>
      <c r="F173" s="47"/>
      <c r="G173" s="47"/>
      <c r="H173" s="47"/>
      <c r="I173" s="47"/>
      <c r="J173" s="47"/>
      <c r="K173" s="47"/>
      <c r="L173" s="47"/>
      <c r="M173" s="47"/>
      <c r="N173" s="50"/>
      <c r="O173" s="50"/>
      <c r="P173" s="50"/>
      <c r="Q173" s="50"/>
      <c r="R173" s="50"/>
    </row>
    <row r="174" spans="3:18" ht="12" customHeight="1">
      <c r="C174" s="50"/>
      <c r="D174" s="50"/>
      <c r="E174" s="50"/>
      <c r="F174" s="50"/>
      <c r="G174" s="50"/>
      <c r="H174" s="50"/>
      <c r="I174" s="50"/>
      <c r="J174" s="50"/>
      <c r="K174" s="50"/>
      <c r="L174" s="50"/>
      <c r="M174" s="50"/>
      <c r="N174" s="50"/>
      <c r="O174" s="50"/>
      <c r="P174" s="50"/>
      <c r="Q174" s="50"/>
      <c r="R174" s="50"/>
    </row>
    <row r="175" spans="3:18" ht="21.75" customHeight="1">
      <c r="C175" s="428" t="s">
        <v>513</v>
      </c>
      <c r="D175" s="428"/>
      <c r="E175" s="428"/>
      <c r="F175" s="428" t="s">
        <v>793</v>
      </c>
      <c r="G175" s="428"/>
      <c r="H175" s="428"/>
      <c r="I175" s="428"/>
      <c r="J175" s="50"/>
      <c r="K175" s="50"/>
      <c r="L175" s="50"/>
      <c r="M175" s="50"/>
      <c r="N175" s="50"/>
      <c r="O175" s="50"/>
      <c r="P175" s="50"/>
      <c r="Q175" s="50"/>
      <c r="R175" s="50"/>
    </row>
    <row r="176" spans="3:18" ht="12.75" customHeight="1">
      <c r="C176" s="403" t="s">
        <v>521</v>
      </c>
      <c r="D176" s="403"/>
      <c r="E176" s="403"/>
      <c r="F176" s="403" t="s">
        <v>514</v>
      </c>
      <c r="G176" s="403"/>
      <c r="H176" s="403"/>
      <c r="I176" s="403"/>
      <c r="J176" s="50"/>
      <c r="K176" s="50"/>
      <c r="L176" s="50"/>
      <c r="M176" s="50"/>
      <c r="N176" s="50"/>
      <c r="O176" s="50"/>
      <c r="P176" s="50"/>
      <c r="Q176" s="50"/>
      <c r="R176" s="50"/>
    </row>
    <row r="177" spans="3:18" ht="12.75" customHeight="1">
      <c r="C177" s="403" t="s">
        <v>516</v>
      </c>
      <c r="D177" s="403"/>
      <c r="E177" s="403"/>
      <c r="F177" s="403" t="s">
        <v>515</v>
      </c>
      <c r="G177" s="403"/>
      <c r="H177" s="403"/>
      <c r="I177" s="403"/>
      <c r="J177" s="50"/>
      <c r="K177" s="50"/>
      <c r="L177" s="50"/>
      <c r="M177" s="50"/>
      <c r="N177" s="50"/>
      <c r="O177" s="50"/>
      <c r="P177" s="50"/>
      <c r="Q177" s="50"/>
      <c r="R177" s="50"/>
    </row>
    <row r="178" spans="3:18" ht="12.75" customHeight="1">
      <c r="C178" s="403" t="s">
        <v>517</v>
      </c>
      <c r="D178" s="403"/>
      <c r="E178" s="403"/>
      <c r="F178" s="403" t="s">
        <v>455</v>
      </c>
      <c r="G178" s="403"/>
      <c r="H178" s="403"/>
      <c r="I178" s="403"/>
      <c r="J178" s="50"/>
      <c r="K178" s="50"/>
      <c r="L178" s="50"/>
      <c r="M178" s="50"/>
      <c r="N178" s="50"/>
      <c r="O178" s="50"/>
      <c r="P178" s="50"/>
      <c r="Q178" s="50"/>
      <c r="R178" s="50"/>
    </row>
    <row r="179" spans="3:18" ht="12.75" customHeight="1">
      <c r="C179" s="403" t="s">
        <v>815</v>
      </c>
      <c r="D179" s="403"/>
      <c r="E179" s="403"/>
      <c r="F179" s="403" t="s">
        <v>455</v>
      </c>
      <c r="G179" s="403"/>
      <c r="H179" s="403"/>
      <c r="I179" s="403"/>
      <c r="J179" s="50"/>
      <c r="K179" s="50"/>
      <c r="L179" s="50"/>
      <c r="M179" s="50"/>
      <c r="N179" s="50"/>
      <c r="O179" s="50"/>
      <c r="P179" s="50"/>
      <c r="Q179" s="50"/>
      <c r="R179" s="50"/>
    </row>
    <row r="180" spans="3:18" ht="12.75" customHeight="1">
      <c r="C180" s="403" t="s">
        <v>816</v>
      </c>
      <c r="D180" s="403"/>
      <c r="E180" s="403"/>
      <c r="F180" s="403" t="s">
        <v>455</v>
      </c>
      <c r="G180" s="403"/>
      <c r="H180" s="403"/>
      <c r="I180" s="403"/>
      <c r="J180" s="50"/>
      <c r="K180" s="50"/>
      <c r="L180" s="50"/>
      <c r="M180" s="50"/>
      <c r="N180" s="50"/>
      <c r="O180" s="50"/>
      <c r="P180" s="50"/>
      <c r="Q180" s="50"/>
      <c r="R180" s="50"/>
    </row>
    <row r="181" spans="3:18" ht="12.75" customHeight="1">
      <c r="C181" s="403" t="s">
        <v>819</v>
      </c>
      <c r="D181" s="403"/>
      <c r="E181" s="403"/>
      <c r="F181" s="403" t="s">
        <v>524</v>
      </c>
      <c r="G181" s="403"/>
      <c r="H181" s="403"/>
      <c r="I181" s="403"/>
      <c r="J181" s="50"/>
      <c r="K181" s="50"/>
      <c r="L181" s="50"/>
      <c r="M181" s="50"/>
      <c r="N181" s="50"/>
      <c r="O181" s="50"/>
      <c r="P181" s="50"/>
      <c r="Q181" s="50"/>
      <c r="R181" s="50"/>
    </row>
    <row r="182" spans="3:18" ht="12.75" customHeight="1">
      <c r="C182" s="403" t="s">
        <v>818</v>
      </c>
      <c r="D182" s="403"/>
      <c r="E182" s="403"/>
      <c r="F182" s="403" t="s">
        <v>526</v>
      </c>
      <c r="G182" s="403"/>
      <c r="H182" s="403"/>
      <c r="I182" s="403"/>
      <c r="J182" s="50"/>
      <c r="K182" s="50"/>
      <c r="L182" s="50"/>
      <c r="M182" s="50"/>
      <c r="N182" s="50"/>
      <c r="O182" s="50"/>
      <c r="P182" s="50"/>
      <c r="Q182" s="50"/>
      <c r="R182" s="50"/>
    </row>
    <row r="183" spans="3:18" ht="12.75" customHeight="1">
      <c r="C183" s="403" t="s">
        <v>519</v>
      </c>
      <c r="D183" s="403"/>
      <c r="E183" s="403"/>
      <c r="F183" s="403" t="s">
        <v>528</v>
      </c>
      <c r="G183" s="403"/>
      <c r="H183" s="403"/>
      <c r="I183" s="403"/>
      <c r="J183" s="50"/>
      <c r="K183" s="50"/>
      <c r="L183" s="50"/>
      <c r="M183" s="50"/>
      <c r="N183" s="50"/>
      <c r="O183" s="50"/>
      <c r="P183" s="50"/>
      <c r="Q183" s="50"/>
      <c r="R183" s="50"/>
    </row>
    <row r="184" spans="3:18" ht="12.75" customHeight="1">
      <c r="C184" s="403" t="s">
        <v>817</v>
      </c>
      <c r="D184" s="403"/>
      <c r="E184" s="403"/>
      <c r="F184" s="403" t="s">
        <v>529</v>
      </c>
      <c r="G184" s="403"/>
      <c r="H184" s="403"/>
      <c r="I184" s="403"/>
      <c r="J184" s="50"/>
      <c r="K184" s="50"/>
      <c r="L184" s="50"/>
      <c r="M184" s="50"/>
      <c r="N184" s="50"/>
      <c r="O184" s="50"/>
      <c r="P184" s="50"/>
      <c r="Q184" s="50"/>
      <c r="R184" s="50"/>
    </row>
    <row r="185" spans="3:18" ht="12.75" customHeight="1">
      <c r="C185" s="403" t="s">
        <v>520</v>
      </c>
      <c r="D185" s="403"/>
      <c r="E185" s="403"/>
      <c r="F185" s="403" t="s">
        <v>523</v>
      </c>
      <c r="G185" s="403"/>
      <c r="H185" s="403"/>
      <c r="I185" s="403"/>
      <c r="J185" s="50"/>
      <c r="K185" s="50"/>
      <c r="L185" s="50"/>
      <c r="M185" s="50"/>
      <c r="N185" s="50"/>
      <c r="O185" s="50"/>
      <c r="P185" s="50"/>
      <c r="Q185" s="50"/>
      <c r="R185" s="50"/>
    </row>
    <row r="186" spans="3:18" ht="13.2">
      <c r="C186" s="50"/>
      <c r="D186" s="50"/>
      <c r="E186" s="50"/>
      <c r="F186" s="50"/>
      <c r="G186" s="50"/>
      <c r="H186" s="50"/>
      <c r="I186" s="50"/>
      <c r="J186" s="50"/>
      <c r="K186" s="50"/>
      <c r="L186" s="50"/>
      <c r="M186" s="50"/>
      <c r="N186" s="50"/>
      <c r="O186" s="50"/>
      <c r="P186" s="50"/>
      <c r="Q186" s="50"/>
      <c r="R186" s="50"/>
    </row>
    <row r="187" spans="3:18" ht="13.2">
      <c r="C187" s="405" t="s">
        <v>530</v>
      </c>
      <c r="D187" s="405"/>
      <c r="E187" s="50"/>
      <c r="F187" s="50" t="s">
        <v>774</v>
      </c>
      <c r="G187" s="50"/>
      <c r="H187" s="50"/>
      <c r="I187" s="50"/>
      <c r="J187" s="50"/>
      <c r="K187" s="50"/>
      <c r="L187" s="50"/>
      <c r="M187" s="50"/>
      <c r="N187" s="50"/>
      <c r="O187" s="50"/>
      <c r="P187" s="50"/>
      <c r="Q187" s="50"/>
      <c r="R187" s="50"/>
    </row>
    <row r="188" spans="3:18" ht="13.2">
      <c r="C188" s="47" t="s">
        <v>531</v>
      </c>
      <c r="D188" s="47"/>
      <c r="E188" s="50"/>
      <c r="F188" s="50" t="s">
        <v>775</v>
      </c>
      <c r="G188" s="50"/>
      <c r="H188" s="50"/>
      <c r="I188" s="50"/>
      <c r="J188" s="50"/>
      <c r="K188" s="50"/>
      <c r="L188" s="50"/>
      <c r="M188" s="50"/>
      <c r="N188" s="50"/>
      <c r="O188" s="50"/>
      <c r="P188" s="50"/>
      <c r="Q188" s="50"/>
      <c r="R188" s="50"/>
    </row>
    <row r="189" spans="3:18" ht="13.2">
      <c r="C189" s="47" t="s">
        <v>532</v>
      </c>
      <c r="D189" s="47"/>
      <c r="E189" s="50"/>
      <c r="F189" s="50" t="s">
        <v>535</v>
      </c>
      <c r="G189" s="50"/>
      <c r="H189" s="50"/>
      <c r="I189" s="50"/>
      <c r="J189" s="50"/>
      <c r="K189" s="50"/>
      <c r="L189" s="50"/>
      <c r="M189" s="50"/>
      <c r="N189" s="50"/>
      <c r="O189" s="50"/>
      <c r="P189" s="50"/>
      <c r="Q189" s="50"/>
      <c r="R189" s="50"/>
    </row>
    <row r="190" spans="3:18" ht="13.2">
      <c r="C190" s="47" t="s">
        <v>533</v>
      </c>
      <c r="D190" s="47"/>
      <c r="E190" s="50"/>
      <c r="F190" s="71">
        <v>0.99239999999999995</v>
      </c>
      <c r="G190" s="50"/>
      <c r="H190" s="50"/>
      <c r="I190" s="50"/>
      <c r="J190" s="50"/>
      <c r="K190" s="50"/>
      <c r="L190" s="50"/>
      <c r="M190" s="50"/>
      <c r="N190" s="50"/>
      <c r="O190" s="50"/>
      <c r="P190" s="50"/>
      <c r="Q190" s="50"/>
      <c r="R190" s="50"/>
    </row>
    <row r="191" spans="3:18" ht="13.2">
      <c r="C191" s="47" t="s">
        <v>534</v>
      </c>
      <c r="D191" s="47"/>
      <c r="E191" s="50"/>
      <c r="F191" s="71">
        <v>0.99239999999999995</v>
      </c>
      <c r="G191" s="50"/>
      <c r="H191" s="50"/>
      <c r="I191" s="50"/>
      <c r="J191" s="50"/>
      <c r="K191" s="50"/>
      <c r="L191" s="50"/>
      <c r="M191" s="50"/>
      <c r="N191" s="50"/>
      <c r="O191" s="50"/>
      <c r="P191" s="50"/>
      <c r="Q191" s="50"/>
      <c r="R191" s="50"/>
    </row>
    <row r="192" spans="3:18" ht="13.2">
      <c r="C192" s="50"/>
      <c r="D192" s="50"/>
      <c r="E192" s="50"/>
      <c r="F192" s="50"/>
      <c r="G192" s="50"/>
      <c r="H192" s="50"/>
      <c r="I192" s="50"/>
      <c r="J192" s="50"/>
      <c r="K192" s="50"/>
      <c r="L192" s="50"/>
      <c r="M192" s="50"/>
      <c r="N192" s="50"/>
      <c r="O192" s="50"/>
      <c r="P192" s="50"/>
      <c r="Q192" s="50"/>
      <c r="R192" s="50"/>
    </row>
    <row r="193" spans="3:18" ht="13.2">
      <c r="C193" s="50"/>
      <c r="D193" s="50"/>
      <c r="E193" s="50"/>
      <c r="F193" s="50"/>
      <c r="G193" s="50"/>
      <c r="H193" s="50"/>
      <c r="I193" s="50"/>
      <c r="J193" s="50"/>
      <c r="K193" s="50"/>
      <c r="L193" s="50"/>
      <c r="M193" s="50"/>
      <c r="N193" s="50"/>
      <c r="O193" s="50"/>
      <c r="P193" s="50"/>
      <c r="Q193" s="50"/>
      <c r="R193" s="50"/>
    </row>
    <row r="194" spans="3:18" ht="13.2">
      <c r="C194" s="405" t="s">
        <v>561</v>
      </c>
      <c r="D194" s="405"/>
      <c r="E194" s="50"/>
      <c r="F194" s="50" t="s">
        <v>776</v>
      </c>
      <c r="G194" s="50"/>
      <c r="H194" s="50"/>
      <c r="I194" s="50"/>
      <c r="J194" s="50"/>
      <c r="K194" s="50"/>
      <c r="L194" s="50"/>
      <c r="M194" s="50"/>
      <c r="N194" s="50"/>
      <c r="O194" s="50"/>
      <c r="P194" s="50"/>
      <c r="Q194" s="50"/>
      <c r="R194" s="50"/>
    </row>
    <row r="195" spans="3:18" ht="13.2">
      <c r="C195" s="47" t="s">
        <v>531</v>
      </c>
      <c r="D195" s="47"/>
      <c r="E195" s="50"/>
      <c r="F195" s="50" t="s">
        <v>551</v>
      </c>
      <c r="G195" s="50"/>
      <c r="H195" s="50"/>
      <c r="I195" s="50"/>
      <c r="J195" s="50"/>
      <c r="K195" s="50"/>
      <c r="L195" s="50"/>
      <c r="M195" s="50"/>
      <c r="N195" s="50"/>
      <c r="O195" s="50"/>
      <c r="P195" s="50"/>
      <c r="Q195" s="50"/>
      <c r="R195" s="50"/>
    </row>
    <row r="196" spans="3:18" ht="13.2">
      <c r="C196" s="47" t="s">
        <v>532</v>
      </c>
      <c r="D196" s="47"/>
      <c r="E196" s="50"/>
      <c r="F196" s="50" t="s">
        <v>562</v>
      </c>
      <c r="G196" s="50"/>
      <c r="H196" s="50"/>
      <c r="I196" s="50"/>
      <c r="J196" s="50"/>
      <c r="K196" s="50"/>
      <c r="L196" s="50"/>
      <c r="M196" s="50"/>
      <c r="N196" s="50"/>
      <c r="O196" s="50"/>
      <c r="P196" s="50"/>
      <c r="Q196" s="50"/>
      <c r="R196" s="50"/>
    </row>
    <row r="197" spans="3:18" ht="13.2">
      <c r="C197" s="47" t="s">
        <v>904</v>
      </c>
      <c r="D197" s="47"/>
      <c r="E197" s="50"/>
      <c r="F197" s="71">
        <v>0.9002</v>
      </c>
      <c r="G197" s="50"/>
      <c r="H197" s="50"/>
      <c r="I197" s="50"/>
      <c r="J197" s="50"/>
      <c r="K197" s="50"/>
      <c r="L197" s="50"/>
      <c r="M197" s="50"/>
      <c r="N197" s="50"/>
      <c r="O197" s="50"/>
      <c r="P197" s="50"/>
      <c r="Q197" s="50"/>
      <c r="R197" s="50"/>
    </row>
    <row r="198" spans="3:18" ht="13.2">
      <c r="C198" s="47" t="s">
        <v>905</v>
      </c>
      <c r="D198" s="47"/>
      <c r="E198" s="50"/>
      <c r="F198" s="71">
        <v>0.9002</v>
      </c>
      <c r="G198" s="50"/>
      <c r="H198" s="50"/>
      <c r="I198" s="50"/>
      <c r="J198" s="50"/>
      <c r="K198" s="50"/>
      <c r="L198" s="50"/>
      <c r="M198" s="50"/>
      <c r="N198" s="50"/>
      <c r="O198" s="50"/>
      <c r="P198" s="50"/>
      <c r="Q198" s="50"/>
      <c r="R198" s="50"/>
    </row>
    <row r="223" spans="15:18">
      <c r="O223" s="404"/>
      <c r="P223" s="404"/>
      <c r="Q223" s="404"/>
      <c r="R223" s="404"/>
    </row>
    <row r="224" spans="15:18">
      <c r="O224" s="404"/>
      <c r="P224" s="404"/>
      <c r="Q224" s="404"/>
      <c r="R224" s="404"/>
    </row>
    <row r="225" spans="15:18">
      <c r="O225" s="404"/>
      <c r="P225" s="404"/>
      <c r="Q225" s="404"/>
      <c r="R225" s="404"/>
    </row>
    <row r="226" spans="15:18">
      <c r="O226" s="404"/>
      <c r="P226" s="404"/>
      <c r="Q226" s="404"/>
      <c r="R226" s="404"/>
    </row>
    <row r="227" spans="15:18">
      <c r="O227" s="404"/>
      <c r="P227" s="404"/>
      <c r="Q227" s="404"/>
      <c r="R227" s="404"/>
    </row>
  </sheetData>
  <mergeCells count="113">
    <mergeCell ref="C5:J5"/>
    <mergeCell ref="C9:K9"/>
    <mergeCell ref="C10:K10"/>
    <mergeCell ref="F185:I185"/>
    <mergeCell ref="C187:D187"/>
    <mergeCell ref="K64:K99"/>
    <mergeCell ref="K100:K104"/>
    <mergeCell ref="K110:K145"/>
    <mergeCell ref="K146:K150"/>
    <mergeCell ref="C175:E175"/>
    <mergeCell ref="C176:E176"/>
    <mergeCell ref="C177:E177"/>
    <mergeCell ref="C178:E178"/>
    <mergeCell ref="C179:E179"/>
    <mergeCell ref="C180:E180"/>
    <mergeCell ref="C181:E181"/>
    <mergeCell ref="C182:E182"/>
    <mergeCell ref="C183:E183"/>
    <mergeCell ref="C184:E184"/>
    <mergeCell ref="C185:E185"/>
    <mergeCell ref="F183:I183"/>
    <mergeCell ref="F184:I184"/>
    <mergeCell ref="F182:I182"/>
    <mergeCell ref="F180:I180"/>
    <mergeCell ref="C48:F48"/>
    <mergeCell ref="G48:K48"/>
    <mergeCell ref="F181:I181"/>
    <mergeCell ref="F177:I177"/>
    <mergeCell ref="F178:I178"/>
    <mergeCell ref="F179:I179"/>
    <mergeCell ref="F175:I175"/>
    <mergeCell ref="F176:I176"/>
    <mergeCell ref="C42:F42"/>
    <mergeCell ref="C43:F43"/>
    <mergeCell ref="C44:F44"/>
    <mergeCell ref="C46:F46"/>
    <mergeCell ref="C47:F47"/>
    <mergeCell ref="G42:K42"/>
    <mergeCell ref="G43:K43"/>
    <mergeCell ref="G44:K44"/>
    <mergeCell ref="G46:K46"/>
    <mergeCell ref="G47:K47"/>
    <mergeCell ref="C49:F49"/>
    <mergeCell ref="C110:C145"/>
    <mergeCell ref="D110:D145"/>
    <mergeCell ref="I110:I145"/>
    <mergeCell ref="C56:R56"/>
    <mergeCell ref="C62:M62"/>
    <mergeCell ref="G37:K37"/>
    <mergeCell ref="G39:K39"/>
    <mergeCell ref="C38:K38"/>
    <mergeCell ref="G40:K40"/>
    <mergeCell ref="G41:K41"/>
    <mergeCell ref="C39:F39"/>
    <mergeCell ref="C40:F40"/>
    <mergeCell ref="C41:F41"/>
    <mergeCell ref="C37:F37"/>
    <mergeCell ref="M146:M150"/>
    <mergeCell ref="C108:M108"/>
    <mergeCell ref="F59:G59"/>
    <mergeCell ref="F60:G60"/>
    <mergeCell ref="G51:K51"/>
    <mergeCell ref="C50:F50"/>
    <mergeCell ref="G50:K50"/>
    <mergeCell ref="F57:G57"/>
    <mergeCell ref="F58:G58"/>
    <mergeCell ref="M64:M99"/>
    <mergeCell ref="M100:M104"/>
    <mergeCell ref="C64:C99"/>
    <mergeCell ref="C100:C104"/>
    <mergeCell ref="D64:D99"/>
    <mergeCell ref="D100:D104"/>
    <mergeCell ref="I64:I99"/>
    <mergeCell ref="I100:I104"/>
    <mergeCell ref="M110:M145"/>
    <mergeCell ref="C146:C150"/>
    <mergeCell ref="D146:D150"/>
    <mergeCell ref="I146:I150"/>
    <mergeCell ref="N39:O39"/>
    <mergeCell ref="E154:G154"/>
    <mergeCell ref="E155:G155"/>
    <mergeCell ref="E156:G156"/>
    <mergeCell ref="E157:G157"/>
    <mergeCell ref="E158:G158"/>
    <mergeCell ref="E159:G159"/>
    <mergeCell ref="E162:G162"/>
    <mergeCell ref="E163:G163"/>
    <mergeCell ref="C45:K45"/>
    <mergeCell ref="C51:F51"/>
    <mergeCell ref="G49:K49"/>
    <mergeCell ref="C155:C159"/>
    <mergeCell ref="C163:C166"/>
    <mergeCell ref="D163:D166"/>
    <mergeCell ref="E165:G165"/>
    <mergeCell ref="E160:G160"/>
    <mergeCell ref="E166:G166"/>
    <mergeCell ref="H163:J163"/>
    <mergeCell ref="H164:J164"/>
    <mergeCell ref="H165:J165"/>
    <mergeCell ref="H166:J166"/>
    <mergeCell ref="C151:H151"/>
    <mergeCell ref="C105:H105"/>
    <mergeCell ref="D155:D159"/>
    <mergeCell ref="H154:J154"/>
    <mergeCell ref="H162:J162"/>
    <mergeCell ref="H155:J155"/>
    <mergeCell ref="H156:J156"/>
    <mergeCell ref="H157:J157"/>
    <mergeCell ref="H158:J158"/>
    <mergeCell ref="H159:J159"/>
    <mergeCell ref="O223:R227"/>
    <mergeCell ref="E164:G164"/>
    <mergeCell ref="C194:D194"/>
  </mergeCells>
  <hyperlinks>
    <hyperlink ref="G20" r:id="rId1" xr:uid="{0E995443-A2C3-4228-B8F5-29DADD928CA5}"/>
    <hyperlink ref="G19" r:id="rId2" xr:uid="{BBAF8B08-D48B-4073-B47D-B87B0A1F50CC}"/>
  </hyperlinks>
  <pageMargins left="0.25" right="0.25" top="0.75" bottom="0.75" header="0.3" footer="0.3"/>
  <pageSetup scale="7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4.4"/>
  <cols>
    <col min="2" max="2" width="25.33203125" style="1" customWidth="1"/>
    <col min="3" max="3" width="34.33203125" customWidth="1"/>
    <col min="4" max="4" width="12.44140625" style="2" hidden="1" customWidth="1"/>
    <col min="5" max="5" width="16.6640625" style="3" hidden="1" customWidth="1"/>
    <col min="6" max="6" width="14.33203125" style="2" hidden="1" customWidth="1"/>
    <col min="7" max="8" width="0" style="3" hidden="1" customWidth="1"/>
    <col min="9" max="9" width="11.5546875" style="2"/>
  </cols>
  <sheetData>
    <row r="2" spans="2:9" ht="18">
      <c r="B2" s="434" t="s">
        <v>313</v>
      </c>
      <c r="C2" s="434"/>
      <c r="D2" s="434"/>
      <c r="E2" s="434"/>
      <c r="F2" s="434"/>
      <c r="G2" s="434"/>
      <c r="H2" s="434"/>
      <c r="I2" s="434"/>
    </row>
    <row r="3" spans="2:9" ht="43.95" customHeight="1">
      <c r="B3" s="4" t="s">
        <v>394</v>
      </c>
      <c r="C3" s="4" t="s">
        <v>346</v>
      </c>
      <c r="D3" s="4" t="s">
        <v>347</v>
      </c>
      <c r="E3" s="5" t="s">
        <v>348</v>
      </c>
      <c r="F3" s="4" t="s">
        <v>383</v>
      </c>
      <c r="G3" s="5" t="s">
        <v>385</v>
      </c>
      <c r="H3" s="5" t="s">
        <v>349</v>
      </c>
      <c r="I3" s="4" t="s">
        <v>382</v>
      </c>
    </row>
    <row r="4" spans="2:9">
      <c r="B4" s="433" t="s">
        <v>386</v>
      </c>
      <c r="C4" s="6" t="s">
        <v>314</v>
      </c>
      <c r="D4" s="7" t="s">
        <v>350</v>
      </c>
      <c r="E4" s="8">
        <v>21600</v>
      </c>
      <c r="F4" s="7" t="s">
        <v>384</v>
      </c>
      <c r="G4" s="8">
        <v>90784</v>
      </c>
      <c r="H4" s="8">
        <v>100000</v>
      </c>
      <c r="I4" s="9">
        <v>5.3999999999999999E-2</v>
      </c>
    </row>
    <row r="5" spans="2:9">
      <c r="B5" s="433"/>
      <c r="C5" s="6" t="s">
        <v>315</v>
      </c>
      <c r="D5" s="7" t="s">
        <v>351</v>
      </c>
      <c r="E5" s="8">
        <v>1910</v>
      </c>
      <c r="F5" s="7" t="s">
        <v>384</v>
      </c>
      <c r="G5" s="8">
        <v>9254</v>
      </c>
      <c r="H5" s="8">
        <v>100000</v>
      </c>
      <c r="I5" s="9">
        <v>4.7999999999999996E-3</v>
      </c>
    </row>
    <row r="6" spans="2:9">
      <c r="B6" s="433"/>
      <c r="C6" s="6" t="s">
        <v>316</v>
      </c>
      <c r="D6" s="7" t="s">
        <v>352</v>
      </c>
      <c r="E6" s="8">
        <v>1716</v>
      </c>
      <c r="F6" s="7" t="s">
        <v>384</v>
      </c>
      <c r="G6" s="8">
        <v>4084</v>
      </c>
      <c r="H6" s="8">
        <v>100000</v>
      </c>
      <c r="I6" s="9">
        <v>4.3E-3</v>
      </c>
    </row>
    <row r="7" spans="2:9">
      <c r="B7" s="433"/>
      <c r="C7" s="6" t="s">
        <v>317</v>
      </c>
      <c r="D7" s="7" t="s">
        <v>353</v>
      </c>
      <c r="E7" s="8">
        <v>2384</v>
      </c>
      <c r="F7" s="7" t="s">
        <v>384</v>
      </c>
      <c r="G7" s="8">
        <v>4068</v>
      </c>
      <c r="H7" s="8">
        <v>100000</v>
      </c>
      <c r="I7" s="9">
        <v>6.0000000000000001E-3</v>
      </c>
    </row>
    <row r="8" spans="2:9">
      <c r="B8" s="433"/>
      <c r="C8" s="6" t="s">
        <v>318</v>
      </c>
      <c r="D8" s="7" t="s">
        <v>354</v>
      </c>
      <c r="E8" s="8">
        <v>24323</v>
      </c>
      <c r="F8" s="7" t="s">
        <v>384</v>
      </c>
      <c r="G8" s="8">
        <v>102227</v>
      </c>
      <c r="H8" s="8">
        <v>100000</v>
      </c>
      <c r="I8" s="9">
        <v>6.08E-2</v>
      </c>
    </row>
    <row r="9" spans="2:9">
      <c r="B9" s="433"/>
      <c r="C9" s="6" t="s">
        <v>319</v>
      </c>
      <c r="D9" s="7" t="s">
        <v>355</v>
      </c>
      <c r="E9" s="8">
        <v>421</v>
      </c>
      <c r="F9" s="7" t="s">
        <v>384</v>
      </c>
      <c r="G9" s="8">
        <v>1769</v>
      </c>
      <c r="H9" s="8">
        <v>100000</v>
      </c>
      <c r="I9" s="9">
        <v>1.1000000000000001E-3</v>
      </c>
    </row>
    <row r="10" spans="2:9">
      <c r="B10" s="433"/>
      <c r="C10" s="6" t="s">
        <v>320</v>
      </c>
      <c r="D10" s="7" t="s">
        <v>356</v>
      </c>
      <c r="E10" s="8">
        <v>9509</v>
      </c>
      <c r="F10" s="7" t="s">
        <v>384</v>
      </c>
      <c r="G10" s="8">
        <v>41753</v>
      </c>
      <c r="H10" s="8">
        <v>100000</v>
      </c>
      <c r="I10" s="9">
        <v>2.3800000000000002E-2</v>
      </c>
    </row>
    <row r="11" spans="2:9">
      <c r="B11" s="433"/>
      <c r="C11" s="6" t="s">
        <v>321</v>
      </c>
      <c r="D11" s="7" t="s">
        <v>357</v>
      </c>
      <c r="E11" s="8">
        <v>7126</v>
      </c>
      <c r="F11" s="7" t="s">
        <v>384</v>
      </c>
      <c r="G11" s="8">
        <v>30298</v>
      </c>
      <c r="H11" s="8">
        <v>100000</v>
      </c>
      <c r="I11" s="9">
        <v>1.78E-2</v>
      </c>
    </row>
    <row r="12" spans="2:9">
      <c r="B12" s="433"/>
      <c r="C12" s="6" t="s">
        <v>322</v>
      </c>
      <c r="D12" s="7" t="s">
        <v>358</v>
      </c>
      <c r="E12" s="8">
        <v>3530</v>
      </c>
      <c r="F12" s="7" t="s">
        <v>384</v>
      </c>
      <c r="G12" s="8">
        <v>10950</v>
      </c>
      <c r="H12" s="8">
        <v>100000</v>
      </c>
      <c r="I12" s="9">
        <v>8.8000000000000005E-3</v>
      </c>
    </row>
    <row r="13" spans="2:9">
      <c r="B13" s="433"/>
      <c r="C13" s="6" t="s">
        <v>323</v>
      </c>
      <c r="D13" s="7" t="s">
        <v>359</v>
      </c>
      <c r="E13" s="8">
        <v>450</v>
      </c>
      <c r="F13" s="7" t="s">
        <v>384</v>
      </c>
      <c r="G13" s="8">
        <v>450</v>
      </c>
      <c r="H13" s="8">
        <v>100000</v>
      </c>
      <c r="I13" s="9">
        <v>1.1000000000000001E-3</v>
      </c>
    </row>
    <row r="14" spans="2:9">
      <c r="B14" s="433"/>
      <c r="C14" s="6" t="s">
        <v>324</v>
      </c>
      <c r="D14" s="7" t="s">
        <v>360</v>
      </c>
      <c r="E14" s="8">
        <v>15833</v>
      </c>
      <c r="F14" s="7" t="s">
        <v>384</v>
      </c>
      <c r="G14" s="8">
        <v>66549</v>
      </c>
      <c r="H14" s="8">
        <v>100000</v>
      </c>
      <c r="I14" s="9">
        <v>3.9600000000000003E-2</v>
      </c>
    </row>
    <row r="15" spans="2:9">
      <c r="B15" s="433"/>
      <c r="C15" s="6" t="s">
        <v>325</v>
      </c>
      <c r="D15" s="7" t="s">
        <v>361</v>
      </c>
      <c r="E15" s="8">
        <v>3130</v>
      </c>
      <c r="F15" s="7" t="s">
        <v>384</v>
      </c>
      <c r="G15" s="8">
        <v>9014</v>
      </c>
      <c r="H15" s="8">
        <v>100000</v>
      </c>
      <c r="I15" s="9">
        <v>7.7999999999999996E-3</v>
      </c>
    </row>
    <row r="16" spans="2:9">
      <c r="B16" s="433"/>
      <c r="C16" s="6" t="s">
        <v>326</v>
      </c>
      <c r="D16" s="7" t="s">
        <v>362</v>
      </c>
      <c r="E16" s="8">
        <v>3049</v>
      </c>
      <c r="F16" s="7" t="s">
        <v>384</v>
      </c>
      <c r="G16" s="8">
        <v>8089</v>
      </c>
      <c r="H16" s="8">
        <v>100000</v>
      </c>
      <c r="I16" s="9">
        <v>7.6E-3</v>
      </c>
    </row>
    <row r="17" spans="2:9">
      <c r="B17" s="433"/>
      <c r="C17" s="6" t="s">
        <v>327</v>
      </c>
      <c r="D17" s="7" t="s">
        <v>363</v>
      </c>
      <c r="E17" s="8">
        <v>7300</v>
      </c>
      <c r="F17" s="7" t="s">
        <v>384</v>
      </c>
      <c r="G17" s="8">
        <v>30680</v>
      </c>
      <c r="H17" s="8">
        <v>100000</v>
      </c>
      <c r="I17" s="9">
        <v>1.83E-2</v>
      </c>
    </row>
    <row r="18" spans="2:9">
      <c r="B18" s="433"/>
      <c r="C18" s="6" t="s">
        <v>328</v>
      </c>
      <c r="D18" s="7" t="s">
        <v>364</v>
      </c>
      <c r="E18" s="8">
        <v>1133</v>
      </c>
      <c r="F18" s="7" t="s">
        <v>384</v>
      </c>
      <c r="G18" s="8">
        <v>4973</v>
      </c>
      <c r="H18" s="8">
        <v>100000</v>
      </c>
      <c r="I18" s="9">
        <v>2.8E-3</v>
      </c>
    </row>
    <row r="19" spans="2:9">
      <c r="B19" s="433"/>
      <c r="C19" s="6" t="s">
        <v>329</v>
      </c>
      <c r="D19" s="7" t="s">
        <v>365</v>
      </c>
      <c r="E19" s="8">
        <v>29012</v>
      </c>
      <c r="F19" s="7" t="s">
        <v>384</v>
      </c>
      <c r="G19" s="8">
        <v>121940</v>
      </c>
      <c r="H19" s="8">
        <v>100000</v>
      </c>
      <c r="I19" s="9">
        <v>7.2499999999999995E-2</v>
      </c>
    </row>
    <row r="20" spans="2:9">
      <c r="B20" s="433"/>
      <c r="C20" s="6" t="s">
        <v>330</v>
      </c>
      <c r="D20" s="7" t="s">
        <v>366</v>
      </c>
      <c r="E20" s="8">
        <v>28188</v>
      </c>
      <c r="F20" s="7" t="s">
        <v>384</v>
      </c>
      <c r="G20" s="8">
        <v>123776</v>
      </c>
      <c r="H20" s="8">
        <v>100000</v>
      </c>
      <c r="I20" s="9">
        <v>7.0499999999999993E-2</v>
      </c>
    </row>
    <row r="21" spans="2:9">
      <c r="B21" s="433"/>
      <c r="C21" s="6" t="s">
        <v>331</v>
      </c>
      <c r="D21" s="7" t="s">
        <v>367</v>
      </c>
      <c r="E21" s="8">
        <v>2946</v>
      </c>
      <c r="F21" s="7" t="s">
        <v>384</v>
      </c>
      <c r="G21" s="8">
        <v>7398</v>
      </c>
      <c r="H21" s="8">
        <v>100000</v>
      </c>
      <c r="I21" s="9">
        <v>7.4000000000000003E-3</v>
      </c>
    </row>
    <row r="22" spans="2:9">
      <c r="B22" s="433"/>
      <c r="C22" s="6" t="s">
        <v>332</v>
      </c>
      <c r="D22" s="7" t="s">
        <v>368</v>
      </c>
      <c r="E22" s="8">
        <v>205012</v>
      </c>
      <c r="F22" s="7" t="s">
        <v>384</v>
      </c>
      <c r="G22" s="8">
        <v>876872</v>
      </c>
      <c r="H22" s="8">
        <v>100000</v>
      </c>
      <c r="I22" s="9">
        <v>0.51249999999999996</v>
      </c>
    </row>
    <row r="23" spans="2:9">
      <c r="B23" s="433"/>
      <c r="C23" s="6" t="s">
        <v>333</v>
      </c>
      <c r="D23" s="7" t="s">
        <v>369</v>
      </c>
      <c r="E23" s="8">
        <v>8122</v>
      </c>
      <c r="F23" s="7" t="s">
        <v>384</v>
      </c>
      <c r="G23" s="8">
        <v>31086</v>
      </c>
      <c r="H23" s="8">
        <v>100000</v>
      </c>
      <c r="I23" s="9">
        <v>2.0299999999999999E-2</v>
      </c>
    </row>
    <row r="24" spans="2:9">
      <c r="B24" s="433"/>
      <c r="C24" s="6" t="s">
        <v>334</v>
      </c>
      <c r="D24" s="7" t="s">
        <v>370</v>
      </c>
      <c r="E24" s="8">
        <v>5382</v>
      </c>
      <c r="F24" s="7" t="s">
        <v>384</v>
      </c>
      <c r="G24" s="8">
        <v>23634</v>
      </c>
      <c r="H24" s="8">
        <v>100000</v>
      </c>
      <c r="I24" s="9">
        <v>1.35E-2</v>
      </c>
    </row>
    <row r="25" spans="2:9">
      <c r="B25" s="433"/>
      <c r="C25" s="6" t="s">
        <v>335</v>
      </c>
      <c r="D25" s="7" t="s">
        <v>371</v>
      </c>
      <c r="E25" s="8">
        <v>2500</v>
      </c>
      <c r="F25" s="7" t="s">
        <v>384</v>
      </c>
      <c r="G25" s="8">
        <v>2500</v>
      </c>
      <c r="H25" s="8">
        <v>100000</v>
      </c>
      <c r="I25" s="9">
        <v>6.3E-3</v>
      </c>
    </row>
    <row r="26" spans="2:9">
      <c r="B26" s="433"/>
      <c r="C26" s="6" t="s">
        <v>336</v>
      </c>
      <c r="D26" s="7" t="s">
        <v>372</v>
      </c>
      <c r="E26" s="8">
        <v>2600</v>
      </c>
      <c r="F26" s="7" t="s">
        <v>384</v>
      </c>
      <c r="G26" s="8">
        <v>2600</v>
      </c>
      <c r="H26" s="8">
        <v>100000</v>
      </c>
      <c r="I26" s="9">
        <v>6.4999999999999997E-3</v>
      </c>
    </row>
    <row r="27" spans="2:9">
      <c r="B27" s="433"/>
      <c r="C27" s="6" t="s">
        <v>337</v>
      </c>
      <c r="D27" s="7" t="s">
        <v>373</v>
      </c>
      <c r="E27" s="8">
        <v>3572</v>
      </c>
      <c r="F27" s="7" t="s">
        <v>384</v>
      </c>
      <c r="G27" s="8">
        <v>6536</v>
      </c>
      <c r="H27" s="8">
        <v>100000</v>
      </c>
      <c r="I27" s="9">
        <v>8.8999999999999999E-3</v>
      </c>
    </row>
    <row r="28" spans="2:9">
      <c r="B28" s="433"/>
      <c r="C28" s="6" t="s">
        <v>338</v>
      </c>
      <c r="D28" s="7" t="s">
        <v>374</v>
      </c>
      <c r="E28" s="8">
        <v>2850</v>
      </c>
      <c r="F28" s="7" t="s">
        <v>384</v>
      </c>
      <c r="G28" s="8">
        <v>3850</v>
      </c>
      <c r="H28" s="8">
        <v>100000</v>
      </c>
      <c r="I28" s="9">
        <v>7.1000000000000004E-3</v>
      </c>
    </row>
    <row r="29" spans="2:9">
      <c r="B29" s="433"/>
      <c r="C29" s="6" t="s">
        <v>339</v>
      </c>
      <c r="D29" s="7" t="s">
        <v>375</v>
      </c>
      <c r="E29" s="8">
        <v>4197</v>
      </c>
      <c r="F29" s="7" t="s">
        <v>384</v>
      </c>
      <c r="G29" s="8">
        <v>20985</v>
      </c>
      <c r="H29" s="8">
        <v>100000</v>
      </c>
      <c r="I29" s="9">
        <v>1.0500000000000001E-2</v>
      </c>
    </row>
    <row r="30" spans="2:9">
      <c r="B30" s="433"/>
      <c r="C30" s="6" t="s">
        <v>340</v>
      </c>
      <c r="D30" s="7" t="s">
        <v>376</v>
      </c>
      <c r="E30" s="8">
        <v>300</v>
      </c>
      <c r="F30" s="7" t="s">
        <v>384</v>
      </c>
      <c r="G30" s="8">
        <v>1500</v>
      </c>
      <c r="H30" s="8">
        <v>100000</v>
      </c>
      <c r="I30" s="9">
        <v>6.9999999999999999E-4</v>
      </c>
    </row>
    <row r="31" spans="2:9">
      <c r="B31" s="433"/>
      <c r="C31" s="6" t="s">
        <v>341</v>
      </c>
      <c r="D31" s="7" t="s">
        <v>377</v>
      </c>
      <c r="E31" s="8">
        <v>1250</v>
      </c>
      <c r="F31" s="7" t="s">
        <v>384</v>
      </c>
      <c r="G31" s="8">
        <v>1726</v>
      </c>
      <c r="H31" s="8">
        <v>100000</v>
      </c>
      <c r="I31" s="9">
        <v>3.0999999999999999E-3</v>
      </c>
    </row>
    <row r="32" spans="2:9">
      <c r="B32" s="433"/>
      <c r="C32" s="6" t="s">
        <v>342</v>
      </c>
      <c r="D32" s="7" t="s">
        <v>378</v>
      </c>
      <c r="E32" s="8">
        <v>300</v>
      </c>
      <c r="F32" s="7" t="s">
        <v>384</v>
      </c>
      <c r="G32" s="8">
        <v>300</v>
      </c>
      <c r="H32" s="8">
        <v>100000</v>
      </c>
      <c r="I32" s="9">
        <v>6.9999999999999999E-4</v>
      </c>
    </row>
    <row r="33" spans="2:9">
      <c r="B33" s="433"/>
      <c r="C33" s="6" t="s">
        <v>343</v>
      </c>
      <c r="D33" s="7" t="s">
        <v>379</v>
      </c>
      <c r="E33" s="8">
        <v>300</v>
      </c>
      <c r="F33" s="7" t="s">
        <v>384</v>
      </c>
      <c r="G33" s="8">
        <v>300</v>
      </c>
      <c r="H33" s="8">
        <v>100000</v>
      </c>
      <c r="I33" s="9">
        <v>6.9999999999999999E-4</v>
      </c>
    </row>
    <row r="34" spans="2:9">
      <c r="B34" s="433"/>
      <c r="C34" s="6" t="s">
        <v>344</v>
      </c>
      <c r="D34" s="7" t="s">
        <v>380</v>
      </c>
      <c r="E34" s="8">
        <v>50</v>
      </c>
      <c r="F34" s="7" t="s">
        <v>384</v>
      </c>
      <c r="G34" s="8">
        <v>50</v>
      </c>
      <c r="H34" s="8">
        <v>100000</v>
      </c>
      <c r="I34" s="9">
        <v>1E-4</v>
      </c>
    </row>
    <row r="35" spans="2:9">
      <c r="B35" s="433"/>
      <c r="C35" s="6" t="s">
        <v>345</v>
      </c>
      <c r="D35" s="7" t="s">
        <v>381</v>
      </c>
      <c r="E35" s="8">
        <v>5</v>
      </c>
      <c r="F35" s="7" t="s">
        <v>384</v>
      </c>
      <c r="G35" s="8">
        <v>5</v>
      </c>
      <c r="H35" s="8">
        <v>100000</v>
      </c>
      <c r="I35" s="9">
        <v>1E-4</v>
      </c>
    </row>
    <row r="36" spans="2:9" s="1" customFormat="1"/>
    <row r="37" spans="2:9" ht="36">
      <c r="B37" s="4" t="s">
        <v>394</v>
      </c>
      <c r="C37" s="4" t="s">
        <v>346</v>
      </c>
      <c r="D37" s="4" t="s">
        <v>347</v>
      </c>
      <c r="E37" s="5" t="s">
        <v>348</v>
      </c>
      <c r="F37" s="4" t="s">
        <v>383</v>
      </c>
      <c r="G37" s="5" t="s">
        <v>385</v>
      </c>
      <c r="H37" s="5" t="s">
        <v>349</v>
      </c>
      <c r="I37" s="4" t="s">
        <v>382</v>
      </c>
    </row>
    <row r="38" spans="2:9">
      <c r="B38" s="433" t="s">
        <v>332</v>
      </c>
      <c r="C38" s="6" t="s">
        <v>387</v>
      </c>
      <c r="D38" s="7" t="s">
        <v>391</v>
      </c>
      <c r="E38" s="8">
        <v>21471</v>
      </c>
      <c r="F38" s="7" t="s">
        <v>384</v>
      </c>
      <c r="G38" s="8">
        <v>21471</v>
      </c>
      <c r="H38" s="8">
        <v>500000</v>
      </c>
      <c r="I38" s="9">
        <v>0.7157</v>
      </c>
    </row>
    <row r="39" spans="2:9">
      <c r="B39" s="433"/>
      <c r="C39" s="6" t="s">
        <v>388</v>
      </c>
      <c r="D39" s="7">
        <v>1753023</v>
      </c>
      <c r="E39" s="8">
        <v>7359</v>
      </c>
      <c r="F39" s="7" t="s">
        <v>384</v>
      </c>
      <c r="G39" s="8">
        <v>7359</v>
      </c>
      <c r="H39" s="8">
        <v>500000</v>
      </c>
      <c r="I39" s="9">
        <v>0.24529999999999999</v>
      </c>
    </row>
    <row r="40" spans="2:9">
      <c r="B40" s="433"/>
      <c r="C40" s="6" t="s">
        <v>389</v>
      </c>
      <c r="D40" s="7" t="s">
        <v>392</v>
      </c>
      <c r="E40" s="8">
        <v>585</v>
      </c>
      <c r="F40" s="7" t="s">
        <v>384</v>
      </c>
      <c r="G40" s="8">
        <v>585</v>
      </c>
      <c r="H40" s="8">
        <v>500000</v>
      </c>
      <c r="I40" s="9">
        <v>1.95E-2</v>
      </c>
    </row>
    <row r="41" spans="2:9">
      <c r="B41" s="433"/>
      <c r="C41" s="6" t="s">
        <v>390</v>
      </c>
      <c r="D41" s="7" t="s">
        <v>393</v>
      </c>
      <c r="E41" s="8">
        <v>585</v>
      </c>
      <c r="F41" s="7" t="s">
        <v>384</v>
      </c>
      <c r="G41" s="8">
        <v>585</v>
      </c>
      <c r="H41" s="8">
        <v>500000</v>
      </c>
      <c r="I41" s="9">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65"/>
  <sheetViews>
    <sheetView showGridLines="0" topLeftCell="A40" zoomScale="85" zoomScaleNormal="85" workbookViewId="0">
      <selection activeCell="F55" sqref="F55"/>
    </sheetView>
  </sheetViews>
  <sheetFormatPr baseColWidth="10" defaultColWidth="11.5546875" defaultRowHeight="12.6"/>
  <cols>
    <col min="1" max="1" width="7.5546875" style="10" customWidth="1"/>
    <col min="2" max="2" width="43.88671875" style="10" customWidth="1"/>
    <col min="3" max="3" width="6.5546875" style="12" customWidth="1"/>
    <col min="4" max="5" width="18" style="10" customWidth="1"/>
    <col min="6" max="6" width="39.44140625" style="10" customWidth="1"/>
    <col min="7" max="7" width="6.6640625" style="12" customWidth="1"/>
    <col min="8" max="9" width="18" style="10" customWidth="1"/>
    <col min="10" max="10" width="2.44140625" style="10" customWidth="1"/>
    <col min="11" max="11" width="17.44140625" style="10" customWidth="1"/>
    <col min="12" max="13" width="14.5546875" style="10" bestFit="1" customWidth="1"/>
    <col min="14" max="16384" width="11.5546875" style="10"/>
  </cols>
  <sheetData>
    <row r="1" spans="2:13" ht="12" customHeight="1"/>
    <row r="2" spans="2:13" ht="15" customHeight="1">
      <c r="B2" s="438"/>
      <c r="C2" s="438"/>
      <c r="D2" s="438"/>
      <c r="E2" s="438"/>
      <c r="F2" s="438"/>
      <c r="G2" s="438"/>
      <c r="H2" s="438"/>
      <c r="I2" s="438"/>
    </row>
    <row r="3" spans="2:13" ht="15" customHeight="1">
      <c r="B3" s="41"/>
      <c r="C3" s="41"/>
      <c r="D3" s="41"/>
      <c r="E3" s="41"/>
      <c r="F3" s="41"/>
      <c r="G3" s="41"/>
      <c r="H3" s="41"/>
      <c r="I3" s="41"/>
    </row>
    <row r="4" spans="2:13" ht="15" customHeight="1">
      <c r="B4" s="41"/>
      <c r="C4" s="41"/>
      <c r="D4" s="41"/>
      <c r="E4" s="41"/>
      <c r="F4" s="41"/>
      <c r="G4" s="41"/>
      <c r="H4" s="41"/>
      <c r="I4" s="41"/>
    </row>
    <row r="5" spans="2:13" ht="15" customHeight="1">
      <c r="B5" s="431" t="s">
        <v>312</v>
      </c>
      <c r="C5" s="431"/>
      <c r="D5" s="431"/>
      <c r="E5" s="431"/>
      <c r="F5" s="431"/>
      <c r="G5" s="431"/>
      <c r="H5" s="431"/>
      <c r="I5" s="431"/>
    </row>
    <row r="6" spans="2:13" ht="12.6" customHeight="1">
      <c r="B6" s="44" t="s">
        <v>695</v>
      </c>
      <c r="C6" s="40"/>
      <c r="D6" s="40"/>
      <c r="E6" s="40"/>
      <c r="F6" s="40"/>
      <c r="G6" s="40"/>
      <c r="H6" s="40"/>
      <c r="I6" s="40"/>
    </row>
    <row r="7" spans="2:13" ht="12.6" customHeight="1">
      <c r="B7" s="44" t="s">
        <v>696</v>
      </c>
      <c r="C7" s="40"/>
      <c r="D7" s="40"/>
      <c r="E7" s="40"/>
      <c r="F7" s="40"/>
      <c r="G7" s="40"/>
      <c r="H7" s="40"/>
      <c r="I7" s="40"/>
    </row>
    <row r="8" spans="2:13" ht="15.6">
      <c r="B8" s="437"/>
      <c r="C8" s="437"/>
      <c r="D8" s="437"/>
      <c r="E8" s="437"/>
      <c r="F8" s="437"/>
      <c r="G8" s="437"/>
      <c r="H8" s="437"/>
      <c r="I8" s="437"/>
    </row>
    <row r="9" spans="2:13" ht="53.25" customHeight="1">
      <c r="B9" s="435" t="s">
        <v>891</v>
      </c>
      <c r="C9" s="436"/>
      <c r="D9" s="436"/>
      <c r="E9" s="436"/>
      <c r="F9" s="436"/>
      <c r="G9" s="436"/>
      <c r="H9" s="436"/>
      <c r="I9" s="436"/>
      <c r="J9" s="11"/>
      <c r="K9" s="11"/>
      <c r="L9" s="11"/>
    </row>
    <row r="10" spans="2:13" ht="6.75" customHeight="1"/>
    <row r="11" spans="2:13" ht="32.25" customHeight="1">
      <c r="B11" s="101" t="s">
        <v>0</v>
      </c>
      <c r="C11" s="101" t="s">
        <v>414</v>
      </c>
      <c r="D11" s="394">
        <v>44834</v>
      </c>
      <c r="E11" s="394">
        <v>44561</v>
      </c>
      <c r="F11" s="101" t="s">
        <v>6</v>
      </c>
      <c r="G11" s="101" t="s">
        <v>414</v>
      </c>
      <c r="H11" s="394">
        <v>44834</v>
      </c>
      <c r="I11" s="394">
        <v>44561</v>
      </c>
    </row>
    <row r="12" spans="2:13" ht="15" customHeight="1">
      <c r="B12" s="142" t="s">
        <v>1</v>
      </c>
      <c r="C12" s="143"/>
      <c r="D12" s="144"/>
      <c r="E12" s="144"/>
      <c r="F12" s="142" t="s">
        <v>178</v>
      </c>
      <c r="G12" s="145"/>
      <c r="H12" s="144"/>
      <c r="I12" s="144"/>
    </row>
    <row r="13" spans="2:13" ht="15" customHeight="1">
      <c r="B13" s="142" t="s">
        <v>112</v>
      </c>
      <c r="C13" s="143"/>
      <c r="D13" s="141">
        <f>SUM(D14:D16)</f>
        <v>3244942370</v>
      </c>
      <c r="E13" s="141">
        <f>SUM(E14:E16)</f>
        <v>474199833</v>
      </c>
      <c r="F13" s="142" t="s">
        <v>294</v>
      </c>
      <c r="G13" s="143"/>
      <c r="H13" s="141">
        <f>SUM(H14:H16)</f>
        <v>36516222124</v>
      </c>
      <c r="I13" s="141">
        <f>SUM(I14:I16)</f>
        <v>25388188705</v>
      </c>
      <c r="K13" s="13"/>
    </row>
    <row r="14" spans="2:13" ht="15" customHeight="1">
      <c r="B14" s="146" t="s">
        <v>570</v>
      </c>
      <c r="C14" s="143" t="str">
        <f>+Notas!B100</f>
        <v>5.4.1</v>
      </c>
      <c r="D14" s="136">
        <f>+Notas!F104</f>
        <v>2000000</v>
      </c>
      <c r="E14" s="136">
        <f>+Notas!G103</f>
        <v>2000000</v>
      </c>
      <c r="F14" s="147" t="s">
        <v>446</v>
      </c>
      <c r="G14" s="143" t="s">
        <v>665</v>
      </c>
      <c r="H14" s="136">
        <v>0</v>
      </c>
      <c r="I14" s="136">
        <v>0</v>
      </c>
      <c r="K14" s="13"/>
    </row>
    <row r="15" spans="2:13" ht="15" customHeight="1">
      <c r="B15" s="372" t="s">
        <v>749</v>
      </c>
      <c r="C15" s="143" t="str">
        <f>+Notas!B100</f>
        <v>5.4.1</v>
      </c>
      <c r="D15" s="149">
        <f>+Notas!F102</f>
        <v>0</v>
      </c>
      <c r="E15" s="149">
        <f>+Notas!G102</f>
        <v>0</v>
      </c>
      <c r="F15" s="146" t="s">
        <v>447</v>
      </c>
      <c r="G15" s="143" t="str">
        <f>+Notas!B395</f>
        <v>5.14</v>
      </c>
      <c r="H15" s="136">
        <v>0</v>
      </c>
      <c r="I15" s="136">
        <v>0</v>
      </c>
      <c r="K15" s="14"/>
      <c r="L15" s="13"/>
      <c r="M15" s="13"/>
    </row>
    <row r="16" spans="2:13" ht="15" customHeight="1">
      <c r="B16" s="372" t="s">
        <v>571</v>
      </c>
      <c r="C16" s="148" t="str">
        <f>+Notas!B106</f>
        <v>5.4.2</v>
      </c>
      <c r="D16" s="149">
        <f>+Notas!F152</f>
        <v>3242942370</v>
      </c>
      <c r="E16" s="149">
        <f>+Notas!G152</f>
        <v>472199833</v>
      </c>
      <c r="F16" s="150" t="s">
        <v>297</v>
      </c>
      <c r="G16" s="143"/>
      <c r="H16" s="136">
        <v>36516222124</v>
      </c>
      <c r="I16" s="136">
        <v>25388188705</v>
      </c>
      <c r="K16" s="14"/>
      <c r="L16" s="13"/>
      <c r="M16" s="13"/>
    </row>
    <row r="17" spans="2:13" ht="15" customHeight="1">
      <c r="B17" s="373"/>
      <c r="C17" s="374"/>
      <c r="D17" s="373"/>
      <c r="E17" s="373"/>
      <c r="F17" s="151"/>
      <c r="G17" s="152"/>
      <c r="H17" s="151"/>
      <c r="I17" s="151"/>
      <c r="K17" s="14"/>
      <c r="M17" s="13"/>
    </row>
    <row r="18" spans="2:13" ht="15" customHeight="1">
      <c r="B18" s="142" t="s">
        <v>420</v>
      </c>
      <c r="C18" s="143" t="str">
        <f>+Notas!B156</f>
        <v>5.5</v>
      </c>
      <c r="D18" s="141">
        <f>SUM(D19:D22)</f>
        <v>143076280500.67291</v>
      </c>
      <c r="E18" s="141">
        <f>SUM(E19:E22)</f>
        <v>192008740794</v>
      </c>
      <c r="F18" s="144"/>
      <c r="G18" s="143"/>
      <c r="H18" s="144"/>
      <c r="I18" s="144"/>
      <c r="M18" s="13"/>
    </row>
    <row r="19" spans="2:13" ht="15" customHeight="1">
      <c r="B19" s="147" t="s">
        <v>781</v>
      </c>
      <c r="C19" s="153"/>
      <c r="D19" s="136">
        <f>+Notas!G195</f>
        <v>64590766238</v>
      </c>
      <c r="E19" s="149">
        <v>48535261690</v>
      </c>
      <c r="F19" s="142" t="s">
        <v>440</v>
      </c>
      <c r="G19" s="143" t="str">
        <f>+Notas!B363</f>
        <v>5.11</v>
      </c>
      <c r="H19" s="141">
        <f>SUM(H20:H21)</f>
        <v>58669104111</v>
      </c>
      <c r="I19" s="141">
        <f>SUM(I20:I21)</f>
        <v>109160462231</v>
      </c>
    </row>
    <row r="20" spans="2:13" ht="15" customHeight="1">
      <c r="B20" s="147" t="s">
        <v>782</v>
      </c>
      <c r="C20" s="153"/>
      <c r="D20" s="136">
        <f>+Notas!G188</f>
        <v>56082439415.415001</v>
      </c>
      <c r="E20" s="149">
        <v>115445173913</v>
      </c>
      <c r="F20" s="147" t="s">
        <v>448</v>
      </c>
      <c r="G20" s="153"/>
      <c r="H20" s="136">
        <f>+Notas!D377</f>
        <v>19994520524</v>
      </c>
      <c r="I20" s="136">
        <f>+Notas!D379</f>
        <v>96386712333</v>
      </c>
    </row>
    <row r="21" spans="2:13" ht="15" customHeight="1">
      <c r="B21" s="144" t="s">
        <v>783</v>
      </c>
      <c r="C21" s="153"/>
      <c r="D21" s="136">
        <f>+Notas!G203</f>
        <v>22403074847.2579</v>
      </c>
      <c r="E21" s="149">
        <v>28041268683</v>
      </c>
      <c r="F21" s="150" t="s">
        <v>449</v>
      </c>
      <c r="G21" s="153"/>
      <c r="H21" s="136">
        <f>+Notas!D371</f>
        <v>38674583587</v>
      </c>
      <c r="I21" s="136">
        <f>+Notas!D372</f>
        <v>12773749898</v>
      </c>
      <c r="K21" s="13"/>
    </row>
    <row r="22" spans="2:13" ht="15" customHeight="1">
      <c r="B22" s="147" t="s">
        <v>756</v>
      </c>
      <c r="C22" s="153" t="str">
        <f>+Notas!B471</f>
        <v>5.22</v>
      </c>
      <c r="D22" s="136">
        <v>0</v>
      </c>
      <c r="E22" s="149">
        <v>-12963492</v>
      </c>
      <c r="F22" s="150"/>
      <c r="G22" s="143"/>
      <c r="H22" s="136"/>
      <c r="I22" s="136"/>
    </row>
    <row r="23" spans="2:13" ht="15" customHeight="1">
      <c r="B23" s="146"/>
      <c r="C23" s="143"/>
      <c r="D23" s="136"/>
      <c r="E23" s="136"/>
      <c r="F23" s="154" t="s">
        <v>296</v>
      </c>
      <c r="G23" s="143"/>
      <c r="H23" s="141">
        <f>SUM(H24:H26)</f>
        <v>242403676</v>
      </c>
      <c r="I23" s="141">
        <f>SUM(I24:I26)</f>
        <v>376885186</v>
      </c>
      <c r="K23" s="13"/>
    </row>
    <row r="24" spans="2:13" ht="15" customHeight="1">
      <c r="B24" s="142" t="s">
        <v>226</v>
      </c>
      <c r="C24" s="143"/>
      <c r="D24" s="141">
        <f>SUM(D25:D26)</f>
        <v>2350408165</v>
      </c>
      <c r="E24" s="141">
        <f>SUM(E25:E26)</f>
        <v>1711951099</v>
      </c>
      <c r="F24" s="147" t="s">
        <v>179</v>
      </c>
      <c r="G24" s="153"/>
      <c r="H24" s="136">
        <v>121330157</v>
      </c>
      <c r="I24" s="136">
        <v>220666168</v>
      </c>
    </row>
    <row r="25" spans="2:13" ht="15" customHeight="1">
      <c r="B25" s="144" t="s">
        <v>419</v>
      </c>
      <c r="C25" s="143" t="s">
        <v>619</v>
      </c>
      <c r="D25" s="136">
        <f>+Notas!E281</f>
        <v>63936902</v>
      </c>
      <c r="E25" s="136">
        <f>+Notas!E282</f>
        <v>1208630140</v>
      </c>
      <c r="F25" s="147" t="s">
        <v>188</v>
      </c>
      <c r="G25" s="153"/>
      <c r="H25" s="136">
        <v>121073519</v>
      </c>
      <c r="I25" s="155">
        <v>85464648</v>
      </c>
    </row>
    <row r="26" spans="2:13" ht="15" customHeight="1">
      <c r="B26" s="146" t="s">
        <v>664</v>
      </c>
      <c r="C26" s="143" t="s">
        <v>619</v>
      </c>
      <c r="D26" s="136">
        <f>+Notas!E290</f>
        <v>2286471263</v>
      </c>
      <c r="E26" s="136">
        <f>+Notas!E291</f>
        <v>503320959</v>
      </c>
      <c r="F26" s="150" t="s">
        <v>298</v>
      </c>
      <c r="G26" s="143"/>
      <c r="H26" s="136">
        <v>0</v>
      </c>
      <c r="I26" s="136">
        <v>70754370</v>
      </c>
      <c r="K26" s="13"/>
    </row>
    <row r="27" spans="2:13" ht="15" customHeight="1">
      <c r="B27" s="146"/>
      <c r="C27" s="143"/>
      <c r="D27" s="136"/>
      <c r="E27" s="136"/>
      <c r="F27" s="146"/>
      <c r="G27" s="143"/>
      <c r="H27" s="136"/>
      <c r="I27" s="136"/>
      <c r="K27" s="13"/>
    </row>
    <row r="28" spans="2:13" ht="15" customHeight="1">
      <c r="B28" s="142" t="s">
        <v>228</v>
      </c>
      <c r="C28" s="143"/>
      <c r="D28" s="141">
        <f>SUM(D29)</f>
        <v>1233978497</v>
      </c>
      <c r="E28" s="141">
        <f>SUM(E29)</f>
        <v>114662305</v>
      </c>
      <c r="F28" s="142" t="s">
        <v>295</v>
      </c>
      <c r="G28" s="143" t="str">
        <f>+Notas!B423</f>
        <v>5.18</v>
      </c>
      <c r="H28" s="141">
        <f>+H29</f>
        <v>4146868180</v>
      </c>
      <c r="I28" s="141">
        <f>+I29</f>
        <v>2118707702</v>
      </c>
    </row>
    <row r="29" spans="2:13" ht="15" customHeight="1">
      <c r="B29" s="147" t="s">
        <v>418</v>
      </c>
      <c r="C29" s="153" t="str">
        <f>+Notas!B340</f>
        <v>5.10</v>
      </c>
      <c r="D29" s="136">
        <f>+Notas!D361</f>
        <v>1233978497</v>
      </c>
      <c r="E29" s="136">
        <f>+Notas!E361</f>
        <v>114662305</v>
      </c>
      <c r="F29" s="146" t="s">
        <v>450</v>
      </c>
      <c r="G29" s="143"/>
      <c r="H29" s="136">
        <f>+Notas!D436</f>
        <v>4146868180</v>
      </c>
      <c r="I29" s="136">
        <f>+Notas!D437</f>
        <v>2118707702</v>
      </c>
      <c r="K29" s="13"/>
      <c r="L29" s="13"/>
    </row>
    <row r="30" spans="2:13" ht="15" customHeight="1">
      <c r="B30" s="146"/>
      <c r="C30" s="143"/>
      <c r="D30" s="136"/>
      <c r="E30" s="136"/>
      <c r="F30" s="142" t="s">
        <v>180</v>
      </c>
      <c r="G30" s="143"/>
      <c r="H30" s="141">
        <f>+H28+H23+H19+H13</f>
        <v>99574598091</v>
      </c>
      <c r="I30" s="141">
        <v>137044243824</v>
      </c>
    </row>
    <row r="31" spans="2:13" ht="15" customHeight="1">
      <c r="B31" s="142" t="s">
        <v>3</v>
      </c>
      <c r="C31" s="143"/>
      <c r="D31" s="141">
        <f>+D13+D18+D24+D28</f>
        <v>149905609532.67291</v>
      </c>
      <c r="E31" s="141">
        <f>+E13+E18+E24+E28</f>
        <v>194309554031</v>
      </c>
      <c r="F31" s="147"/>
      <c r="G31" s="153"/>
      <c r="H31" s="144"/>
      <c r="I31" s="144"/>
      <c r="K31" s="13"/>
    </row>
    <row r="32" spans="2:13" ht="15" customHeight="1">
      <c r="B32" s="146"/>
      <c r="C32" s="143"/>
      <c r="D32" s="136"/>
      <c r="E32" s="136"/>
      <c r="F32" s="142" t="s">
        <v>181</v>
      </c>
      <c r="G32" s="143"/>
      <c r="H32" s="141">
        <f>+H30</f>
        <v>99574598091</v>
      </c>
      <c r="I32" s="141">
        <v>137044243824</v>
      </c>
      <c r="K32" s="15"/>
      <c r="L32" s="15"/>
      <c r="M32" s="13"/>
    </row>
    <row r="33" spans="2:13" ht="15" customHeight="1">
      <c r="B33" s="142" t="s">
        <v>4</v>
      </c>
      <c r="C33" s="143"/>
      <c r="D33" s="136"/>
      <c r="E33" s="136"/>
      <c r="F33" s="146"/>
      <c r="G33" s="143"/>
      <c r="H33" s="144"/>
      <c r="I33" s="144"/>
      <c r="K33" s="15"/>
      <c r="L33" s="15"/>
    </row>
    <row r="34" spans="2:13" ht="15" customHeight="1">
      <c r="B34" s="142" t="s">
        <v>128</v>
      </c>
      <c r="C34" s="153" t="str">
        <f>+Notas!B156</f>
        <v>5.5</v>
      </c>
      <c r="D34" s="141">
        <f>SUM(D35:D37)</f>
        <v>7201400000</v>
      </c>
      <c r="E34" s="141">
        <f>SUM(E35:E37)</f>
        <v>4050700000</v>
      </c>
      <c r="F34" s="142" t="s">
        <v>451</v>
      </c>
      <c r="G34" s="143" t="str">
        <f>+Notas!B457</f>
        <v>5.21</v>
      </c>
      <c r="H34" s="136">
        <f>+Notas!G469</f>
        <v>58809355440.709686</v>
      </c>
      <c r="I34" s="136">
        <v>62395501788</v>
      </c>
      <c r="K34" s="15"/>
      <c r="L34" s="15"/>
    </row>
    <row r="35" spans="2:13" ht="15" customHeight="1">
      <c r="B35" s="146" t="s">
        <v>655</v>
      </c>
      <c r="C35" s="143"/>
      <c r="D35" s="136">
        <f>+Notas!G264</f>
        <v>6301400000</v>
      </c>
      <c r="E35" s="136">
        <v>3150700000</v>
      </c>
      <c r="F35" s="142" t="s">
        <v>182</v>
      </c>
      <c r="G35" s="143"/>
      <c r="H35" s="141">
        <f>+H34</f>
        <v>58809355440.709686</v>
      </c>
      <c r="I35" s="141">
        <v>62395501788</v>
      </c>
      <c r="K35" s="15"/>
      <c r="L35" s="16"/>
    </row>
    <row r="36" spans="2:13" ht="15" customHeight="1">
      <c r="B36" s="147" t="s">
        <v>757</v>
      </c>
      <c r="C36" s="153"/>
      <c r="D36" s="136">
        <f>+Notas!G265</f>
        <v>900000000</v>
      </c>
      <c r="E36" s="136">
        <v>900000000</v>
      </c>
      <c r="F36" s="142"/>
      <c r="G36" s="143"/>
      <c r="H36" s="136"/>
      <c r="I36" s="136"/>
      <c r="K36" s="13"/>
    </row>
    <row r="37" spans="2:13" ht="15" customHeight="1">
      <c r="B37" s="147" t="s">
        <v>758</v>
      </c>
      <c r="C37" s="153"/>
      <c r="D37" s="136">
        <v>0</v>
      </c>
      <c r="E37" s="136">
        <v>0</v>
      </c>
      <c r="F37" s="142"/>
      <c r="G37" s="143"/>
      <c r="H37" s="136"/>
      <c r="I37" s="136"/>
      <c r="K37" s="13"/>
      <c r="L37" s="13"/>
    </row>
    <row r="38" spans="2:13" ht="15" customHeight="1">
      <c r="B38" s="146"/>
      <c r="C38" s="143"/>
      <c r="D38" s="136"/>
      <c r="E38" s="136"/>
      <c r="F38" s="142"/>
      <c r="G38" s="143"/>
      <c r="H38" s="136"/>
      <c r="I38" s="136"/>
      <c r="L38" s="13"/>
    </row>
    <row r="39" spans="2:13" ht="15" customHeight="1">
      <c r="B39" s="142" t="s">
        <v>227</v>
      </c>
      <c r="C39" s="143" t="str">
        <f>+Notas!B302</f>
        <v>5.7</v>
      </c>
      <c r="D39" s="141">
        <f>SUM(D40:D41)</f>
        <v>993969670</v>
      </c>
      <c r="E39" s="141">
        <f>SUM(E40:E41)</f>
        <v>918572055</v>
      </c>
      <c r="F39" s="142"/>
      <c r="G39" s="143"/>
      <c r="H39" s="136"/>
      <c r="I39" s="136"/>
      <c r="L39" s="13"/>
    </row>
    <row r="40" spans="2:13" ht="15" customHeight="1">
      <c r="B40" s="146" t="s">
        <v>417</v>
      </c>
      <c r="C40" s="143"/>
      <c r="D40" s="136">
        <f>+Notas!I311</f>
        <v>1835945306</v>
      </c>
      <c r="E40" s="136">
        <f>+Notas!I312</f>
        <v>1489783312</v>
      </c>
      <c r="F40" s="142"/>
      <c r="G40" s="143"/>
      <c r="H40" s="136"/>
      <c r="I40" s="136"/>
      <c r="L40" s="13"/>
    </row>
    <row r="41" spans="2:13" ht="15" customHeight="1">
      <c r="B41" s="146" t="s">
        <v>416</v>
      </c>
      <c r="C41" s="143"/>
      <c r="D41" s="136">
        <f>-Notas!I320</f>
        <v>-841975636</v>
      </c>
      <c r="E41" s="136">
        <f>-Notas!I321</f>
        <v>-571211257</v>
      </c>
      <c r="F41" s="146"/>
      <c r="G41" s="143"/>
      <c r="H41" s="136"/>
      <c r="I41" s="136"/>
      <c r="J41" s="13"/>
    </row>
    <row r="42" spans="2:13" ht="15" customHeight="1">
      <c r="B42" s="146"/>
      <c r="C42" s="143"/>
      <c r="D42" s="136"/>
      <c r="E42" s="136"/>
      <c r="F42" s="146"/>
      <c r="G42" s="143"/>
      <c r="H42" s="136"/>
      <c r="I42" s="136"/>
      <c r="J42" s="13"/>
      <c r="K42" s="13"/>
    </row>
    <row r="43" spans="2:13" ht="15" customHeight="1">
      <c r="B43" s="142" t="s">
        <v>246</v>
      </c>
      <c r="C43" s="143"/>
      <c r="D43" s="141">
        <f>SUM(D44:D45)</f>
        <v>282974329</v>
      </c>
      <c r="E43" s="141">
        <f>SUM(E44:E45)</f>
        <v>160919526</v>
      </c>
      <c r="F43" s="146"/>
      <c r="G43" s="143"/>
      <c r="H43" s="136"/>
      <c r="I43" s="136"/>
      <c r="J43" s="13"/>
      <c r="K43" s="13"/>
    </row>
    <row r="44" spans="2:13" ht="15" customHeight="1">
      <c r="B44" s="146" t="s">
        <v>415</v>
      </c>
      <c r="C44" s="143" t="str">
        <f>+Notas!B331</f>
        <v>5.9</v>
      </c>
      <c r="D44" s="136">
        <f>+Notas!G336</f>
        <v>230935564</v>
      </c>
      <c r="E44" s="136">
        <f>+Notas!G337</f>
        <v>129846531</v>
      </c>
      <c r="F44" s="146"/>
      <c r="G44" s="143"/>
      <c r="H44" s="136"/>
      <c r="I44" s="136"/>
      <c r="J44" s="13"/>
      <c r="K44" s="13"/>
    </row>
    <row r="45" spans="2:13" ht="15" customHeight="1">
      <c r="B45" s="146" t="s">
        <v>784</v>
      </c>
      <c r="C45" s="143" t="str">
        <f>+Notas!B323</f>
        <v>5.8</v>
      </c>
      <c r="D45" s="136">
        <v>52038765</v>
      </c>
      <c r="E45" s="136">
        <v>31072995</v>
      </c>
      <c r="F45" s="146"/>
      <c r="G45" s="143"/>
      <c r="H45" s="136"/>
      <c r="I45" s="136"/>
      <c r="J45" s="13"/>
      <c r="K45" s="13"/>
    </row>
    <row r="46" spans="2:13" ht="15" customHeight="1">
      <c r="B46" s="142" t="s">
        <v>5</v>
      </c>
      <c r="C46" s="143"/>
      <c r="D46" s="141">
        <f>+D34+D39+D43</f>
        <v>8478343999</v>
      </c>
      <c r="E46" s="141">
        <f>+E34+E39+E43</f>
        <v>5130191581</v>
      </c>
      <c r="F46" s="146"/>
      <c r="G46" s="143"/>
      <c r="H46" s="136"/>
      <c r="I46" s="136"/>
      <c r="L46" s="13"/>
    </row>
    <row r="47" spans="2:13" ht="13.2">
      <c r="B47" s="142"/>
      <c r="C47" s="143"/>
      <c r="D47" s="141"/>
      <c r="E47" s="141"/>
      <c r="F47" s="142"/>
      <c r="G47" s="156"/>
      <c r="H47" s="136"/>
      <c r="I47" s="136"/>
      <c r="K47" s="13"/>
      <c r="L47" s="13"/>
      <c r="M47" s="13"/>
    </row>
    <row r="48" spans="2:13" ht="13.2">
      <c r="B48" s="87" t="s">
        <v>60</v>
      </c>
      <c r="C48" s="88"/>
      <c r="D48" s="89">
        <f>+D46+D31</f>
        <v>158383953531.67291</v>
      </c>
      <c r="E48" s="89">
        <f>+E46+E31</f>
        <v>199439745612</v>
      </c>
      <c r="F48" s="90" t="s">
        <v>704</v>
      </c>
      <c r="G48" s="88"/>
      <c r="H48" s="89">
        <f>+H35+H32</f>
        <v>158383953531.70969</v>
      </c>
      <c r="I48" s="89">
        <f>+I30+I35</f>
        <v>199439745612</v>
      </c>
      <c r="K48" s="13"/>
      <c r="L48" s="13"/>
    </row>
    <row r="49" spans="2:12" ht="13.2">
      <c r="B49" s="50" t="s">
        <v>654</v>
      </c>
      <c r="C49" s="45"/>
      <c r="D49" s="50"/>
      <c r="E49" s="91"/>
      <c r="F49" s="50"/>
      <c r="G49" s="45"/>
      <c r="H49" s="92"/>
      <c r="I49" s="92"/>
      <c r="K49" s="13"/>
      <c r="L49" s="13"/>
    </row>
    <row r="50" spans="2:12">
      <c r="D50" s="17"/>
      <c r="E50" s="17"/>
      <c r="F50" s="13"/>
      <c r="H50" s="13"/>
      <c r="I50" s="13"/>
    </row>
    <row r="51" spans="2:12">
      <c r="B51" s="17"/>
      <c r="C51" s="18"/>
      <c r="D51" s="17"/>
      <c r="E51" s="17" t="s">
        <v>307</v>
      </c>
      <c r="F51" s="17"/>
      <c r="G51" s="18"/>
      <c r="H51" s="17"/>
      <c r="I51" s="17"/>
      <c r="J51" s="17"/>
      <c r="K51" s="13"/>
    </row>
    <row r="52" spans="2:12" s="17" customFormat="1">
      <c r="C52" s="18"/>
      <c r="G52" s="18"/>
    </row>
    <row r="53" spans="2:12" s="17" customFormat="1">
      <c r="B53" s="18"/>
      <c r="C53" s="18"/>
      <c r="F53" s="18"/>
      <c r="G53" s="18"/>
    </row>
    <row r="54" spans="2:12" s="17" customFormat="1">
      <c r="B54" s="19"/>
      <c r="C54" s="18"/>
      <c r="F54" s="19"/>
      <c r="G54" s="18"/>
    </row>
    <row r="55" spans="2:12" s="17" customFormat="1">
      <c r="C55" s="18"/>
      <c r="G55" s="18"/>
    </row>
    <row r="56" spans="2:12" s="17" customFormat="1">
      <c r="C56" s="18"/>
      <c r="G56" s="18"/>
    </row>
    <row r="57" spans="2:12" s="17" customFormat="1">
      <c r="C57" s="18"/>
      <c r="G57" s="18"/>
    </row>
    <row r="58" spans="2:12" s="17" customFormat="1">
      <c r="C58" s="18"/>
      <c r="G58" s="18"/>
    </row>
    <row r="59" spans="2:12" s="17" customFormat="1">
      <c r="C59" s="18"/>
      <c r="G59" s="18"/>
    </row>
    <row r="60" spans="2:12" s="17" customFormat="1">
      <c r="C60" s="18"/>
      <c r="G60" s="18"/>
    </row>
    <row r="61" spans="2:12" s="17" customFormat="1">
      <c r="B61" s="38"/>
      <c r="C61" s="38"/>
      <c r="D61" s="38"/>
      <c r="E61" s="38"/>
      <c r="F61" s="38"/>
      <c r="G61" s="20"/>
    </row>
    <row r="62" spans="2:12" s="17" customFormat="1">
      <c r="B62" s="38"/>
      <c r="C62" s="38"/>
      <c r="D62" s="38"/>
      <c r="E62" s="38"/>
      <c r="F62" s="38"/>
      <c r="G62" s="20"/>
    </row>
    <row r="63" spans="2:12" s="17" customFormat="1">
      <c r="B63" s="38"/>
      <c r="C63" s="38"/>
      <c r="D63" s="38"/>
      <c r="E63" s="38"/>
      <c r="F63" s="38"/>
      <c r="G63" s="20"/>
      <c r="H63" s="10"/>
      <c r="I63" s="10"/>
    </row>
    <row r="64" spans="2:12">
      <c r="B64" s="38"/>
      <c r="C64" s="38"/>
      <c r="D64" s="38"/>
      <c r="E64" s="38"/>
      <c r="F64" s="38"/>
      <c r="G64" s="20"/>
    </row>
    <row r="65" spans="2:7">
      <c r="B65" s="38"/>
      <c r="C65" s="38"/>
      <c r="D65" s="38"/>
      <c r="E65" s="38"/>
      <c r="F65" s="38"/>
      <c r="G65" s="20"/>
    </row>
  </sheetData>
  <mergeCells count="4">
    <mergeCell ref="B9:I9"/>
    <mergeCell ref="B8:I8"/>
    <mergeCell ref="B2:I2"/>
    <mergeCell ref="B5:I5"/>
  </mergeCells>
  <pageMargins left="0.24" right="0.25" top="0.43307086614173229" bottom="0.47244094488188981" header="0.31496062992125984" footer="0.31496062992125984"/>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3"/>
  <sheetViews>
    <sheetView showGridLines="0" topLeftCell="A5" zoomScale="85" zoomScaleNormal="85" workbookViewId="0">
      <selection activeCell="G10" sqref="G10"/>
    </sheetView>
  </sheetViews>
  <sheetFormatPr baseColWidth="10" defaultColWidth="11.5546875" defaultRowHeight="12.6"/>
  <cols>
    <col min="1" max="1" width="11.5546875" style="338"/>
    <col min="2" max="2" width="61.6640625" style="338" customWidth="1"/>
    <col min="3" max="3" width="8.109375" style="351" customWidth="1"/>
    <col min="4" max="4" width="20.33203125" style="338" customWidth="1"/>
    <col min="5" max="5" width="20.33203125" style="356" customWidth="1"/>
    <col min="6" max="6" width="15.109375" style="353" bestFit="1" customWidth="1"/>
    <col min="7" max="7" width="15.88671875" style="353" bestFit="1" customWidth="1"/>
    <col min="8" max="8" width="14.6640625" style="353" bestFit="1" customWidth="1"/>
    <col min="9" max="9" width="13.6640625" style="338" bestFit="1" customWidth="1"/>
    <col min="10" max="10" width="14.6640625" style="338" bestFit="1" customWidth="1"/>
    <col min="11" max="11" width="13.6640625" style="338" bestFit="1" customWidth="1"/>
    <col min="12" max="16384" width="11.5546875" style="338"/>
  </cols>
  <sheetData>
    <row r="1" spans="2:9">
      <c r="B1" s="334"/>
      <c r="C1" s="335"/>
      <c r="D1" s="334"/>
      <c r="E1" s="336"/>
      <c r="F1" s="337"/>
      <c r="G1" s="337"/>
      <c r="H1" s="337"/>
      <c r="I1" s="334"/>
    </row>
    <row r="2" spans="2:9">
      <c r="B2" s="334"/>
      <c r="C2" s="335"/>
      <c r="D2" s="334"/>
      <c r="E2" s="336"/>
      <c r="F2" s="337"/>
      <c r="G2" s="337"/>
      <c r="H2" s="337"/>
      <c r="I2" s="334"/>
    </row>
    <row r="3" spans="2:9">
      <c r="B3" s="334"/>
      <c r="C3" s="335"/>
      <c r="D3" s="334"/>
      <c r="E3" s="336"/>
      <c r="F3" s="337"/>
      <c r="G3" s="337"/>
      <c r="H3" s="337"/>
      <c r="I3" s="334"/>
    </row>
    <row r="4" spans="2:9">
      <c r="B4" s="334"/>
      <c r="C4" s="335"/>
      <c r="D4" s="334"/>
      <c r="E4" s="336"/>
      <c r="F4" s="337"/>
      <c r="G4" s="337"/>
      <c r="H4" s="337"/>
      <c r="I4" s="334"/>
    </row>
    <row r="5" spans="2:9">
      <c r="B5" s="334"/>
      <c r="C5" s="335"/>
      <c r="D5" s="334"/>
      <c r="E5" s="336"/>
      <c r="F5" s="337"/>
      <c r="G5" s="337"/>
      <c r="H5" s="337"/>
      <c r="I5" s="334"/>
    </row>
    <row r="6" spans="2:9" ht="13.2">
      <c r="B6" s="431" t="s">
        <v>312</v>
      </c>
      <c r="C6" s="431"/>
      <c r="D6" s="431"/>
      <c r="E6" s="431"/>
      <c r="F6" s="431"/>
      <c r="G6" s="431"/>
      <c r="H6" s="431"/>
      <c r="I6" s="431"/>
    </row>
    <row r="7" spans="2:9" ht="12.6" customHeight="1">
      <c r="B7" s="339" t="s">
        <v>695</v>
      </c>
      <c r="C7" s="340"/>
      <c r="D7" s="340"/>
      <c r="E7" s="340"/>
      <c r="F7" s="340"/>
      <c r="G7" s="340"/>
      <c r="H7" s="340"/>
      <c r="I7" s="340"/>
    </row>
    <row r="8" spans="2:9" ht="12.6" customHeight="1">
      <c r="B8" s="339" t="s">
        <v>696</v>
      </c>
      <c r="C8" s="340"/>
      <c r="D8" s="340"/>
      <c r="E8" s="340"/>
      <c r="F8" s="340"/>
      <c r="G8" s="340"/>
      <c r="H8" s="340"/>
      <c r="I8" s="340"/>
    </row>
    <row r="9" spans="2:9" ht="12.6" customHeight="1">
      <c r="B9" s="341"/>
      <c r="C9" s="340"/>
      <c r="D9" s="340"/>
      <c r="E9" s="340"/>
      <c r="F9" s="340"/>
      <c r="G9" s="340"/>
      <c r="H9" s="340"/>
      <c r="I9" s="340"/>
    </row>
    <row r="10" spans="2:9" ht="61.5" customHeight="1">
      <c r="B10" s="439" t="s">
        <v>906</v>
      </c>
      <c r="C10" s="439"/>
      <c r="D10" s="439"/>
      <c r="E10" s="439"/>
      <c r="F10" s="337"/>
      <c r="G10" s="337"/>
      <c r="H10" s="337"/>
      <c r="I10" s="334"/>
    </row>
    <row r="11" spans="2:9" ht="21" customHeight="1">
      <c r="B11" s="357" t="s">
        <v>83</v>
      </c>
      <c r="C11" s="358" t="s">
        <v>414</v>
      </c>
      <c r="D11" s="394">
        <v>44834</v>
      </c>
      <c r="E11" s="394">
        <v>44469</v>
      </c>
      <c r="F11" s="337"/>
      <c r="G11" s="337"/>
      <c r="H11" s="337"/>
      <c r="I11" s="334"/>
    </row>
    <row r="12" spans="2:9" ht="15" customHeight="1">
      <c r="B12" s="342" t="s">
        <v>572</v>
      </c>
      <c r="C12" s="343"/>
      <c r="D12" s="344">
        <f>+D16+D17+D18</f>
        <v>14575427109</v>
      </c>
      <c r="E12" s="344">
        <f>+E16+E17+E18</f>
        <v>20150356633</v>
      </c>
      <c r="F12" s="337"/>
      <c r="G12" s="337"/>
      <c r="H12" s="337"/>
      <c r="I12" s="334"/>
    </row>
    <row r="13" spans="2:9" ht="15" customHeight="1">
      <c r="B13" s="345" t="s">
        <v>234</v>
      </c>
      <c r="C13" s="346"/>
      <c r="D13" s="81"/>
      <c r="E13" s="80"/>
      <c r="F13" s="337"/>
      <c r="G13" s="337"/>
      <c r="H13" s="337"/>
      <c r="I13" s="334"/>
    </row>
    <row r="14" spans="2:9" ht="15" customHeight="1">
      <c r="B14" s="345" t="s">
        <v>233</v>
      </c>
      <c r="C14" s="346"/>
      <c r="D14" s="81"/>
      <c r="E14" s="80"/>
      <c r="F14" s="337"/>
      <c r="G14" s="337"/>
      <c r="H14" s="337"/>
      <c r="I14" s="334"/>
    </row>
    <row r="15" spans="2:9" ht="15" customHeight="1">
      <c r="B15" s="345" t="s">
        <v>235</v>
      </c>
      <c r="C15" s="346"/>
      <c r="D15" s="81"/>
      <c r="E15" s="80"/>
      <c r="F15" s="337"/>
      <c r="G15" s="337"/>
      <c r="H15" s="337"/>
      <c r="I15" s="334"/>
    </row>
    <row r="16" spans="2:9" ht="15" customHeight="1">
      <c r="B16" s="104" t="s">
        <v>430</v>
      </c>
      <c r="C16" s="347" t="str">
        <f>+Notas!B479</f>
        <v>5.23.1</v>
      </c>
      <c r="D16" s="82">
        <f>+Notas!D484</f>
        <v>4096375168</v>
      </c>
      <c r="E16" s="82">
        <f>+Notas!E484</f>
        <v>900628713</v>
      </c>
      <c r="F16" s="337"/>
      <c r="G16" s="337"/>
      <c r="H16" s="337"/>
      <c r="I16" s="334"/>
    </row>
    <row r="17" spans="2:11" ht="15" customHeight="1">
      <c r="B17" s="104" t="s">
        <v>429</v>
      </c>
      <c r="C17" s="347" t="str">
        <f>+Notas!B486</f>
        <v>5.23.2</v>
      </c>
      <c r="D17" s="82">
        <f>+Notas!D494</f>
        <v>10029786313</v>
      </c>
      <c r="E17" s="82">
        <v>19232930823</v>
      </c>
      <c r="F17" s="337"/>
      <c r="G17" s="337"/>
      <c r="H17" s="337"/>
      <c r="I17" s="334"/>
    </row>
    <row r="18" spans="2:11" ht="15" customHeight="1">
      <c r="B18" s="104" t="s">
        <v>445</v>
      </c>
      <c r="C18" s="347" t="str">
        <f>+Notas!B448</f>
        <v>5.20</v>
      </c>
      <c r="D18" s="82">
        <f>+Notas!E454</f>
        <v>449265628</v>
      </c>
      <c r="E18" s="82">
        <f>+Notas!E455</f>
        <v>16797097</v>
      </c>
      <c r="F18" s="337"/>
      <c r="G18" s="337"/>
      <c r="H18" s="337"/>
      <c r="I18" s="334"/>
    </row>
    <row r="19" spans="2:11" ht="15" customHeight="1">
      <c r="B19" s="93" t="s">
        <v>8</v>
      </c>
      <c r="C19" s="84"/>
      <c r="D19" s="80">
        <f>+SUM(D20:D21)</f>
        <v>2180454504</v>
      </c>
      <c r="E19" s="80">
        <f>+SUM(E20:E21)</f>
        <v>669678007</v>
      </c>
      <c r="F19" s="337"/>
      <c r="G19" s="337"/>
      <c r="H19" s="337"/>
      <c r="I19" s="334"/>
    </row>
    <row r="20" spans="2:11" ht="15" customHeight="1">
      <c r="B20" s="83" t="s">
        <v>236</v>
      </c>
      <c r="C20" s="84"/>
      <c r="D20" s="82">
        <f>273653505+20086099</f>
        <v>293739604</v>
      </c>
      <c r="E20" s="82">
        <v>481753312</v>
      </c>
      <c r="F20" s="337"/>
      <c r="G20" s="337"/>
      <c r="H20" s="337"/>
      <c r="I20" s="337"/>
    </row>
    <row r="21" spans="2:11" ht="15" customHeight="1">
      <c r="B21" s="83" t="s">
        <v>428</v>
      </c>
      <c r="C21" s="84" t="str">
        <f>+Notas!B505</f>
        <v>5.24.1</v>
      </c>
      <c r="D21" s="82">
        <f>+Notas!D515</f>
        <v>1886714900</v>
      </c>
      <c r="E21" s="82">
        <f>+Notas!E515</f>
        <v>187924695</v>
      </c>
      <c r="F21" s="337"/>
      <c r="G21" s="337"/>
      <c r="H21" s="337"/>
      <c r="I21" s="334"/>
    </row>
    <row r="22" spans="2:11" ht="15" customHeight="1">
      <c r="B22" s="93" t="s">
        <v>9</v>
      </c>
      <c r="C22" s="84"/>
      <c r="D22" s="80">
        <f>+D12-D19</f>
        <v>12394972605</v>
      </c>
      <c r="E22" s="80">
        <f>+E12-E19</f>
        <v>19480678626</v>
      </c>
      <c r="F22" s="337"/>
      <c r="G22" s="337"/>
      <c r="H22" s="337"/>
      <c r="I22" s="334"/>
    </row>
    <row r="23" spans="2:11" ht="15" customHeight="1">
      <c r="B23" s="93" t="s">
        <v>231</v>
      </c>
      <c r="C23" s="84"/>
      <c r="D23" s="80">
        <f>SUM(D24:D25)</f>
        <v>358113550</v>
      </c>
      <c r="E23" s="80">
        <f>SUM(E24:E25)</f>
        <v>405445030</v>
      </c>
      <c r="F23" s="337"/>
      <c r="G23" s="337"/>
      <c r="H23" s="337"/>
      <c r="I23" s="334"/>
    </row>
    <row r="24" spans="2:11" ht="15" customHeight="1">
      <c r="B24" s="83" t="s">
        <v>10</v>
      </c>
      <c r="C24" s="84"/>
      <c r="D24" s="82">
        <v>255456302</v>
      </c>
      <c r="E24" s="82">
        <v>64696932</v>
      </c>
      <c r="F24" s="337"/>
      <c r="G24" s="337"/>
      <c r="H24" s="337"/>
      <c r="I24" s="334"/>
    </row>
    <row r="25" spans="2:11" ht="15" customHeight="1">
      <c r="B25" s="83" t="s">
        <v>427</v>
      </c>
      <c r="C25" s="84" t="str">
        <f>+Notas!B517</f>
        <v>5.24.2</v>
      </c>
      <c r="D25" s="82">
        <f>+Notas!D524</f>
        <v>102657248</v>
      </c>
      <c r="E25" s="82">
        <f>+Notas!E524</f>
        <v>340748098</v>
      </c>
      <c r="F25" s="337"/>
      <c r="G25" s="337"/>
      <c r="H25" s="337"/>
      <c r="I25" s="348"/>
      <c r="K25" s="349"/>
    </row>
    <row r="26" spans="2:11" ht="15" customHeight="1">
      <c r="B26" s="93" t="s">
        <v>230</v>
      </c>
      <c r="C26" s="84"/>
      <c r="D26" s="80">
        <f>+SUM(D27:D34)</f>
        <v>8371017057</v>
      </c>
      <c r="E26" s="80">
        <f>+SUM(E27:E34)</f>
        <v>7163679186</v>
      </c>
      <c r="F26" s="337"/>
      <c r="G26" s="337"/>
      <c r="H26" s="337"/>
      <c r="I26" s="348"/>
    </row>
    <row r="27" spans="2:11" ht="15" customHeight="1">
      <c r="B27" s="83" t="s">
        <v>232</v>
      </c>
      <c r="C27" s="84"/>
      <c r="D27" s="82">
        <v>270764379</v>
      </c>
      <c r="E27" s="82">
        <v>286140843</v>
      </c>
      <c r="G27" s="337"/>
      <c r="H27" s="337"/>
      <c r="I27" s="348"/>
      <c r="K27" s="349"/>
    </row>
    <row r="28" spans="2:11" ht="15" customHeight="1">
      <c r="B28" s="94" t="s">
        <v>11</v>
      </c>
      <c r="C28" s="95"/>
      <c r="D28" s="82">
        <v>927519</v>
      </c>
      <c r="E28" s="82">
        <v>652392</v>
      </c>
      <c r="F28" s="337"/>
      <c r="G28" s="337"/>
      <c r="H28" s="337"/>
      <c r="I28" s="348"/>
    </row>
    <row r="29" spans="2:11" ht="15" customHeight="1">
      <c r="B29" s="83" t="s">
        <v>12</v>
      </c>
      <c r="C29" s="84"/>
      <c r="D29" s="82">
        <v>229040810</v>
      </c>
      <c r="E29" s="82">
        <v>226695520</v>
      </c>
      <c r="F29" s="337"/>
      <c r="G29" s="337"/>
      <c r="H29" s="337"/>
      <c r="I29" s="348"/>
      <c r="K29" s="349"/>
    </row>
    <row r="30" spans="2:11" ht="15" customHeight="1">
      <c r="B30" s="83" t="s">
        <v>13</v>
      </c>
      <c r="C30" s="84"/>
      <c r="D30" s="82">
        <v>177026461</v>
      </c>
      <c r="E30" s="82">
        <v>137312993</v>
      </c>
      <c r="F30" s="337"/>
      <c r="G30" s="337"/>
      <c r="H30" s="337"/>
      <c r="I30" s="334"/>
    </row>
    <row r="31" spans="2:11" ht="15" customHeight="1">
      <c r="B31" s="83" t="s">
        <v>14</v>
      </c>
      <c r="C31" s="84"/>
      <c r="D31" s="82">
        <v>7282549</v>
      </c>
      <c r="E31" s="82">
        <v>12027404</v>
      </c>
      <c r="F31" s="337"/>
      <c r="G31" s="337"/>
      <c r="H31" s="337"/>
      <c r="I31" s="334"/>
    </row>
    <row r="32" spans="2:11" ht="15" customHeight="1">
      <c r="B32" s="83" t="s">
        <v>15</v>
      </c>
      <c r="C32" s="84"/>
      <c r="D32" s="82">
        <v>0</v>
      </c>
      <c r="E32" s="82">
        <v>0</v>
      </c>
      <c r="F32" s="337"/>
      <c r="G32" s="337"/>
      <c r="H32" s="337"/>
      <c r="I32" s="334"/>
    </row>
    <row r="33" spans="2:9" ht="15" customHeight="1">
      <c r="B33" s="83" t="s">
        <v>16</v>
      </c>
      <c r="C33" s="84"/>
      <c r="D33" s="82">
        <v>24387088</v>
      </c>
      <c r="E33" s="82">
        <v>25146470</v>
      </c>
      <c r="F33" s="337"/>
      <c r="G33" s="337"/>
      <c r="H33" s="337"/>
      <c r="I33" s="334"/>
    </row>
    <row r="34" spans="2:9" ht="15" customHeight="1">
      <c r="B34" s="83" t="s">
        <v>426</v>
      </c>
      <c r="C34" s="84" t="str">
        <f>+Notas!B526</f>
        <v>5.24.3</v>
      </c>
      <c r="D34" s="82">
        <f>+Notas!D562</f>
        <v>7661588251</v>
      </c>
      <c r="E34" s="82">
        <f>+Notas!E562</f>
        <v>6475703564</v>
      </c>
      <c r="F34" s="337"/>
      <c r="G34" s="337"/>
      <c r="H34" s="337"/>
      <c r="I34" s="334"/>
    </row>
    <row r="35" spans="2:9" ht="15" customHeight="1">
      <c r="B35" s="93" t="s">
        <v>17</v>
      </c>
      <c r="C35" s="84"/>
      <c r="D35" s="80">
        <f>+D22-D23-D26</f>
        <v>3665841998</v>
      </c>
      <c r="E35" s="80">
        <f>+E22-E23-E26</f>
        <v>11911554410</v>
      </c>
      <c r="F35" s="337"/>
      <c r="G35" s="337"/>
      <c r="H35" s="337"/>
      <c r="I35" s="334"/>
    </row>
    <row r="36" spans="2:9" ht="15" customHeight="1">
      <c r="B36" s="93" t="s">
        <v>18</v>
      </c>
      <c r="C36" s="84" t="str">
        <f>+Notas!B565</f>
        <v>5.25</v>
      </c>
      <c r="D36" s="80">
        <f>+D37-D38</f>
        <v>-13154645</v>
      </c>
      <c r="E36" s="80">
        <f>+E37-E38</f>
        <v>-306543473</v>
      </c>
      <c r="F36" s="337"/>
      <c r="G36" s="337"/>
      <c r="H36" s="337"/>
      <c r="I36" s="334"/>
    </row>
    <row r="37" spans="2:9" ht="15" customHeight="1">
      <c r="B37" s="83" t="s">
        <v>425</v>
      </c>
      <c r="C37" s="84"/>
      <c r="D37" s="82">
        <f>+Notas!D570</f>
        <v>15205821</v>
      </c>
      <c r="E37" s="82">
        <f>+Notas!E570</f>
        <v>336201</v>
      </c>
      <c r="F37" s="337"/>
      <c r="G37" s="337"/>
      <c r="H37" s="337"/>
      <c r="I37" s="334"/>
    </row>
    <row r="38" spans="2:9" ht="15" customHeight="1">
      <c r="B38" s="83" t="s">
        <v>424</v>
      </c>
      <c r="C38" s="84"/>
      <c r="D38" s="82">
        <f>+Notas!D573</f>
        <v>28360466</v>
      </c>
      <c r="E38" s="82">
        <f>+Notas!E572</f>
        <v>306879674</v>
      </c>
      <c r="F38" s="337"/>
      <c r="G38" s="337"/>
      <c r="H38" s="337"/>
      <c r="I38" s="334"/>
    </row>
    <row r="39" spans="2:9" ht="15" customHeight="1">
      <c r="B39" s="93" t="s">
        <v>19</v>
      </c>
      <c r="C39" s="84"/>
      <c r="D39" s="82"/>
      <c r="E39" s="96"/>
      <c r="F39" s="337"/>
      <c r="G39" s="337"/>
      <c r="H39" s="337"/>
      <c r="I39" s="334"/>
    </row>
    <row r="40" spans="2:9" ht="15" customHeight="1">
      <c r="B40" s="93" t="s">
        <v>20</v>
      </c>
      <c r="C40" s="84"/>
      <c r="D40" s="80">
        <f>+D41+D42</f>
        <v>7052386377</v>
      </c>
      <c r="E40" s="80">
        <f>+E41+E42</f>
        <v>1855269769</v>
      </c>
      <c r="F40" s="337"/>
      <c r="G40" s="337"/>
      <c r="H40" s="337"/>
      <c r="I40" s="334"/>
    </row>
    <row r="41" spans="2:9" ht="15" customHeight="1">
      <c r="B41" s="83" t="s">
        <v>423</v>
      </c>
      <c r="C41" s="84" t="str">
        <f>+Notas!B577</f>
        <v>5.26.1</v>
      </c>
      <c r="D41" s="82">
        <f>+Notas!D583</f>
        <v>7052386377</v>
      </c>
      <c r="E41" s="82">
        <f>+Notas!E583</f>
        <v>1791006313</v>
      </c>
      <c r="F41" s="337"/>
      <c r="G41" s="337"/>
      <c r="H41" s="337"/>
      <c r="I41" s="334"/>
    </row>
    <row r="42" spans="2:9" ht="15" customHeight="1">
      <c r="B42" s="83" t="s">
        <v>21</v>
      </c>
      <c r="C42" s="84"/>
      <c r="D42" s="97">
        <v>0</v>
      </c>
      <c r="E42" s="82">
        <v>64263456</v>
      </c>
      <c r="F42" s="337"/>
      <c r="G42" s="337"/>
      <c r="H42" s="337"/>
      <c r="I42" s="334"/>
    </row>
    <row r="43" spans="2:9" ht="15" customHeight="1">
      <c r="B43" s="93" t="s">
        <v>22</v>
      </c>
      <c r="C43" s="84"/>
      <c r="D43" s="81">
        <f>+D44+D45</f>
        <v>-5837578423</v>
      </c>
      <c r="E43" s="81">
        <f>+E44+E45</f>
        <v>-348026930</v>
      </c>
      <c r="F43" s="337"/>
      <c r="G43" s="337"/>
      <c r="H43" s="337"/>
      <c r="I43" s="334"/>
    </row>
    <row r="44" spans="2:9" ht="15" customHeight="1">
      <c r="B44" s="83" t="s">
        <v>422</v>
      </c>
      <c r="C44" s="84" t="str">
        <f>+Notas!B585</f>
        <v>5.26.2</v>
      </c>
      <c r="D44" s="97">
        <f>-Notas!D591</f>
        <v>-5835585753</v>
      </c>
      <c r="E44" s="82">
        <f>-Notas!E591</f>
        <v>-348026930</v>
      </c>
      <c r="F44" s="337"/>
      <c r="G44" s="337"/>
      <c r="H44" s="337"/>
      <c r="I44" s="334"/>
    </row>
    <row r="45" spans="2:9" ht="15" customHeight="1">
      <c r="B45" s="83" t="s">
        <v>21</v>
      </c>
      <c r="C45" s="84"/>
      <c r="D45" s="97">
        <v>-1992670</v>
      </c>
      <c r="E45" s="82">
        <v>0</v>
      </c>
      <c r="F45" s="337"/>
      <c r="G45" s="337"/>
      <c r="H45" s="337"/>
      <c r="I45" s="334"/>
    </row>
    <row r="46" spans="2:9" ht="15" customHeight="1">
      <c r="B46" s="93" t="s">
        <v>23</v>
      </c>
      <c r="C46" s="84"/>
      <c r="D46" s="81">
        <f>+D47</f>
        <v>0</v>
      </c>
      <c r="E46" s="80">
        <v>0</v>
      </c>
      <c r="F46" s="337"/>
      <c r="G46" s="337"/>
      <c r="H46" s="337"/>
      <c r="I46" s="334"/>
    </row>
    <row r="47" spans="2:9" ht="15" customHeight="1">
      <c r="B47" s="83" t="s">
        <v>421</v>
      </c>
      <c r="C47" s="84" t="s">
        <v>716</v>
      </c>
      <c r="D47" s="97">
        <v>0</v>
      </c>
      <c r="E47" s="82">
        <v>0</v>
      </c>
      <c r="F47" s="337"/>
      <c r="G47" s="337"/>
      <c r="H47" s="337"/>
      <c r="I47" s="334"/>
    </row>
    <row r="48" spans="2:9" ht="15" customHeight="1">
      <c r="B48" s="93" t="s">
        <v>24</v>
      </c>
      <c r="C48" s="84"/>
      <c r="D48" s="81">
        <v>0</v>
      </c>
      <c r="E48" s="80">
        <v>0</v>
      </c>
      <c r="F48" s="337"/>
      <c r="G48" s="337"/>
      <c r="H48" s="337"/>
      <c r="I48" s="334"/>
    </row>
    <row r="49" spans="2:11" ht="15" customHeight="1">
      <c r="B49" s="83" t="s">
        <v>25</v>
      </c>
      <c r="C49" s="84"/>
      <c r="D49" s="97">
        <v>0</v>
      </c>
      <c r="E49" s="82">
        <v>0</v>
      </c>
      <c r="F49" s="337"/>
      <c r="G49" s="337"/>
      <c r="H49" s="337"/>
      <c r="I49" s="334"/>
    </row>
    <row r="50" spans="2:11" ht="15" customHeight="1">
      <c r="B50" s="83" t="s">
        <v>26</v>
      </c>
      <c r="C50" s="84"/>
      <c r="D50" s="97">
        <v>0</v>
      </c>
      <c r="E50" s="82">
        <v>0</v>
      </c>
      <c r="F50" s="337"/>
      <c r="G50" s="337"/>
      <c r="H50" s="337"/>
      <c r="I50" s="334"/>
    </row>
    <row r="51" spans="2:11" ht="15" customHeight="1">
      <c r="B51" s="93" t="s">
        <v>27</v>
      </c>
      <c r="C51" s="84"/>
      <c r="D51" s="81">
        <f>+D35+D36+D40+D43+D46</f>
        <v>4867495307</v>
      </c>
      <c r="E51" s="81">
        <f>+E35+E36+E40+E43+E46</f>
        <v>13112253776</v>
      </c>
      <c r="F51" s="337"/>
      <c r="G51" s="337"/>
      <c r="H51" s="337"/>
      <c r="I51" s="334"/>
    </row>
    <row r="52" spans="2:11" ht="15" customHeight="1">
      <c r="B52" s="93" t="s">
        <v>28</v>
      </c>
      <c r="C52" s="84"/>
      <c r="D52" s="82">
        <v>121330156</v>
      </c>
      <c r="E52" s="82">
        <v>573539528</v>
      </c>
      <c r="F52" s="337"/>
      <c r="G52" s="337"/>
      <c r="H52" s="337"/>
      <c r="I52" s="334"/>
    </row>
    <row r="53" spans="2:11" ht="15" customHeight="1">
      <c r="B53" s="98" t="s">
        <v>29</v>
      </c>
      <c r="C53" s="99"/>
      <c r="D53" s="100">
        <f>+D51-D52</f>
        <v>4746165151</v>
      </c>
      <c r="E53" s="100">
        <f>+E51-E52</f>
        <v>12538714248</v>
      </c>
      <c r="G53" s="337"/>
      <c r="H53" s="337"/>
      <c r="I53" s="334"/>
    </row>
    <row r="54" spans="2:11" ht="15" customHeight="1">
      <c r="B54" s="334" t="s">
        <v>654</v>
      </c>
      <c r="C54" s="335"/>
      <c r="D54" s="337"/>
      <c r="E54" s="350"/>
      <c r="F54" s="337"/>
      <c r="G54" s="337"/>
      <c r="H54" s="337"/>
      <c r="I54" s="334"/>
    </row>
    <row r="55" spans="2:11">
      <c r="D55" s="352"/>
      <c r="E55" s="352"/>
    </row>
    <row r="56" spans="2:11">
      <c r="B56" s="354"/>
      <c r="E56" s="355"/>
      <c r="J56" s="353"/>
      <c r="K56" s="353"/>
    </row>
    <row r="57" spans="2:11">
      <c r="B57" s="354"/>
      <c r="D57" s="349"/>
      <c r="E57" s="355"/>
      <c r="K57" s="353"/>
    </row>
    <row r="58" spans="2:11">
      <c r="D58" s="349"/>
      <c r="E58" s="355"/>
    </row>
    <row r="59" spans="2:11">
      <c r="E59" s="352"/>
    </row>
    <row r="61" spans="2:11">
      <c r="D61" s="349"/>
    </row>
    <row r="69" spans="5:8">
      <c r="E69" s="440"/>
      <c r="F69" s="440"/>
      <c r="G69" s="440"/>
      <c r="H69" s="440"/>
    </row>
    <row r="70" spans="5:8">
      <c r="E70" s="440"/>
      <c r="F70" s="440"/>
      <c r="G70" s="440"/>
      <c r="H70" s="440"/>
    </row>
    <row r="71" spans="5:8">
      <c r="E71" s="440"/>
      <c r="F71" s="440"/>
      <c r="G71" s="440"/>
      <c r="H71" s="440"/>
    </row>
    <row r="72" spans="5:8">
      <c r="E72" s="440"/>
      <c r="F72" s="440"/>
      <c r="G72" s="440"/>
      <c r="H72" s="440"/>
    </row>
    <row r="73" spans="5:8">
      <c r="E73" s="440"/>
      <c r="F73" s="440"/>
      <c r="G73" s="440"/>
      <c r="H73" s="440"/>
    </row>
  </sheetData>
  <mergeCells count="3">
    <mergeCell ref="B10:E10"/>
    <mergeCell ref="E69:H73"/>
    <mergeCell ref="B6:I6"/>
  </mergeCells>
  <pageMargins left="0.9" right="0.70866141732283472" top="0.56999999999999995" bottom="0.74803149606299213" header="0.31496062992125984" footer="0.31496062992125984"/>
  <pageSetup paperSize="9" scale="79" orientation="portrait" r:id="rId1"/>
  <ignoredErrors>
    <ignoredError sqref="E19" formulaRange="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B6:O62"/>
  <sheetViews>
    <sheetView showGridLines="0" topLeftCell="A28" zoomScale="85" zoomScaleNormal="85" workbookViewId="0">
      <selection activeCell="O51" sqref="O51"/>
    </sheetView>
  </sheetViews>
  <sheetFormatPr baseColWidth="10" defaultColWidth="11.5546875" defaultRowHeight="12.6"/>
  <cols>
    <col min="1" max="1" width="11.5546875" style="21"/>
    <col min="2" max="2" width="90.88671875" style="46" customWidth="1"/>
    <col min="3" max="3" width="19.33203125" style="46" customWidth="1"/>
    <col min="4" max="4" width="19.6640625" style="112" customWidth="1"/>
    <col min="5" max="5" width="13.6640625" style="21" bestFit="1" customWidth="1"/>
    <col min="6" max="6" width="2.44140625" style="21" customWidth="1"/>
    <col min="7" max="7" width="0" style="21" hidden="1" customWidth="1"/>
    <col min="8" max="8" width="27.33203125" style="21" hidden="1" customWidth="1"/>
    <col min="9" max="9" width="23.88671875" style="22" hidden="1" customWidth="1"/>
    <col min="10" max="11" width="13.5546875" style="21" hidden="1" customWidth="1"/>
    <col min="12" max="12" width="11.5546875" style="21" hidden="1" customWidth="1"/>
    <col min="13" max="13" width="0" style="21" hidden="1" customWidth="1"/>
    <col min="14" max="16384" width="11.5546875" style="21"/>
  </cols>
  <sheetData>
    <row r="6" spans="2:9" ht="13.2">
      <c r="B6" s="441" t="s">
        <v>312</v>
      </c>
      <c r="C6" s="441"/>
      <c r="D6" s="441"/>
      <c r="E6" s="441"/>
      <c r="F6" s="441"/>
      <c r="G6" s="441"/>
      <c r="H6" s="441"/>
      <c r="I6" s="441"/>
    </row>
    <row r="7" spans="2:9" ht="12.6" customHeight="1">
      <c r="B7" s="42" t="s">
        <v>695</v>
      </c>
      <c r="C7" s="43"/>
      <c r="D7" s="43"/>
      <c r="E7" s="40"/>
      <c r="F7" s="40"/>
      <c r="G7" s="40"/>
      <c r="H7" s="40"/>
      <c r="I7" s="40"/>
    </row>
    <row r="8" spans="2:9" ht="12.6" customHeight="1">
      <c r="B8" s="42" t="s">
        <v>696</v>
      </c>
      <c r="C8" s="43"/>
      <c r="D8" s="43"/>
      <c r="E8" s="40"/>
      <c r="F8" s="40"/>
      <c r="G8" s="40"/>
      <c r="H8" s="40"/>
      <c r="I8" s="40"/>
    </row>
    <row r="9" spans="2:9" ht="15.6">
      <c r="B9" s="444"/>
      <c r="C9" s="444"/>
      <c r="D9" s="444"/>
    </row>
    <row r="10" spans="2:9" ht="59.25" customHeight="1">
      <c r="B10" s="435" t="s">
        <v>902</v>
      </c>
      <c r="C10" s="435"/>
      <c r="D10" s="435"/>
    </row>
    <row r="12" spans="2:9" ht="27" customHeight="1">
      <c r="B12" s="358"/>
      <c r="C12" s="394">
        <v>44834</v>
      </c>
      <c r="D12" s="394">
        <v>44469</v>
      </c>
      <c r="H12" s="21" t="s">
        <v>264</v>
      </c>
      <c r="I12" s="22">
        <f>+'[1]Balance General'!C15</f>
        <v>114620494</v>
      </c>
    </row>
    <row r="13" spans="2:9" ht="15" customHeight="1">
      <c r="B13" s="84" t="s">
        <v>30</v>
      </c>
      <c r="C13" s="83"/>
      <c r="D13" s="103"/>
      <c r="H13" s="21" t="s">
        <v>265</v>
      </c>
      <c r="I13" s="22">
        <f>+'[1]Estado de Resultados'!B4</f>
        <v>13525418929</v>
      </c>
    </row>
    <row r="14" spans="2:9" ht="15" customHeight="1">
      <c r="B14" s="104" t="s">
        <v>31</v>
      </c>
      <c r="C14" s="82">
        <v>19380030709</v>
      </c>
      <c r="D14" s="82">
        <v>21019984019</v>
      </c>
    </row>
    <row r="15" spans="2:9" ht="15" customHeight="1">
      <c r="B15" s="83" t="s">
        <v>32</v>
      </c>
      <c r="C15" s="105">
        <v>3058428941</v>
      </c>
      <c r="D15" s="105">
        <v>-4196186736</v>
      </c>
    </row>
    <row r="16" spans="2:9" ht="15" customHeight="1">
      <c r="B16" s="83" t="s">
        <v>33</v>
      </c>
      <c r="C16" s="105">
        <v>-3342914195</v>
      </c>
      <c r="D16" s="106">
        <v>-2849960825</v>
      </c>
    </row>
    <row r="17" spans="2:13" ht="15" customHeight="1">
      <c r="B17" s="107" t="s">
        <v>34</v>
      </c>
      <c r="C17" s="108">
        <f>+SUM(C14:C16)</f>
        <v>19095545455</v>
      </c>
      <c r="D17" s="108">
        <f>+SUM(D14:D16)</f>
        <v>13973836458</v>
      </c>
      <c r="E17" s="26"/>
      <c r="H17" s="21" t="s">
        <v>266</v>
      </c>
      <c r="I17" s="22">
        <f>+'[1]Balance General'!B15</f>
        <v>195717985</v>
      </c>
    </row>
    <row r="18" spans="2:13" ht="15" customHeight="1">
      <c r="B18" s="93" t="s">
        <v>35</v>
      </c>
      <c r="C18" s="82"/>
      <c r="D18" s="82"/>
      <c r="I18" s="22">
        <f>+I12+I13-I17</f>
        <v>13444321438</v>
      </c>
    </row>
    <row r="19" spans="2:13" ht="15" customHeight="1">
      <c r="B19" s="83" t="s">
        <v>36</v>
      </c>
      <c r="C19" s="82">
        <v>0</v>
      </c>
      <c r="D19" s="82">
        <v>0</v>
      </c>
    </row>
    <row r="20" spans="2:13" ht="15" customHeight="1">
      <c r="B20" s="93" t="s">
        <v>37</v>
      </c>
      <c r="C20" s="82"/>
      <c r="D20" s="82"/>
    </row>
    <row r="21" spans="2:13" ht="15" customHeight="1">
      <c r="B21" s="94" t="s">
        <v>38</v>
      </c>
      <c r="C21" s="82">
        <v>0</v>
      </c>
      <c r="D21" s="82">
        <v>0</v>
      </c>
    </row>
    <row r="22" spans="2:13" ht="15" customHeight="1">
      <c r="B22" s="93" t="s">
        <v>39</v>
      </c>
      <c r="C22" s="109">
        <f>+C17+C21</f>
        <v>19095545455</v>
      </c>
      <c r="D22" s="109">
        <f>+D17+D21</f>
        <v>13973836458</v>
      </c>
      <c r="H22" s="442" t="s">
        <v>83</v>
      </c>
      <c r="I22" s="443" t="s">
        <v>146</v>
      </c>
      <c r="J22" s="443"/>
    </row>
    <row r="23" spans="2:13" ht="15" customHeight="1">
      <c r="B23" s="83" t="s">
        <v>40</v>
      </c>
      <c r="C23" s="82">
        <v>-458859790</v>
      </c>
      <c r="D23" s="82">
        <v>-419819895</v>
      </c>
      <c r="H23" s="442"/>
      <c r="I23" s="23">
        <v>43830</v>
      </c>
      <c r="J23" s="23">
        <v>43465</v>
      </c>
    </row>
    <row r="24" spans="2:13" ht="15" customHeight="1">
      <c r="B24" s="93" t="s">
        <v>41</v>
      </c>
      <c r="C24" s="80">
        <f>+C22+C23</f>
        <v>18636685665</v>
      </c>
      <c r="D24" s="80">
        <f>+D22+D23</f>
        <v>13554016563</v>
      </c>
      <c r="E24" s="26"/>
      <c r="H24" s="24" t="s">
        <v>150</v>
      </c>
      <c r="I24" s="25"/>
      <c r="J24" s="25"/>
    </row>
    <row r="25" spans="2:13" ht="15" customHeight="1">
      <c r="B25" s="110" t="s">
        <v>46</v>
      </c>
      <c r="C25" s="82"/>
      <c r="D25" s="82"/>
      <c r="H25" s="24" t="s">
        <v>196</v>
      </c>
      <c r="I25" s="25">
        <v>22071042</v>
      </c>
      <c r="J25" s="25"/>
    </row>
    <row r="26" spans="2:13" ht="15" customHeight="1">
      <c r="B26" s="83" t="s">
        <v>42</v>
      </c>
      <c r="C26" s="82">
        <v>-3150684950</v>
      </c>
      <c r="D26" s="82">
        <v>-895275050</v>
      </c>
      <c r="H26" s="24" t="s">
        <v>187</v>
      </c>
      <c r="I26" s="25">
        <f>790947060+9999</f>
        <v>790957059</v>
      </c>
      <c r="J26" s="25">
        <v>572469818</v>
      </c>
      <c r="K26" s="26">
        <f>+I26+I25-J26</f>
        <v>240558283</v>
      </c>
    </row>
    <row r="27" spans="2:13" ht="15" customHeight="1">
      <c r="B27" s="83" t="s">
        <v>43</v>
      </c>
      <c r="C27" s="82">
        <v>-74404490819</v>
      </c>
      <c r="D27" s="82">
        <v>164380524</v>
      </c>
      <c r="H27" s="24" t="s">
        <v>211</v>
      </c>
      <c r="I27" s="25">
        <f>9999+94536607</f>
        <v>94546606</v>
      </c>
      <c r="J27" s="25">
        <v>49183455</v>
      </c>
      <c r="K27" s="26">
        <f>+J27-I27</f>
        <v>-45363151</v>
      </c>
      <c r="M27" s="27"/>
    </row>
    <row r="28" spans="2:13" ht="15" customHeight="1">
      <c r="B28" s="83" t="s">
        <v>703</v>
      </c>
      <c r="C28" s="82">
        <v>-277765965</v>
      </c>
      <c r="D28" s="82">
        <v>-324852933</v>
      </c>
      <c r="H28" s="24" t="s">
        <v>197</v>
      </c>
      <c r="I28" s="25"/>
      <c r="J28" s="25">
        <v>5222547</v>
      </c>
      <c r="M28" s="27"/>
    </row>
    <row r="29" spans="2:13" s="28" customFormat="1" ht="15" customHeight="1">
      <c r="B29" s="83" t="s">
        <v>653</v>
      </c>
      <c r="C29" s="82">
        <v>-8332311498</v>
      </c>
      <c r="D29" s="82">
        <v>-5800000000</v>
      </c>
      <c r="H29" s="29"/>
      <c r="I29" s="30"/>
      <c r="J29" s="30"/>
      <c r="M29" s="31"/>
    </row>
    <row r="30" spans="2:13" s="28" customFormat="1" ht="15" customHeight="1">
      <c r="B30" s="83" t="s">
        <v>903</v>
      </c>
      <c r="C30" s="82">
        <v>4096375168</v>
      </c>
      <c r="D30" s="82"/>
      <c r="H30" s="29"/>
      <c r="I30" s="30"/>
      <c r="J30" s="30"/>
      <c r="M30" s="31"/>
    </row>
    <row r="31" spans="2:13" ht="15" customHeight="1">
      <c r="B31" s="93" t="s">
        <v>44</v>
      </c>
      <c r="C31" s="80">
        <f>+SUM(C26:C30)</f>
        <v>-82068878064</v>
      </c>
      <c r="D31" s="80">
        <f>+SUM(D26:D30)</f>
        <v>-6855747459</v>
      </c>
      <c r="E31" s="26"/>
      <c r="H31" s="32" t="s">
        <v>84</v>
      </c>
      <c r="I31" s="33">
        <f>SUM(I24:I28)</f>
        <v>907574707</v>
      </c>
      <c r="J31" s="33">
        <f>SUM(J25:J28)</f>
        <v>626875820</v>
      </c>
      <c r="M31" s="27"/>
    </row>
    <row r="32" spans="2:13" ht="15" customHeight="1">
      <c r="B32" s="110" t="s">
        <v>45</v>
      </c>
      <c r="C32" s="82"/>
      <c r="D32" s="82"/>
      <c r="M32" s="27"/>
    </row>
    <row r="33" spans="2:15" ht="15" customHeight="1">
      <c r="B33" s="83" t="s">
        <v>47</v>
      </c>
      <c r="C33" s="82">
        <v>73285651930</v>
      </c>
      <c r="D33" s="82">
        <v>-6174856404</v>
      </c>
      <c r="M33" s="27"/>
    </row>
    <row r="34" spans="2:15" ht="15" customHeight="1">
      <c r="B34" s="83" t="s">
        <v>48</v>
      </c>
      <c r="C34" s="82">
        <v>-7662334166</v>
      </c>
      <c r="D34" s="82">
        <v>-348026930</v>
      </c>
      <c r="M34" s="27"/>
    </row>
    <row r="35" spans="2:15" ht="15" customHeight="1">
      <c r="B35" s="93" t="s">
        <v>49</v>
      </c>
      <c r="C35" s="80">
        <f>SUM(C33:C34)</f>
        <v>65623317764</v>
      </c>
      <c r="D35" s="80">
        <f>SUM(D33:D34)</f>
        <v>-6522883334</v>
      </c>
      <c r="E35" s="26"/>
      <c r="M35" s="27"/>
    </row>
    <row r="36" spans="2:15" s="28" customFormat="1" ht="15" customHeight="1">
      <c r="B36" s="93" t="s">
        <v>194</v>
      </c>
      <c r="C36" s="82">
        <v>-1992670</v>
      </c>
      <c r="D36" s="82">
        <v>64263456</v>
      </c>
      <c r="E36" s="34"/>
      <c r="I36" s="35"/>
      <c r="M36" s="31"/>
    </row>
    <row r="37" spans="2:15" ht="15" customHeight="1">
      <c r="B37" s="93" t="s">
        <v>785</v>
      </c>
      <c r="C37" s="81">
        <f>+C24+C31+C36+C35</f>
        <v>2189132695</v>
      </c>
      <c r="D37" s="81">
        <f>+D24+D31+D36+D35</f>
        <v>239649226</v>
      </c>
      <c r="M37" s="27"/>
    </row>
    <row r="38" spans="2:15" ht="15" customHeight="1">
      <c r="B38" s="93" t="s">
        <v>50</v>
      </c>
      <c r="C38" s="81">
        <v>1049326485</v>
      </c>
      <c r="D38" s="80">
        <v>809677259</v>
      </c>
      <c r="H38" s="21" t="s">
        <v>267</v>
      </c>
      <c r="I38" s="22">
        <f>-'[1]Balance General'!F6</f>
        <v>-36585379</v>
      </c>
      <c r="M38" s="27"/>
    </row>
    <row r="39" spans="2:15" ht="15" customHeight="1">
      <c r="B39" s="98" t="s">
        <v>51</v>
      </c>
      <c r="C39" s="100">
        <f>+C37+C38</f>
        <v>3238459180</v>
      </c>
      <c r="D39" s="100">
        <f>+D37+D38</f>
        <v>1049326485</v>
      </c>
      <c r="H39" s="21" t="s">
        <v>268</v>
      </c>
      <c r="I39" s="22">
        <f>(('[1]Estado de Resultados'!B4+'[1]Estado de Resultados'!B33+'[1]Estado de Resultados'!B38+'[1]Estado de Resultados'!B28)-'[1]Estado de Resultados'!B42)*-1</f>
        <v>-4492928449</v>
      </c>
      <c r="M39" s="27"/>
      <c r="O39" s="26"/>
    </row>
    <row r="40" spans="2:15" ht="15" customHeight="1">
      <c r="B40" s="46" t="s">
        <v>654</v>
      </c>
      <c r="C40" s="86"/>
      <c r="D40" s="111"/>
      <c r="H40" s="21" t="s">
        <v>269</v>
      </c>
      <c r="I40" s="22">
        <f>+'[1]Balance General'!E6</f>
        <v>29209612</v>
      </c>
      <c r="M40" s="27"/>
    </row>
    <row r="41" spans="2:15" ht="24.75" customHeight="1">
      <c r="C41" s="111"/>
      <c r="D41" s="111"/>
      <c r="I41" s="22">
        <f>SUM(I38:I40)</f>
        <v>-4500304216</v>
      </c>
      <c r="M41" s="27"/>
    </row>
    <row r="42" spans="2:15">
      <c r="C42" s="86"/>
      <c r="M42" s="27"/>
    </row>
    <row r="43" spans="2:15">
      <c r="H43" s="21" t="s">
        <v>276</v>
      </c>
      <c r="I43" s="22">
        <v>-690101369</v>
      </c>
      <c r="M43" s="27"/>
    </row>
    <row r="44" spans="2:15">
      <c r="H44" s="21" t="s">
        <v>270</v>
      </c>
      <c r="I44" s="22">
        <f>-'[1]Balance General'!F12</f>
        <v>-20514227</v>
      </c>
      <c r="M44" s="27"/>
    </row>
    <row r="45" spans="2:15">
      <c r="H45" s="21" t="s">
        <v>271</v>
      </c>
      <c r="I45" s="22">
        <f>-[1]Notas!C410-[1]Notas!C412-[1]Notas!C413-[1]Notas!C414-[1]Notas!C415-[1]Notas!C409----[1]Notas!C420-[1]Notas!C421-[1]Notas!C422-[1]Notas!C433</f>
        <v>-3375050161</v>
      </c>
      <c r="M45" s="27"/>
    </row>
    <row r="46" spans="2:15">
      <c r="H46" s="21" t="s">
        <v>272</v>
      </c>
      <c r="I46" s="22">
        <f>+'[1]Balance General'!E12+[1]Notas!C319</f>
        <v>866811302</v>
      </c>
      <c r="M46" s="27"/>
    </row>
    <row r="47" spans="2:15">
      <c r="I47" s="22">
        <f>SUM(I43:I46)</f>
        <v>-3218854455</v>
      </c>
      <c r="M47" s="27"/>
    </row>
    <row r="48" spans="2:15">
      <c r="M48" s="27"/>
    </row>
    <row r="49" spans="2:13">
      <c r="H49" s="21" t="s">
        <v>273</v>
      </c>
      <c r="I49" s="22">
        <f>-'[1]Balance General'!F11</f>
        <v>-790947061</v>
      </c>
      <c r="M49" s="27"/>
    </row>
    <row r="50" spans="2:13">
      <c r="H50" s="21" t="s">
        <v>274</v>
      </c>
      <c r="I50" s="22">
        <f>-'[1]Estado de Resultados'!B43</f>
        <v>-853165781</v>
      </c>
      <c r="M50" s="27"/>
    </row>
    <row r="51" spans="2:13">
      <c r="H51" s="21" t="s">
        <v>275</v>
      </c>
      <c r="I51" s="22">
        <f>+'[1]Balance General'!E11</f>
        <v>853165781</v>
      </c>
      <c r="M51" s="27"/>
    </row>
    <row r="52" spans="2:13">
      <c r="I52" s="22">
        <f>SUM(I49:I51)</f>
        <v>-790947061</v>
      </c>
      <c r="M52" s="27"/>
    </row>
    <row r="53" spans="2:13">
      <c r="M53" s="27"/>
    </row>
    <row r="54" spans="2:13">
      <c r="B54" s="404"/>
      <c r="C54" s="404"/>
      <c r="D54" s="404"/>
      <c r="E54" s="404"/>
      <c r="M54" s="27"/>
    </row>
    <row r="55" spans="2:13">
      <c r="B55" s="404"/>
      <c r="C55" s="404"/>
      <c r="D55" s="404"/>
      <c r="E55" s="404"/>
      <c r="H55" s="21" t="s">
        <v>277</v>
      </c>
      <c r="I55" s="22">
        <v>-29281846</v>
      </c>
      <c r="M55" s="27"/>
    </row>
    <row r="56" spans="2:13">
      <c r="B56" s="404"/>
      <c r="C56" s="404"/>
      <c r="D56" s="404"/>
      <c r="E56" s="404"/>
      <c r="H56" s="21" t="s">
        <v>278</v>
      </c>
      <c r="I56" s="22">
        <v>102193461</v>
      </c>
      <c r="M56" s="27"/>
    </row>
    <row r="57" spans="2:13">
      <c r="B57" s="404"/>
      <c r="C57" s="404"/>
      <c r="D57" s="404"/>
      <c r="E57" s="404"/>
      <c r="I57" s="22">
        <f>SUM(I55:I56)</f>
        <v>72911615</v>
      </c>
      <c r="M57" s="27"/>
    </row>
    <row r="58" spans="2:13">
      <c r="B58" s="404"/>
      <c r="C58" s="404"/>
      <c r="D58" s="404"/>
      <c r="E58" s="404"/>
      <c r="M58" s="27"/>
    </row>
    <row r="61" spans="2:13">
      <c r="H61" s="36" t="s">
        <v>280</v>
      </c>
      <c r="I61" s="22">
        <v>0</v>
      </c>
    </row>
    <row r="62" spans="2:13">
      <c r="H62" s="36" t="s">
        <v>279</v>
      </c>
      <c r="I62" s="37">
        <f>790564860+781039</f>
        <v>791345899</v>
      </c>
    </row>
  </sheetData>
  <mergeCells count="6">
    <mergeCell ref="B6:I6"/>
    <mergeCell ref="B10:D10"/>
    <mergeCell ref="H22:H23"/>
    <mergeCell ref="I22:J22"/>
    <mergeCell ref="B54:E58"/>
    <mergeCell ref="B9:D9"/>
  </mergeCells>
  <pageMargins left="0.34" right="0.25" top="0.74803149606299213" bottom="0.74803149606299213" header="0.31496062992125984" footer="0.31496062992125984"/>
  <pageSetup paperSize="9" scale="9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6:P42"/>
  <sheetViews>
    <sheetView showGridLines="0" topLeftCell="A16" zoomScale="85" zoomScaleNormal="85" workbookViewId="0">
      <selection activeCell="M24" sqref="M24"/>
    </sheetView>
  </sheetViews>
  <sheetFormatPr baseColWidth="10" defaultColWidth="11.33203125" defaultRowHeight="12.6"/>
  <cols>
    <col min="1" max="1" width="2.6640625" style="46" customWidth="1"/>
    <col min="2" max="2" width="36.33203125" style="46" customWidth="1"/>
    <col min="3" max="3" width="12.6640625" style="46" customWidth="1"/>
    <col min="4" max="4" width="15.5546875" style="46" customWidth="1"/>
    <col min="5" max="5" width="12.6640625" style="46" customWidth="1"/>
    <col min="6" max="6" width="17" style="46" bestFit="1" customWidth="1"/>
    <col min="7" max="7" width="14.6640625" style="46" customWidth="1"/>
    <col min="8" max="8" width="16.109375" style="46" customWidth="1"/>
    <col min="9" max="9" width="14.33203125" style="46" customWidth="1"/>
    <col min="10" max="10" width="12.6640625" style="46" customWidth="1"/>
    <col min="11" max="11" width="16.44140625" style="46" bestFit="1" customWidth="1"/>
    <col min="12" max="12" width="16.33203125" style="46" customWidth="1"/>
    <col min="13" max="13" width="14.88671875" style="46" bestFit="1" customWidth="1"/>
    <col min="14" max="14" width="15.6640625" style="46" customWidth="1"/>
    <col min="15" max="15" width="2.6640625" style="46" customWidth="1"/>
    <col min="16" max="16" width="14.44140625" style="46" bestFit="1" customWidth="1"/>
    <col min="17" max="16384" width="11.33203125" style="46"/>
  </cols>
  <sheetData>
    <row r="6" spans="2:16" ht="13.2">
      <c r="B6" s="405" t="s">
        <v>312</v>
      </c>
      <c r="C6" s="405"/>
      <c r="D6" s="405"/>
      <c r="E6" s="405"/>
      <c r="F6" s="405"/>
      <c r="G6" s="405"/>
      <c r="H6" s="405"/>
      <c r="I6" s="405"/>
    </row>
    <row r="7" spans="2:16" ht="12.6" customHeight="1">
      <c r="B7" s="42" t="s">
        <v>695</v>
      </c>
      <c r="C7" s="43"/>
      <c r="D7" s="43"/>
      <c r="E7" s="43"/>
      <c r="F7" s="43"/>
      <c r="G7" s="43"/>
      <c r="H7" s="43"/>
      <c r="I7" s="43"/>
    </row>
    <row r="8" spans="2:16" ht="12.6" customHeight="1">
      <c r="B8" s="42" t="s">
        <v>696</v>
      </c>
      <c r="C8" s="43"/>
      <c r="D8" s="43"/>
      <c r="E8" s="43"/>
      <c r="F8" s="43"/>
      <c r="G8" s="43"/>
      <c r="H8" s="43"/>
      <c r="I8" s="43"/>
    </row>
    <row r="9" spans="2:16" ht="15.6">
      <c r="B9" s="444"/>
      <c r="C9" s="444"/>
      <c r="D9" s="444"/>
      <c r="E9" s="444"/>
      <c r="F9" s="444"/>
      <c r="G9" s="444"/>
      <c r="H9" s="444"/>
      <c r="I9" s="444"/>
      <c r="J9" s="444"/>
      <c r="K9" s="444"/>
      <c r="L9" s="444"/>
      <c r="M9" s="444"/>
      <c r="N9" s="444"/>
    </row>
    <row r="10" spans="2:16" ht="18.75" customHeight="1">
      <c r="B10" s="435" t="s">
        <v>766</v>
      </c>
      <c r="C10" s="435"/>
      <c r="D10" s="435"/>
      <c r="E10" s="435"/>
      <c r="F10" s="435"/>
      <c r="G10" s="435"/>
      <c r="H10" s="435"/>
      <c r="I10" s="435"/>
      <c r="J10" s="435"/>
      <c r="K10" s="435"/>
      <c r="L10" s="435"/>
      <c r="M10" s="435"/>
      <c r="N10" s="435"/>
    </row>
    <row r="11" spans="2:16" ht="21.75" customHeight="1">
      <c r="B11" s="435" t="s">
        <v>896</v>
      </c>
      <c r="C11" s="435"/>
      <c r="D11" s="435"/>
      <c r="E11" s="435"/>
      <c r="F11" s="435"/>
      <c r="G11" s="435"/>
      <c r="H11" s="435"/>
      <c r="I11" s="435"/>
      <c r="J11" s="435"/>
      <c r="K11" s="435"/>
      <c r="L11" s="435"/>
      <c r="M11" s="435"/>
      <c r="N11" s="435"/>
    </row>
    <row r="12" spans="2:16" ht="21.75" customHeight="1">
      <c r="B12" s="452" t="s">
        <v>431</v>
      </c>
      <c r="C12" s="452"/>
      <c r="D12" s="452"/>
      <c r="E12" s="452"/>
      <c r="F12" s="452"/>
      <c r="G12" s="452"/>
      <c r="H12" s="452"/>
      <c r="I12" s="452"/>
      <c r="J12" s="452"/>
      <c r="K12" s="452"/>
      <c r="L12" s="452"/>
      <c r="M12" s="452"/>
      <c r="N12" s="452"/>
    </row>
    <row r="13" spans="2:16" ht="18" customHeight="1">
      <c r="B13" s="453" t="s">
        <v>52</v>
      </c>
      <c r="C13" s="455" t="s">
        <v>53</v>
      </c>
      <c r="D13" s="456"/>
      <c r="E13" s="456"/>
      <c r="F13" s="457"/>
      <c r="G13" s="455" t="s">
        <v>56</v>
      </c>
      <c r="H13" s="456"/>
      <c r="I13" s="456"/>
      <c r="J13" s="457"/>
      <c r="K13" s="458" t="s">
        <v>183</v>
      </c>
      <c r="L13" s="458"/>
      <c r="M13" s="458" t="s">
        <v>7</v>
      </c>
      <c r="N13" s="458"/>
    </row>
    <row r="14" spans="2:16">
      <c r="B14" s="454"/>
      <c r="C14" s="359" t="s">
        <v>192</v>
      </c>
      <c r="D14" s="359" t="s">
        <v>54</v>
      </c>
      <c r="E14" s="359" t="s">
        <v>237</v>
      </c>
      <c r="F14" s="359" t="s">
        <v>55</v>
      </c>
      <c r="G14" s="359" t="s">
        <v>57</v>
      </c>
      <c r="H14" s="359" t="s">
        <v>58</v>
      </c>
      <c r="I14" s="359" t="s">
        <v>238</v>
      </c>
      <c r="J14" s="359" t="s">
        <v>239</v>
      </c>
      <c r="K14" s="359" t="s">
        <v>184</v>
      </c>
      <c r="L14" s="359" t="s">
        <v>59</v>
      </c>
      <c r="M14" s="394">
        <v>44834</v>
      </c>
      <c r="N14" s="394">
        <v>44469</v>
      </c>
    </row>
    <row r="15" spans="2:16" ht="15" customHeight="1">
      <c r="B15" s="114" t="s">
        <v>786</v>
      </c>
      <c r="C15" s="115">
        <v>0</v>
      </c>
      <c r="D15" s="116">
        <v>8000000000</v>
      </c>
      <c r="E15" s="116">
        <v>100000</v>
      </c>
      <c r="F15" s="116">
        <v>22000000000</v>
      </c>
      <c r="G15" s="116">
        <v>2059239025</v>
      </c>
      <c r="H15" s="116">
        <v>13503670142</v>
      </c>
      <c r="I15" s="116">
        <v>668393790</v>
      </c>
      <c r="J15" s="116">
        <v>24823570</v>
      </c>
      <c r="K15" s="116">
        <v>0</v>
      </c>
      <c r="L15" s="116">
        <v>12538714248</v>
      </c>
      <c r="M15" s="445"/>
      <c r="N15" s="446"/>
      <c r="P15" s="85"/>
    </row>
    <row r="16" spans="2:16" ht="15" customHeight="1">
      <c r="B16" s="117" t="s">
        <v>304</v>
      </c>
      <c r="C16" s="115">
        <v>0</v>
      </c>
      <c r="D16" s="116">
        <v>-8000000000</v>
      </c>
      <c r="E16" s="116">
        <v>0</v>
      </c>
      <c r="F16" s="116">
        <v>8000000000</v>
      </c>
      <c r="G16" s="116">
        <v>0</v>
      </c>
      <c r="H16" s="116">
        <v>0</v>
      </c>
      <c r="I16" s="116">
        <v>0</v>
      </c>
      <c r="J16" s="116">
        <v>0</v>
      </c>
      <c r="K16" s="116">
        <v>0</v>
      </c>
      <c r="L16" s="116">
        <v>3600561013</v>
      </c>
      <c r="M16" s="447"/>
      <c r="N16" s="448"/>
    </row>
    <row r="17" spans="2:14" ht="15" customHeight="1">
      <c r="B17" s="117" t="s">
        <v>166</v>
      </c>
      <c r="C17" s="115">
        <v>0</v>
      </c>
      <c r="D17" s="116">
        <v>0</v>
      </c>
      <c r="E17" s="116">
        <v>0</v>
      </c>
      <c r="F17" s="116">
        <v>0</v>
      </c>
      <c r="G17" s="116">
        <v>806963763</v>
      </c>
      <c r="H17" s="116">
        <v>0</v>
      </c>
      <c r="I17" s="116">
        <v>0</v>
      </c>
      <c r="J17" s="116">
        <v>0</v>
      </c>
      <c r="K17" s="116">
        <v>0</v>
      </c>
      <c r="L17" s="116">
        <v>-806963763</v>
      </c>
      <c r="M17" s="447"/>
      <c r="N17" s="448"/>
    </row>
    <row r="18" spans="2:14" ht="15" customHeight="1">
      <c r="B18" s="117" t="s">
        <v>762</v>
      </c>
      <c r="C18" s="115">
        <v>0</v>
      </c>
      <c r="D18" s="116">
        <v>0</v>
      </c>
      <c r="E18" s="116">
        <v>0</v>
      </c>
      <c r="F18" s="116">
        <v>0</v>
      </c>
      <c r="G18" s="116">
        <v>0</v>
      </c>
      <c r="H18" s="116">
        <v>0</v>
      </c>
      <c r="I18" s="116">
        <v>0</v>
      </c>
      <c r="J18" s="116">
        <v>0</v>
      </c>
      <c r="K18" s="116">
        <v>0</v>
      </c>
      <c r="L18" s="116">
        <v>0</v>
      </c>
      <c r="M18" s="447"/>
      <c r="N18" s="448"/>
    </row>
    <row r="19" spans="2:14" ht="15" customHeight="1">
      <c r="B19" s="117" t="s">
        <v>167</v>
      </c>
      <c r="C19" s="115">
        <v>0</v>
      </c>
      <c r="D19" s="116">
        <v>0</v>
      </c>
      <c r="E19" s="116">
        <v>0</v>
      </c>
      <c r="F19" s="116">
        <v>0</v>
      </c>
      <c r="G19" s="116">
        <v>0</v>
      </c>
      <c r="H19" s="116">
        <v>3000000000</v>
      </c>
      <c r="I19" s="116">
        <v>0</v>
      </c>
      <c r="J19" s="116">
        <v>0</v>
      </c>
      <c r="K19" s="116">
        <v>0</v>
      </c>
      <c r="L19" s="116">
        <v>-3000000000</v>
      </c>
      <c r="M19" s="447"/>
      <c r="N19" s="448"/>
    </row>
    <row r="20" spans="2:14" ht="15" customHeight="1">
      <c r="B20" s="117" t="s">
        <v>306</v>
      </c>
      <c r="C20" s="115">
        <v>0</v>
      </c>
      <c r="D20" s="116">
        <v>0</v>
      </c>
      <c r="E20" s="116">
        <v>0</v>
      </c>
      <c r="F20" s="116">
        <v>0</v>
      </c>
      <c r="G20" s="116">
        <v>0</v>
      </c>
      <c r="H20" s="116">
        <v>0</v>
      </c>
      <c r="I20" s="116">
        <v>0</v>
      </c>
      <c r="J20" s="116">
        <v>0</v>
      </c>
      <c r="K20" s="116">
        <v>0</v>
      </c>
      <c r="L20" s="116">
        <v>-8332311498</v>
      </c>
      <c r="M20" s="447"/>
      <c r="N20" s="448"/>
    </row>
    <row r="21" spans="2:14" ht="15" customHeight="1">
      <c r="B21" s="117" t="s">
        <v>452</v>
      </c>
      <c r="C21" s="115">
        <v>0</v>
      </c>
      <c r="D21" s="116">
        <v>0</v>
      </c>
      <c r="E21" s="116">
        <v>0</v>
      </c>
      <c r="F21" s="116">
        <v>4000000000</v>
      </c>
      <c r="G21" s="116">
        <v>0</v>
      </c>
      <c r="H21" s="116">
        <v>0</v>
      </c>
      <c r="I21" s="116">
        <v>0</v>
      </c>
      <c r="J21" s="116">
        <v>0</v>
      </c>
      <c r="K21" s="116">
        <v>0</v>
      </c>
      <c r="L21" s="116">
        <v>-4000000000</v>
      </c>
      <c r="M21" s="447"/>
      <c r="N21" s="448"/>
    </row>
    <row r="22" spans="2:14" ht="15" customHeight="1">
      <c r="B22" s="117" t="s">
        <v>282</v>
      </c>
      <c r="C22" s="115">
        <v>0</v>
      </c>
      <c r="D22" s="116">
        <v>0</v>
      </c>
      <c r="E22" s="116">
        <v>0</v>
      </c>
      <c r="F22" s="116">
        <v>0</v>
      </c>
      <c r="G22" s="116">
        <v>0</v>
      </c>
      <c r="H22" s="116">
        <v>0</v>
      </c>
      <c r="I22" s="116">
        <v>0</v>
      </c>
      <c r="J22" s="116">
        <v>0</v>
      </c>
      <c r="K22" s="116">
        <v>0</v>
      </c>
      <c r="L22" s="116">
        <v>0</v>
      </c>
      <c r="M22" s="447"/>
      <c r="N22" s="448"/>
    </row>
    <row r="23" spans="2:14" ht="15" customHeight="1">
      <c r="B23" s="118" t="s">
        <v>305</v>
      </c>
      <c r="C23" s="119">
        <v>0</v>
      </c>
      <c r="D23" s="116">
        <v>0</v>
      </c>
      <c r="E23" s="116">
        <v>0</v>
      </c>
      <c r="F23" s="116">
        <v>0</v>
      </c>
      <c r="G23" s="116">
        <v>0</v>
      </c>
      <c r="H23" s="116">
        <v>0</v>
      </c>
      <c r="I23" s="116">
        <v>0</v>
      </c>
      <c r="J23" s="116">
        <v>0</v>
      </c>
      <c r="K23" s="116">
        <v>0</v>
      </c>
      <c r="L23" s="116">
        <v>4746165151</v>
      </c>
      <c r="M23" s="449"/>
      <c r="N23" s="450"/>
    </row>
    <row r="24" spans="2:14" ht="15" customHeight="1">
      <c r="B24" s="113" t="s">
        <v>190</v>
      </c>
      <c r="C24" s="120">
        <f>SUM(C15:C23)</f>
        <v>0</v>
      </c>
      <c r="D24" s="120">
        <f t="shared" ref="D24:K24" si="0">SUM(D15:D23)</f>
        <v>0</v>
      </c>
      <c r="E24" s="120">
        <f t="shared" si="0"/>
        <v>100000</v>
      </c>
      <c r="F24" s="120">
        <f t="shared" si="0"/>
        <v>34000000000</v>
      </c>
      <c r="G24" s="120">
        <f t="shared" si="0"/>
        <v>2866202788</v>
      </c>
      <c r="H24" s="120">
        <f t="shared" si="0"/>
        <v>16503670142</v>
      </c>
      <c r="I24" s="120">
        <f t="shared" si="0"/>
        <v>668393790</v>
      </c>
      <c r="J24" s="120">
        <f t="shared" si="0"/>
        <v>24823570</v>
      </c>
      <c r="K24" s="120">
        <f t="shared" si="0"/>
        <v>0</v>
      </c>
      <c r="L24" s="120">
        <f>SUM(L15:L23)</f>
        <v>4746165151</v>
      </c>
      <c r="M24" s="120">
        <f>SUM(C24:L24)</f>
        <v>58809355441</v>
      </c>
      <c r="N24" s="120"/>
    </row>
    <row r="25" spans="2:14" ht="15" customHeight="1">
      <c r="B25" s="113" t="s">
        <v>191</v>
      </c>
      <c r="C25" s="120">
        <v>0</v>
      </c>
      <c r="D25" s="120">
        <v>8000000000</v>
      </c>
      <c r="E25" s="120">
        <v>100000</v>
      </c>
      <c r="F25" s="120">
        <v>22000000000</v>
      </c>
      <c r="G25" s="120">
        <v>2059239025</v>
      </c>
      <c r="H25" s="120">
        <v>13503670142</v>
      </c>
      <c r="I25" s="120">
        <v>668393790</v>
      </c>
      <c r="J25" s="120">
        <v>24823570</v>
      </c>
      <c r="K25" s="120">
        <v>0</v>
      </c>
      <c r="L25" s="120">
        <v>12538714248</v>
      </c>
      <c r="M25" s="120"/>
      <c r="N25" s="120">
        <f>SUM(C25:M25)</f>
        <v>58794940775</v>
      </c>
    </row>
    <row r="26" spans="2:14">
      <c r="K26" s="86"/>
      <c r="L26" s="86"/>
    </row>
    <row r="27" spans="2:14">
      <c r="B27" s="46" t="s">
        <v>654</v>
      </c>
      <c r="G27" s="86"/>
      <c r="K27" s="86"/>
      <c r="L27" s="86"/>
    </row>
    <row r="28" spans="2:14">
      <c r="J28" s="86"/>
      <c r="K28" s="86"/>
      <c r="M28" s="86"/>
    </row>
    <row r="29" spans="2:14" s="121" customFormat="1">
      <c r="G29" s="122">
        <v>1043266173</v>
      </c>
      <c r="H29" s="122">
        <v>12200185955</v>
      </c>
      <c r="K29" s="123"/>
      <c r="L29" s="46"/>
      <c r="N29" s="124"/>
    </row>
    <row r="30" spans="2:14">
      <c r="J30" s="86"/>
      <c r="M30" s="86"/>
      <c r="N30" s="86"/>
    </row>
    <row r="37" spans="8:13">
      <c r="H37" s="86"/>
      <c r="I37" s="86"/>
    </row>
    <row r="38" spans="8:13">
      <c r="J38" s="451"/>
      <c r="K38" s="451"/>
      <c r="L38" s="451"/>
      <c r="M38" s="451"/>
    </row>
    <row r="39" spans="8:13">
      <c r="J39" s="451"/>
      <c r="K39" s="451"/>
      <c r="L39" s="451"/>
      <c r="M39" s="451"/>
    </row>
    <row r="40" spans="8:13">
      <c r="J40" s="451"/>
      <c r="K40" s="451"/>
      <c r="L40" s="451"/>
      <c r="M40" s="451"/>
    </row>
    <row r="41" spans="8:13">
      <c r="J41" s="451"/>
      <c r="K41" s="451"/>
      <c r="L41" s="451"/>
      <c r="M41" s="451"/>
    </row>
    <row r="42" spans="8:13">
      <c r="J42" s="451"/>
      <c r="K42" s="451"/>
      <c r="L42" s="451"/>
      <c r="M42" s="451"/>
    </row>
  </sheetData>
  <mergeCells count="12">
    <mergeCell ref="B6:I6"/>
    <mergeCell ref="B9:N9"/>
    <mergeCell ref="M15:N23"/>
    <mergeCell ref="J38:M42"/>
    <mergeCell ref="B10:N10"/>
    <mergeCell ref="B11:N11"/>
    <mergeCell ref="B12:N12"/>
    <mergeCell ref="B13:B14"/>
    <mergeCell ref="C13:F13"/>
    <mergeCell ref="G13:J13"/>
    <mergeCell ref="K13:L13"/>
    <mergeCell ref="M13:N13"/>
  </mergeCells>
  <pageMargins left="0.70866141732283472" right="0.70866141732283472" top="0.74803149606299213" bottom="0.74803149606299213" header="0.31496062992125984" footer="0.31496062992125984"/>
  <pageSetup paperSize="9" scale="6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N648"/>
  <sheetViews>
    <sheetView showGridLines="0" tabSelected="1" zoomScale="85" zoomScaleNormal="85" workbookViewId="0">
      <selection activeCell="B15" sqref="B15:I15"/>
    </sheetView>
  </sheetViews>
  <sheetFormatPr baseColWidth="10" defaultColWidth="11.33203125" defaultRowHeight="13.2"/>
  <cols>
    <col min="1" max="1" width="3.6640625" style="150" customWidth="1"/>
    <col min="2" max="2" width="7" style="150" customWidth="1"/>
    <col min="3" max="3" width="57.88671875" style="150" customWidth="1"/>
    <col min="4" max="4" width="22.109375" style="150" customWidth="1"/>
    <col min="5" max="5" width="19.33203125" style="150" customWidth="1"/>
    <col min="6" max="6" width="21.109375" style="167" customWidth="1"/>
    <col min="7" max="7" width="22.6640625" style="167" customWidth="1"/>
    <col min="8" max="8" width="18.109375" style="150" customWidth="1"/>
    <col min="9" max="9" width="19.6640625" style="150" customWidth="1"/>
    <col min="10" max="10" width="20.6640625" style="150" customWidth="1"/>
    <col min="11" max="11" width="18.33203125" style="150" customWidth="1"/>
    <col min="12" max="12" width="20.109375" style="150" bestFit="1" customWidth="1"/>
    <col min="13" max="13" width="13.88671875" style="150" customWidth="1"/>
    <col min="14" max="14" width="13.6640625" style="150" bestFit="1" customWidth="1"/>
    <col min="15" max="15" width="11.88671875" style="150" bestFit="1" customWidth="1"/>
    <col min="16" max="16384" width="11.33203125" style="150"/>
  </cols>
  <sheetData>
    <row r="6" spans="2:9">
      <c r="B6" s="484" t="s">
        <v>312</v>
      </c>
      <c r="C6" s="484"/>
      <c r="D6" s="484"/>
      <c r="E6" s="484"/>
      <c r="F6" s="484"/>
      <c r="G6" s="484"/>
      <c r="H6" s="484"/>
      <c r="I6" s="484"/>
    </row>
    <row r="7" spans="2:9" ht="12.6" customHeight="1">
      <c r="B7" s="158" t="s">
        <v>695</v>
      </c>
      <c r="C7" s="159"/>
      <c r="D7" s="159"/>
      <c r="E7" s="159"/>
      <c r="F7" s="159"/>
      <c r="G7" s="159"/>
      <c r="H7" s="159"/>
      <c r="I7" s="159"/>
    </row>
    <row r="8" spans="2:9" ht="12.6" customHeight="1">
      <c r="B8" s="158" t="s">
        <v>696</v>
      </c>
      <c r="C8" s="159"/>
      <c r="D8" s="159"/>
      <c r="E8" s="159"/>
      <c r="F8" s="159"/>
      <c r="G8" s="159"/>
      <c r="H8" s="159"/>
      <c r="I8" s="159"/>
    </row>
    <row r="9" spans="2:9">
      <c r="B9" s="514"/>
      <c r="C9" s="514"/>
      <c r="D9" s="514"/>
      <c r="E9" s="514"/>
      <c r="F9" s="514"/>
      <c r="G9" s="514"/>
      <c r="H9" s="514"/>
      <c r="I9" s="514"/>
    </row>
    <row r="10" spans="2:9" s="160" customFormat="1" ht="13.5" customHeight="1">
      <c r="B10" s="515" t="s">
        <v>694</v>
      </c>
      <c r="C10" s="515"/>
      <c r="D10" s="515"/>
      <c r="E10" s="515"/>
      <c r="F10" s="515"/>
      <c r="G10" s="515"/>
      <c r="H10" s="515"/>
      <c r="I10" s="515"/>
    </row>
    <row r="11" spans="2:9" s="160" customFormat="1" ht="24" customHeight="1">
      <c r="B11" s="161" t="s">
        <v>573</v>
      </c>
      <c r="C11" s="161" t="s">
        <v>697</v>
      </c>
      <c r="D11" s="161"/>
      <c r="E11" s="161"/>
      <c r="F11" s="161"/>
    </row>
    <row r="12" spans="2:9" s="160" customFormat="1" ht="21" customHeight="1">
      <c r="B12" s="570" t="s">
        <v>909</v>
      </c>
      <c r="C12" s="570"/>
      <c r="D12" s="570"/>
      <c r="E12" s="570"/>
      <c r="F12" s="570"/>
    </row>
    <row r="13" spans="2:9" s="160" customFormat="1" ht="18.75" customHeight="1">
      <c r="B13" s="161" t="s">
        <v>574</v>
      </c>
      <c r="C13" s="161" t="s">
        <v>575</v>
      </c>
      <c r="D13" s="161"/>
      <c r="E13" s="161"/>
      <c r="F13" s="161"/>
    </row>
    <row r="14" spans="2:9" s="160" customFormat="1" ht="17.25" customHeight="1">
      <c r="B14" s="162" t="s">
        <v>577</v>
      </c>
      <c r="C14" s="516" t="s">
        <v>576</v>
      </c>
      <c r="D14" s="516"/>
      <c r="E14" s="516"/>
      <c r="F14" s="516"/>
      <c r="G14" s="516"/>
      <c r="H14" s="516"/>
      <c r="I14" s="516"/>
    </row>
    <row r="15" spans="2:9" s="163" customFormat="1" ht="92.4" customHeight="1">
      <c r="B15" s="493" t="s">
        <v>395</v>
      </c>
      <c r="C15" s="493"/>
      <c r="D15" s="493"/>
      <c r="E15" s="493"/>
      <c r="F15" s="493"/>
      <c r="G15" s="493"/>
      <c r="H15" s="493"/>
      <c r="I15" s="493"/>
    </row>
    <row r="16" spans="2:9" s="163" customFormat="1" ht="15" customHeight="1">
      <c r="B16" s="392"/>
      <c r="C16" s="392"/>
      <c r="D16" s="392"/>
      <c r="E16" s="392"/>
      <c r="F16" s="392"/>
      <c r="G16" s="392"/>
      <c r="H16" s="392"/>
      <c r="I16" s="392"/>
    </row>
    <row r="17" spans="2:9" s="163" customFormat="1">
      <c r="B17" s="164" t="s">
        <v>578</v>
      </c>
      <c r="C17" s="164" t="s">
        <v>579</v>
      </c>
      <c r="D17" s="164"/>
      <c r="E17" s="164"/>
      <c r="F17" s="164"/>
    </row>
    <row r="18" spans="2:9" s="163" customFormat="1" ht="26.4" customHeight="1">
      <c r="B18" s="493" t="s">
        <v>767</v>
      </c>
      <c r="C18" s="493"/>
      <c r="D18" s="493"/>
      <c r="E18" s="493"/>
      <c r="F18" s="493"/>
      <c r="G18" s="493"/>
      <c r="H18" s="493"/>
      <c r="I18" s="493"/>
    </row>
    <row r="19" spans="2:9" s="163" customFormat="1" ht="26.4" customHeight="1">
      <c r="B19" s="493" t="s">
        <v>853</v>
      </c>
      <c r="C19" s="493"/>
      <c r="D19" s="493"/>
      <c r="E19" s="493"/>
      <c r="F19" s="493"/>
      <c r="G19" s="493"/>
      <c r="H19" s="493"/>
      <c r="I19" s="493"/>
    </row>
    <row r="20" spans="2:9" s="163" customFormat="1" ht="15" customHeight="1">
      <c r="B20" s="161" t="s">
        <v>581</v>
      </c>
      <c r="C20" s="484" t="s">
        <v>582</v>
      </c>
      <c r="D20" s="484"/>
      <c r="E20" s="484"/>
      <c r="F20" s="484"/>
      <c r="G20" s="484"/>
      <c r="H20" s="484"/>
      <c r="I20" s="484"/>
    </row>
    <row r="21" spans="2:9" s="165" customFormat="1" ht="18.75" customHeight="1">
      <c r="B21" s="162" t="s">
        <v>580</v>
      </c>
      <c r="C21" s="517" t="s">
        <v>787</v>
      </c>
      <c r="D21" s="517"/>
      <c r="E21" s="517"/>
      <c r="F21" s="517"/>
      <c r="G21" s="517"/>
      <c r="H21" s="517"/>
      <c r="I21" s="517"/>
    </row>
    <row r="22" spans="2:9" s="163" customFormat="1" ht="26.25" customHeight="1">
      <c r="B22" s="492" t="s">
        <v>396</v>
      </c>
      <c r="C22" s="492"/>
      <c r="D22" s="492"/>
      <c r="E22" s="492"/>
      <c r="F22" s="492"/>
      <c r="G22" s="492"/>
      <c r="H22" s="492"/>
      <c r="I22" s="492"/>
    </row>
    <row r="23" spans="2:9" s="165" customFormat="1" ht="18.75" customHeight="1">
      <c r="B23" s="162" t="s">
        <v>583</v>
      </c>
      <c r="C23" s="162" t="s">
        <v>584</v>
      </c>
      <c r="D23" s="162"/>
      <c r="E23" s="162"/>
      <c r="F23" s="162"/>
    </row>
    <row r="24" spans="2:9" s="163" customFormat="1" ht="60" customHeight="1">
      <c r="B24" s="493" t="s">
        <v>717</v>
      </c>
      <c r="C24" s="493"/>
      <c r="D24" s="493"/>
      <c r="E24" s="493"/>
      <c r="F24" s="493"/>
      <c r="G24" s="493"/>
      <c r="H24" s="493"/>
      <c r="I24" s="493"/>
    </row>
    <row r="25" spans="2:9" s="165" customFormat="1" ht="18.75" customHeight="1">
      <c r="B25" s="162" t="s">
        <v>585</v>
      </c>
      <c r="C25" s="162" t="s">
        <v>586</v>
      </c>
      <c r="D25" s="162"/>
      <c r="E25" s="162"/>
      <c r="F25" s="162"/>
    </row>
    <row r="26" spans="2:9" s="163" customFormat="1">
      <c r="B26" s="500" t="s">
        <v>285</v>
      </c>
      <c r="C26" s="500"/>
      <c r="D26" s="500"/>
      <c r="E26" s="500"/>
      <c r="F26" s="500"/>
    </row>
    <row r="27" spans="2:9" s="165" customFormat="1" ht="18.75" customHeight="1">
      <c r="B27" s="162" t="s">
        <v>587</v>
      </c>
      <c r="C27" s="517" t="s">
        <v>588</v>
      </c>
      <c r="D27" s="517"/>
      <c r="E27" s="517"/>
      <c r="F27" s="517"/>
      <c r="G27" s="517"/>
      <c r="H27" s="517"/>
      <c r="I27" s="517"/>
    </row>
    <row r="28" spans="2:9" s="163" customFormat="1" ht="24.6" customHeight="1">
      <c r="B28" s="493" t="s">
        <v>284</v>
      </c>
      <c r="C28" s="493"/>
      <c r="D28" s="493"/>
      <c r="E28" s="493"/>
      <c r="F28" s="493"/>
      <c r="G28" s="493"/>
      <c r="H28" s="493"/>
      <c r="I28" s="493"/>
    </row>
    <row r="29" spans="2:9" s="165" customFormat="1" ht="18.75" customHeight="1">
      <c r="B29" s="162" t="s">
        <v>589</v>
      </c>
      <c r="C29" s="517" t="s">
        <v>705</v>
      </c>
      <c r="D29" s="517"/>
      <c r="E29" s="517"/>
      <c r="F29" s="517"/>
      <c r="G29" s="517"/>
      <c r="H29" s="517"/>
      <c r="I29" s="517"/>
    </row>
    <row r="30" spans="2:9" s="163" customFormat="1" ht="30.6" customHeight="1">
      <c r="B30" s="493" t="s">
        <v>397</v>
      </c>
      <c r="C30" s="493"/>
      <c r="D30" s="493"/>
      <c r="E30" s="493"/>
      <c r="F30" s="493"/>
      <c r="G30" s="493"/>
      <c r="H30" s="493"/>
      <c r="I30" s="493"/>
    </row>
    <row r="31" spans="2:9" s="165" customFormat="1" ht="18.75" customHeight="1">
      <c r="B31" s="162" t="s">
        <v>590</v>
      </c>
      <c r="C31" s="517" t="s">
        <v>591</v>
      </c>
      <c r="D31" s="517"/>
      <c r="E31" s="517"/>
      <c r="F31" s="517"/>
      <c r="G31" s="517"/>
      <c r="H31" s="517"/>
      <c r="I31" s="517"/>
    </row>
    <row r="32" spans="2:9" ht="19.2" customHeight="1">
      <c r="B32" s="493" t="s">
        <v>398</v>
      </c>
      <c r="C32" s="493"/>
      <c r="D32" s="493"/>
      <c r="E32" s="493"/>
      <c r="F32" s="493"/>
      <c r="G32" s="493"/>
      <c r="H32" s="493"/>
    </row>
    <row r="33" spans="2:9" s="165" customFormat="1" ht="19.5" customHeight="1">
      <c r="B33" s="162" t="s">
        <v>592</v>
      </c>
      <c r="C33" s="517" t="s">
        <v>593</v>
      </c>
      <c r="D33" s="517"/>
      <c r="E33" s="517"/>
      <c r="F33" s="517"/>
      <c r="G33" s="517"/>
      <c r="H33" s="517"/>
      <c r="I33" s="517"/>
    </row>
    <row r="34" spans="2:9" ht="19.5" customHeight="1">
      <c r="B34" s="492" t="s">
        <v>698</v>
      </c>
      <c r="C34" s="492"/>
      <c r="D34" s="492"/>
      <c r="E34" s="492"/>
      <c r="F34" s="492"/>
      <c r="G34" s="492"/>
      <c r="H34" s="492"/>
      <c r="I34" s="492"/>
    </row>
    <row r="35" spans="2:9" s="165" customFormat="1" ht="19.5" customHeight="1">
      <c r="B35" s="162" t="s">
        <v>594</v>
      </c>
      <c r="C35" s="162" t="s">
        <v>595</v>
      </c>
      <c r="D35" s="162"/>
      <c r="E35" s="162"/>
      <c r="F35" s="162"/>
      <c r="G35" s="166"/>
    </row>
    <row r="36" spans="2:9" ht="15.6" customHeight="1">
      <c r="B36" s="487" t="s">
        <v>283</v>
      </c>
      <c r="C36" s="487"/>
      <c r="D36" s="487"/>
      <c r="E36" s="487"/>
      <c r="F36" s="487"/>
    </row>
    <row r="37" spans="2:9" ht="10.95" customHeight="1">
      <c r="B37" s="158"/>
      <c r="C37" s="158"/>
      <c r="D37" s="158"/>
      <c r="E37" s="158"/>
      <c r="F37" s="168"/>
    </row>
    <row r="38" spans="2:9" ht="15" customHeight="1">
      <c r="B38" s="161" t="s">
        <v>596</v>
      </c>
      <c r="C38" s="161" t="s">
        <v>597</v>
      </c>
      <c r="D38" s="161"/>
      <c r="E38" s="161"/>
      <c r="F38" s="161"/>
    </row>
    <row r="39" spans="2:9" ht="28.2" customHeight="1">
      <c r="B39" s="493" t="s">
        <v>770</v>
      </c>
      <c r="C39" s="493"/>
      <c r="D39" s="493"/>
      <c r="E39" s="493"/>
      <c r="F39" s="493"/>
      <c r="G39" s="493"/>
      <c r="H39" s="493"/>
      <c r="I39" s="493"/>
    </row>
    <row r="41" spans="2:9">
      <c r="B41" s="161" t="s">
        <v>599</v>
      </c>
      <c r="C41" s="161" t="s">
        <v>598</v>
      </c>
      <c r="D41" s="161"/>
      <c r="E41" s="161"/>
      <c r="F41" s="161"/>
    </row>
    <row r="43" spans="2:9">
      <c r="B43" s="165" t="s">
        <v>612</v>
      </c>
      <c r="C43" s="165" t="s">
        <v>600</v>
      </c>
      <c r="D43" s="165"/>
    </row>
    <row r="45" spans="2:9" ht="18" customHeight="1">
      <c r="B45" s="488" t="s">
        <v>83</v>
      </c>
      <c r="C45" s="488"/>
      <c r="D45" s="488"/>
      <c r="E45" s="360">
        <v>44834</v>
      </c>
      <c r="F45" s="360">
        <v>44469</v>
      </c>
      <c r="G45" s="360">
        <v>44561</v>
      </c>
    </row>
    <row r="46" spans="2:9" ht="18" customHeight="1">
      <c r="B46" s="501" t="s">
        <v>95</v>
      </c>
      <c r="C46" s="501"/>
      <c r="D46" s="501"/>
      <c r="E46" s="169">
        <v>7078.87</v>
      </c>
      <c r="F46" s="169">
        <v>6895.8</v>
      </c>
      <c r="G46" s="169">
        <v>6870.81</v>
      </c>
    </row>
    <row r="47" spans="2:9" ht="18" customHeight="1">
      <c r="B47" s="501" t="s">
        <v>96</v>
      </c>
      <c r="C47" s="501"/>
      <c r="D47" s="501"/>
      <c r="E47" s="169">
        <v>7090.2</v>
      </c>
      <c r="F47" s="169">
        <v>6918.66</v>
      </c>
      <c r="G47" s="169">
        <v>6887.4</v>
      </c>
    </row>
    <row r="49" spans="2:11">
      <c r="B49" s="165" t="s">
        <v>613</v>
      </c>
      <c r="C49" s="165" t="s">
        <v>601</v>
      </c>
      <c r="D49" s="165"/>
    </row>
    <row r="51" spans="2:11" ht="15" customHeight="1">
      <c r="B51" s="170" t="s">
        <v>650</v>
      </c>
      <c r="C51" s="165" t="s">
        <v>602</v>
      </c>
      <c r="D51" s="165"/>
      <c r="E51" s="171"/>
    </row>
    <row r="52" spans="2:11" ht="9.75" customHeight="1">
      <c r="B52" s="170"/>
      <c r="C52" s="165"/>
      <c r="D52" s="165"/>
      <c r="E52" s="171"/>
    </row>
    <row r="53" spans="2:11" ht="44.4" customHeight="1">
      <c r="B53" s="479" t="s">
        <v>97</v>
      </c>
      <c r="C53" s="480"/>
      <c r="D53" s="101" t="s">
        <v>656</v>
      </c>
      <c r="E53" s="101" t="s">
        <v>98</v>
      </c>
      <c r="F53" s="361" t="s">
        <v>856</v>
      </c>
      <c r="G53" s="361" t="s">
        <v>857</v>
      </c>
      <c r="H53" s="361" t="s">
        <v>751</v>
      </c>
      <c r="I53" s="101" t="s">
        <v>752</v>
      </c>
    </row>
    <row r="54" spans="2:11" ht="15" customHeight="1">
      <c r="B54" s="489" t="s">
        <v>0</v>
      </c>
      <c r="C54" s="490"/>
      <c r="D54" s="172"/>
      <c r="E54" s="172"/>
      <c r="F54" s="173"/>
      <c r="G54" s="173"/>
      <c r="H54" s="172"/>
      <c r="I54" s="172"/>
    </row>
    <row r="55" spans="2:11" ht="15" customHeight="1">
      <c r="B55" s="489" t="s">
        <v>99</v>
      </c>
      <c r="C55" s="490"/>
      <c r="D55" s="172"/>
      <c r="E55" s="172"/>
      <c r="F55" s="173"/>
      <c r="G55" s="173"/>
      <c r="H55" s="172"/>
      <c r="I55" s="172"/>
    </row>
    <row r="56" spans="2:11" ht="15" customHeight="1">
      <c r="B56" s="481" t="s">
        <v>100</v>
      </c>
      <c r="C56" s="482"/>
      <c r="D56" s="172"/>
      <c r="E56" s="172"/>
      <c r="F56" s="173"/>
      <c r="G56" s="173"/>
      <c r="H56" s="172"/>
      <c r="I56" s="172"/>
    </row>
    <row r="57" spans="2:11" ht="15" customHeight="1">
      <c r="B57" s="462" t="s">
        <v>101</v>
      </c>
      <c r="C57" s="463"/>
      <c r="D57" s="174" t="s">
        <v>102</v>
      </c>
      <c r="E57" s="175">
        <v>0</v>
      </c>
      <c r="F57" s="176">
        <f>+E46</f>
        <v>7078.87</v>
      </c>
      <c r="G57" s="177">
        <f>+E57*F57</f>
        <v>0</v>
      </c>
      <c r="H57" s="178">
        <v>6870.81</v>
      </c>
      <c r="I57" s="177">
        <v>0</v>
      </c>
      <c r="J57" s="179"/>
    </row>
    <row r="58" spans="2:11" ht="15" customHeight="1">
      <c r="B58" s="462" t="s">
        <v>410</v>
      </c>
      <c r="C58" s="463"/>
      <c r="D58" s="174" t="s">
        <v>102</v>
      </c>
      <c r="E58" s="175">
        <v>0</v>
      </c>
      <c r="F58" s="176">
        <f>+F57</f>
        <v>7078.87</v>
      </c>
      <c r="G58" s="177">
        <f t="shared" ref="G58:G71" si="0">+E58*F58</f>
        <v>0</v>
      </c>
      <c r="H58" s="178">
        <v>6870.81</v>
      </c>
      <c r="I58" s="177">
        <v>0</v>
      </c>
    </row>
    <row r="59" spans="2:11" ht="15" customHeight="1">
      <c r="B59" s="462" t="s">
        <v>828</v>
      </c>
      <c r="C59" s="463"/>
      <c r="D59" s="174" t="s">
        <v>102</v>
      </c>
      <c r="E59" s="175">
        <v>158492.41</v>
      </c>
      <c r="F59" s="176">
        <f t="shared" ref="F59:F69" si="1">+F58</f>
        <v>7078.87</v>
      </c>
      <c r="G59" s="177">
        <f t="shared" si="0"/>
        <v>1121947166.3766999</v>
      </c>
      <c r="H59" s="178">
        <v>6870.81</v>
      </c>
      <c r="I59" s="177">
        <v>32913928</v>
      </c>
      <c r="J59" s="179"/>
      <c r="K59" s="179"/>
    </row>
    <row r="60" spans="2:11" ht="15" customHeight="1">
      <c r="B60" s="462" t="s">
        <v>410</v>
      </c>
      <c r="C60" s="463"/>
      <c r="D60" s="174" t="s">
        <v>102</v>
      </c>
      <c r="E60" s="175">
        <v>0</v>
      </c>
      <c r="F60" s="176">
        <f t="shared" si="1"/>
        <v>7078.87</v>
      </c>
      <c r="G60" s="177">
        <f t="shared" si="0"/>
        <v>0</v>
      </c>
      <c r="H60" s="178">
        <v>6870.81</v>
      </c>
      <c r="I60" s="177">
        <v>196848</v>
      </c>
      <c r="J60" s="179"/>
      <c r="K60" s="179"/>
    </row>
    <row r="61" spans="2:11" ht="15" customHeight="1">
      <c r="B61" s="462" t="s">
        <v>257</v>
      </c>
      <c r="C61" s="463"/>
      <c r="D61" s="174" t="s">
        <v>102</v>
      </c>
      <c r="E61" s="175">
        <v>1656.93</v>
      </c>
      <c r="F61" s="176">
        <f t="shared" si="1"/>
        <v>7078.87</v>
      </c>
      <c r="G61" s="177">
        <f t="shared" si="0"/>
        <v>11729192.0691</v>
      </c>
      <c r="H61" s="178">
        <v>6870.81</v>
      </c>
      <c r="I61" s="177">
        <v>42598884</v>
      </c>
      <c r="J61" s="179"/>
      <c r="K61" s="179"/>
    </row>
    <row r="62" spans="2:11" ht="15" customHeight="1">
      <c r="B62" s="462" t="s">
        <v>103</v>
      </c>
      <c r="C62" s="463"/>
      <c r="D62" s="174" t="s">
        <v>102</v>
      </c>
      <c r="E62" s="175">
        <v>1100.22</v>
      </c>
      <c r="F62" s="176">
        <f t="shared" si="1"/>
        <v>7078.87</v>
      </c>
      <c r="G62" s="177">
        <f t="shared" si="0"/>
        <v>7788314.3514</v>
      </c>
      <c r="H62" s="178">
        <v>6870.81</v>
      </c>
      <c r="I62" s="177">
        <v>7559402</v>
      </c>
      <c r="J62" s="179"/>
      <c r="K62" s="179"/>
    </row>
    <row r="63" spans="2:11" ht="15" customHeight="1">
      <c r="B63" s="462" t="s">
        <v>104</v>
      </c>
      <c r="C63" s="463"/>
      <c r="D63" s="174" t="s">
        <v>102</v>
      </c>
      <c r="E63" s="175">
        <v>5106.67</v>
      </c>
      <c r="F63" s="176">
        <f t="shared" si="1"/>
        <v>7078.87</v>
      </c>
      <c r="G63" s="177">
        <f t="shared" si="0"/>
        <v>36149453.062899999</v>
      </c>
      <c r="H63" s="178">
        <v>6870.81</v>
      </c>
      <c r="I63" s="177">
        <v>35086959</v>
      </c>
      <c r="J63" s="179"/>
      <c r="K63" s="179"/>
    </row>
    <row r="64" spans="2:11" ht="15" customHeight="1">
      <c r="B64" s="462" t="s">
        <v>248</v>
      </c>
      <c r="C64" s="463"/>
      <c r="D64" s="174" t="s">
        <v>102</v>
      </c>
      <c r="E64" s="175">
        <f>600.07+1.51</f>
        <v>601.58000000000004</v>
      </c>
      <c r="F64" s="176">
        <f t="shared" si="1"/>
        <v>7078.87</v>
      </c>
      <c r="G64" s="177">
        <f t="shared" si="0"/>
        <v>4258506.6146</v>
      </c>
      <c r="H64" s="178">
        <v>6870.81</v>
      </c>
      <c r="I64" s="177">
        <v>11000441</v>
      </c>
      <c r="J64" s="179"/>
      <c r="K64" s="179"/>
    </row>
    <row r="65" spans="2:14" ht="15" customHeight="1">
      <c r="B65" s="462" t="s">
        <v>249</v>
      </c>
      <c r="C65" s="463"/>
      <c r="D65" s="174" t="s">
        <v>102</v>
      </c>
      <c r="E65" s="175">
        <v>3100</v>
      </c>
      <c r="F65" s="176">
        <f t="shared" si="1"/>
        <v>7078.87</v>
      </c>
      <c r="G65" s="177">
        <f t="shared" si="0"/>
        <v>21944497</v>
      </c>
      <c r="H65" s="178">
        <v>6870.81</v>
      </c>
      <c r="I65" s="177">
        <v>21299511</v>
      </c>
      <c r="J65" s="179"/>
      <c r="K65" s="179"/>
    </row>
    <row r="66" spans="2:14" ht="15" customHeight="1">
      <c r="B66" s="462" t="s">
        <v>259</v>
      </c>
      <c r="C66" s="463"/>
      <c r="D66" s="174" t="s">
        <v>102</v>
      </c>
      <c r="E66" s="175">
        <v>0</v>
      </c>
      <c r="F66" s="176">
        <f t="shared" si="1"/>
        <v>7078.87</v>
      </c>
      <c r="G66" s="177">
        <f t="shared" si="0"/>
        <v>0</v>
      </c>
      <c r="H66" s="178">
        <v>6870.81</v>
      </c>
      <c r="I66" s="177">
        <v>0</v>
      </c>
      <c r="J66" s="179"/>
      <c r="K66" s="179"/>
    </row>
    <row r="67" spans="2:14" ht="15" customHeight="1">
      <c r="B67" s="462" t="s">
        <v>250</v>
      </c>
      <c r="C67" s="463"/>
      <c r="D67" s="174" t="s">
        <v>102</v>
      </c>
      <c r="E67" s="175">
        <v>295.61</v>
      </c>
      <c r="F67" s="176">
        <f t="shared" si="1"/>
        <v>7078.87</v>
      </c>
      <c r="G67" s="177">
        <f t="shared" si="0"/>
        <v>2092584.7607</v>
      </c>
      <c r="H67" s="178">
        <v>6870.81</v>
      </c>
      <c r="I67" s="177">
        <v>2031080</v>
      </c>
      <c r="J67" s="179"/>
      <c r="K67" s="179"/>
    </row>
    <row r="68" spans="2:14" ht="15" customHeight="1">
      <c r="B68" s="462" t="s">
        <v>829</v>
      </c>
      <c r="C68" s="463"/>
      <c r="D68" s="174" t="s">
        <v>102</v>
      </c>
      <c r="E68" s="175">
        <v>261.24</v>
      </c>
      <c r="F68" s="176">
        <f t="shared" si="1"/>
        <v>7078.87</v>
      </c>
      <c r="G68" s="177">
        <f t="shared" si="0"/>
        <v>1849283.9987999999</v>
      </c>
      <c r="H68" s="178">
        <v>6870.81</v>
      </c>
      <c r="I68" s="181">
        <v>1793693</v>
      </c>
      <c r="J68" s="179"/>
      <c r="K68" s="179"/>
    </row>
    <row r="69" spans="2:14" ht="15" customHeight="1">
      <c r="B69" s="462" t="s">
        <v>439</v>
      </c>
      <c r="C69" s="463"/>
      <c r="D69" s="174" t="s">
        <v>102</v>
      </c>
      <c r="E69" s="175">
        <v>500.06</v>
      </c>
      <c r="F69" s="176">
        <f t="shared" si="1"/>
        <v>7078.87</v>
      </c>
      <c r="G69" s="177">
        <f t="shared" si="0"/>
        <v>3539859.7322</v>
      </c>
      <c r="H69" s="178">
        <v>6870.81</v>
      </c>
      <c r="I69" s="181">
        <v>3435611</v>
      </c>
      <c r="J69" s="179"/>
      <c r="K69" s="179"/>
    </row>
    <row r="70" spans="2:14" ht="15" customHeight="1">
      <c r="B70" s="481" t="s">
        <v>105</v>
      </c>
      <c r="C70" s="482"/>
      <c r="D70" s="182"/>
      <c r="E70" s="181">
        <v>0</v>
      </c>
      <c r="F70" s="176"/>
      <c r="G70" s="177">
        <v>0</v>
      </c>
      <c r="H70" s="181"/>
      <c r="I70" s="181"/>
      <c r="J70" s="180"/>
    </row>
    <row r="71" spans="2:14" ht="15" customHeight="1">
      <c r="B71" s="462" t="s">
        <v>106</v>
      </c>
      <c r="C71" s="463"/>
      <c r="D71" s="182" t="s">
        <v>102</v>
      </c>
      <c r="E71" s="183">
        <v>440.58</v>
      </c>
      <c r="F71" s="176">
        <f>+F69</f>
        <v>7078.87</v>
      </c>
      <c r="G71" s="177">
        <f t="shared" si="0"/>
        <v>3118808.5445999997</v>
      </c>
      <c r="H71" s="183">
        <v>6870.81</v>
      </c>
      <c r="I71" s="181">
        <v>1394568</v>
      </c>
      <c r="J71" s="180"/>
      <c r="L71" s="184"/>
      <c r="M71" s="184"/>
      <c r="N71" s="185"/>
    </row>
    <row r="72" spans="2:14" ht="15" hidden="1" customHeight="1">
      <c r="B72" s="186" t="s">
        <v>399</v>
      </c>
      <c r="C72" s="186"/>
      <c r="D72" s="182" t="s">
        <v>102</v>
      </c>
      <c r="E72" s="183">
        <v>0</v>
      </c>
      <c r="F72" s="176">
        <v>6837.9</v>
      </c>
      <c r="G72" s="177">
        <v>0</v>
      </c>
      <c r="H72" s="183">
        <v>6870.81</v>
      </c>
      <c r="I72" s="181">
        <v>0</v>
      </c>
      <c r="J72" s="180"/>
      <c r="L72" s="184"/>
      <c r="M72" s="184"/>
      <c r="N72" s="185"/>
    </row>
    <row r="73" spans="2:14" ht="15" customHeight="1">
      <c r="B73" s="481" t="s">
        <v>107</v>
      </c>
      <c r="C73" s="482"/>
      <c r="D73" s="172"/>
      <c r="E73" s="181"/>
      <c r="F73" s="126"/>
      <c r="G73" s="177">
        <v>0</v>
      </c>
      <c r="H73" s="187"/>
      <c r="I73" s="172"/>
      <c r="J73" s="180"/>
    </row>
    <row r="74" spans="2:14" ht="15" customHeight="1">
      <c r="B74" s="462" t="s">
        <v>788</v>
      </c>
      <c r="C74" s="463"/>
      <c r="D74" s="174" t="s">
        <v>102</v>
      </c>
      <c r="E74" s="183">
        <v>2363143.29</v>
      </c>
      <c r="F74" s="176">
        <f>+F71</f>
        <v>7078.87</v>
      </c>
      <c r="G74" s="177">
        <f t="shared" ref="G74:G75" si="2">+E74*F74</f>
        <v>16728384141.282301</v>
      </c>
      <c r="H74" s="176">
        <v>6870.81</v>
      </c>
      <c r="I74" s="181">
        <v>1008857174</v>
      </c>
      <c r="J74" s="180"/>
      <c r="K74" s="188"/>
    </row>
    <row r="75" spans="2:14" ht="15" customHeight="1">
      <c r="B75" s="462" t="s">
        <v>789</v>
      </c>
      <c r="C75" s="463"/>
      <c r="D75" s="174" t="s">
        <v>102</v>
      </c>
      <c r="E75" s="183">
        <v>837166.17999999993</v>
      </c>
      <c r="F75" s="176">
        <f>+F74</f>
        <v>7078.87</v>
      </c>
      <c r="G75" s="177">
        <f t="shared" si="2"/>
        <v>5926190556.6165991</v>
      </c>
      <c r="H75" s="176">
        <v>6870.81</v>
      </c>
      <c r="I75" s="177">
        <v>0</v>
      </c>
      <c r="K75" s="188"/>
    </row>
    <row r="76" spans="2:14" ht="15" customHeight="1">
      <c r="B76" s="481" t="s">
        <v>858</v>
      </c>
      <c r="C76" s="482"/>
      <c r="D76" s="174"/>
      <c r="E76" s="183"/>
      <c r="F76" s="176"/>
      <c r="G76" s="177"/>
      <c r="H76" s="176"/>
      <c r="I76" s="177"/>
      <c r="K76" s="188"/>
    </row>
    <row r="77" spans="2:14" ht="15" customHeight="1">
      <c r="B77" s="462" t="s">
        <v>859</v>
      </c>
      <c r="C77" s="463"/>
      <c r="D77" s="174" t="s">
        <v>102</v>
      </c>
      <c r="E77" s="183">
        <v>613.30999999999995</v>
      </c>
      <c r="F77" s="176">
        <f>+F75</f>
        <v>7078.87</v>
      </c>
      <c r="G77" s="177">
        <f t="shared" ref="G77" si="3">+E77*F77</f>
        <v>4341541.7596999994</v>
      </c>
      <c r="H77" s="176">
        <v>6870.81</v>
      </c>
      <c r="I77" s="177">
        <v>0</v>
      </c>
      <c r="K77" s="188"/>
    </row>
    <row r="78" spans="2:14" ht="15" customHeight="1">
      <c r="B78" s="462" t="s">
        <v>860</v>
      </c>
      <c r="C78" s="463"/>
      <c r="D78" s="174" t="s">
        <v>102</v>
      </c>
      <c r="E78" s="183">
        <v>74198.259999999995</v>
      </c>
      <c r="F78" s="176">
        <f>+F77</f>
        <v>7078.87</v>
      </c>
      <c r="G78" s="177">
        <f t="shared" ref="G78" si="4">+E78*F78</f>
        <v>525239836.76619995</v>
      </c>
      <c r="H78" s="176">
        <v>6870.81</v>
      </c>
      <c r="I78" s="177">
        <v>0</v>
      </c>
      <c r="K78" s="188"/>
    </row>
    <row r="79" spans="2:14" s="185" customFormat="1" ht="15" customHeight="1">
      <c r="B79" s="489" t="s">
        <v>60</v>
      </c>
      <c r="C79" s="490"/>
      <c r="D79" s="189"/>
      <c r="E79" s="190">
        <f>SUM(E57:E78)</f>
        <v>3446676.3399999994</v>
      </c>
      <c r="F79" s="191"/>
      <c r="G79" s="190">
        <f>SUM(G57:G78)</f>
        <v>24398573742.935802</v>
      </c>
      <c r="H79" s="191"/>
      <c r="I79" s="139">
        <f>SUM(I57:I78)</f>
        <v>1168168099</v>
      </c>
      <c r="K79" s="192"/>
    </row>
    <row r="80" spans="2:14" s="185" customFormat="1">
      <c r="B80" s="193"/>
      <c r="C80" s="193"/>
      <c r="D80" s="194"/>
      <c r="E80" s="195"/>
      <c r="F80" s="196"/>
      <c r="G80" s="197"/>
      <c r="H80" s="195"/>
      <c r="I80" s="198"/>
      <c r="K80" s="192"/>
    </row>
    <row r="81" spans="2:11" s="185" customFormat="1">
      <c r="B81" s="170" t="s">
        <v>651</v>
      </c>
      <c r="C81" s="161" t="s">
        <v>208</v>
      </c>
      <c r="D81" s="161"/>
      <c r="E81" s="161"/>
      <c r="F81" s="199"/>
      <c r="G81" s="200"/>
      <c r="H81" s="201"/>
      <c r="I81" s="202"/>
      <c r="K81" s="192"/>
    </row>
    <row r="82" spans="2:11" s="185" customFormat="1" ht="9.75" customHeight="1">
      <c r="B82" s="170"/>
      <c r="C82" s="161"/>
      <c r="D82" s="161"/>
      <c r="E82" s="161"/>
      <c r="F82" s="199"/>
      <c r="G82" s="200"/>
      <c r="H82" s="201"/>
      <c r="I82" s="202"/>
      <c r="K82" s="192"/>
    </row>
    <row r="83" spans="2:11" ht="42.6" customHeight="1">
      <c r="B83" s="479" t="s">
        <v>97</v>
      </c>
      <c r="C83" s="480"/>
      <c r="D83" s="101" t="s">
        <v>656</v>
      </c>
      <c r="E83" s="101" t="s">
        <v>98</v>
      </c>
      <c r="F83" s="361" t="s">
        <v>856</v>
      </c>
      <c r="G83" s="361" t="s">
        <v>857</v>
      </c>
      <c r="H83" s="361" t="s">
        <v>751</v>
      </c>
      <c r="I83" s="101" t="s">
        <v>752</v>
      </c>
    </row>
    <row r="84" spans="2:11" ht="15" customHeight="1">
      <c r="B84" s="481" t="s">
        <v>108</v>
      </c>
      <c r="C84" s="482"/>
      <c r="D84" s="189"/>
      <c r="E84" s="203"/>
      <c r="F84" s="126"/>
      <c r="G84" s="181"/>
      <c r="H84" s="126"/>
      <c r="I84" s="181"/>
    </row>
    <row r="85" spans="2:11" ht="15" customHeight="1">
      <c r="B85" s="462" t="s">
        <v>109</v>
      </c>
      <c r="C85" s="463"/>
      <c r="D85" s="174" t="s">
        <v>102</v>
      </c>
      <c r="E85" s="175">
        <v>1379.7</v>
      </c>
      <c r="F85" s="176">
        <f>+E47</f>
        <v>7090.2</v>
      </c>
      <c r="G85" s="204">
        <f>+E85*F85</f>
        <v>9782348.9399999995</v>
      </c>
      <c r="H85" s="176">
        <v>6887.4</v>
      </c>
      <c r="I85" s="205">
        <v>20736170</v>
      </c>
    </row>
    <row r="86" spans="2:11" ht="15" customHeight="1">
      <c r="B86" s="462" t="s">
        <v>159</v>
      </c>
      <c r="C86" s="463"/>
      <c r="D86" s="174" t="s">
        <v>102</v>
      </c>
      <c r="E86" s="175">
        <v>157492.88</v>
      </c>
      <c r="F86" s="176">
        <f>+F85</f>
        <v>7090.2</v>
      </c>
      <c r="G86" s="204">
        <f>+E86*F86</f>
        <v>1116656017.776</v>
      </c>
      <c r="H86" s="176">
        <v>6887.4</v>
      </c>
      <c r="I86" s="205">
        <v>32986996</v>
      </c>
    </row>
    <row r="87" spans="2:11" ht="15" customHeight="1">
      <c r="B87" s="462" t="s">
        <v>830</v>
      </c>
      <c r="C87" s="463"/>
      <c r="D87" s="174" t="s">
        <v>102</v>
      </c>
      <c r="E87" s="175">
        <v>745933.33</v>
      </c>
      <c r="F87" s="176">
        <f>+F86</f>
        <v>7090.2</v>
      </c>
      <c r="G87" s="204">
        <f>+E87*F87</f>
        <v>5288816496.3659992</v>
      </c>
      <c r="H87" s="176">
        <v>6887.4</v>
      </c>
      <c r="I87" s="205">
        <v>0</v>
      </c>
    </row>
    <row r="88" spans="2:11" ht="15" customHeight="1">
      <c r="B88" s="481" t="s">
        <v>459</v>
      </c>
      <c r="C88" s="482"/>
      <c r="D88" s="189"/>
      <c r="E88" s="203"/>
      <c r="F88" s="126"/>
      <c r="G88" s="181"/>
      <c r="H88" s="126"/>
      <c r="I88" s="181"/>
    </row>
    <row r="89" spans="2:11" ht="15" customHeight="1">
      <c r="B89" s="462" t="s">
        <v>460</v>
      </c>
      <c r="C89" s="463"/>
      <c r="D89" s="174" t="s">
        <v>102</v>
      </c>
      <c r="E89" s="175">
        <v>2531026.71</v>
      </c>
      <c r="F89" s="176">
        <f>+F87</f>
        <v>7090.2</v>
      </c>
      <c r="G89" s="204">
        <f>+E89*F89</f>
        <v>17945485579.242001</v>
      </c>
      <c r="H89" s="176">
        <v>6870.81</v>
      </c>
      <c r="I89" s="205">
        <v>708663107</v>
      </c>
    </row>
    <row r="90" spans="2:11" ht="15" customHeight="1">
      <c r="B90" s="462" t="s">
        <v>461</v>
      </c>
      <c r="C90" s="463"/>
      <c r="D90" s="174" t="s">
        <v>102</v>
      </c>
      <c r="E90" s="175">
        <v>633.32000000000005</v>
      </c>
      <c r="F90" s="176">
        <f>+F89</f>
        <v>7090.2</v>
      </c>
      <c r="G90" s="204">
        <v>4483189.9484000001</v>
      </c>
      <c r="H90" s="176">
        <v>6870.81</v>
      </c>
      <c r="I90" s="205">
        <v>17828171</v>
      </c>
    </row>
    <row r="91" spans="2:11" s="185" customFormat="1" ht="15" customHeight="1">
      <c r="B91" s="489" t="s">
        <v>240</v>
      </c>
      <c r="C91" s="490"/>
      <c r="D91" s="189" t="s">
        <v>127</v>
      </c>
      <c r="E91" s="190">
        <f>SUM(E85:E90)</f>
        <v>3436465.94</v>
      </c>
      <c r="F91" s="139"/>
      <c r="G91" s="139">
        <f>SUM(G85:G90)</f>
        <v>24365223632.272396</v>
      </c>
      <c r="H91" s="191"/>
      <c r="I91" s="139">
        <f>SUM(I85:I90)</f>
        <v>780214444</v>
      </c>
      <c r="J91" s="384"/>
      <c r="K91" s="192"/>
    </row>
    <row r="93" spans="2:11">
      <c r="B93" s="206" t="s">
        <v>614</v>
      </c>
      <c r="C93" s="161" t="s">
        <v>603</v>
      </c>
    </row>
    <row r="95" spans="2:11" ht="40.200000000000003" customHeight="1">
      <c r="B95" s="479" t="s">
        <v>83</v>
      </c>
      <c r="C95" s="483"/>
      <c r="D95" s="480"/>
      <c r="E95" s="101" t="s">
        <v>861</v>
      </c>
      <c r="F95" s="101" t="s">
        <v>862</v>
      </c>
      <c r="G95" s="361" t="s">
        <v>863</v>
      </c>
      <c r="H95" s="361" t="s">
        <v>864</v>
      </c>
    </row>
    <row r="96" spans="2:11" ht="18" customHeight="1">
      <c r="B96" s="464" t="s">
        <v>412</v>
      </c>
      <c r="C96" s="491"/>
      <c r="D96" s="465"/>
      <c r="E96" s="169">
        <f>+E46</f>
        <v>7078.87</v>
      </c>
      <c r="F96" s="134">
        <v>0</v>
      </c>
      <c r="G96" s="207">
        <v>6895.6</v>
      </c>
      <c r="H96" s="157">
        <v>64263456</v>
      </c>
    </row>
    <row r="97" spans="2:8" ht="18" customHeight="1">
      <c r="B97" s="464" t="s">
        <v>411</v>
      </c>
      <c r="C97" s="491"/>
      <c r="D97" s="465"/>
      <c r="E97" s="169">
        <f>+E47</f>
        <v>7090.2</v>
      </c>
      <c r="F97" s="134">
        <v>1992670</v>
      </c>
      <c r="G97" s="207">
        <v>6918.66</v>
      </c>
      <c r="H97" s="157">
        <v>0</v>
      </c>
    </row>
    <row r="99" spans="2:8">
      <c r="B99" s="206" t="s">
        <v>615</v>
      </c>
      <c r="C99" s="206" t="s">
        <v>604</v>
      </c>
    </row>
    <row r="100" spans="2:8" ht="21" customHeight="1">
      <c r="B100" s="171" t="s">
        <v>616</v>
      </c>
      <c r="C100" s="171" t="s">
        <v>605</v>
      </c>
      <c r="D100" s="160"/>
      <c r="E100" s="160"/>
      <c r="F100" s="208"/>
      <c r="G100" s="208"/>
    </row>
    <row r="101" spans="2:8" ht="32.25" customHeight="1">
      <c r="B101" s="479" t="s">
        <v>97</v>
      </c>
      <c r="C101" s="480"/>
      <c r="D101" s="101" t="s">
        <v>110</v>
      </c>
      <c r="E101" s="101" t="s">
        <v>111</v>
      </c>
      <c r="F101" s="361" t="s">
        <v>865</v>
      </c>
      <c r="G101" s="361" t="s">
        <v>456</v>
      </c>
    </row>
    <row r="102" spans="2:8" ht="15" customHeight="1">
      <c r="B102" s="462" t="s">
        <v>2</v>
      </c>
      <c r="C102" s="463"/>
      <c r="D102" s="209" t="s">
        <v>203</v>
      </c>
      <c r="E102" s="176">
        <v>0</v>
      </c>
      <c r="F102" s="126">
        <v>0</v>
      </c>
      <c r="G102" s="126">
        <v>0</v>
      </c>
    </row>
    <row r="103" spans="2:8" ht="15" customHeight="1">
      <c r="B103" s="462" t="s">
        <v>205</v>
      </c>
      <c r="C103" s="463"/>
      <c r="D103" s="209" t="s">
        <v>203</v>
      </c>
      <c r="E103" s="176">
        <v>0</v>
      </c>
      <c r="F103" s="126">
        <v>2000000</v>
      </c>
      <c r="G103" s="126">
        <v>2000000</v>
      </c>
    </row>
    <row r="104" spans="2:8" s="185" customFormat="1" ht="15" customHeight="1">
      <c r="B104" s="485" t="s">
        <v>413</v>
      </c>
      <c r="C104" s="486"/>
      <c r="D104" s="210" t="s">
        <v>203</v>
      </c>
      <c r="E104" s="191">
        <f>SUM(E102:E103)</f>
        <v>0</v>
      </c>
      <c r="F104" s="125">
        <f>SUM(F102:F103)</f>
        <v>2000000</v>
      </c>
      <c r="G104" s="125">
        <f t="shared" ref="G104" si="5">SUM(G102:G103)</f>
        <v>2000000</v>
      </c>
    </row>
    <row r="105" spans="2:8" s="185" customFormat="1">
      <c r="B105" s="211"/>
      <c r="C105" s="211"/>
      <c r="D105" s="212"/>
      <c r="E105" s="213"/>
      <c r="F105" s="199"/>
      <c r="G105" s="199"/>
    </row>
    <row r="106" spans="2:8" ht="14.4" customHeight="1">
      <c r="B106" s="171" t="s">
        <v>617</v>
      </c>
      <c r="C106" s="171" t="s">
        <v>790</v>
      </c>
      <c r="D106" s="160"/>
      <c r="E106" s="160"/>
      <c r="F106" s="208"/>
      <c r="G106" s="208"/>
    </row>
    <row r="107" spans="2:8" ht="10.95" customHeight="1">
      <c r="B107" s="214" t="s">
        <v>400</v>
      </c>
      <c r="C107" s="214"/>
      <c r="D107" s="160"/>
      <c r="E107" s="160"/>
      <c r="F107" s="208"/>
      <c r="G107" s="208"/>
    </row>
    <row r="108" spans="2:8" ht="27.6" customHeight="1">
      <c r="B108" s="479" t="s">
        <v>97</v>
      </c>
      <c r="C108" s="480"/>
      <c r="D108" s="101" t="s">
        <v>110</v>
      </c>
      <c r="E108" s="101" t="s">
        <v>111</v>
      </c>
      <c r="F108" s="361" t="s">
        <v>865</v>
      </c>
      <c r="G108" s="361" t="s">
        <v>456</v>
      </c>
    </row>
    <row r="109" spans="2:8" ht="15" customHeight="1">
      <c r="B109" s="462" t="s">
        <v>113</v>
      </c>
      <c r="C109" s="463"/>
      <c r="D109" s="209" t="s">
        <v>203</v>
      </c>
      <c r="E109" s="176">
        <v>0</v>
      </c>
      <c r="F109" s="126">
        <v>0</v>
      </c>
      <c r="G109" s="126">
        <v>220000</v>
      </c>
    </row>
    <row r="110" spans="2:8" ht="15" customHeight="1">
      <c r="B110" s="462" t="s">
        <v>114</v>
      </c>
      <c r="C110" s="463"/>
      <c r="D110" s="209" t="s">
        <v>203</v>
      </c>
      <c r="E110" s="176">
        <v>0</v>
      </c>
      <c r="F110" s="127">
        <v>0</v>
      </c>
      <c r="G110" s="127">
        <v>0</v>
      </c>
    </row>
    <row r="111" spans="2:8" ht="15" customHeight="1">
      <c r="B111" s="462" t="s">
        <v>202</v>
      </c>
      <c r="C111" s="463"/>
      <c r="D111" s="209" t="s">
        <v>203</v>
      </c>
      <c r="E111" s="176">
        <v>0</v>
      </c>
      <c r="F111" s="126">
        <v>0</v>
      </c>
      <c r="G111" s="126">
        <v>1940840</v>
      </c>
    </row>
    <row r="112" spans="2:8" ht="15" customHeight="1">
      <c r="B112" s="462" t="s">
        <v>791</v>
      </c>
      <c r="C112" s="463"/>
      <c r="D112" s="209" t="s">
        <v>203</v>
      </c>
      <c r="E112" s="176">
        <v>0</v>
      </c>
      <c r="F112" s="126">
        <v>3389947</v>
      </c>
      <c r="G112" s="126">
        <v>3500000</v>
      </c>
    </row>
    <row r="113" spans="2:7" ht="15" customHeight="1">
      <c r="B113" s="462" t="s">
        <v>116</v>
      </c>
      <c r="C113" s="463"/>
      <c r="D113" s="209" t="s">
        <v>203</v>
      </c>
      <c r="E113" s="176">
        <v>0</v>
      </c>
      <c r="F113" s="126">
        <v>8170000</v>
      </c>
      <c r="G113" s="126">
        <v>8104999</v>
      </c>
    </row>
    <row r="114" spans="2:7" ht="15" customHeight="1">
      <c r="B114" s="462" t="s">
        <v>434</v>
      </c>
      <c r="C114" s="463"/>
      <c r="D114" s="209" t="s">
        <v>203</v>
      </c>
      <c r="E114" s="176">
        <v>0</v>
      </c>
      <c r="F114" s="126">
        <v>5500000</v>
      </c>
      <c r="G114" s="126">
        <v>5500000</v>
      </c>
    </row>
    <row r="115" spans="2:7" ht="15" customHeight="1">
      <c r="B115" s="462" t="s">
        <v>255</v>
      </c>
      <c r="C115" s="463"/>
      <c r="D115" s="209" t="s">
        <v>203</v>
      </c>
      <c r="E115" s="176">
        <v>0</v>
      </c>
      <c r="F115" s="126">
        <v>0</v>
      </c>
      <c r="G115" s="126">
        <v>0</v>
      </c>
    </row>
    <row r="116" spans="2:7" ht="15" customHeight="1">
      <c r="B116" s="462" t="s">
        <v>117</v>
      </c>
      <c r="C116" s="463"/>
      <c r="D116" s="209" t="s">
        <v>203</v>
      </c>
      <c r="E116" s="176">
        <v>0</v>
      </c>
      <c r="F116" s="126">
        <v>651884</v>
      </c>
      <c r="G116" s="126">
        <v>826122</v>
      </c>
    </row>
    <row r="117" spans="2:7" ht="15" customHeight="1">
      <c r="B117" s="462" t="s">
        <v>118</v>
      </c>
      <c r="C117" s="463"/>
      <c r="D117" s="209" t="s">
        <v>203</v>
      </c>
      <c r="E117" s="176">
        <v>0</v>
      </c>
      <c r="F117" s="126">
        <v>19019390</v>
      </c>
      <c r="G117" s="126">
        <v>19090890</v>
      </c>
    </row>
    <row r="118" spans="2:7" ht="15" customHeight="1">
      <c r="B118" s="462" t="s">
        <v>252</v>
      </c>
      <c r="C118" s="463"/>
      <c r="D118" s="209" t="s">
        <v>203</v>
      </c>
      <c r="E118" s="176">
        <v>0</v>
      </c>
      <c r="F118" s="126">
        <v>0</v>
      </c>
      <c r="G118" s="126">
        <v>0</v>
      </c>
    </row>
    <row r="119" spans="2:7" ht="15" customHeight="1">
      <c r="B119" s="462" t="s">
        <v>253</v>
      </c>
      <c r="C119" s="463"/>
      <c r="D119" s="209" t="s">
        <v>203</v>
      </c>
      <c r="E119" s="176">
        <v>0</v>
      </c>
      <c r="F119" s="126">
        <v>3060000</v>
      </c>
      <c r="G119" s="126">
        <v>3115000</v>
      </c>
    </row>
    <row r="120" spans="2:7" ht="15" customHeight="1">
      <c r="B120" s="462" t="s">
        <v>186</v>
      </c>
      <c r="C120" s="463"/>
      <c r="D120" s="209" t="s">
        <v>203</v>
      </c>
      <c r="E120" s="176">
        <v>0</v>
      </c>
      <c r="F120" s="126">
        <v>7454991</v>
      </c>
      <c r="G120" s="126">
        <v>7551065</v>
      </c>
    </row>
    <row r="121" spans="2:7" ht="15" customHeight="1">
      <c r="B121" s="462" t="s">
        <v>251</v>
      </c>
      <c r="C121" s="463"/>
      <c r="D121" s="209" t="s">
        <v>203</v>
      </c>
      <c r="E121" s="176">
        <v>0</v>
      </c>
      <c r="F121" s="126">
        <v>5170000</v>
      </c>
      <c r="G121" s="126">
        <v>5335000</v>
      </c>
    </row>
    <row r="122" spans="2:7" ht="15" customHeight="1">
      <c r="B122" s="462" t="s">
        <v>254</v>
      </c>
      <c r="C122" s="463"/>
      <c r="D122" s="209" t="s">
        <v>203</v>
      </c>
      <c r="E122" s="176">
        <v>0</v>
      </c>
      <c r="F122" s="126">
        <v>108250940</v>
      </c>
      <c r="G122" s="126">
        <v>284039</v>
      </c>
    </row>
    <row r="123" spans="2:7" ht="15" customHeight="1">
      <c r="B123" s="462" t="s">
        <v>288</v>
      </c>
      <c r="C123" s="463"/>
      <c r="D123" s="209" t="s">
        <v>203</v>
      </c>
      <c r="E123" s="176">
        <v>0</v>
      </c>
      <c r="F123" s="126">
        <v>0</v>
      </c>
      <c r="G123" s="126">
        <v>0</v>
      </c>
    </row>
    <row r="124" spans="2:7" ht="15" customHeight="1">
      <c r="B124" s="462" t="s">
        <v>261</v>
      </c>
      <c r="C124" s="463"/>
      <c r="D124" s="209" t="s">
        <v>203</v>
      </c>
      <c r="E124" s="215">
        <v>0</v>
      </c>
      <c r="F124" s="126">
        <f>7620621+3355</f>
        <v>7623976</v>
      </c>
      <c r="G124" s="126">
        <v>21903795</v>
      </c>
    </row>
    <row r="125" spans="2:7" ht="15" customHeight="1">
      <c r="B125" s="462" t="s">
        <v>260</v>
      </c>
      <c r="C125" s="463"/>
      <c r="D125" s="209" t="s">
        <v>203</v>
      </c>
      <c r="E125" s="176">
        <v>0</v>
      </c>
      <c r="F125" s="126">
        <v>0</v>
      </c>
      <c r="G125" s="126">
        <v>0</v>
      </c>
    </row>
    <row r="126" spans="2:7" ht="15" customHeight="1">
      <c r="B126" s="462" t="s">
        <v>401</v>
      </c>
      <c r="C126" s="463"/>
      <c r="D126" s="209" t="s">
        <v>203</v>
      </c>
      <c r="E126" s="176">
        <v>0</v>
      </c>
      <c r="F126" s="126">
        <v>0</v>
      </c>
      <c r="G126" s="126">
        <v>1161757</v>
      </c>
    </row>
    <row r="127" spans="2:7" ht="15" customHeight="1">
      <c r="B127" s="462" t="s">
        <v>435</v>
      </c>
      <c r="C127" s="463"/>
      <c r="D127" s="209" t="s">
        <v>203</v>
      </c>
      <c r="E127" s="176">
        <v>0</v>
      </c>
      <c r="F127" s="126">
        <v>300520</v>
      </c>
      <c r="G127" s="126">
        <v>300157</v>
      </c>
    </row>
    <row r="128" spans="2:7" ht="15" customHeight="1">
      <c r="B128" s="462" t="s">
        <v>462</v>
      </c>
      <c r="C128" s="463"/>
      <c r="D128" s="209" t="s">
        <v>203</v>
      </c>
      <c r="E128" s="176">
        <v>0</v>
      </c>
      <c r="F128" s="126">
        <v>100864</v>
      </c>
      <c r="G128" s="126">
        <v>100000</v>
      </c>
    </row>
    <row r="129" spans="2:9" ht="15" customHeight="1">
      <c r="B129" s="462" t="s">
        <v>438</v>
      </c>
      <c r="C129" s="463"/>
      <c r="D129" s="209" t="s">
        <v>102</v>
      </c>
      <c r="E129" s="176">
        <v>500.06</v>
      </c>
      <c r="F129" s="126">
        <v>3539860</v>
      </c>
      <c r="G129" s="126">
        <v>3435611</v>
      </c>
    </row>
    <row r="130" spans="2:9" ht="15" customHeight="1">
      <c r="B130" s="462" t="s">
        <v>291</v>
      </c>
      <c r="C130" s="463"/>
      <c r="D130" s="209" t="s">
        <v>102</v>
      </c>
      <c r="E130" s="176">
        <v>600.07000000000005</v>
      </c>
      <c r="F130" s="126">
        <v>4247818</v>
      </c>
      <c r="G130" s="126">
        <v>10993296</v>
      </c>
    </row>
    <row r="131" spans="2:9" ht="15" customHeight="1">
      <c r="B131" s="462" t="s">
        <v>119</v>
      </c>
      <c r="C131" s="463"/>
      <c r="D131" s="209" t="s">
        <v>102</v>
      </c>
      <c r="E131" s="215">
        <v>0</v>
      </c>
      <c r="F131" s="126">
        <v>0</v>
      </c>
      <c r="G131" s="126">
        <v>0</v>
      </c>
    </row>
    <row r="132" spans="2:9" ht="15" customHeight="1">
      <c r="B132" s="462" t="s">
        <v>201</v>
      </c>
      <c r="C132" s="463"/>
      <c r="D132" s="209" t="s">
        <v>102</v>
      </c>
      <c r="E132" s="215">
        <v>0</v>
      </c>
      <c r="F132" s="126">
        <v>0</v>
      </c>
      <c r="G132" s="126">
        <v>196848</v>
      </c>
    </row>
    <row r="133" spans="2:9" ht="15" customHeight="1">
      <c r="B133" s="462" t="s">
        <v>120</v>
      </c>
      <c r="C133" s="463"/>
      <c r="D133" s="209" t="s">
        <v>102</v>
      </c>
      <c r="E133" s="215">
        <v>1100.22</v>
      </c>
      <c r="F133" s="126">
        <v>7788314</v>
      </c>
      <c r="G133" s="126">
        <v>7559402</v>
      </c>
    </row>
    <row r="134" spans="2:9" ht="15" customHeight="1">
      <c r="B134" s="462" t="s">
        <v>434</v>
      </c>
      <c r="C134" s="463"/>
      <c r="D134" s="209" t="s">
        <v>102</v>
      </c>
      <c r="E134" s="215">
        <v>5106.67</v>
      </c>
      <c r="F134" s="126">
        <v>36149453</v>
      </c>
      <c r="G134" s="126">
        <v>35086959</v>
      </c>
    </row>
    <row r="135" spans="2:9" ht="15" customHeight="1">
      <c r="B135" s="462" t="s">
        <v>256</v>
      </c>
      <c r="C135" s="463"/>
      <c r="D135" s="209" t="s">
        <v>102</v>
      </c>
      <c r="E135" s="176">
        <v>3100</v>
      </c>
      <c r="F135" s="126">
        <v>21944497</v>
      </c>
      <c r="G135" s="126">
        <v>21299511</v>
      </c>
    </row>
    <row r="136" spans="2:9" ht="15" customHeight="1">
      <c r="B136" s="462" t="s">
        <v>257</v>
      </c>
      <c r="C136" s="463"/>
      <c r="D136" s="209" t="s">
        <v>102</v>
      </c>
      <c r="E136" s="215">
        <v>1656.93</v>
      </c>
      <c r="F136" s="126">
        <v>11729192</v>
      </c>
      <c r="G136" s="126">
        <v>42598884</v>
      </c>
    </row>
    <row r="137" spans="2:9" ht="15" hidden="1" customHeight="1">
      <c r="B137" s="462" t="s">
        <v>262</v>
      </c>
      <c r="C137" s="463"/>
      <c r="D137" s="209" t="s">
        <v>102</v>
      </c>
      <c r="E137" s="176">
        <v>0</v>
      </c>
      <c r="F137" s="126">
        <v>0</v>
      </c>
      <c r="G137" s="126">
        <v>0</v>
      </c>
    </row>
    <row r="138" spans="2:9" ht="15" customHeight="1">
      <c r="B138" s="462" t="s">
        <v>437</v>
      </c>
      <c r="C138" s="463"/>
      <c r="D138" s="209" t="s">
        <v>102</v>
      </c>
      <c r="E138" s="176">
        <v>0</v>
      </c>
      <c r="F138" s="126">
        <v>0</v>
      </c>
      <c r="G138" s="126">
        <v>0</v>
      </c>
    </row>
    <row r="139" spans="2:9" ht="15" customHeight="1">
      <c r="B139" s="462" t="s">
        <v>436</v>
      </c>
      <c r="C139" s="463"/>
      <c r="D139" s="209" t="s">
        <v>102</v>
      </c>
      <c r="E139" s="175">
        <v>0</v>
      </c>
      <c r="F139" s="126">
        <v>0</v>
      </c>
      <c r="G139" s="126">
        <v>0</v>
      </c>
    </row>
    <row r="140" spans="2:9" ht="15" customHeight="1">
      <c r="B140" s="462" t="s">
        <v>831</v>
      </c>
      <c r="C140" s="463"/>
      <c r="D140" s="209" t="s">
        <v>102</v>
      </c>
      <c r="E140" s="175">
        <v>261.24</v>
      </c>
      <c r="F140" s="126">
        <v>1849284</v>
      </c>
      <c r="G140" s="126">
        <v>1793693</v>
      </c>
    </row>
    <row r="141" spans="2:9" ht="15" customHeight="1">
      <c r="B141" s="489" t="s">
        <v>204</v>
      </c>
      <c r="C141" s="490"/>
      <c r="D141" s="139"/>
      <c r="E141" s="191">
        <f>SUM(E109:E140)</f>
        <v>12325.19</v>
      </c>
      <c r="F141" s="125">
        <f>SUM(F109:F140)</f>
        <v>255940930</v>
      </c>
      <c r="G141" s="125">
        <f t="shared" ref="G141" si="6">SUM(G109:G140)</f>
        <v>201897868</v>
      </c>
      <c r="I141" s="167"/>
    </row>
    <row r="142" spans="2:9" s="185" customFormat="1" ht="3.9" customHeight="1">
      <c r="F142" s="216"/>
      <c r="G142" s="216"/>
      <c r="I142" s="150"/>
    </row>
    <row r="143" spans="2:9" ht="15" customHeight="1">
      <c r="B143" s="489" t="s">
        <v>441</v>
      </c>
      <c r="C143" s="490"/>
      <c r="D143" s="139"/>
      <c r="E143" s="139"/>
      <c r="F143" s="125"/>
      <c r="G143" s="125"/>
    </row>
    <row r="144" spans="2:9" ht="15" customHeight="1">
      <c r="B144" s="462" t="s">
        <v>115</v>
      </c>
      <c r="C144" s="463"/>
      <c r="D144" s="209" t="s">
        <v>203</v>
      </c>
      <c r="E144" s="178">
        <v>0</v>
      </c>
      <c r="F144" s="126">
        <v>1862806761</v>
      </c>
      <c r="G144" s="126">
        <v>235205573</v>
      </c>
    </row>
    <row r="145" spans="2:11" ht="15" customHeight="1">
      <c r="B145" s="462" t="s">
        <v>207</v>
      </c>
      <c r="C145" s="463"/>
      <c r="D145" s="209" t="s">
        <v>203</v>
      </c>
      <c r="E145" s="176">
        <v>0</v>
      </c>
      <c r="F145" s="126">
        <v>144239</v>
      </c>
      <c r="G145" s="126">
        <v>144239</v>
      </c>
    </row>
    <row r="146" spans="2:11" ht="15" customHeight="1">
      <c r="B146" s="462" t="s">
        <v>290</v>
      </c>
      <c r="C146" s="463"/>
      <c r="D146" s="209" t="s">
        <v>203</v>
      </c>
      <c r="E146" s="176">
        <v>0</v>
      </c>
      <c r="F146" s="126">
        <v>0</v>
      </c>
      <c r="G146" s="126">
        <v>0</v>
      </c>
    </row>
    <row r="147" spans="2:11" ht="15" customHeight="1">
      <c r="B147" s="462" t="s">
        <v>289</v>
      </c>
      <c r="C147" s="463"/>
      <c r="D147" s="209" t="s">
        <v>102</v>
      </c>
      <c r="E147" s="215">
        <v>158492.41</v>
      </c>
      <c r="F147" s="126">
        <v>1121947166</v>
      </c>
      <c r="G147" s="126">
        <v>32913928</v>
      </c>
      <c r="H147" s="170"/>
      <c r="J147" s="167"/>
    </row>
    <row r="148" spans="2:11" ht="15" customHeight="1">
      <c r="B148" s="462" t="s">
        <v>402</v>
      </c>
      <c r="C148" s="463"/>
      <c r="D148" s="209" t="s">
        <v>102</v>
      </c>
      <c r="E148" s="175">
        <v>1.51</v>
      </c>
      <c r="F148" s="126">
        <v>10689</v>
      </c>
      <c r="G148" s="126">
        <v>7145</v>
      </c>
      <c r="I148" s="167"/>
    </row>
    <row r="149" spans="2:11" ht="15" customHeight="1">
      <c r="B149" s="462" t="s">
        <v>247</v>
      </c>
      <c r="C149" s="463"/>
      <c r="D149" s="209" t="s">
        <v>102</v>
      </c>
      <c r="E149" s="176">
        <v>295.61</v>
      </c>
      <c r="F149" s="126">
        <v>2092585</v>
      </c>
      <c r="G149" s="126">
        <v>2031080</v>
      </c>
      <c r="I149" s="167"/>
    </row>
    <row r="150" spans="2:11" ht="15" customHeight="1">
      <c r="B150" s="489" t="s">
        <v>442</v>
      </c>
      <c r="C150" s="490"/>
      <c r="D150" s="139"/>
      <c r="E150" s="190">
        <f>SUM(E144:E149)</f>
        <v>158789.53</v>
      </c>
      <c r="F150" s="139">
        <f>SUM(F144:F149)</f>
        <v>2987001440</v>
      </c>
      <c r="G150" s="125">
        <v>268119501</v>
      </c>
      <c r="I150" s="167"/>
      <c r="K150" s="167"/>
    </row>
    <row r="151" spans="2:11" s="185" customFormat="1" ht="6" customHeight="1">
      <c r="B151" s="217"/>
      <c r="C151" s="217"/>
      <c r="D151" s="212"/>
      <c r="E151" s="218"/>
      <c r="F151" s="199"/>
      <c r="G151" s="199"/>
      <c r="I151" s="150"/>
    </row>
    <row r="152" spans="2:11" ht="15" customHeight="1">
      <c r="B152" s="521" t="s">
        <v>206</v>
      </c>
      <c r="C152" s="522"/>
      <c r="D152" s="139"/>
      <c r="E152" s="190">
        <f>+E141+E150</f>
        <v>171114.72</v>
      </c>
      <c r="F152" s="125">
        <f>+F150+F141</f>
        <v>3242942370</v>
      </c>
      <c r="G152" s="125">
        <v>472199833</v>
      </c>
      <c r="I152" s="180"/>
    </row>
    <row r="153" spans="2:11" ht="3.75" customHeight="1">
      <c r="B153" s="217"/>
      <c r="C153" s="217"/>
      <c r="D153" s="212"/>
      <c r="E153" s="218"/>
      <c r="F153" s="199"/>
      <c r="G153" s="199"/>
    </row>
    <row r="154" spans="2:11" ht="16.5" customHeight="1">
      <c r="B154" s="521" t="s">
        <v>121</v>
      </c>
      <c r="C154" s="522"/>
      <c r="D154" s="139"/>
      <c r="E154" s="190">
        <f>+E152</f>
        <v>171114.72</v>
      </c>
      <c r="F154" s="125">
        <f>+F152+F104</f>
        <v>3244942370</v>
      </c>
      <c r="G154" s="125">
        <v>474199833</v>
      </c>
      <c r="H154" s="150">
        <f>+F154/E154</f>
        <v>18963.548957097319</v>
      </c>
      <c r="J154" s="180"/>
    </row>
    <row r="155" spans="2:11">
      <c r="H155" s="180"/>
    </row>
    <row r="156" spans="2:11">
      <c r="B156" s="206" t="s">
        <v>618</v>
      </c>
      <c r="C156" s="206" t="s">
        <v>657</v>
      </c>
    </row>
    <row r="157" spans="2:11" ht="11.25" customHeight="1"/>
    <row r="158" spans="2:11" ht="18" customHeight="1">
      <c r="B158" s="553" t="s">
        <v>122</v>
      </c>
      <c r="C158" s="554"/>
      <c r="D158" s="554"/>
      <c r="E158" s="554"/>
      <c r="F158" s="554"/>
      <c r="G158" s="555"/>
      <c r="H158" s="553" t="s">
        <v>898</v>
      </c>
      <c r="I158" s="554"/>
      <c r="J158" s="555"/>
    </row>
    <row r="159" spans="2:11" ht="26.4">
      <c r="B159" s="479" t="s">
        <v>125</v>
      </c>
      <c r="C159" s="480"/>
      <c r="D159" s="101" t="s">
        <v>824</v>
      </c>
      <c r="E159" s="361" t="s">
        <v>825</v>
      </c>
      <c r="F159" s="361" t="s">
        <v>123</v>
      </c>
      <c r="G159" s="101" t="s">
        <v>134</v>
      </c>
      <c r="H159" s="101" t="s">
        <v>53</v>
      </c>
      <c r="I159" s="101" t="s">
        <v>124</v>
      </c>
      <c r="J159" s="101" t="s">
        <v>7</v>
      </c>
    </row>
    <row r="160" spans="2:11" ht="15" customHeight="1">
      <c r="B160" s="497" t="s">
        <v>107</v>
      </c>
      <c r="C160" s="498"/>
      <c r="D160" s="498"/>
      <c r="E160" s="498"/>
      <c r="F160" s="498"/>
      <c r="G160" s="499"/>
      <c r="H160" s="362"/>
      <c r="I160" s="362"/>
      <c r="J160" s="363"/>
    </row>
    <row r="161" spans="2:13" ht="15" customHeight="1">
      <c r="B161" s="497" t="s">
        <v>823</v>
      </c>
      <c r="C161" s="498"/>
      <c r="D161" s="498"/>
      <c r="E161" s="498"/>
      <c r="F161" s="498"/>
      <c r="G161" s="499"/>
      <c r="H161" s="364"/>
      <c r="I161" s="364"/>
      <c r="J161" s="365"/>
    </row>
    <row r="162" spans="2:13" ht="15" customHeight="1">
      <c r="B162" s="476" t="s">
        <v>832</v>
      </c>
      <c r="C162" s="477"/>
      <c r="D162" s="219" t="s">
        <v>126</v>
      </c>
      <c r="E162" s="220">
        <v>5</v>
      </c>
      <c r="F162" s="221">
        <v>2025000000</v>
      </c>
      <c r="G162" s="221">
        <v>2056157425</v>
      </c>
      <c r="H162" s="222">
        <v>1096946130000</v>
      </c>
      <c r="I162" s="222">
        <v>132190779887</v>
      </c>
      <c r="J162" s="222">
        <v>3790154822116</v>
      </c>
    </row>
    <row r="163" spans="2:13" ht="15" customHeight="1">
      <c r="B163" s="476" t="s">
        <v>118</v>
      </c>
      <c r="C163" s="477"/>
      <c r="D163" s="219" t="s">
        <v>126</v>
      </c>
      <c r="E163" s="220">
        <v>1</v>
      </c>
      <c r="F163" s="221">
        <v>575000000</v>
      </c>
      <c r="G163" s="221">
        <v>581000162</v>
      </c>
      <c r="H163" s="222" t="s">
        <v>900</v>
      </c>
      <c r="I163" s="222">
        <v>40488702008</v>
      </c>
      <c r="J163" s="222">
        <v>672341075624</v>
      </c>
      <c r="K163" s="167"/>
      <c r="L163" s="167"/>
      <c r="M163" s="167"/>
    </row>
    <row r="164" spans="2:13" ht="15" customHeight="1">
      <c r="B164" s="476" t="s">
        <v>833</v>
      </c>
      <c r="C164" s="477"/>
      <c r="D164" s="219" t="s">
        <v>126</v>
      </c>
      <c r="E164" s="220">
        <v>20</v>
      </c>
      <c r="F164" s="221">
        <v>5000000000</v>
      </c>
      <c r="G164" s="221">
        <v>5109208029</v>
      </c>
      <c r="H164" s="222">
        <v>254134649802</v>
      </c>
      <c r="I164" s="222">
        <v>11258443716</v>
      </c>
      <c r="J164" s="222">
        <v>333299927273</v>
      </c>
      <c r="L164" s="167"/>
      <c r="M164" s="167"/>
    </row>
    <row r="165" spans="2:13" ht="15" customHeight="1">
      <c r="B165" s="476" t="s">
        <v>465</v>
      </c>
      <c r="C165" s="477"/>
      <c r="D165" s="219" t="s">
        <v>126</v>
      </c>
      <c r="E165" s="220">
        <v>10</v>
      </c>
      <c r="F165" s="221">
        <v>5000000000</v>
      </c>
      <c r="G165" s="221">
        <v>5288883177</v>
      </c>
      <c r="H165" s="222">
        <v>1081242800000</v>
      </c>
      <c r="I165" s="222">
        <v>25731495364</v>
      </c>
      <c r="J165" s="222">
        <v>1589272286545</v>
      </c>
      <c r="K165" s="167"/>
    </row>
    <row r="166" spans="2:13" ht="15" customHeight="1">
      <c r="B166" s="476" t="s">
        <v>467</v>
      </c>
      <c r="C166" s="477"/>
      <c r="D166" s="219" t="s">
        <v>126</v>
      </c>
      <c r="E166" s="220">
        <v>2</v>
      </c>
      <c r="F166" s="221">
        <v>2000000000</v>
      </c>
      <c r="G166" s="221">
        <v>2038071637</v>
      </c>
      <c r="H166" s="222">
        <v>375294800000</v>
      </c>
      <c r="I166" s="222">
        <v>6007792088</v>
      </c>
      <c r="J166" s="222">
        <v>450581447166</v>
      </c>
      <c r="K166" s="167"/>
    </row>
    <row r="167" spans="2:13" ht="15" customHeight="1">
      <c r="B167" s="476" t="s">
        <v>792</v>
      </c>
      <c r="C167" s="477"/>
      <c r="D167" s="219" t="s">
        <v>126</v>
      </c>
      <c r="E167" s="220">
        <v>20</v>
      </c>
      <c r="F167" s="221">
        <v>2000000000</v>
      </c>
      <c r="G167" s="221">
        <v>2015356356</v>
      </c>
      <c r="H167" s="222">
        <v>51683000000</v>
      </c>
      <c r="I167" s="222">
        <v>1017976439</v>
      </c>
      <c r="J167" s="222">
        <v>90416097634</v>
      </c>
      <c r="K167" s="167"/>
    </row>
    <row r="168" spans="2:13" ht="15" customHeight="1">
      <c r="B168" s="476" t="s">
        <v>468</v>
      </c>
      <c r="C168" s="477"/>
      <c r="D168" s="219" t="s">
        <v>652</v>
      </c>
      <c r="E168" s="220">
        <v>6</v>
      </c>
      <c r="F168" s="221">
        <v>3000000000</v>
      </c>
      <c r="G168" s="221">
        <f>3036886362-371</f>
        <v>3036885991</v>
      </c>
      <c r="H168" s="222"/>
      <c r="I168" s="222"/>
      <c r="J168" s="222"/>
      <c r="K168" s="180"/>
    </row>
    <row r="169" spans="2:13" ht="15" customHeight="1">
      <c r="B169" s="476" t="s">
        <v>832</v>
      </c>
      <c r="C169" s="477"/>
      <c r="D169" s="219" t="s">
        <v>126</v>
      </c>
      <c r="E169" s="220">
        <v>1</v>
      </c>
      <c r="F169" s="221">
        <f>+(130000*7078.87)</f>
        <v>920253100</v>
      </c>
      <c r="G169" s="221">
        <f>+(136595.61*7078.87)</f>
        <v>966942565.76069987</v>
      </c>
      <c r="H169" s="222">
        <v>1096946130000</v>
      </c>
      <c r="I169" s="222">
        <v>132190779887</v>
      </c>
      <c r="J169" s="222">
        <v>3790154822116</v>
      </c>
    </row>
    <row r="170" spans="2:13" ht="15" customHeight="1">
      <c r="B170" s="476" t="s">
        <v>878</v>
      </c>
      <c r="C170" s="477"/>
      <c r="D170" s="219" t="s">
        <v>126</v>
      </c>
      <c r="E170" s="220">
        <v>3</v>
      </c>
      <c r="F170" s="221">
        <f>+(150000*7078.87)</f>
        <v>1061830500</v>
      </c>
      <c r="G170" s="221">
        <f>+(150816.82*7078.87)</f>
        <v>1067612662.5934</v>
      </c>
      <c r="H170" s="222">
        <v>300000000000</v>
      </c>
      <c r="I170" s="222">
        <v>40552193215</v>
      </c>
      <c r="J170" s="222">
        <v>914330861665</v>
      </c>
    </row>
    <row r="171" spans="2:13" ht="15" customHeight="1">
      <c r="B171" s="476" t="s">
        <v>879</v>
      </c>
      <c r="C171" s="477"/>
      <c r="D171" s="219" t="s">
        <v>126</v>
      </c>
      <c r="E171" s="220">
        <v>4</v>
      </c>
      <c r="F171" s="221">
        <f>+(400000*7078.87)</f>
        <v>2831548000</v>
      </c>
      <c r="G171" s="221">
        <f>+(401645.82*7078.87)</f>
        <v>2843198545.8234</v>
      </c>
      <c r="H171" s="222">
        <v>360000000000</v>
      </c>
      <c r="I171" s="222">
        <v>29564585228</v>
      </c>
      <c r="J171" s="222">
        <v>879684045826</v>
      </c>
    </row>
    <row r="172" spans="2:13" ht="15" customHeight="1">
      <c r="B172" s="476" t="s">
        <v>880</v>
      </c>
      <c r="C172" s="477"/>
      <c r="D172" s="219" t="s">
        <v>126</v>
      </c>
      <c r="E172" s="220">
        <v>4</v>
      </c>
      <c r="F172" s="221">
        <f>+(400000*7078.87)</f>
        <v>2831548000</v>
      </c>
      <c r="G172" s="221">
        <f>+(412300.17*7078.87)</f>
        <v>2918619304.4078999</v>
      </c>
      <c r="H172" s="222">
        <v>450000000000</v>
      </c>
      <c r="I172" s="222">
        <v>60303988767</v>
      </c>
      <c r="J172" s="222">
        <v>1636267190640</v>
      </c>
    </row>
    <row r="173" spans="2:13" ht="15" customHeight="1">
      <c r="B173" s="476" t="s">
        <v>833</v>
      </c>
      <c r="C173" s="477"/>
      <c r="D173" s="219" t="s">
        <v>126</v>
      </c>
      <c r="E173" s="220">
        <v>2</v>
      </c>
      <c r="F173" s="221">
        <f>+(200000*7078.87)</f>
        <v>1415774000</v>
      </c>
      <c r="G173" s="221">
        <f>+(392145.17*7078.87)-1416</f>
        <v>2775943263.5579</v>
      </c>
      <c r="H173" s="222">
        <v>254134649802</v>
      </c>
      <c r="I173" s="222">
        <v>11258443716</v>
      </c>
      <c r="J173" s="222">
        <v>333299927273</v>
      </c>
    </row>
    <row r="174" spans="2:13" ht="15" customHeight="1">
      <c r="B174" s="476" t="s">
        <v>467</v>
      </c>
      <c r="C174" s="477"/>
      <c r="D174" s="219" t="s">
        <v>126</v>
      </c>
      <c r="E174" s="220">
        <v>5</v>
      </c>
      <c r="F174" s="221">
        <f>+(250000*7078.87)</f>
        <v>1769717500</v>
      </c>
      <c r="G174" s="221">
        <f>+(251773.6*7078.87)</f>
        <v>1782272583.832</v>
      </c>
      <c r="H174" s="222">
        <v>375294800000</v>
      </c>
      <c r="I174" s="222">
        <v>6007792088</v>
      </c>
      <c r="J174" s="222">
        <v>450581447166</v>
      </c>
    </row>
    <row r="175" spans="2:13" ht="15" customHeight="1">
      <c r="B175" s="476" t="s">
        <v>881</v>
      </c>
      <c r="C175" s="477"/>
      <c r="D175" s="219" t="s">
        <v>126</v>
      </c>
      <c r="E175" s="220">
        <v>1</v>
      </c>
      <c r="F175" s="221">
        <f>+(15000*7078.87)</f>
        <v>106183050</v>
      </c>
      <c r="G175" s="221">
        <f>+(14515.57*7078.87)</f>
        <v>102753833.0059</v>
      </c>
      <c r="H175" s="222"/>
      <c r="I175" s="222"/>
      <c r="J175" s="222"/>
    </row>
    <row r="176" spans="2:13" ht="15" customHeight="1">
      <c r="B176" s="476" t="s">
        <v>882</v>
      </c>
      <c r="C176" s="477"/>
      <c r="D176" s="219" t="s">
        <v>126</v>
      </c>
      <c r="E176" s="220">
        <v>8</v>
      </c>
      <c r="F176" s="221">
        <f>+(400000*7078.87)</f>
        <v>2831548000</v>
      </c>
      <c r="G176" s="221">
        <f>+(402175.57*7078.87)</f>
        <v>2846948577.2059002</v>
      </c>
      <c r="H176" s="222">
        <v>50600000000</v>
      </c>
      <c r="I176" s="222">
        <v>2518654569</v>
      </c>
      <c r="J176" s="222">
        <v>107305438697</v>
      </c>
    </row>
    <row r="177" spans="2:12" ht="15" customHeight="1">
      <c r="B177" s="476" t="s">
        <v>883</v>
      </c>
      <c r="C177" s="477"/>
      <c r="D177" s="219" t="s">
        <v>126</v>
      </c>
      <c r="E177" s="220">
        <v>4</v>
      </c>
      <c r="F177" s="221">
        <f>+(200000*7078.87)</f>
        <v>1415774000</v>
      </c>
      <c r="G177" s="221">
        <f>+(201175.16*7078.87)</f>
        <v>1424092804.8692</v>
      </c>
      <c r="H177" s="222">
        <v>115000000000</v>
      </c>
      <c r="I177" s="222">
        <v>9971915818</v>
      </c>
      <c r="J177" s="222">
        <v>177412642042</v>
      </c>
    </row>
    <row r="178" spans="2:12" ht="15" customHeight="1">
      <c r="B178" s="476" t="s">
        <v>466</v>
      </c>
      <c r="C178" s="477"/>
      <c r="D178" s="219" t="s">
        <v>754</v>
      </c>
      <c r="E178" s="220">
        <v>1</v>
      </c>
      <c r="F178" s="221">
        <v>454156924</v>
      </c>
      <c r="G178" s="221">
        <v>454156924</v>
      </c>
      <c r="H178" s="222">
        <v>1096946130000</v>
      </c>
      <c r="I178" s="222">
        <v>132190779887</v>
      </c>
      <c r="J178" s="222">
        <v>3790154822116</v>
      </c>
      <c r="L178" s="167"/>
    </row>
    <row r="179" spans="2:12" ht="15" customHeight="1">
      <c r="B179" s="476" t="s">
        <v>753</v>
      </c>
      <c r="C179" s="477"/>
      <c r="D179" s="219" t="s">
        <v>470</v>
      </c>
      <c r="E179" s="220">
        <v>140</v>
      </c>
      <c r="F179" s="221">
        <v>140000000</v>
      </c>
      <c r="G179" s="221">
        <f>168922466-30076643+402</f>
        <v>138846225</v>
      </c>
      <c r="H179" s="223" t="s">
        <v>899</v>
      </c>
      <c r="I179" s="223" t="s">
        <v>899</v>
      </c>
      <c r="J179" s="223" t="s">
        <v>899</v>
      </c>
      <c r="K179" s="167"/>
    </row>
    <row r="180" spans="2:12" ht="15" customHeight="1">
      <c r="B180" s="476" t="s">
        <v>835</v>
      </c>
      <c r="C180" s="477"/>
      <c r="D180" s="219" t="s">
        <v>470</v>
      </c>
      <c r="E180" s="220">
        <v>9807</v>
      </c>
      <c r="F180" s="221">
        <v>9807000000</v>
      </c>
      <c r="G180" s="221">
        <f>17629449753-7620072739</f>
        <v>10009377014</v>
      </c>
      <c r="H180" s="222">
        <v>330000000000</v>
      </c>
      <c r="I180" s="222">
        <v>-12692550914</v>
      </c>
      <c r="J180" s="222">
        <v>318939564215</v>
      </c>
      <c r="K180" s="179"/>
    </row>
    <row r="181" spans="2:12" ht="15" customHeight="1">
      <c r="B181" s="476" t="s">
        <v>836</v>
      </c>
      <c r="C181" s="477"/>
      <c r="D181" s="219" t="s">
        <v>470</v>
      </c>
      <c r="E181" s="220">
        <v>6282</v>
      </c>
      <c r="F181" s="221">
        <v>6282000000</v>
      </c>
      <c r="G181" s="221">
        <v>6240691553</v>
      </c>
      <c r="H181" s="222">
        <v>43700000000</v>
      </c>
      <c r="I181" s="222">
        <v>-4450137156</v>
      </c>
      <c r="J181" s="222">
        <v>125514910709</v>
      </c>
      <c r="K181" s="179"/>
    </row>
    <row r="182" spans="2:12" ht="15" customHeight="1">
      <c r="B182" s="476" t="s">
        <v>884</v>
      </c>
      <c r="C182" s="477"/>
      <c r="D182" s="219" t="s">
        <v>470</v>
      </c>
      <c r="E182" s="220">
        <v>65</v>
      </c>
      <c r="F182" s="221">
        <v>65000000</v>
      </c>
      <c r="G182" s="221">
        <v>84117289</v>
      </c>
      <c r="H182" s="222">
        <v>150000000000</v>
      </c>
      <c r="I182" s="222">
        <v>1996952000</v>
      </c>
      <c r="J182" s="222">
        <v>210562943000</v>
      </c>
      <c r="K182" s="167"/>
    </row>
    <row r="183" spans="2:12" ht="15" customHeight="1">
      <c r="B183" s="476" t="s">
        <v>885</v>
      </c>
      <c r="C183" s="477"/>
      <c r="D183" s="219" t="s">
        <v>470</v>
      </c>
      <c r="E183" s="220">
        <v>162</v>
      </c>
      <c r="F183" s="221">
        <v>162000000</v>
      </c>
      <c r="G183" s="221">
        <v>176856667</v>
      </c>
      <c r="H183" s="222">
        <v>211300000000</v>
      </c>
      <c r="I183" s="222">
        <v>3947025000</v>
      </c>
      <c r="J183" s="222">
        <v>228432360000</v>
      </c>
      <c r="K183" s="167"/>
    </row>
    <row r="184" spans="2:12" ht="15" customHeight="1">
      <c r="B184" s="476" t="s">
        <v>886</v>
      </c>
      <c r="C184" s="477"/>
      <c r="D184" s="219" t="s">
        <v>470</v>
      </c>
      <c r="E184" s="220">
        <v>15</v>
      </c>
      <c r="F184" s="221">
        <f>+(15000*7078.87)</f>
        <v>106183050</v>
      </c>
      <c r="G184" s="221">
        <f>+(15169.11*7078.87)</f>
        <v>107380157.7057</v>
      </c>
      <c r="H184" s="395">
        <v>495130000000</v>
      </c>
      <c r="I184" s="395">
        <v>66882234039</v>
      </c>
      <c r="J184" s="222">
        <v>937475035903</v>
      </c>
      <c r="K184" s="167"/>
    </row>
    <row r="185" spans="2:12" ht="15" customHeight="1">
      <c r="B185" s="476" t="s">
        <v>835</v>
      </c>
      <c r="C185" s="477"/>
      <c r="D185" s="219" t="s">
        <v>470</v>
      </c>
      <c r="E185" s="220">
        <v>2</v>
      </c>
      <c r="F185" s="221">
        <f>+(2000*7078.87)</f>
        <v>14157740</v>
      </c>
      <c r="G185" s="221">
        <f>+(2025.38*7078.87)</f>
        <v>14337401.7206</v>
      </c>
      <c r="H185" s="222">
        <v>330000000000</v>
      </c>
      <c r="I185" s="222">
        <v>-12692550914</v>
      </c>
      <c r="J185" s="222">
        <v>318939564215</v>
      </c>
      <c r="K185" s="167"/>
    </row>
    <row r="186" spans="2:12" ht="15" customHeight="1">
      <c r="B186" s="476" t="s">
        <v>465</v>
      </c>
      <c r="C186" s="477"/>
      <c r="D186" s="219" t="s">
        <v>470</v>
      </c>
      <c r="E186" s="220">
        <v>4</v>
      </c>
      <c r="F186" s="221">
        <f>+(4000*7078.87)</f>
        <v>28315480</v>
      </c>
      <c r="G186" s="221">
        <f>+(4145.74*7078.87)</f>
        <v>29347154.513799999</v>
      </c>
      <c r="H186" s="222">
        <v>1081242800000</v>
      </c>
      <c r="I186" s="222">
        <v>25731495364</v>
      </c>
      <c r="J186" s="222">
        <v>1589272286545</v>
      </c>
      <c r="K186" s="167"/>
    </row>
    <row r="187" spans="2:12" ht="15" customHeight="1">
      <c r="B187" s="476" t="s">
        <v>887</v>
      </c>
      <c r="C187" s="477"/>
      <c r="D187" s="219" t="s">
        <v>470</v>
      </c>
      <c r="E187" s="220">
        <v>268</v>
      </c>
      <c r="F187" s="221">
        <f>+(268000*7078.87)</f>
        <v>1897137160</v>
      </c>
      <c r="G187" s="221">
        <f>+(278770.78*7078.87)</f>
        <v>1973382111.4186001</v>
      </c>
      <c r="H187" s="222">
        <v>499748800000</v>
      </c>
      <c r="I187" s="222">
        <v>15853874621</v>
      </c>
      <c r="J187" s="222">
        <v>802663067866</v>
      </c>
      <c r="K187" s="167"/>
    </row>
    <row r="188" spans="2:12" ht="15" customHeight="1">
      <c r="B188" s="468" t="s">
        <v>866</v>
      </c>
      <c r="C188" s="520"/>
      <c r="D188" s="520"/>
      <c r="E188" s="469"/>
      <c r="F188" s="128">
        <f>SUM(F162:F187)</f>
        <v>53740126504</v>
      </c>
      <c r="G188" s="128">
        <f>SUM(G162:G187)</f>
        <v>56082439415.415001</v>
      </c>
      <c r="H188" s="223"/>
      <c r="I188" s="223"/>
      <c r="J188" s="223"/>
      <c r="K188" s="167"/>
    </row>
    <row r="189" spans="2:12" ht="6.6" customHeight="1">
      <c r="B189" s="224"/>
      <c r="C189" s="224"/>
      <c r="D189" s="224"/>
      <c r="E189" s="224"/>
      <c r="F189" s="225"/>
      <c r="G189" s="225"/>
      <c r="H189" s="226"/>
      <c r="I189" s="226"/>
      <c r="J189" s="226"/>
      <c r="K189" s="167"/>
    </row>
    <row r="190" spans="2:12" ht="15" customHeight="1">
      <c r="B190" s="497" t="s">
        <v>826</v>
      </c>
      <c r="C190" s="498"/>
      <c r="D190" s="498"/>
      <c r="E190" s="498"/>
      <c r="F190" s="498"/>
      <c r="G190" s="499"/>
      <c r="H190" s="559"/>
      <c r="I190" s="559"/>
      <c r="J190" s="560"/>
      <c r="K190" s="167"/>
    </row>
    <row r="191" spans="2:12" ht="16.2" customHeight="1">
      <c r="B191" s="476" t="s">
        <v>466</v>
      </c>
      <c r="C191" s="477"/>
      <c r="D191" s="219" t="s">
        <v>131</v>
      </c>
      <c r="E191" s="220">
        <v>167222</v>
      </c>
      <c r="F191" s="221">
        <f>+E191*100000</f>
        <v>16722200000</v>
      </c>
      <c r="G191" s="221">
        <v>38364046134</v>
      </c>
      <c r="H191" s="222">
        <v>1096946130000</v>
      </c>
      <c r="I191" s="222">
        <v>132190779887</v>
      </c>
      <c r="J191" s="222">
        <v>3790154822116</v>
      </c>
      <c r="K191" s="167"/>
      <c r="L191" s="180"/>
    </row>
    <row r="192" spans="2:12" ht="15" customHeight="1">
      <c r="B192" s="476" t="s">
        <v>467</v>
      </c>
      <c r="C192" s="477"/>
      <c r="D192" s="219" t="s">
        <v>131</v>
      </c>
      <c r="E192" s="220">
        <v>84810</v>
      </c>
      <c r="F192" s="221">
        <f>+E192*100000</f>
        <v>8481000000</v>
      </c>
      <c r="G192" s="221">
        <v>10091361289</v>
      </c>
      <c r="H192" s="222">
        <v>375294800000</v>
      </c>
      <c r="I192" s="222">
        <v>6007792088</v>
      </c>
      <c r="J192" s="222">
        <v>450581447166</v>
      </c>
      <c r="K192" s="167"/>
    </row>
    <row r="193" spans="2:12" ht="15" customHeight="1">
      <c r="B193" s="476" t="s">
        <v>473</v>
      </c>
      <c r="C193" s="477"/>
      <c r="D193" s="219" t="s">
        <v>131</v>
      </c>
      <c r="E193" s="220">
        <f>79691+73356</f>
        <v>153047</v>
      </c>
      <c r="F193" s="221">
        <f>+E193*100000</f>
        <v>15304700000</v>
      </c>
      <c r="G193" s="221">
        <f>8766000712+7342358103</f>
        <v>16108358815</v>
      </c>
      <c r="H193" s="222">
        <v>499748800000</v>
      </c>
      <c r="I193" s="222">
        <v>15853874621</v>
      </c>
      <c r="J193" s="222">
        <v>802663067866</v>
      </c>
      <c r="K193" s="167"/>
      <c r="L193" s="167"/>
    </row>
    <row r="194" spans="2:12" ht="15" customHeight="1">
      <c r="B194" s="476" t="s">
        <v>834</v>
      </c>
      <c r="C194" s="477"/>
      <c r="D194" s="219" t="s">
        <v>131</v>
      </c>
      <c r="E194" s="220">
        <v>27</v>
      </c>
      <c r="F194" s="221">
        <f>+E194*1000000</f>
        <v>27000000</v>
      </c>
      <c r="G194" s="221">
        <v>27000000</v>
      </c>
      <c r="H194" s="222">
        <v>50600000000</v>
      </c>
      <c r="I194" s="222">
        <v>2518654569</v>
      </c>
      <c r="J194" s="222">
        <v>107305438697</v>
      </c>
      <c r="K194" s="167"/>
      <c r="L194" s="167"/>
    </row>
    <row r="195" spans="2:12" ht="15" customHeight="1">
      <c r="B195" s="556" t="s">
        <v>867</v>
      </c>
      <c r="C195" s="557"/>
      <c r="D195" s="557"/>
      <c r="E195" s="558"/>
      <c r="F195" s="227">
        <f>SUM(F191:F194)</f>
        <v>40534900000</v>
      </c>
      <c r="G195" s="227">
        <f>SUM(G191:G194)</f>
        <v>64590766238</v>
      </c>
      <c r="H195" s="228"/>
      <c r="I195" s="228"/>
      <c r="J195" s="228"/>
      <c r="K195" s="167"/>
    </row>
    <row r="196" spans="2:12" ht="6.6" customHeight="1">
      <c r="F196" s="150"/>
      <c r="G196" s="150"/>
    </row>
    <row r="197" spans="2:12" ht="15" customHeight="1">
      <c r="B197" s="564" t="s">
        <v>827</v>
      </c>
      <c r="C197" s="565"/>
      <c r="D197" s="565"/>
      <c r="E197" s="565"/>
      <c r="F197" s="565"/>
      <c r="G197" s="566"/>
      <c r="H197" s="561"/>
      <c r="I197" s="562"/>
      <c r="J197" s="563"/>
    </row>
    <row r="198" spans="2:12" ht="15" customHeight="1">
      <c r="B198" s="518" t="s">
        <v>837</v>
      </c>
      <c r="C198" s="519"/>
      <c r="D198" s="219" t="s">
        <v>470</v>
      </c>
      <c r="E198" s="220">
        <v>3649</v>
      </c>
      <c r="F198" s="221">
        <f>+E198*1000000</f>
        <v>3649000000</v>
      </c>
      <c r="G198" s="221">
        <f>6708312795-2685749375</f>
        <v>4022563420</v>
      </c>
      <c r="H198" s="222">
        <v>330000000000</v>
      </c>
      <c r="I198" s="222">
        <v>-12692550914</v>
      </c>
      <c r="J198" s="222">
        <v>318939564215</v>
      </c>
    </row>
    <row r="199" spans="2:12" ht="15" customHeight="1">
      <c r="B199" s="476" t="s">
        <v>836</v>
      </c>
      <c r="C199" s="477"/>
      <c r="D199" s="219" t="s">
        <v>470</v>
      </c>
      <c r="E199" s="220">
        <v>515</v>
      </c>
      <c r="F199" s="221">
        <f>+E199*1000000</f>
        <v>515000000</v>
      </c>
      <c r="G199" s="221">
        <v>515569506</v>
      </c>
      <c r="H199" s="222">
        <v>43700000000</v>
      </c>
      <c r="I199" s="222">
        <v>-4450137156</v>
      </c>
      <c r="J199" s="222">
        <v>125514910709</v>
      </c>
    </row>
    <row r="200" spans="2:12" ht="15" customHeight="1">
      <c r="B200" s="518" t="s">
        <v>469</v>
      </c>
      <c r="C200" s="519"/>
      <c r="D200" s="219" t="s">
        <v>470</v>
      </c>
      <c r="E200" s="220">
        <v>13559</v>
      </c>
      <c r="F200" s="221">
        <f>+E200*1000000</f>
        <v>13559000000</v>
      </c>
      <c r="G200" s="221">
        <v>14063198190</v>
      </c>
      <c r="H200" s="223" t="s">
        <v>899</v>
      </c>
      <c r="I200" s="223" t="s">
        <v>899</v>
      </c>
      <c r="J200" s="223" t="s">
        <v>899</v>
      </c>
    </row>
    <row r="201" spans="2:12" ht="15" customHeight="1">
      <c r="B201" s="518" t="s">
        <v>886</v>
      </c>
      <c r="C201" s="519"/>
      <c r="D201" s="219" t="s">
        <v>470</v>
      </c>
      <c r="E201" s="220">
        <v>339</v>
      </c>
      <c r="F201" s="221">
        <f>+(E201*1000)*7078.87</f>
        <v>2399736930</v>
      </c>
      <c r="G201" s="221">
        <f>+(342618.47*7078.87)</f>
        <v>2425351608.7289</v>
      </c>
      <c r="H201" s="395">
        <v>495130000000</v>
      </c>
      <c r="I201" s="395">
        <v>66882234039</v>
      </c>
      <c r="J201" s="222">
        <v>937475035903</v>
      </c>
    </row>
    <row r="202" spans="2:12" ht="15" customHeight="1">
      <c r="B202" s="518" t="s">
        <v>837</v>
      </c>
      <c r="C202" s="519"/>
      <c r="D202" s="219" t="s">
        <v>470</v>
      </c>
      <c r="E202" s="220">
        <v>192</v>
      </c>
      <c r="F202" s="221">
        <f>+(E202*1000)*7078.87</f>
        <v>1359143040</v>
      </c>
      <c r="G202" s="221">
        <f>+(194436.7*7078.87)</f>
        <v>1376392122.529</v>
      </c>
      <c r="H202" s="222">
        <v>330000000000</v>
      </c>
      <c r="I202" s="222">
        <v>-12692550914</v>
      </c>
      <c r="J202" s="222">
        <v>318939564215</v>
      </c>
    </row>
    <row r="203" spans="2:12" ht="15" customHeight="1">
      <c r="B203" s="468" t="s">
        <v>868</v>
      </c>
      <c r="C203" s="520"/>
      <c r="D203" s="520"/>
      <c r="E203" s="469"/>
      <c r="F203" s="227">
        <f>SUM(F198:F202)</f>
        <v>21481879970</v>
      </c>
      <c r="G203" s="227">
        <f>SUM(G198:G202)</f>
        <v>22403074847.2579</v>
      </c>
      <c r="H203" s="228"/>
      <c r="I203" s="228"/>
      <c r="J203" s="228"/>
      <c r="K203" s="167"/>
      <c r="L203" s="180"/>
    </row>
    <row r="204" spans="2:12" ht="6.6" customHeight="1">
      <c r="B204" s="224"/>
      <c r="C204" s="224"/>
      <c r="D204" s="224"/>
      <c r="E204" s="224"/>
      <c r="F204" s="230"/>
      <c r="G204" s="231"/>
      <c r="H204" s="232"/>
      <c r="I204" s="232"/>
      <c r="J204" s="232"/>
      <c r="L204" s="180"/>
    </row>
    <row r="205" spans="2:12" ht="15" customHeight="1">
      <c r="B205" s="468" t="s">
        <v>706</v>
      </c>
      <c r="C205" s="520"/>
      <c r="D205" s="520"/>
      <c r="E205" s="469"/>
      <c r="F205" s="233">
        <v>0</v>
      </c>
      <c r="G205" s="233">
        <v>0</v>
      </c>
      <c r="H205" s="228"/>
      <c r="I205" s="228"/>
      <c r="J205" s="228"/>
      <c r="L205" s="180"/>
    </row>
    <row r="206" spans="2:12" ht="6.6" customHeight="1">
      <c r="B206" s="234"/>
      <c r="C206" s="234"/>
      <c r="D206" s="235"/>
      <c r="E206" s="236"/>
      <c r="F206" s="237"/>
      <c r="G206" s="238"/>
      <c r="H206" s="238"/>
      <c r="I206" s="238"/>
      <c r="J206" s="238"/>
      <c r="L206" s="180"/>
    </row>
    <row r="207" spans="2:12" ht="15" customHeight="1">
      <c r="B207" s="468" t="s">
        <v>869</v>
      </c>
      <c r="C207" s="520"/>
      <c r="D207" s="520"/>
      <c r="E207" s="469"/>
      <c r="F207" s="229">
        <f>+F203+F195+F188</f>
        <v>115756906474</v>
      </c>
      <c r="G207" s="229">
        <f>+G203+G195+G188</f>
        <v>143076280500.67291</v>
      </c>
      <c r="H207" s="228"/>
      <c r="I207" s="228"/>
      <c r="J207" s="228"/>
      <c r="L207" s="180"/>
    </row>
    <row r="208" spans="2:12" ht="15" customHeight="1">
      <c r="B208" s="468" t="s">
        <v>457</v>
      </c>
      <c r="C208" s="520"/>
      <c r="D208" s="520"/>
      <c r="E208" s="469"/>
      <c r="F208" s="227">
        <v>188728675576</v>
      </c>
      <c r="G208" s="229">
        <v>192008740794</v>
      </c>
      <c r="H208" s="239"/>
      <c r="I208" s="239"/>
      <c r="J208" s="240"/>
      <c r="K208" s="146"/>
      <c r="L208" s="180"/>
    </row>
    <row r="209" spans="2:13" ht="7.5" customHeight="1">
      <c r="B209" s="241"/>
      <c r="C209" s="241"/>
      <c r="D209" s="241"/>
      <c r="E209" s="241"/>
      <c r="F209" s="241"/>
      <c r="G209" s="242"/>
      <c r="H209" s="243"/>
      <c r="I209" s="244"/>
      <c r="J209" s="244"/>
      <c r="K209" s="185"/>
      <c r="M209" s="180"/>
    </row>
    <row r="210" spans="2:13" ht="15" customHeight="1">
      <c r="B210" s="497" t="s">
        <v>128</v>
      </c>
      <c r="C210" s="498"/>
      <c r="D210" s="498"/>
      <c r="E210" s="498"/>
      <c r="F210" s="498"/>
      <c r="G210" s="499"/>
      <c r="H210" s="362"/>
      <c r="I210" s="362"/>
      <c r="J210" s="363"/>
      <c r="K210" s="185"/>
      <c r="M210" s="180"/>
    </row>
    <row r="211" spans="2:13" ht="15" customHeight="1">
      <c r="B211" s="497" t="s">
        <v>823</v>
      </c>
      <c r="C211" s="498"/>
      <c r="D211" s="498"/>
      <c r="E211" s="498"/>
      <c r="F211" s="498"/>
      <c r="G211" s="499"/>
      <c r="H211" s="364"/>
      <c r="I211" s="364"/>
      <c r="J211" s="365"/>
      <c r="K211" s="185"/>
      <c r="M211" s="180"/>
    </row>
    <row r="212" spans="2:13" ht="15" customHeight="1">
      <c r="B212" s="464" t="s">
        <v>776</v>
      </c>
      <c r="C212" s="465"/>
      <c r="D212" s="219" t="s">
        <v>131</v>
      </c>
      <c r="E212" s="220">
        <v>63014</v>
      </c>
      <c r="F212" s="375">
        <v>6301400000</v>
      </c>
      <c r="G212" s="135">
        <v>6301400000</v>
      </c>
      <c r="H212" s="375"/>
      <c r="I212" s="222"/>
      <c r="J212" s="375"/>
      <c r="K212" s="185"/>
      <c r="M212" s="180"/>
    </row>
    <row r="213" spans="2:13" ht="15" customHeight="1">
      <c r="B213" s="464" t="s">
        <v>472</v>
      </c>
      <c r="C213" s="465"/>
      <c r="D213" s="219" t="s">
        <v>131</v>
      </c>
      <c r="E213" s="220">
        <v>1</v>
      </c>
      <c r="F213" s="375">
        <v>200000000</v>
      </c>
      <c r="G213" s="137">
        <v>900000000</v>
      </c>
      <c r="H213" s="375"/>
      <c r="I213" s="375"/>
      <c r="J213" s="375"/>
      <c r="K213" s="185"/>
      <c r="M213" s="180"/>
    </row>
    <row r="214" spans="2:13" ht="15" customHeight="1">
      <c r="B214" s="468" t="s">
        <v>907</v>
      </c>
      <c r="C214" s="469"/>
      <c r="D214" s="260"/>
      <c r="E214" s="260"/>
      <c r="F214" s="260">
        <v>6501400000</v>
      </c>
      <c r="G214" s="260">
        <v>7201400000</v>
      </c>
      <c r="H214" s="375"/>
      <c r="I214" s="375"/>
      <c r="J214" s="375"/>
      <c r="K214" s="185"/>
      <c r="M214" s="180"/>
    </row>
    <row r="215" spans="2:13" ht="15" customHeight="1">
      <c r="B215" s="468" t="s">
        <v>908</v>
      </c>
      <c r="C215" s="469"/>
      <c r="D215" s="260"/>
      <c r="E215" s="260"/>
      <c r="F215" s="260">
        <v>3350700000</v>
      </c>
      <c r="G215" s="260">
        <v>4050700000</v>
      </c>
      <c r="H215" s="247"/>
      <c r="I215" s="202"/>
      <c r="J215" s="202"/>
      <c r="K215" s="185"/>
      <c r="M215" s="180"/>
    </row>
    <row r="216" spans="2:13" ht="15" customHeight="1">
      <c r="B216" s="241"/>
      <c r="C216" s="241"/>
      <c r="D216" s="398"/>
      <c r="E216" s="398"/>
      <c r="F216" s="398"/>
      <c r="G216" s="398"/>
      <c r="H216" s="247"/>
      <c r="I216" s="202"/>
      <c r="J216" s="202"/>
      <c r="K216" s="185"/>
      <c r="M216" s="180"/>
    </row>
    <row r="217" spans="2:13" ht="15" customHeight="1">
      <c r="B217" s="245"/>
      <c r="C217" s="245"/>
      <c r="D217" s="245"/>
      <c r="E217" s="245"/>
      <c r="F217" s="245"/>
      <c r="G217" s="246"/>
      <c r="H217" s="247"/>
      <c r="I217" s="202"/>
      <c r="J217" s="202"/>
      <c r="K217" s="185"/>
      <c r="M217" s="180"/>
    </row>
    <row r="218" spans="2:13" ht="32.4" customHeight="1">
      <c r="B218" s="479" t="s">
        <v>125</v>
      </c>
      <c r="C218" s="480"/>
      <c r="D218" s="361" t="s">
        <v>133</v>
      </c>
      <c r="E218" s="101" t="s">
        <v>134</v>
      </c>
      <c r="F218" s="366" t="s">
        <v>123</v>
      </c>
      <c r="G218" s="101" t="s">
        <v>820</v>
      </c>
      <c r="H218" s="527"/>
      <c r="I218" s="528"/>
      <c r="J218" s="528"/>
      <c r="K218" s="528"/>
    </row>
    <row r="219" spans="2:13" ht="15" customHeight="1">
      <c r="B219" s="466" t="s">
        <v>772</v>
      </c>
      <c r="C219" s="467"/>
      <c r="D219" s="479"/>
      <c r="E219" s="480"/>
      <c r="F219" s="479"/>
      <c r="G219" s="480"/>
      <c r="H219" s="527"/>
      <c r="I219" s="528"/>
      <c r="J219" s="528"/>
      <c r="K219" s="528"/>
    </row>
    <row r="220" spans="2:13" s="253" customFormat="1" ht="75.599999999999994" hidden="1" customHeight="1">
      <c r="B220" s="248" t="s">
        <v>128</v>
      </c>
      <c r="C220" s="248"/>
      <c r="D220" s="249"/>
      <c r="E220" s="250"/>
      <c r="F220" s="251"/>
      <c r="G220" s="252"/>
      <c r="H220" s="527"/>
      <c r="I220" s="528"/>
      <c r="J220" s="528"/>
      <c r="K220" s="528"/>
    </row>
    <row r="221" spans="2:13" s="253" customFormat="1" ht="36" hidden="1" customHeight="1">
      <c r="B221" s="254" t="s">
        <v>195</v>
      </c>
      <c r="C221" s="254"/>
      <c r="D221" s="255">
        <v>0</v>
      </c>
      <c r="E221" s="256">
        <v>0</v>
      </c>
      <c r="F221" s="257">
        <v>0</v>
      </c>
      <c r="G221" s="258">
        <v>0</v>
      </c>
      <c r="H221" s="527"/>
      <c r="I221" s="528"/>
      <c r="J221" s="528"/>
      <c r="K221" s="528"/>
    </row>
    <row r="222" spans="2:13" s="253" customFormat="1" ht="12" hidden="1" customHeight="1">
      <c r="B222" s="254"/>
      <c r="C222" s="254"/>
      <c r="D222" s="249"/>
      <c r="E222" s="250"/>
      <c r="F222" s="257"/>
      <c r="G222" s="258"/>
      <c r="H222" s="527"/>
      <c r="I222" s="528"/>
      <c r="J222" s="528"/>
      <c r="K222" s="528"/>
    </row>
    <row r="223" spans="2:13" s="253" customFormat="1" ht="12" hidden="1" customHeight="1">
      <c r="B223" s="254" t="s">
        <v>62</v>
      </c>
      <c r="C223" s="254"/>
      <c r="D223" s="255">
        <v>0</v>
      </c>
      <c r="E223" s="256">
        <v>0</v>
      </c>
      <c r="F223" s="257">
        <v>0</v>
      </c>
      <c r="G223" s="258">
        <v>0</v>
      </c>
      <c r="H223" s="527"/>
      <c r="I223" s="528"/>
      <c r="J223" s="528"/>
      <c r="K223" s="528"/>
    </row>
    <row r="224" spans="2:13" s="253" customFormat="1" ht="48" hidden="1" customHeight="1">
      <c r="B224" s="254" t="s">
        <v>129</v>
      </c>
      <c r="C224" s="254"/>
      <c r="D224" s="255">
        <v>0</v>
      </c>
      <c r="E224" s="256">
        <v>0</v>
      </c>
      <c r="F224" s="257">
        <v>0</v>
      </c>
      <c r="G224" s="258">
        <v>0</v>
      </c>
      <c r="H224" s="527"/>
      <c r="I224" s="528"/>
      <c r="J224" s="528"/>
      <c r="K224" s="528"/>
    </row>
    <row r="225" spans="2:12" s="253" customFormat="1" ht="12" hidden="1" customHeight="1">
      <c r="B225" s="254"/>
      <c r="C225" s="254"/>
      <c r="D225" s="249">
        <v>0</v>
      </c>
      <c r="E225" s="256">
        <v>0</v>
      </c>
      <c r="F225" s="251">
        <v>0</v>
      </c>
      <c r="G225" s="252">
        <v>0</v>
      </c>
      <c r="H225" s="527"/>
      <c r="I225" s="528"/>
      <c r="J225" s="528"/>
      <c r="K225" s="528"/>
    </row>
    <row r="226" spans="2:12" s="253" customFormat="1" ht="75.599999999999994" hidden="1" customHeight="1">
      <c r="B226" s="248" t="s">
        <v>130</v>
      </c>
      <c r="C226" s="248"/>
      <c r="D226" s="255">
        <v>0</v>
      </c>
      <c r="E226" s="256">
        <v>0</v>
      </c>
      <c r="F226" s="259">
        <v>0</v>
      </c>
      <c r="G226" s="256">
        <v>0</v>
      </c>
      <c r="H226" s="527"/>
      <c r="I226" s="528"/>
      <c r="J226" s="528"/>
      <c r="K226" s="528"/>
    </row>
    <row r="227" spans="2:12" ht="15" customHeight="1">
      <c r="B227" s="464" t="s">
        <v>832</v>
      </c>
      <c r="C227" s="465"/>
      <c r="D227" s="135">
        <v>2056157425</v>
      </c>
      <c r="E227" s="135">
        <v>2056157425</v>
      </c>
      <c r="F227" s="135">
        <v>2056157425</v>
      </c>
      <c r="G227" s="135">
        <v>2056157425</v>
      </c>
      <c r="H227" s="527"/>
      <c r="I227" s="528"/>
      <c r="J227" s="528"/>
      <c r="K227" s="528"/>
    </row>
    <row r="228" spans="2:12" ht="15" customHeight="1">
      <c r="B228" s="464" t="s">
        <v>118</v>
      </c>
      <c r="C228" s="465" t="s">
        <v>118</v>
      </c>
      <c r="D228" s="135">
        <v>581000162</v>
      </c>
      <c r="E228" s="135">
        <v>581000162</v>
      </c>
      <c r="F228" s="135">
        <v>581000162</v>
      </c>
      <c r="G228" s="135">
        <v>581000162</v>
      </c>
      <c r="H228" s="527"/>
      <c r="I228" s="528"/>
      <c r="J228" s="528"/>
      <c r="K228" s="528"/>
      <c r="L228" s="376"/>
    </row>
    <row r="229" spans="2:12" ht="15" customHeight="1">
      <c r="B229" s="464" t="s">
        <v>833</v>
      </c>
      <c r="C229" s="465" t="s">
        <v>833</v>
      </c>
      <c r="D229" s="135">
        <v>5109208029</v>
      </c>
      <c r="E229" s="135">
        <v>5109208029</v>
      </c>
      <c r="F229" s="135">
        <v>5109208029</v>
      </c>
      <c r="G229" s="135">
        <v>5109208029</v>
      </c>
      <c r="H229" s="527"/>
      <c r="I229" s="528"/>
      <c r="J229" s="528"/>
      <c r="K229" s="528"/>
    </row>
    <row r="230" spans="2:12" ht="15" customHeight="1">
      <c r="B230" s="464" t="s">
        <v>465</v>
      </c>
      <c r="C230" s="465" t="s">
        <v>465</v>
      </c>
      <c r="D230" s="135">
        <v>5288883177</v>
      </c>
      <c r="E230" s="135">
        <v>5288883177</v>
      </c>
      <c r="F230" s="135">
        <v>5288883177</v>
      </c>
      <c r="G230" s="135">
        <v>5288883177</v>
      </c>
      <c r="H230" s="527"/>
      <c r="I230" s="528"/>
      <c r="J230" s="528"/>
      <c r="K230" s="528"/>
      <c r="L230" s="376"/>
    </row>
    <row r="231" spans="2:12" ht="15" customHeight="1">
      <c r="B231" s="464" t="s">
        <v>467</v>
      </c>
      <c r="C231" s="465" t="s">
        <v>467</v>
      </c>
      <c r="D231" s="135">
        <v>2038071637</v>
      </c>
      <c r="E231" s="135">
        <v>2038071637</v>
      </c>
      <c r="F231" s="135">
        <v>2038071637</v>
      </c>
      <c r="G231" s="135">
        <v>2038071637</v>
      </c>
      <c r="H231" s="527"/>
      <c r="I231" s="528"/>
      <c r="J231" s="528"/>
      <c r="K231" s="528"/>
    </row>
    <row r="232" spans="2:12" ht="15" customHeight="1">
      <c r="B232" s="464" t="s">
        <v>792</v>
      </c>
      <c r="C232" s="465" t="s">
        <v>792</v>
      </c>
      <c r="D232" s="135">
        <v>2015356356</v>
      </c>
      <c r="E232" s="135">
        <v>2015356356</v>
      </c>
      <c r="F232" s="135">
        <v>2015356356</v>
      </c>
      <c r="G232" s="135">
        <v>2015356356</v>
      </c>
      <c r="H232" s="527"/>
      <c r="I232" s="528"/>
      <c r="J232" s="528"/>
      <c r="K232" s="528"/>
    </row>
    <row r="233" spans="2:12" ht="15" customHeight="1">
      <c r="B233" s="464" t="s">
        <v>468</v>
      </c>
      <c r="C233" s="465" t="s">
        <v>468</v>
      </c>
      <c r="D233" s="135">
        <v>3036885991</v>
      </c>
      <c r="E233" s="135">
        <v>3036885991</v>
      </c>
      <c r="F233" s="135">
        <v>3036885991</v>
      </c>
      <c r="G233" s="135">
        <v>3036885991</v>
      </c>
      <c r="H233" s="527"/>
      <c r="I233" s="528"/>
      <c r="J233" s="528"/>
      <c r="K233" s="528"/>
    </row>
    <row r="234" spans="2:12" ht="15" customHeight="1">
      <c r="B234" s="464" t="s">
        <v>832</v>
      </c>
      <c r="C234" s="465" t="s">
        <v>832</v>
      </c>
      <c r="D234" s="135">
        <v>966942565.76069987</v>
      </c>
      <c r="E234" s="135">
        <v>966942565.76069987</v>
      </c>
      <c r="F234" s="135">
        <v>966942565.76069987</v>
      </c>
      <c r="G234" s="135">
        <v>966942565.76069987</v>
      </c>
      <c r="H234" s="527"/>
      <c r="I234" s="528"/>
      <c r="J234" s="528"/>
      <c r="K234" s="528"/>
    </row>
    <row r="235" spans="2:12" ht="15" customHeight="1">
      <c r="B235" s="464" t="s">
        <v>878</v>
      </c>
      <c r="C235" s="465" t="s">
        <v>878</v>
      </c>
      <c r="D235" s="135">
        <v>1067612662.5934</v>
      </c>
      <c r="E235" s="135">
        <v>1067612662.5934</v>
      </c>
      <c r="F235" s="135">
        <v>1067612662.5934</v>
      </c>
      <c r="G235" s="135">
        <v>1067612662.5934</v>
      </c>
      <c r="H235" s="527"/>
      <c r="I235" s="528"/>
      <c r="J235" s="528"/>
      <c r="K235" s="528"/>
    </row>
    <row r="236" spans="2:12" ht="15" customHeight="1">
      <c r="B236" s="464" t="s">
        <v>879</v>
      </c>
      <c r="C236" s="465" t="s">
        <v>879</v>
      </c>
      <c r="D236" s="135">
        <v>2843198545.8234</v>
      </c>
      <c r="E236" s="135">
        <v>2843198545.8234</v>
      </c>
      <c r="F236" s="135">
        <v>2843198545.8234</v>
      </c>
      <c r="G236" s="135">
        <v>2843198545.8234</v>
      </c>
      <c r="H236" s="527"/>
      <c r="I236" s="528"/>
      <c r="J236" s="528"/>
      <c r="K236" s="528"/>
    </row>
    <row r="237" spans="2:12" ht="15" customHeight="1">
      <c r="B237" s="464" t="s">
        <v>880</v>
      </c>
      <c r="C237" s="465" t="s">
        <v>880</v>
      </c>
      <c r="D237" s="135">
        <v>2918619304.4078999</v>
      </c>
      <c r="E237" s="135">
        <v>2918619304.4078999</v>
      </c>
      <c r="F237" s="135">
        <v>2918619304.4078999</v>
      </c>
      <c r="G237" s="135">
        <v>2918619304.4078999</v>
      </c>
      <c r="H237" s="527"/>
      <c r="I237" s="528"/>
      <c r="J237" s="528"/>
      <c r="K237" s="528"/>
    </row>
    <row r="238" spans="2:12" ht="15" customHeight="1">
      <c r="B238" s="464" t="s">
        <v>833</v>
      </c>
      <c r="C238" s="465" t="s">
        <v>833</v>
      </c>
      <c r="D238" s="135">
        <v>2775943263.5579</v>
      </c>
      <c r="E238" s="135">
        <v>2775943263.5579</v>
      </c>
      <c r="F238" s="135">
        <v>2775943263.5579</v>
      </c>
      <c r="G238" s="135">
        <v>2775943263.5579</v>
      </c>
      <c r="H238" s="527"/>
      <c r="I238" s="528"/>
      <c r="J238" s="528"/>
      <c r="K238" s="528"/>
    </row>
    <row r="239" spans="2:12" ht="15" customHeight="1">
      <c r="B239" s="464" t="s">
        <v>467</v>
      </c>
      <c r="C239" s="465" t="s">
        <v>467</v>
      </c>
      <c r="D239" s="135">
        <v>1782272583.832</v>
      </c>
      <c r="E239" s="135">
        <v>1782272583.832</v>
      </c>
      <c r="F239" s="135">
        <v>1782272583.832</v>
      </c>
      <c r="G239" s="135">
        <v>1782272583.832</v>
      </c>
      <c r="H239" s="527"/>
      <c r="I239" s="528"/>
      <c r="J239" s="528"/>
      <c r="K239" s="528"/>
    </row>
    <row r="240" spans="2:12" ht="15" customHeight="1">
      <c r="B240" s="464" t="s">
        <v>881</v>
      </c>
      <c r="C240" s="465" t="s">
        <v>881</v>
      </c>
      <c r="D240" s="135">
        <v>102753833.0059</v>
      </c>
      <c r="E240" s="135">
        <v>102753833.0059</v>
      </c>
      <c r="F240" s="135">
        <v>102753833.0059</v>
      </c>
      <c r="G240" s="135">
        <v>102753833.0059</v>
      </c>
      <c r="H240" s="527"/>
      <c r="I240" s="528"/>
      <c r="J240" s="528"/>
      <c r="K240" s="528"/>
    </row>
    <row r="241" spans="2:11" ht="15" customHeight="1">
      <c r="B241" s="464" t="s">
        <v>882</v>
      </c>
      <c r="C241" s="465" t="s">
        <v>882</v>
      </c>
      <c r="D241" s="135">
        <v>2846948577.2059002</v>
      </c>
      <c r="E241" s="135">
        <v>2846948577.2059002</v>
      </c>
      <c r="F241" s="135">
        <v>2846948577.2059002</v>
      </c>
      <c r="G241" s="135">
        <v>2846948577.2059002</v>
      </c>
      <c r="H241" s="527"/>
      <c r="I241" s="528"/>
      <c r="J241" s="528"/>
      <c r="K241" s="528"/>
    </row>
    <row r="242" spans="2:11" ht="15" customHeight="1">
      <c r="B242" s="464" t="s">
        <v>883</v>
      </c>
      <c r="C242" s="465" t="s">
        <v>883</v>
      </c>
      <c r="D242" s="135">
        <v>1424092804.8692</v>
      </c>
      <c r="E242" s="135">
        <v>1424092804.8692</v>
      </c>
      <c r="F242" s="135">
        <v>1424092804.8692</v>
      </c>
      <c r="G242" s="135">
        <v>1424092804.8692</v>
      </c>
      <c r="H242" s="527"/>
      <c r="I242" s="528"/>
      <c r="J242" s="528"/>
      <c r="K242" s="528"/>
    </row>
    <row r="243" spans="2:11" ht="15" customHeight="1">
      <c r="B243" s="464" t="s">
        <v>466</v>
      </c>
      <c r="C243" s="465" t="s">
        <v>466</v>
      </c>
      <c r="D243" s="135">
        <v>454156924</v>
      </c>
      <c r="E243" s="135">
        <v>454156924</v>
      </c>
      <c r="F243" s="135">
        <v>454156924</v>
      </c>
      <c r="G243" s="135">
        <v>454156924</v>
      </c>
      <c r="H243" s="527"/>
      <c r="I243" s="528"/>
      <c r="J243" s="528"/>
      <c r="K243" s="528"/>
    </row>
    <row r="244" spans="2:11" ht="15" customHeight="1">
      <c r="B244" s="464" t="s">
        <v>753</v>
      </c>
      <c r="C244" s="465" t="s">
        <v>753</v>
      </c>
      <c r="D244" s="135">
        <v>138846225</v>
      </c>
      <c r="E244" s="135">
        <v>138846225</v>
      </c>
      <c r="F244" s="135">
        <v>138846225</v>
      </c>
      <c r="G244" s="135">
        <v>138846225</v>
      </c>
      <c r="H244" s="527"/>
      <c r="I244" s="528"/>
      <c r="J244" s="528"/>
      <c r="K244" s="528"/>
    </row>
    <row r="245" spans="2:11" ht="15" customHeight="1">
      <c r="B245" s="464" t="s">
        <v>835</v>
      </c>
      <c r="C245" s="465" t="s">
        <v>835</v>
      </c>
      <c r="D245" s="135">
        <v>10009377014</v>
      </c>
      <c r="E245" s="135">
        <v>10009377014</v>
      </c>
      <c r="F245" s="135">
        <v>10009377014</v>
      </c>
      <c r="G245" s="135">
        <v>10009377014</v>
      </c>
      <c r="H245" s="527"/>
      <c r="I245" s="528"/>
      <c r="J245" s="528"/>
      <c r="K245" s="528"/>
    </row>
    <row r="246" spans="2:11" ht="15" customHeight="1">
      <c r="B246" s="464" t="s">
        <v>836</v>
      </c>
      <c r="C246" s="465" t="s">
        <v>836</v>
      </c>
      <c r="D246" s="135">
        <v>6240691553</v>
      </c>
      <c r="E246" s="135">
        <v>6240691553</v>
      </c>
      <c r="F246" s="135">
        <v>6240691553</v>
      </c>
      <c r="G246" s="135">
        <v>6240691553</v>
      </c>
      <c r="H246" s="527"/>
      <c r="I246" s="528"/>
      <c r="J246" s="528"/>
      <c r="K246" s="528"/>
    </row>
    <row r="247" spans="2:11" ht="15" customHeight="1">
      <c r="B247" s="464" t="s">
        <v>884</v>
      </c>
      <c r="C247" s="465" t="s">
        <v>884</v>
      </c>
      <c r="D247" s="135">
        <v>84117289</v>
      </c>
      <c r="E247" s="135">
        <v>84117289</v>
      </c>
      <c r="F247" s="135">
        <v>84117289</v>
      </c>
      <c r="G247" s="135">
        <v>84117289</v>
      </c>
      <c r="H247" s="527"/>
      <c r="I247" s="528"/>
      <c r="J247" s="528"/>
      <c r="K247" s="528"/>
    </row>
    <row r="248" spans="2:11" ht="15" customHeight="1">
      <c r="B248" s="464" t="s">
        <v>885</v>
      </c>
      <c r="C248" s="465" t="s">
        <v>885</v>
      </c>
      <c r="D248" s="135">
        <v>176856667</v>
      </c>
      <c r="E248" s="135">
        <v>176856667</v>
      </c>
      <c r="F248" s="135">
        <v>176856667</v>
      </c>
      <c r="G248" s="135">
        <v>176856667</v>
      </c>
      <c r="H248" s="527"/>
      <c r="I248" s="528"/>
      <c r="J248" s="528"/>
      <c r="K248" s="528"/>
    </row>
    <row r="249" spans="2:11" ht="15" customHeight="1">
      <c r="B249" s="464" t="s">
        <v>886</v>
      </c>
      <c r="C249" s="465" t="s">
        <v>886</v>
      </c>
      <c r="D249" s="135">
        <v>107380157.7057</v>
      </c>
      <c r="E249" s="135">
        <v>107380157.7057</v>
      </c>
      <c r="F249" s="135">
        <v>107380157.7057</v>
      </c>
      <c r="G249" s="135">
        <v>107380157.7057</v>
      </c>
      <c r="H249" s="527"/>
      <c r="I249" s="528"/>
      <c r="J249" s="528"/>
      <c r="K249" s="528"/>
    </row>
    <row r="250" spans="2:11" ht="15" customHeight="1">
      <c r="B250" s="464" t="s">
        <v>835</v>
      </c>
      <c r="C250" s="465" t="s">
        <v>835</v>
      </c>
      <c r="D250" s="135">
        <v>14337401.7206</v>
      </c>
      <c r="E250" s="135">
        <v>14337401.7206</v>
      </c>
      <c r="F250" s="135">
        <v>14337401.7206</v>
      </c>
      <c r="G250" s="135">
        <v>14337401.7206</v>
      </c>
      <c r="H250" s="527"/>
      <c r="I250" s="528"/>
      <c r="J250" s="528"/>
      <c r="K250" s="528"/>
    </row>
    <row r="251" spans="2:11" ht="15" customHeight="1">
      <c r="B251" s="464" t="s">
        <v>465</v>
      </c>
      <c r="C251" s="465" t="s">
        <v>465</v>
      </c>
      <c r="D251" s="135">
        <v>29347154.513799999</v>
      </c>
      <c r="E251" s="135">
        <v>29347154.513799999</v>
      </c>
      <c r="F251" s="135">
        <v>29347154.513799999</v>
      </c>
      <c r="G251" s="135">
        <v>29347154.513799999</v>
      </c>
      <c r="H251" s="527"/>
      <c r="I251" s="528"/>
      <c r="J251" s="528"/>
      <c r="K251" s="528"/>
    </row>
    <row r="252" spans="2:11" ht="15" customHeight="1">
      <c r="B252" s="464" t="s">
        <v>887</v>
      </c>
      <c r="C252" s="465" t="s">
        <v>887</v>
      </c>
      <c r="D252" s="135">
        <v>1973382111.4186001</v>
      </c>
      <c r="E252" s="135">
        <v>1973382111.4186001</v>
      </c>
      <c r="F252" s="135">
        <v>1973382111.4186001</v>
      </c>
      <c r="G252" s="135">
        <v>1973382111.4186001</v>
      </c>
      <c r="H252" s="527"/>
      <c r="I252" s="528"/>
      <c r="J252" s="528"/>
      <c r="K252" s="528"/>
    </row>
    <row r="253" spans="2:11" ht="15" customHeight="1">
      <c r="B253" s="464" t="s">
        <v>466</v>
      </c>
      <c r="C253" s="465" t="s">
        <v>466</v>
      </c>
      <c r="D253" s="135">
        <v>38364046134</v>
      </c>
      <c r="E253" s="135">
        <v>38364046134</v>
      </c>
      <c r="F253" s="135">
        <v>38364046134</v>
      </c>
      <c r="G253" s="135">
        <v>38364046134</v>
      </c>
      <c r="H253" s="527"/>
      <c r="I253" s="528"/>
      <c r="J253" s="528"/>
      <c r="K253" s="528"/>
    </row>
    <row r="254" spans="2:11" ht="15" customHeight="1">
      <c r="B254" s="464" t="s">
        <v>467</v>
      </c>
      <c r="C254" s="465" t="s">
        <v>467</v>
      </c>
      <c r="D254" s="135">
        <v>10091361289</v>
      </c>
      <c r="E254" s="135">
        <v>10091361289</v>
      </c>
      <c r="F254" s="135">
        <v>10091361289</v>
      </c>
      <c r="G254" s="135">
        <v>10091361289</v>
      </c>
      <c r="H254" s="527"/>
      <c r="I254" s="528"/>
      <c r="J254" s="528"/>
      <c r="K254" s="528"/>
    </row>
    <row r="255" spans="2:11" ht="15" customHeight="1">
      <c r="B255" s="464" t="s">
        <v>473</v>
      </c>
      <c r="C255" s="465" t="s">
        <v>473</v>
      </c>
      <c r="D255" s="135">
        <v>16108358815</v>
      </c>
      <c r="E255" s="135">
        <v>16108358815</v>
      </c>
      <c r="F255" s="135">
        <v>16108358815</v>
      </c>
      <c r="G255" s="135">
        <v>16108358815</v>
      </c>
      <c r="H255" s="527"/>
      <c r="I255" s="528"/>
      <c r="J255" s="528"/>
      <c r="K255" s="528"/>
    </row>
    <row r="256" spans="2:11" ht="15" customHeight="1">
      <c r="B256" s="464" t="s">
        <v>834</v>
      </c>
      <c r="C256" s="465" t="s">
        <v>834</v>
      </c>
      <c r="D256" s="135">
        <v>27000000</v>
      </c>
      <c r="E256" s="135">
        <v>27000000</v>
      </c>
      <c r="F256" s="135">
        <v>27000000</v>
      </c>
      <c r="G256" s="135">
        <v>27000000</v>
      </c>
      <c r="H256" s="527"/>
      <c r="I256" s="528"/>
      <c r="J256" s="528"/>
      <c r="K256" s="528"/>
    </row>
    <row r="257" spans="2:11" ht="15" customHeight="1">
      <c r="B257" s="464" t="s">
        <v>837</v>
      </c>
      <c r="C257" s="465" t="s">
        <v>837</v>
      </c>
      <c r="D257" s="135">
        <v>4022563420</v>
      </c>
      <c r="E257" s="135">
        <v>4022563420</v>
      </c>
      <c r="F257" s="135">
        <v>4022563420</v>
      </c>
      <c r="G257" s="135">
        <v>4022563420</v>
      </c>
      <c r="H257" s="527"/>
      <c r="I257" s="528"/>
      <c r="J257" s="528"/>
      <c r="K257" s="528"/>
    </row>
    <row r="258" spans="2:11" ht="15" customHeight="1">
      <c r="B258" s="464" t="s">
        <v>836</v>
      </c>
      <c r="C258" s="465" t="s">
        <v>836</v>
      </c>
      <c r="D258" s="135">
        <v>515569506</v>
      </c>
      <c r="E258" s="135">
        <v>515569506</v>
      </c>
      <c r="F258" s="135">
        <v>515569506</v>
      </c>
      <c r="G258" s="135">
        <v>515569506</v>
      </c>
      <c r="H258" s="527"/>
      <c r="I258" s="528"/>
      <c r="J258" s="528"/>
      <c r="K258" s="528"/>
    </row>
    <row r="259" spans="2:11" ht="15" customHeight="1">
      <c r="B259" s="464" t="s">
        <v>469</v>
      </c>
      <c r="C259" s="465" t="s">
        <v>469</v>
      </c>
      <c r="D259" s="135">
        <v>14063198190</v>
      </c>
      <c r="E259" s="135">
        <v>14063198190</v>
      </c>
      <c r="F259" s="135">
        <v>14063198190</v>
      </c>
      <c r="G259" s="135">
        <v>14063198190</v>
      </c>
      <c r="H259" s="527"/>
      <c r="I259" s="528"/>
      <c r="J259" s="528"/>
      <c r="K259" s="528"/>
    </row>
    <row r="260" spans="2:11" ht="15" customHeight="1">
      <c r="B260" s="464" t="s">
        <v>886</v>
      </c>
      <c r="C260" s="465" t="s">
        <v>886</v>
      </c>
      <c r="D260" s="135">
        <v>2425351608.7289</v>
      </c>
      <c r="E260" s="135">
        <v>2425351608.7289</v>
      </c>
      <c r="F260" s="135">
        <v>2425351608.7289</v>
      </c>
      <c r="G260" s="135">
        <v>2425351608.7289</v>
      </c>
      <c r="H260" s="527"/>
      <c r="I260" s="528"/>
      <c r="J260" s="528"/>
      <c r="K260" s="528"/>
    </row>
    <row r="261" spans="2:11" ht="15" customHeight="1">
      <c r="B261" s="464" t="s">
        <v>837</v>
      </c>
      <c r="C261" s="465" t="s">
        <v>837</v>
      </c>
      <c r="D261" s="135">
        <v>1376392122.529</v>
      </c>
      <c r="E261" s="135">
        <v>1376392122.529</v>
      </c>
      <c r="F261" s="135">
        <v>1376392122.529</v>
      </c>
      <c r="G261" s="135">
        <v>1376392122.529</v>
      </c>
      <c r="H261" s="527"/>
      <c r="I261" s="528"/>
      <c r="J261" s="528"/>
      <c r="K261" s="528"/>
    </row>
    <row r="262" spans="2:11" ht="15" customHeight="1">
      <c r="B262" s="468" t="s">
        <v>870</v>
      </c>
      <c r="C262" s="469"/>
      <c r="D262" s="377">
        <f>SUM(D223:D261)</f>
        <v>143076280500.67291</v>
      </c>
      <c r="E262" s="377">
        <f t="shared" ref="E262:G262" si="7">SUM(E223:E261)</f>
        <v>143076280500.67291</v>
      </c>
      <c r="F262" s="377">
        <f t="shared" si="7"/>
        <v>143076280500.67291</v>
      </c>
      <c r="G262" s="377">
        <f t="shared" si="7"/>
        <v>143076280500.67291</v>
      </c>
      <c r="H262" s="527"/>
      <c r="I262" s="528"/>
      <c r="J262" s="528"/>
      <c r="K262" s="528"/>
    </row>
    <row r="263" spans="2:11" ht="15" customHeight="1">
      <c r="B263" s="466" t="s">
        <v>773</v>
      </c>
      <c r="C263" s="467"/>
      <c r="D263" s="378"/>
      <c r="E263" s="379"/>
      <c r="F263" s="379"/>
      <c r="G263" s="380"/>
      <c r="H263" s="527"/>
      <c r="I263" s="528"/>
      <c r="J263" s="528"/>
      <c r="K263" s="528"/>
    </row>
    <row r="264" spans="2:11" ht="15" customHeight="1">
      <c r="B264" s="464" t="s">
        <v>776</v>
      </c>
      <c r="C264" s="465"/>
      <c r="D264" s="375">
        <v>6301400000</v>
      </c>
      <c r="E264" s="375">
        <v>6301400000</v>
      </c>
      <c r="F264" s="375">
        <v>6301400000</v>
      </c>
      <c r="G264" s="375">
        <v>6301400000</v>
      </c>
      <c r="H264" s="527"/>
      <c r="I264" s="528"/>
      <c r="J264" s="528"/>
      <c r="K264" s="528"/>
    </row>
    <row r="265" spans="2:11" ht="15" customHeight="1">
      <c r="B265" s="464" t="s">
        <v>472</v>
      </c>
      <c r="C265" s="465"/>
      <c r="D265" s="375">
        <v>200000000</v>
      </c>
      <c r="E265" s="375">
        <v>200000000</v>
      </c>
      <c r="F265" s="375">
        <v>200000000</v>
      </c>
      <c r="G265" s="375">
        <v>900000000</v>
      </c>
      <c r="H265" s="527"/>
      <c r="I265" s="528"/>
      <c r="J265" s="528"/>
      <c r="K265" s="528"/>
    </row>
    <row r="266" spans="2:11" ht="15" customHeight="1">
      <c r="B266" s="468" t="s">
        <v>871</v>
      </c>
      <c r="C266" s="469"/>
      <c r="D266" s="260">
        <v>6501400000</v>
      </c>
      <c r="E266" s="260">
        <v>6501400000</v>
      </c>
      <c r="F266" s="260">
        <v>6501400000</v>
      </c>
      <c r="G266" s="260">
        <v>7201400000</v>
      </c>
      <c r="H266" s="527"/>
      <c r="I266" s="528"/>
      <c r="J266" s="528"/>
      <c r="K266" s="528"/>
    </row>
    <row r="267" spans="2:11">
      <c r="B267" s="261"/>
      <c r="C267" s="261"/>
      <c r="D267" s="262"/>
      <c r="E267" s="263"/>
      <c r="F267" s="264"/>
      <c r="G267" s="265"/>
      <c r="H267" s="266"/>
      <c r="I267" s="266"/>
      <c r="J267" s="266"/>
      <c r="K267" s="266"/>
    </row>
    <row r="268" spans="2:11">
      <c r="H268" s="167"/>
      <c r="J268" s="179"/>
    </row>
    <row r="269" spans="2:11">
      <c r="B269" s="523" t="s">
        <v>135</v>
      </c>
      <c r="C269" s="523"/>
      <c r="D269" s="523"/>
      <c r="E269" s="523"/>
      <c r="F269" s="523"/>
      <c r="H269" s="180"/>
      <c r="J269" s="179"/>
    </row>
    <row r="270" spans="2:11" ht="26.4">
      <c r="B270" s="479" t="s">
        <v>136</v>
      </c>
      <c r="C270" s="480"/>
      <c r="D270" s="101" t="s">
        <v>137</v>
      </c>
      <c r="E270" s="101" t="s">
        <v>241</v>
      </c>
      <c r="F270" s="361" t="s">
        <v>242</v>
      </c>
      <c r="H270" s="167"/>
      <c r="J270" s="179"/>
    </row>
    <row r="271" spans="2:11" ht="15" customHeight="1">
      <c r="B271" s="462" t="s">
        <v>138</v>
      </c>
      <c r="C271" s="463"/>
      <c r="D271" s="268">
        <v>200000000</v>
      </c>
      <c r="E271" s="269">
        <v>900000000</v>
      </c>
      <c r="F271" s="269">
        <v>900000000</v>
      </c>
      <c r="G271" s="270"/>
      <c r="H271" s="180"/>
    </row>
    <row r="272" spans="2:11" ht="15" customHeight="1">
      <c r="B272" s="489" t="s">
        <v>888</v>
      </c>
      <c r="C272" s="490"/>
      <c r="D272" s="140">
        <v>200000000</v>
      </c>
      <c r="E272" s="140">
        <v>900000000</v>
      </c>
      <c r="F272" s="128">
        <v>900000000</v>
      </c>
      <c r="H272" s="167"/>
      <c r="I272" s="180"/>
      <c r="J272" s="180"/>
      <c r="K272" s="180"/>
    </row>
    <row r="273" spans="2:11" ht="15" customHeight="1">
      <c r="B273" s="489" t="s">
        <v>471</v>
      </c>
      <c r="C273" s="490"/>
      <c r="D273" s="140">
        <v>200000000</v>
      </c>
      <c r="E273" s="140">
        <v>900000000</v>
      </c>
      <c r="F273" s="128">
        <v>900000000</v>
      </c>
      <c r="I273" s="180"/>
      <c r="J273" s="180"/>
      <c r="K273" s="180"/>
    </row>
    <row r="274" spans="2:11">
      <c r="H274" s="179"/>
      <c r="I274" s="180"/>
      <c r="J274" s="180"/>
      <c r="K274" s="180"/>
    </row>
    <row r="275" spans="2:11" ht="12.75" customHeight="1">
      <c r="B275" s="271" t="s">
        <v>619</v>
      </c>
      <c r="C275" s="271" t="s">
        <v>105</v>
      </c>
      <c r="H275" s="179"/>
    </row>
    <row r="276" spans="2:11">
      <c r="C276" s="272" t="s">
        <v>139</v>
      </c>
    </row>
    <row r="277" spans="2:11">
      <c r="K277" s="180"/>
    </row>
    <row r="278" spans="2:11" ht="27.75" customHeight="1">
      <c r="B278" s="474" t="s">
        <v>140</v>
      </c>
      <c r="C278" s="475"/>
      <c r="D278" s="367" t="s">
        <v>661</v>
      </c>
      <c r="E278" s="101" t="s">
        <v>244</v>
      </c>
      <c r="F278" s="101" t="s">
        <v>245</v>
      </c>
      <c r="G278" s="180"/>
      <c r="I278" s="180"/>
    </row>
    <row r="279" spans="2:11" ht="15" customHeight="1">
      <c r="B279" s="462" t="s">
        <v>660</v>
      </c>
      <c r="C279" s="463"/>
      <c r="D279" s="174" t="s">
        <v>658</v>
      </c>
      <c r="E279" s="134">
        <v>60818093</v>
      </c>
      <c r="F279" s="134">
        <v>0</v>
      </c>
      <c r="G279" s="150"/>
      <c r="I279" s="180"/>
    </row>
    <row r="280" spans="2:11" ht="15" customHeight="1">
      <c r="B280" s="462" t="s">
        <v>659</v>
      </c>
      <c r="C280" s="463"/>
      <c r="D280" s="174" t="s">
        <v>658</v>
      </c>
      <c r="E280" s="134">
        <v>3118809</v>
      </c>
      <c r="F280" s="134">
        <v>0</v>
      </c>
      <c r="G280" s="180"/>
    </row>
    <row r="281" spans="2:11" ht="15" customHeight="1">
      <c r="B281" s="478" t="s">
        <v>869</v>
      </c>
      <c r="C281" s="478"/>
      <c r="D281" s="478"/>
      <c r="E281" s="140">
        <f>SUM(E279:E280)</f>
        <v>63936902</v>
      </c>
      <c r="F281" s="134">
        <v>0</v>
      </c>
      <c r="G281" s="150"/>
    </row>
    <row r="282" spans="2:11" ht="15" customHeight="1">
      <c r="B282" s="478" t="s">
        <v>457</v>
      </c>
      <c r="C282" s="478"/>
      <c r="D282" s="478"/>
      <c r="E282" s="140">
        <v>1208630140</v>
      </c>
      <c r="F282" s="134">
        <v>0</v>
      </c>
      <c r="G282" s="150"/>
    </row>
    <row r="283" spans="2:11">
      <c r="H283" s="180"/>
    </row>
    <row r="284" spans="2:11">
      <c r="C284" s="272" t="s">
        <v>209</v>
      </c>
    </row>
    <row r="286" spans="2:11" ht="27" customHeight="1">
      <c r="B286" s="474" t="s">
        <v>140</v>
      </c>
      <c r="C286" s="530"/>
      <c r="D286" s="475"/>
      <c r="E286" s="367" t="s">
        <v>214</v>
      </c>
      <c r="F286" s="367" t="s">
        <v>215</v>
      </c>
      <c r="H286" s="180"/>
    </row>
    <row r="287" spans="2:11" ht="15" customHeight="1">
      <c r="B287" s="459" t="s">
        <v>794</v>
      </c>
      <c r="C287" s="460"/>
      <c r="D287" s="461"/>
      <c r="E287" s="130">
        <v>1757169581</v>
      </c>
      <c r="F287" s="130">
        <v>0</v>
      </c>
      <c r="H287" s="180"/>
    </row>
    <row r="288" spans="2:11" ht="15" customHeight="1">
      <c r="B288" s="459" t="s">
        <v>889</v>
      </c>
      <c r="C288" s="460"/>
      <c r="D288" s="461"/>
      <c r="E288" s="130">
        <v>525239837</v>
      </c>
      <c r="F288" s="130"/>
      <c r="H288" s="180"/>
    </row>
    <row r="289" spans="2:9" ht="15" customHeight="1">
      <c r="B289" s="387" t="s">
        <v>892</v>
      </c>
      <c r="C289" s="389"/>
      <c r="D289" s="388"/>
      <c r="E289" s="130">
        <v>4061845</v>
      </c>
      <c r="F289" s="130"/>
      <c r="H289" s="180"/>
    </row>
    <row r="290" spans="2:9" ht="15" customHeight="1">
      <c r="B290" s="478" t="s">
        <v>869</v>
      </c>
      <c r="C290" s="478"/>
      <c r="D290" s="478"/>
      <c r="E290" s="139">
        <f>SUM(E287:E289)</f>
        <v>2286471263</v>
      </c>
      <c r="F290" s="139">
        <f>SUM(F287:F289)</f>
        <v>0</v>
      </c>
      <c r="H290" s="180"/>
    </row>
    <row r="291" spans="2:9" ht="15" customHeight="1">
      <c r="B291" s="478" t="s">
        <v>457</v>
      </c>
      <c r="C291" s="478"/>
      <c r="D291" s="478"/>
      <c r="E291" s="139">
        <v>503320959</v>
      </c>
      <c r="F291" s="139">
        <v>0</v>
      </c>
      <c r="H291" s="180"/>
    </row>
    <row r="292" spans="2:9">
      <c r="B292" s="184"/>
      <c r="C292" s="184"/>
      <c r="D292" s="274"/>
      <c r="E292" s="274"/>
      <c r="H292" s="180"/>
    </row>
    <row r="293" spans="2:9" hidden="1">
      <c r="B293" s="272" t="s">
        <v>141</v>
      </c>
      <c r="C293" s="272"/>
      <c r="D293" s="275"/>
      <c r="E293" s="159"/>
      <c r="F293" s="276"/>
      <c r="G293" s="276"/>
      <c r="H293" s="277"/>
    </row>
    <row r="294" spans="2:9" hidden="1">
      <c r="B294" s="184"/>
      <c r="C294" s="184"/>
      <c r="D294" s="274"/>
      <c r="E294" s="274"/>
      <c r="H294" s="180"/>
    </row>
    <row r="295" spans="2:9" ht="30.75" hidden="1" customHeight="1">
      <c r="B295" s="529" t="s">
        <v>140</v>
      </c>
      <c r="C295" s="529"/>
      <c r="D295" s="273" t="s">
        <v>661</v>
      </c>
      <c r="E295" s="278" t="s">
        <v>244</v>
      </c>
      <c r="F295" s="278" t="s">
        <v>245</v>
      </c>
      <c r="H295" s="180"/>
    </row>
    <row r="296" spans="2:9" ht="15" hidden="1" customHeight="1">
      <c r="B296" s="462" t="s">
        <v>150</v>
      </c>
      <c r="C296" s="463"/>
      <c r="D296" s="174"/>
      <c r="E296" s="134">
        <v>0</v>
      </c>
      <c r="F296" s="134">
        <v>0</v>
      </c>
      <c r="H296" s="180"/>
    </row>
    <row r="297" spans="2:9" ht="15" hidden="1" customHeight="1">
      <c r="B297" s="462" t="s">
        <v>196</v>
      </c>
      <c r="C297" s="463"/>
      <c r="D297" s="174"/>
      <c r="E297" s="134">
        <v>0</v>
      </c>
      <c r="F297" s="134">
        <v>0</v>
      </c>
      <c r="H297" s="180"/>
    </row>
    <row r="298" spans="2:9" ht="15" hidden="1" customHeight="1">
      <c r="B298" s="478" t="s">
        <v>457</v>
      </c>
      <c r="C298" s="478"/>
      <c r="D298" s="478"/>
      <c r="E298" s="133">
        <v>0</v>
      </c>
      <c r="F298" s="133">
        <v>0</v>
      </c>
      <c r="H298" s="180"/>
    </row>
    <row r="299" spans="2:9" ht="15" hidden="1" customHeight="1">
      <c r="B299" s="478" t="s">
        <v>287</v>
      </c>
      <c r="C299" s="478"/>
      <c r="D299" s="478"/>
      <c r="E299" s="133">
        <v>0</v>
      </c>
      <c r="F299" s="133">
        <v>0</v>
      </c>
      <c r="H299" s="180"/>
    </row>
    <row r="300" spans="2:9" hidden="1">
      <c r="B300" s="184"/>
      <c r="C300" s="184"/>
      <c r="D300" s="274"/>
      <c r="E300" s="274"/>
      <c r="H300" s="180"/>
    </row>
    <row r="301" spans="2:9">
      <c r="B301" s="277"/>
      <c r="C301" s="277"/>
      <c r="D301" s="277"/>
      <c r="E301" s="277"/>
      <c r="F301" s="276"/>
      <c r="G301" s="276"/>
      <c r="H301" s="277"/>
    </row>
    <row r="302" spans="2:9">
      <c r="B302" s="161" t="s">
        <v>620</v>
      </c>
      <c r="C302" s="161" t="s">
        <v>227</v>
      </c>
      <c r="D302" s="161"/>
      <c r="E302" s="161"/>
      <c r="F302" s="279"/>
      <c r="G302" s="279"/>
      <c r="H302" s="280"/>
    </row>
    <row r="303" spans="2:9">
      <c r="B303" s="281"/>
      <c r="C303" s="281"/>
      <c r="D303" s="281"/>
      <c r="H303" s="180"/>
    </row>
    <row r="304" spans="2:9" ht="18" customHeight="1">
      <c r="B304" s="567" t="s">
        <v>132</v>
      </c>
      <c r="C304" s="567"/>
      <c r="D304" s="567"/>
      <c r="E304" s="512" t="s">
        <v>243</v>
      </c>
      <c r="F304" s="526"/>
      <c r="G304" s="526"/>
      <c r="H304" s="526"/>
      <c r="I304" s="513"/>
    </row>
    <row r="305" spans="2:12" ht="33.6" customHeight="1">
      <c r="B305" s="567"/>
      <c r="C305" s="567"/>
      <c r="D305" s="567"/>
      <c r="E305" s="101" t="s">
        <v>795</v>
      </c>
      <c r="F305" s="101" t="s">
        <v>796</v>
      </c>
      <c r="G305" s="361" t="s">
        <v>797</v>
      </c>
      <c r="H305" s="361" t="s">
        <v>798</v>
      </c>
      <c r="I305" s="101" t="s">
        <v>872</v>
      </c>
    </row>
    <row r="306" spans="2:12" ht="15" customHeight="1">
      <c r="B306" s="568" t="s">
        <v>801</v>
      </c>
      <c r="C306" s="568"/>
      <c r="D306" s="568"/>
      <c r="E306" s="130">
        <v>281374613</v>
      </c>
      <c r="F306" s="130">
        <v>60810424</v>
      </c>
      <c r="G306" s="130">
        <v>0</v>
      </c>
      <c r="H306" s="138">
        <v>0</v>
      </c>
      <c r="I306" s="129">
        <f>+E306+F306-G306+H306</f>
        <v>342185037</v>
      </c>
    </row>
    <row r="307" spans="2:12" ht="15" customHeight="1">
      <c r="B307" s="568" t="s">
        <v>142</v>
      </c>
      <c r="C307" s="568"/>
      <c r="D307" s="568"/>
      <c r="E307" s="130">
        <v>862782399</v>
      </c>
      <c r="F307" s="130">
        <v>149127962</v>
      </c>
      <c r="G307" s="130">
        <v>0</v>
      </c>
      <c r="H307" s="138">
        <v>0</v>
      </c>
      <c r="I307" s="129">
        <f t="shared" ref="I307:I312" si="8">+E307+F307-G307+H307</f>
        <v>1011910361</v>
      </c>
      <c r="J307" s="180"/>
    </row>
    <row r="308" spans="2:12" ht="15" customHeight="1">
      <c r="B308" s="568" t="s">
        <v>198</v>
      </c>
      <c r="C308" s="568"/>
      <c r="D308" s="568"/>
      <c r="E308" s="130">
        <v>22223097</v>
      </c>
      <c r="F308" s="130">
        <v>0</v>
      </c>
      <c r="G308" s="130">
        <v>0</v>
      </c>
      <c r="H308" s="138">
        <v>0</v>
      </c>
      <c r="I308" s="129">
        <f t="shared" si="8"/>
        <v>22223097</v>
      </c>
    </row>
    <row r="309" spans="2:12" ht="15" customHeight="1">
      <c r="B309" s="568" t="s">
        <v>143</v>
      </c>
      <c r="C309" s="568"/>
      <c r="D309" s="568"/>
      <c r="E309" s="130">
        <v>273267967</v>
      </c>
      <c r="F309" s="130">
        <v>136223608</v>
      </c>
      <c r="G309" s="130">
        <v>0</v>
      </c>
      <c r="H309" s="138">
        <v>0</v>
      </c>
      <c r="I309" s="129">
        <f t="shared" si="8"/>
        <v>409491575</v>
      </c>
    </row>
    <row r="310" spans="2:12" ht="15" customHeight="1">
      <c r="B310" s="568" t="s">
        <v>144</v>
      </c>
      <c r="C310" s="568"/>
      <c r="D310" s="568"/>
      <c r="E310" s="130">
        <v>50135236</v>
      </c>
      <c r="F310" s="130">
        <v>0</v>
      </c>
      <c r="G310" s="130">
        <v>0</v>
      </c>
      <c r="H310" s="138">
        <v>0</v>
      </c>
      <c r="I310" s="129">
        <f t="shared" si="8"/>
        <v>50135236</v>
      </c>
    </row>
    <row r="311" spans="2:12" ht="15" customHeight="1">
      <c r="B311" s="470" t="s">
        <v>874</v>
      </c>
      <c r="C311" s="569"/>
      <c r="D311" s="471"/>
      <c r="E311" s="129">
        <f>SUM(E306:E310)</f>
        <v>1489783312</v>
      </c>
      <c r="F311" s="129">
        <f>SUM(F306:F310)</f>
        <v>346161994</v>
      </c>
      <c r="G311" s="129">
        <f t="shared" ref="G311:H311" si="9">SUM(G306:G310)</f>
        <v>0</v>
      </c>
      <c r="H311" s="129">
        <f t="shared" si="9"/>
        <v>0</v>
      </c>
      <c r="I311" s="129">
        <f t="shared" si="8"/>
        <v>1835945306</v>
      </c>
      <c r="L311" s="180"/>
    </row>
    <row r="312" spans="2:12" ht="15" customHeight="1">
      <c r="B312" s="470" t="s">
        <v>458</v>
      </c>
      <c r="C312" s="569"/>
      <c r="D312" s="471"/>
      <c r="E312" s="129">
        <v>1546783651</v>
      </c>
      <c r="F312" s="129">
        <v>126024361</v>
      </c>
      <c r="G312" s="282">
        <v>183024700</v>
      </c>
      <c r="H312" s="282">
        <v>0</v>
      </c>
      <c r="I312" s="129">
        <f t="shared" si="8"/>
        <v>1489783312</v>
      </c>
    </row>
    <row r="313" spans="2:12" ht="18" customHeight="1">
      <c r="B313" s="533" t="s">
        <v>132</v>
      </c>
      <c r="C313" s="534"/>
      <c r="D313" s="512" t="s">
        <v>145</v>
      </c>
      <c r="E313" s="526"/>
      <c r="F313" s="526"/>
      <c r="G313" s="526"/>
      <c r="H313" s="526"/>
      <c r="I313" s="526"/>
      <c r="K313" s="283"/>
    </row>
    <row r="314" spans="2:12" ht="36.6" customHeight="1">
      <c r="B314" s="535"/>
      <c r="C314" s="536"/>
      <c r="D314" s="101" t="s">
        <v>799</v>
      </c>
      <c r="E314" s="101" t="s">
        <v>796</v>
      </c>
      <c r="F314" s="361" t="s">
        <v>797</v>
      </c>
      <c r="G314" s="371" t="s">
        <v>798</v>
      </c>
      <c r="H314" s="361" t="s">
        <v>800</v>
      </c>
      <c r="I314" s="101" t="s">
        <v>873</v>
      </c>
    </row>
    <row r="315" spans="2:12" ht="15" customHeight="1">
      <c r="B315" s="240" t="s">
        <v>801</v>
      </c>
      <c r="C315" s="240"/>
      <c r="D315" s="130">
        <v>76329262</v>
      </c>
      <c r="E315" s="130">
        <v>34190784</v>
      </c>
      <c r="F315" s="130">
        <v>0</v>
      </c>
      <c r="G315" s="138">
        <v>0</v>
      </c>
      <c r="H315" s="138">
        <f>+E315-F315+G315</f>
        <v>34190784</v>
      </c>
      <c r="I315" s="130">
        <f>+D315+H315</f>
        <v>110520046</v>
      </c>
      <c r="J315" s="284"/>
    </row>
    <row r="316" spans="2:12" ht="15" customHeight="1">
      <c r="B316" s="240" t="s">
        <v>142</v>
      </c>
      <c r="C316" s="240"/>
      <c r="D316" s="130">
        <v>371876529</v>
      </c>
      <c r="E316" s="130">
        <v>195097707</v>
      </c>
      <c r="F316" s="130">
        <v>0</v>
      </c>
      <c r="G316" s="138">
        <v>0</v>
      </c>
      <c r="H316" s="138">
        <f t="shared" ref="H316:H319" si="10">+E316-F316+G316</f>
        <v>195097707</v>
      </c>
      <c r="I316" s="130">
        <f t="shared" ref="I316:I319" si="11">+D316+H316</f>
        <v>566974236</v>
      </c>
      <c r="J316" s="284"/>
    </row>
    <row r="317" spans="2:12" ht="15" customHeight="1">
      <c r="B317" s="240" t="s">
        <v>198</v>
      </c>
      <c r="C317" s="240"/>
      <c r="D317" s="130">
        <v>29099985</v>
      </c>
      <c r="E317" s="130">
        <v>1941318</v>
      </c>
      <c r="F317" s="130">
        <v>0</v>
      </c>
      <c r="G317" s="138">
        <v>0</v>
      </c>
      <c r="H317" s="138">
        <f t="shared" si="10"/>
        <v>1941318</v>
      </c>
      <c r="I317" s="130">
        <f t="shared" si="11"/>
        <v>31041303</v>
      </c>
      <c r="J317" s="284"/>
    </row>
    <row r="318" spans="2:12" ht="15" customHeight="1">
      <c r="B318" s="240" t="s">
        <v>143</v>
      </c>
      <c r="C318" s="240"/>
      <c r="D318" s="130">
        <v>76970998</v>
      </c>
      <c r="E318" s="130">
        <v>33184134</v>
      </c>
      <c r="F318" s="130">
        <v>0</v>
      </c>
      <c r="G318" s="138">
        <v>0</v>
      </c>
      <c r="H318" s="138">
        <f t="shared" si="10"/>
        <v>33184134</v>
      </c>
      <c r="I318" s="130">
        <f t="shared" si="11"/>
        <v>110155132</v>
      </c>
      <c r="J318" s="284"/>
    </row>
    <row r="319" spans="2:12" ht="15" customHeight="1">
      <c r="B319" s="240" t="s">
        <v>144</v>
      </c>
      <c r="C319" s="240"/>
      <c r="D319" s="130">
        <v>16934483</v>
      </c>
      <c r="E319" s="130">
        <v>6350436</v>
      </c>
      <c r="F319" s="130">
        <v>0</v>
      </c>
      <c r="G319" s="138">
        <v>0</v>
      </c>
      <c r="H319" s="138">
        <f t="shared" si="10"/>
        <v>6350436</v>
      </c>
      <c r="I319" s="130">
        <f t="shared" si="11"/>
        <v>23284919</v>
      </c>
      <c r="J319" s="284"/>
    </row>
    <row r="320" spans="2:12" ht="15" customHeight="1">
      <c r="B320" s="470" t="s">
        <v>874</v>
      </c>
      <c r="C320" s="471"/>
      <c r="D320" s="129">
        <f>SUM(D315:D319)</f>
        <v>571211257</v>
      </c>
      <c r="E320" s="129">
        <f t="shared" ref="E320:H320" si="12">SUM(E315:E319)</f>
        <v>270764379</v>
      </c>
      <c r="F320" s="129">
        <f>SUM(F315:F319)</f>
        <v>0</v>
      </c>
      <c r="G320" s="129">
        <f t="shared" si="12"/>
        <v>0</v>
      </c>
      <c r="H320" s="129">
        <f t="shared" si="12"/>
        <v>270764379</v>
      </c>
      <c r="I320" s="129">
        <f>SUM(I315:I319)</f>
        <v>841975636</v>
      </c>
      <c r="J320" s="180"/>
      <c r="K320" s="180"/>
    </row>
    <row r="321" spans="2:14" ht="15" customHeight="1">
      <c r="B321" s="470" t="s">
        <v>458</v>
      </c>
      <c r="C321" s="471"/>
      <c r="D321" s="129">
        <v>342414543</v>
      </c>
      <c r="E321" s="129">
        <v>312625129</v>
      </c>
      <c r="F321" s="282">
        <v>83828415</v>
      </c>
      <c r="G321" s="282">
        <v>0</v>
      </c>
      <c r="H321" s="282">
        <v>228796714</v>
      </c>
      <c r="I321" s="129">
        <v>571211257</v>
      </c>
    </row>
    <row r="322" spans="2:14">
      <c r="I322" s="180"/>
      <c r="J322" s="180"/>
    </row>
    <row r="323" spans="2:14">
      <c r="B323" s="161" t="s">
        <v>621</v>
      </c>
      <c r="C323" s="161" t="s">
        <v>685</v>
      </c>
      <c r="D323" s="161"/>
      <c r="E323" s="161"/>
      <c r="F323" s="279"/>
      <c r="G323" s="279"/>
      <c r="H323" s="280"/>
      <c r="I323" s="280"/>
      <c r="J323" s="280"/>
    </row>
    <row r="324" spans="2:14" ht="18" customHeight="1">
      <c r="B324" s="508" t="s">
        <v>83</v>
      </c>
      <c r="C324" s="509"/>
      <c r="D324" s="525" t="s">
        <v>821</v>
      </c>
      <c r="E324" s="524" t="s">
        <v>146</v>
      </c>
      <c r="F324" s="524"/>
      <c r="G324" s="524"/>
    </row>
    <row r="325" spans="2:14" ht="18" customHeight="1">
      <c r="B325" s="510"/>
      <c r="C325" s="511"/>
      <c r="D325" s="525"/>
      <c r="E325" s="368" t="s">
        <v>147</v>
      </c>
      <c r="F325" s="361" t="s">
        <v>148</v>
      </c>
      <c r="G325" s="361" t="s">
        <v>149</v>
      </c>
    </row>
    <row r="326" spans="2:14" ht="15" customHeight="1">
      <c r="B326" s="240" t="s">
        <v>802</v>
      </c>
      <c r="C326" s="240"/>
      <c r="D326" s="157">
        <v>14125125</v>
      </c>
      <c r="E326" s="157">
        <v>20965770</v>
      </c>
      <c r="F326" s="157">
        <v>0</v>
      </c>
      <c r="G326" s="157">
        <f>+D326+E326-F326</f>
        <v>35090895</v>
      </c>
    </row>
    <row r="327" spans="2:14" ht="15" customHeight="1">
      <c r="B327" s="240" t="s">
        <v>803</v>
      </c>
      <c r="C327" s="240"/>
      <c r="D327" s="157">
        <v>16947870</v>
      </c>
      <c r="E327" s="157">
        <v>0</v>
      </c>
      <c r="F327" s="135">
        <v>0</v>
      </c>
      <c r="G327" s="157">
        <f>+D327+E327-F327</f>
        <v>16947870</v>
      </c>
    </row>
    <row r="328" spans="2:14" ht="15" customHeight="1">
      <c r="B328" s="470" t="s">
        <v>874</v>
      </c>
      <c r="C328" s="471"/>
      <c r="D328" s="285">
        <f>SUM(D326:D327)</f>
        <v>31072995</v>
      </c>
      <c r="E328" s="285">
        <f t="shared" ref="E328:F328" si="13">SUM(E326:E327)</f>
        <v>20965770</v>
      </c>
      <c r="F328" s="285">
        <f t="shared" si="13"/>
        <v>0</v>
      </c>
      <c r="G328" s="285">
        <f>SUM(G326:G327)</f>
        <v>52038765</v>
      </c>
      <c r="H328" s="185"/>
      <c r="I328" s="185"/>
      <c r="J328" s="185"/>
    </row>
    <row r="329" spans="2:14" ht="15" customHeight="1">
      <c r="B329" s="470" t="s">
        <v>458</v>
      </c>
      <c r="C329" s="471"/>
      <c r="D329" s="285">
        <v>31072995</v>
      </c>
      <c r="E329" s="285">
        <v>0</v>
      </c>
      <c r="F329" s="286">
        <v>0</v>
      </c>
      <c r="G329" s="286">
        <f t="shared" ref="G329" si="14">+D329+E329-F329</f>
        <v>31072995</v>
      </c>
      <c r="H329" s="185"/>
      <c r="I329" s="185"/>
      <c r="J329" s="185"/>
    </row>
    <row r="330" spans="2:14">
      <c r="H330" s="180"/>
      <c r="I330" s="267"/>
      <c r="J330" s="267"/>
      <c r="K330" s="185"/>
      <c r="L330" s="185"/>
      <c r="M330" s="185"/>
      <c r="N330" s="185"/>
    </row>
    <row r="331" spans="2:14">
      <c r="B331" s="271" t="s">
        <v>622</v>
      </c>
      <c r="C331" s="271" t="s">
        <v>686</v>
      </c>
      <c r="D331" s="170"/>
      <c r="H331" s="180"/>
      <c r="I331" s="185"/>
      <c r="J331" s="287"/>
      <c r="K331" s="287"/>
      <c r="L331" s="185"/>
      <c r="M331" s="185"/>
      <c r="N331" s="185"/>
    </row>
    <row r="332" spans="2:14" ht="18" customHeight="1">
      <c r="B332" s="508" t="s">
        <v>83</v>
      </c>
      <c r="C332" s="509"/>
      <c r="D332" s="525" t="s">
        <v>821</v>
      </c>
      <c r="E332" s="524" t="s">
        <v>146</v>
      </c>
      <c r="F332" s="524"/>
      <c r="G332" s="524"/>
      <c r="H332" s="287"/>
      <c r="I332" s="185"/>
      <c r="J332" s="185"/>
      <c r="K332" s="185"/>
    </row>
    <row r="333" spans="2:14" ht="18" customHeight="1">
      <c r="B333" s="510"/>
      <c r="C333" s="511"/>
      <c r="D333" s="525"/>
      <c r="E333" s="368" t="s">
        <v>147</v>
      </c>
      <c r="F333" s="361" t="s">
        <v>148</v>
      </c>
      <c r="G333" s="361" t="s">
        <v>149</v>
      </c>
      <c r="H333" s="185"/>
      <c r="I333" s="185"/>
      <c r="J333" s="185"/>
      <c r="K333" s="185"/>
    </row>
    <row r="334" spans="2:14" ht="15" customHeight="1">
      <c r="B334" s="462" t="s">
        <v>286</v>
      </c>
      <c r="C334" s="463"/>
      <c r="D334" s="134">
        <v>6780199</v>
      </c>
      <c r="E334" s="134">
        <v>42078771</v>
      </c>
      <c r="F334" s="134">
        <v>0</v>
      </c>
      <c r="G334" s="134">
        <f>+D334+E334-F334</f>
        <v>48858970</v>
      </c>
      <c r="H334" s="288"/>
      <c r="I334" s="288"/>
      <c r="J334" s="185"/>
      <c r="K334" s="185"/>
    </row>
    <row r="335" spans="2:14" ht="15" customHeight="1">
      <c r="B335" s="462" t="s">
        <v>403</v>
      </c>
      <c r="C335" s="463"/>
      <c r="D335" s="134">
        <v>123066332</v>
      </c>
      <c r="E335" s="134">
        <v>59010262</v>
      </c>
      <c r="F335" s="134">
        <v>0</v>
      </c>
      <c r="G335" s="134">
        <f>+D335+E335-F335</f>
        <v>182076594</v>
      </c>
      <c r="H335" s="288"/>
      <c r="I335" s="288"/>
      <c r="J335" s="185"/>
      <c r="K335" s="185"/>
    </row>
    <row r="336" spans="2:14" ht="15" customHeight="1">
      <c r="B336" s="470" t="s">
        <v>874</v>
      </c>
      <c r="C336" s="471"/>
      <c r="D336" s="285">
        <f>SUM(D334:D335)</f>
        <v>129846531</v>
      </c>
      <c r="E336" s="285">
        <f t="shared" ref="E336:G336" si="15">SUM(E334:E335)</f>
        <v>101089033</v>
      </c>
      <c r="F336" s="285">
        <f t="shared" si="15"/>
        <v>0</v>
      </c>
      <c r="G336" s="285">
        <f t="shared" si="15"/>
        <v>230935564</v>
      </c>
      <c r="H336" s="284"/>
      <c r="I336" s="284"/>
    </row>
    <row r="337" spans="2:10" ht="15" customHeight="1">
      <c r="B337" s="470" t="s">
        <v>458</v>
      </c>
      <c r="C337" s="471"/>
      <c r="D337" s="285">
        <v>59660155</v>
      </c>
      <c r="E337" s="285">
        <v>123066332</v>
      </c>
      <c r="F337" s="285">
        <v>52879956</v>
      </c>
      <c r="G337" s="285">
        <v>129846531</v>
      </c>
    </row>
    <row r="338" spans="2:10">
      <c r="B338" s="170"/>
      <c r="C338" s="170"/>
      <c r="D338" s="170"/>
      <c r="H338" s="180"/>
      <c r="I338" s="180"/>
      <c r="J338" s="180"/>
    </row>
    <row r="339" spans="2:10">
      <c r="H339" s="180"/>
      <c r="I339" s="180"/>
      <c r="J339" s="180"/>
    </row>
    <row r="340" spans="2:10">
      <c r="B340" s="161" t="s">
        <v>623</v>
      </c>
      <c r="C340" s="161" t="s">
        <v>687</v>
      </c>
      <c r="D340" s="161"/>
      <c r="E340" s="161"/>
      <c r="H340" s="180"/>
      <c r="I340" s="180"/>
      <c r="J340" s="180"/>
    </row>
    <row r="341" spans="2:10">
      <c r="B341" s="170"/>
      <c r="C341" s="170"/>
      <c r="D341" s="170"/>
      <c r="E341" s="170"/>
      <c r="H341" s="180"/>
      <c r="I341" s="180"/>
      <c r="J341" s="180"/>
    </row>
    <row r="342" spans="2:10" ht="18" customHeight="1">
      <c r="B342" s="537" t="s">
        <v>83</v>
      </c>
      <c r="C342" s="538"/>
      <c r="D342" s="494" t="s">
        <v>146</v>
      </c>
      <c r="E342" s="494"/>
      <c r="H342" s="180"/>
      <c r="I342" s="180"/>
      <c r="J342" s="180"/>
    </row>
    <row r="343" spans="2:10" ht="18" customHeight="1">
      <c r="B343" s="539"/>
      <c r="C343" s="540"/>
      <c r="D343" s="360">
        <v>44834</v>
      </c>
      <c r="E343" s="360">
        <v>44561</v>
      </c>
      <c r="H343" s="180"/>
    </row>
    <row r="344" spans="2:10" ht="15.75" customHeight="1">
      <c r="B344" s="459" t="s">
        <v>804</v>
      </c>
      <c r="C344" s="461"/>
      <c r="D344" s="130">
        <v>12861941</v>
      </c>
      <c r="E344" s="130">
        <v>0</v>
      </c>
      <c r="H344" s="180"/>
    </row>
    <row r="345" spans="2:10" ht="15.75" customHeight="1">
      <c r="B345" s="381" t="s">
        <v>839</v>
      </c>
      <c r="C345" s="382"/>
      <c r="D345" s="130">
        <v>2246848</v>
      </c>
      <c r="E345" s="130">
        <v>0</v>
      </c>
      <c r="H345" s="180"/>
    </row>
    <row r="346" spans="2:10" ht="15.75" customHeight="1">
      <c r="B346" s="381" t="s">
        <v>838</v>
      </c>
      <c r="C346" s="382"/>
      <c r="D346" s="130">
        <v>110973682</v>
      </c>
      <c r="E346" s="130">
        <v>0</v>
      </c>
      <c r="H346" s="180"/>
    </row>
    <row r="347" spans="2:10" ht="15" customHeight="1">
      <c r="B347" s="459" t="s">
        <v>187</v>
      </c>
      <c r="C347" s="461"/>
      <c r="D347" s="130">
        <v>679335726</v>
      </c>
      <c r="E347" s="130">
        <v>0</v>
      </c>
      <c r="H347" s="180"/>
    </row>
    <row r="348" spans="2:10" ht="15" customHeight="1">
      <c r="B348" s="459" t="s">
        <v>755</v>
      </c>
      <c r="C348" s="461"/>
      <c r="D348" s="130">
        <f>108542796+708442</f>
        <v>109251238</v>
      </c>
      <c r="E348" s="130">
        <v>0</v>
      </c>
      <c r="H348" s="180"/>
    </row>
    <row r="349" spans="2:10" ht="15" customHeight="1">
      <c r="B349" s="459" t="s">
        <v>211</v>
      </c>
      <c r="C349" s="461"/>
      <c r="D349" s="130">
        <f>10898396-843856</f>
        <v>10054540</v>
      </c>
      <c r="E349" s="130">
        <v>23586295</v>
      </c>
      <c r="H349" s="180"/>
    </row>
    <row r="350" spans="2:10" ht="15" customHeight="1">
      <c r="B350" s="459" t="s">
        <v>292</v>
      </c>
      <c r="C350" s="461"/>
      <c r="D350" s="130">
        <v>0</v>
      </c>
      <c r="E350" s="130">
        <v>397000</v>
      </c>
      <c r="H350" s="180"/>
    </row>
    <row r="351" spans="2:10" ht="15" customHeight="1">
      <c r="B351" s="459" t="s">
        <v>151</v>
      </c>
      <c r="C351" s="461"/>
      <c r="D351" s="130">
        <v>2732161</v>
      </c>
      <c r="E351" s="130">
        <v>7321212</v>
      </c>
      <c r="H351" s="180"/>
    </row>
    <row r="352" spans="2:10" ht="15" customHeight="1">
      <c r="B352" s="459" t="s">
        <v>805</v>
      </c>
      <c r="C352" s="461"/>
      <c r="D352" s="130">
        <v>24615602</v>
      </c>
      <c r="E352" s="130">
        <v>24615602</v>
      </c>
      <c r="H352" s="180"/>
    </row>
    <row r="353" spans="2:10" ht="15" customHeight="1">
      <c r="B353" s="459" t="s">
        <v>454</v>
      </c>
      <c r="C353" s="461"/>
      <c r="D353" s="130">
        <v>40155920</v>
      </c>
      <c r="E353" s="130">
        <v>6147288</v>
      </c>
      <c r="H353" s="180"/>
    </row>
    <row r="354" spans="2:10" ht="15" hidden="1" customHeight="1">
      <c r="B354" s="459" t="s">
        <v>293</v>
      </c>
      <c r="C354" s="461"/>
      <c r="D354" s="130">
        <v>0</v>
      </c>
      <c r="E354" s="130">
        <v>0</v>
      </c>
      <c r="H354" s="180"/>
    </row>
    <row r="355" spans="2:10" ht="15" customHeight="1">
      <c r="B355" s="459" t="s">
        <v>404</v>
      </c>
      <c r="C355" s="461"/>
      <c r="D355" s="130">
        <v>209580204</v>
      </c>
      <c r="E355" s="130">
        <v>25440000</v>
      </c>
      <c r="H355" s="180"/>
    </row>
    <row r="356" spans="2:10" ht="15" customHeight="1">
      <c r="B356" s="459" t="s">
        <v>806</v>
      </c>
      <c r="C356" s="461"/>
      <c r="D356" s="130">
        <v>14154269</v>
      </c>
      <c r="E356" s="130">
        <v>24912579</v>
      </c>
      <c r="H356" s="180"/>
    </row>
    <row r="357" spans="2:10" ht="15" customHeight="1">
      <c r="B357" s="459" t="s">
        <v>405</v>
      </c>
      <c r="C357" s="461"/>
      <c r="D357" s="130">
        <v>9986978</v>
      </c>
      <c r="E357" s="130">
        <v>0</v>
      </c>
      <c r="H357" s="180"/>
    </row>
    <row r="358" spans="2:10" ht="15" hidden="1" customHeight="1">
      <c r="B358" s="459" t="s">
        <v>432</v>
      </c>
      <c r="C358" s="461"/>
      <c r="D358" s="130">
        <v>0</v>
      </c>
      <c r="E358" s="130">
        <v>0</v>
      </c>
      <c r="H358" s="180"/>
    </row>
    <row r="359" spans="2:10" ht="15" customHeight="1">
      <c r="B359" s="459" t="s">
        <v>453</v>
      </c>
      <c r="C359" s="461"/>
      <c r="D359" s="130">
        <v>2242329</v>
      </c>
      <c r="E359" s="130">
        <v>2242329</v>
      </c>
      <c r="H359" s="180"/>
    </row>
    <row r="360" spans="2:10" ht="15" customHeight="1">
      <c r="B360" s="387" t="s">
        <v>890</v>
      </c>
      <c r="C360" s="388"/>
      <c r="D360" s="130">
        <v>5787059</v>
      </c>
      <c r="E360" s="130">
        <v>0</v>
      </c>
      <c r="H360" s="180"/>
    </row>
    <row r="361" spans="2:10" ht="16.5" customHeight="1">
      <c r="B361" s="470" t="s">
        <v>771</v>
      </c>
      <c r="C361" s="471"/>
      <c r="D361" s="285">
        <f>SUM(D344:D360)</f>
        <v>1233978497</v>
      </c>
      <c r="E361" s="285">
        <f>SUM(E344:E360)</f>
        <v>114662305</v>
      </c>
      <c r="H361" s="180"/>
      <c r="I361" s="180"/>
      <c r="J361" s="180"/>
    </row>
    <row r="362" spans="2:10">
      <c r="B362" s="289"/>
      <c r="C362" s="289"/>
      <c r="D362" s="290"/>
      <c r="E362" s="290"/>
      <c r="F362" s="291"/>
      <c r="G362" s="292"/>
      <c r="H362" s="180"/>
      <c r="I362" s="180"/>
      <c r="J362" s="180"/>
    </row>
    <row r="363" spans="2:10">
      <c r="B363" s="161" t="s">
        <v>624</v>
      </c>
      <c r="C363" s="161" t="s">
        <v>663</v>
      </c>
      <c r="D363" s="161"/>
      <c r="E363" s="161"/>
      <c r="F363" s="279"/>
      <c r="G363" s="279"/>
      <c r="H363" s="280"/>
      <c r="I363" s="180"/>
      <c r="J363" s="180"/>
    </row>
    <row r="364" spans="2:10">
      <c r="B364" s="206"/>
      <c r="C364" s="206"/>
      <c r="D364" s="206"/>
      <c r="E364" s="206"/>
      <c r="F364" s="279"/>
      <c r="G364" s="279"/>
      <c r="H364" s="280"/>
      <c r="I364" s="180"/>
      <c r="J364" s="180"/>
    </row>
    <row r="365" spans="2:10">
      <c r="C365" s="206" t="s">
        <v>662</v>
      </c>
      <c r="D365" s="206"/>
      <c r="E365" s="206"/>
      <c r="F365" s="279"/>
      <c r="G365" s="279"/>
      <c r="H365" s="280"/>
      <c r="I365" s="180"/>
      <c r="J365" s="180"/>
    </row>
    <row r="366" spans="2:10" ht="24.6" customHeight="1">
      <c r="B366" s="474" t="s">
        <v>152</v>
      </c>
      <c r="C366" s="475"/>
      <c r="D366" s="369" t="s">
        <v>214</v>
      </c>
      <c r="E366" s="369" t="s">
        <v>215</v>
      </c>
      <c r="H366" s="180"/>
    </row>
    <row r="367" spans="2:10" ht="15" customHeight="1">
      <c r="B367" s="464" t="s">
        <v>443</v>
      </c>
      <c r="C367" s="465"/>
      <c r="D367" s="131">
        <v>20711047893</v>
      </c>
      <c r="E367" s="131">
        <v>0</v>
      </c>
      <c r="H367" s="180"/>
    </row>
    <row r="368" spans="2:10" ht="15" customHeight="1">
      <c r="B368" s="464" t="s">
        <v>401</v>
      </c>
      <c r="C368" s="465"/>
      <c r="D368" s="132">
        <v>42243457</v>
      </c>
      <c r="E368" s="132">
        <v>0</v>
      </c>
      <c r="H368" s="180"/>
    </row>
    <row r="369" spans="2:10" ht="15" customHeight="1">
      <c r="B369" s="464" t="s">
        <v>119</v>
      </c>
      <c r="C369" s="465"/>
      <c r="D369" s="132">
        <v>17916809047</v>
      </c>
      <c r="E369" s="132">
        <v>0</v>
      </c>
      <c r="H369" s="180"/>
    </row>
    <row r="370" spans="2:10" ht="15" customHeight="1">
      <c r="B370" s="464" t="s">
        <v>763</v>
      </c>
      <c r="C370" s="465"/>
      <c r="D370" s="132">
        <v>4483190</v>
      </c>
      <c r="E370" s="132">
        <v>0</v>
      </c>
      <c r="H370" s="180"/>
    </row>
    <row r="371" spans="2:10" ht="15" customHeight="1">
      <c r="B371" s="489" t="s">
        <v>874</v>
      </c>
      <c r="C371" s="490"/>
      <c r="D371" s="133">
        <f>SUM(D367:D370)</f>
        <v>38674583587</v>
      </c>
      <c r="E371" s="133">
        <f>SUM(E367:E370)</f>
        <v>0</v>
      </c>
      <c r="H371" s="180"/>
    </row>
    <row r="372" spans="2:10" ht="15" customHeight="1">
      <c r="B372" s="489" t="s">
        <v>458</v>
      </c>
      <c r="C372" s="490"/>
      <c r="D372" s="133">
        <v>12773749898</v>
      </c>
      <c r="E372" s="133">
        <v>0</v>
      </c>
      <c r="H372" s="180"/>
      <c r="I372" s="180"/>
      <c r="J372" s="180"/>
    </row>
    <row r="373" spans="2:10">
      <c r="B373" s="167"/>
      <c r="C373" s="167"/>
      <c r="D373" s="167"/>
      <c r="E373" s="167"/>
      <c r="H373" s="180"/>
      <c r="I373" s="180"/>
      <c r="J373" s="180"/>
    </row>
    <row r="374" spans="2:10">
      <c r="B374" s="167"/>
      <c r="C374" s="167"/>
      <c r="D374" s="167"/>
      <c r="E374" s="167"/>
      <c r="H374" s="180"/>
      <c r="I374" s="180"/>
      <c r="J374" s="180"/>
    </row>
    <row r="375" spans="2:10">
      <c r="C375" s="206" t="s">
        <v>807</v>
      </c>
      <c r="D375" s="167"/>
      <c r="E375" s="167"/>
      <c r="H375" s="180"/>
      <c r="I375" s="180"/>
      <c r="J375" s="180"/>
    </row>
    <row r="376" spans="2:10" ht="30" customHeight="1">
      <c r="B376" s="474" t="s">
        <v>152</v>
      </c>
      <c r="C376" s="475"/>
      <c r="D376" s="369" t="s">
        <v>214</v>
      </c>
      <c r="E376" s="369" t="s">
        <v>215</v>
      </c>
      <c r="H376" s="180"/>
      <c r="I376" s="180"/>
      <c r="J376" s="180"/>
    </row>
    <row r="377" spans="2:10" ht="15" customHeight="1">
      <c r="B377" s="464" t="s">
        <v>460</v>
      </c>
      <c r="C377" s="465"/>
      <c r="D377" s="131">
        <v>19994520524</v>
      </c>
      <c r="E377" s="131">
        <v>0</v>
      </c>
      <c r="H377" s="180"/>
      <c r="I377" s="180"/>
      <c r="J377" s="180"/>
    </row>
    <row r="378" spans="2:10" ht="15" customHeight="1">
      <c r="B378" s="489" t="s">
        <v>874</v>
      </c>
      <c r="C378" s="490"/>
      <c r="D378" s="133">
        <f>SUM(D377)</f>
        <v>19994520524</v>
      </c>
      <c r="E378" s="133">
        <v>0</v>
      </c>
      <c r="H378" s="180"/>
      <c r="I378" s="180"/>
      <c r="J378" s="180"/>
    </row>
    <row r="379" spans="2:10" ht="15" customHeight="1">
      <c r="B379" s="489" t="s">
        <v>458</v>
      </c>
      <c r="C379" s="490"/>
      <c r="D379" s="133">
        <v>96386712333</v>
      </c>
      <c r="E379" s="133">
        <v>0</v>
      </c>
      <c r="H379" s="180"/>
      <c r="I379" s="180"/>
      <c r="J379" s="180"/>
    </row>
    <row r="380" spans="2:10">
      <c r="B380" s="293"/>
      <c r="C380" s="293"/>
      <c r="D380" s="274"/>
      <c r="E380" s="274"/>
      <c r="H380" s="180"/>
      <c r="I380" s="180"/>
      <c r="J380" s="180"/>
    </row>
    <row r="381" spans="2:10">
      <c r="B381" s="161" t="s">
        <v>625</v>
      </c>
      <c r="C381" s="161" t="s">
        <v>688</v>
      </c>
      <c r="D381" s="161"/>
      <c r="E381" s="161"/>
      <c r="F381" s="279"/>
      <c r="G381" s="279"/>
      <c r="H381" s="280"/>
      <c r="I381" s="180"/>
      <c r="J381" s="180"/>
    </row>
    <row r="382" spans="2:10">
      <c r="B382" s="271"/>
      <c r="C382" s="271"/>
      <c r="D382" s="271"/>
      <c r="H382" s="180"/>
      <c r="I382" s="180"/>
      <c r="J382" s="180"/>
    </row>
    <row r="383" spans="2:10" ht="21" customHeight="1">
      <c r="B383" s="474" t="s">
        <v>83</v>
      </c>
      <c r="C383" s="475"/>
      <c r="D383" s="367" t="s">
        <v>214</v>
      </c>
      <c r="E383" s="367" t="s">
        <v>215</v>
      </c>
      <c r="H383" s="180"/>
      <c r="I383" s="180"/>
      <c r="J383" s="180"/>
    </row>
    <row r="384" spans="2:10" ht="17.399999999999999" customHeight="1">
      <c r="B384" s="462" t="s">
        <v>210</v>
      </c>
      <c r="C384" s="463"/>
      <c r="D384" s="294">
        <v>0</v>
      </c>
      <c r="E384" s="294">
        <v>0</v>
      </c>
      <c r="H384" s="180"/>
      <c r="I384" s="180"/>
      <c r="J384" s="180"/>
    </row>
    <row r="385" spans="2:10" ht="17.399999999999999" customHeight="1">
      <c r="B385" s="489" t="s">
        <v>874</v>
      </c>
      <c r="C385" s="490"/>
      <c r="D385" s="133">
        <f>SUM(D384)</f>
        <v>0</v>
      </c>
      <c r="E385" s="133">
        <f>SUM(E384)</f>
        <v>0</v>
      </c>
      <c r="H385" s="180"/>
      <c r="I385" s="180"/>
      <c r="J385" s="180"/>
    </row>
    <row r="386" spans="2:10" ht="17.399999999999999" customHeight="1">
      <c r="B386" s="489" t="s">
        <v>458</v>
      </c>
      <c r="C386" s="490"/>
      <c r="D386" s="133">
        <v>0</v>
      </c>
      <c r="E386" s="133">
        <v>0</v>
      </c>
      <c r="H386" s="180"/>
      <c r="I386" s="180"/>
      <c r="J386" s="180"/>
    </row>
    <row r="387" spans="2:10">
      <c r="B387" s="293"/>
      <c r="C387" s="293"/>
      <c r="D387" s="274"/>
      <c r="E387" s="274"/>
      <c r="H387" s="180"/>
      <c r="I387" s="180"/>
      <c r="J387" s="180"/>
    </row>
    <row r="388" spans="2:10">
      <c r="B388" s="161" t="s">
        <v>626</v>
      </c>
      <c r="C388" s="161" t="s">
        <v>689</v>
      </c>
      <c r="D388" s="161"/>
      <c r="E388" s="161"/>
      <c r="F388" s="279"/>
      <c r="G388" s="279"/>
      <c r="H388" s="280"/>
      <c r="I388" s="180"/>
      <c r="J388" s="180"/>
    </row>
    <row r="389" spans="2:10">
      <c r="B389" s="271"/>
      <c r="C389" s="271"/>
      <c r="D389" s="271"/>
      <c r="H389" s="180"/>
      <c r="I389" s="180"/>
      <c r="J389" s="180"/>
    </row>
    <row r="390" spans="2:10" ht="21" customHeight="1">
      <c r="B390" s="474" t="s">
        <v>83</v>
      </c>
      <c r="C390" s="475"/>
      <c r="D390" s="367" t="s">
        <v>214</v>
      </c>
      <c r="E390" s="367" t="s">
        <v>215</v>
      </c>
      <c r="F390" s="150"/>
      <c r="G390" s="150"/>
      <c r="H390" s="180"/>
      <c r="I390" s="180"/>
      <c r="J390" s="180"/>
    </row>
    <row r="391" spans="2:10" ht="15" customHeight="1">
      <c r="B391" s="462" t="s">
        <v>210</v>
      </c>
      <c r="C391" s="463"/>
      <c r="D391" s="294">
        <v>0</v>
      </c>
      <c r="E391" s="294">
        <v>0</v>
      </c>
      <c r="F391" s="150"/>
      <c r="G391" s="180"/>
      <c r="H391" s="180"/>
      <c r="I391" s="180"/>
      <c r="J391" s="180"/>
    </row>
    <row r="392" spans="2:10" ht="15" customHeight="1">
      <c r="B392" s="489" t="s">
        <v>874</v>
      </c>
      <c r="C392" s="490"/>
      <c r="D392" s="133">
        <f>SUM(D391)</f>
        <v>0</v>
      </c>
      <c r="E392" s="133">
        <f>SUM(E391)</f>
        <v>0</v>
      </c>
      <c r="F392" s="150"/>
      <c r="G392" s="150"/>
      <c r="H392" s="180"/>
      <c r="I392" s="180"/>
      <c r="J392" s="180"/>
    </row>
    <row r="393" spans="2:10" ht="15" customHeight="1">
      <c r="B393" s="489" t="s">
        <v>458</v>
      </c>
      <c r="C393" s="490"/>
      <c r="D393" s="133">
        <v>0</v>
      </c>
      <c r="E393" s="133">
        <v>0</v>
      </c>
      <c r="F393" s="150"/>
      <c r="G393" s="150"/>
      <c r="H393" s="180"/>
      <c r="I393" s="180"/>
      <c r="J393" s="180"/>
    </row>
    <row r="394" spans="2:10">
      <c r="B394" s="295"/>
      <c r="C394" s="295"/>
      <c r="D394" s="295"/>
      <c r="E394" s="296"/>
      <c r="F394" s="150"/>
      <c r="G394" s="150"/>
      <c r="H394" s="180"/>
      <c r="I394" s="180"/>
      <c r="J394" s="180"/>
    </row>
    <row r="395" spans="2:10">
      <c r="B395" s="161" t="s">
        <v>627</v>
      </c>
      <c r="C395" s="161" t="s">
        <v>690</v>
      </c>
      <c r="D395" s="161"/>
      <c r="E395" s="161"/>
      <c r="H395" s="180"/>
      <c r="I395" s="180"/>
      <c r="J395" s="180"/>
    </row>
    <row r="396" spans="2:10">
      <c r="B396" s="206"/>
      <c r="C396" s="206"/>
      <c r="D396" s="206"/>
      <c r="E396" s="206"/>
      <c r="H396" s="180"/>
      <c r="I396" s="180"/>
      <c r="J396" s="180"/>
    </row>
    <row r="397" spans="2:10" ht="18" customHeight="1">
      <c r="B397" s="474" t="s">
        <v>152</v>
      </c>
      <c r="C397" s="475"/>
      <c r="D397" s="367" t="s">
        <v>214</v>
      </c>
      <c r="E397" s="367" t="s">
        <v>215</v>
      </c>
      <c r="F397" s="150"/>
      <c r="G397" s="150"/>
      <c r="H397" s="280"/>
      <c r="I397" s="180"/>
      <c r="J397" s="180"/>
    </row>
    <row r="398" spans="2:10" ht="15" customHeight="1">
      <c r="B398" s="464" t="s">
        <v>210</v>
      </c>
      <c r="C398" s="465"/>
      <c r="D398" s="132">
        <v>0</v>
      </c>
      <c r="E398" s="132">
        <v>0</v>
      </c>
      <c r="F398" s="150"/>
      <c r="G398" s="150"/>
      <c r="H398" s="280"/>
      <c r="I398" s="180"/>
      <c r="J398" s="180"/>
    </row>
    <row r="399" spans="2:10" ht="15" customHeight="1">
      <c r="B399" s="489" t="s">
        <v>874</v>
      </c>
      <c r="C399" s="490"/>
      <c r="D399" s="133">
        <f>SUM(D398)</f>
        <v>0</v>
      </c>
      <c r="E399" s="133">
        <f>SUM(E398)</f>
        <v>0</v>
      </c>
      <c r="F399" s="150"/>
      <c r="G399" s="150"/>
      <c r="H399" s="180"/>
      <c r="I399" s="180"/>
      <c r="J399" s="180"/>
    </row>
    <row r="400" spans="2:10" ht="15" customHeight="1">
      <c r="B400" s="489" t="s">
        <v>458</v>
      </c>
      <c r="C400" s="490"/>
      <c r="D400" s="133">
        <v>0</v>
      </c>
      <c r="E400" s="133">
        <v>0</v>
      </c>
      <c r="F400" s="150"/>
      <c r="G400" s="150"/>
      <c r="H400" s="180"/>
      <c r="I400" s="180"/>
      <c r="J400" s="180"/>
    </row>
    <row r="401" spans="2:10">
      <c r="B401" s="217"/>
      <c r="C401" s="217"/>
      <c r="D401" s="217"/>
      <c r="E401" s="217"/>
      <c r="H401" s="180"/>
      <c r="I401" s="180"/>
      <c r="J401" s="180"/>
    </row>
    <row r="402" spans="2:10">
      <c r="B402" s="161" t="s">
        <v>628</v>
      </c>
      <c r="C402" s="161" t="s">
        <v>708</v>
      </c>
      <c r="D402" s="161"/>
      <c r="E402" s="161"/>
      <c r="H402" s="180"/>
      <c r="I402" s="180"/>
      <c r="J402" s="180"/>
    </row>
    <row r="403" spans="2:10">
      <c r="B403" s="206"/>
      <c r="C403" s="206"/>
      <c r="D403" s="206"/>
      <c r="E403" s="206"/>
      <c r="H403" s="180"/>
      <c r="I403" s="180"/>
      <c r="J403" s="180"/>
    </row>
    <row r="404" spans="2:10" ht="25.2" customHeight="1">
      <c r="B404" s="474" t="s">
        <v>152</v>
      </c>
      <c r="C404" s="475"/>
      <c r="D404" s="369" t="s">
        <v>214</v>
      </c>
      <c r="E404" s="369" t="s">
        <v>215</v>
      </c>
      <c r="F404" s="279"/>
      <c r="G404" s="279"/>
      <c r="H404" s="180"/>
      <c r="I404" s="180"/>
      <c r="J404" s="180"/>
    </row>
    <row r="405" spans="2:10" ht="15" customHeight="1">
      <c r="B405" s="464" t="s">
        <v>210</v>
      </c>
      <c r="C405" s="465"/>
      <c r="D405" s="132">
        <v>0</v>
      </c>
      <c r="E405" s="132">
        <v>0</v>
      </c>
      <c r="F405" s="279"/>
      <c r="G405" s="279"/>
      <c r="H405" s="180"/>
      <c r="I405" s="180"/>
      <c r="J405" s="180"/>
    </row>
    <row r="406" spans="2:10" ht="15" customHeight="1">
      <c r="B406" s="489" t="s">
        <v>874</v>
      </c>
      <c r="C406" s="490"/>
      <c r="D406" s="139">
        <f>SUM(D405)</f>
        <v>0</v>
      </c>
      <c r="E406" s="139">
        <f>SUM(E405)</f>
        <v>0</v>
      </c>
      <c r="H406" s="180"/>
      <c r="I406" s="180"/>
      <c r="J406" s="180"/>
    </row>
    <row r="407" spans="2:10" ht="15" customHeight="1">
      <c r="B407" s="489" t="s">
        <v>458</v>
      </c>
      <c r="C407" s="490"/>
      <c r="D407" s="139">
        <v>0</v>
      </c>
      <c r="E407" s="139">
        <v>0</v>
      </c>
      <c r="H407" s="180"/>
      <c r="I407" s="180"/>
      <c r="J407" s="180"/>
    </row>
    <row r="408" spans="2:10">
      <c r="B408" s="297"/>
      <c r="C408" s="297"/>
      <c r="D408" s="297"/>
      <c r="H408" s="180"/>
      <c r="I408" s="180"/>
      <c r="J408" s="180"/>
    </row>
    <row r="409" spans="2:10">
      <c r="B409" s="161" t="s">
        <v>629</v>
      </c>
      <c r="C409" s="161" t="s">
        <v>691</v>
      </c>
      <c r="D409" s="161"/>
      <c r="E409" s="161"/>
      <c r="H409" s="180"/>
      <c r="I409" s="180"/>
      <c r="J409" s="180"/>
    </row>
    <row r="410" spans="2:10">
      <c r="B410" s="297"/>
      <c r="C410" s="297"/>
      <c r="D410" s="297"/>
      <c r="H410" s="180"/>
      <c r="I410" s="180"/>
      <c r="J410" s="180"/>
    </row>
    <row r="411" spans="2:10" ht="30" customHeight="1">
      <c r="B411" s="474" t="s">
        <v>153</v>
      </c>
      <c r="C411" s="475"/>
      <c r="D411" s="369" t="s">
        <v>213</v>
      </c>
      <c r="E411" s="369" t="s">
        <v>155</v>
      </c>
      <c r="F411" s="370" t="s">
        <v>156</v>
      </c>
      <c r="G411" s="370" t="s">
        <v>157</v>
      </c>
      <c r="H411" s="369" t="s">
        <v>865</v>
      </c>
      <c r="I411" s="369" t="s">
        <v>875</v>
      </c>
      <c r="J411" s="180"/>
    </row>
    <row r="412" spans="2:10" ht="15" customHeight="1">
      <c r="B412" s="531" t="s">
        <v>210</v>
      </c>
      <c r="C412" s="532"/>
      <c r="D412" s="174" t="s">
        <v>210</v>
      </c>
      <c r="E412" s="174" t="s">
        <v>210</v>
      </c>
      <c r="F412" s="298" t="s">
        <v>210</v>
      </c>
      <c r="G412" s="298" t="s">
        <v>210</v>
      </c>
      <c r="H412" s="299">
        <v>0</v>
      </c>
      <c r="I412" s="239">
        <v>0</v>
      </c>
      <c r="J412" s="180"/>
    </row>
    <row r="413" spans="2:10" ht="15" customHeight="1">
      <c r="B413" s="489" t="s">
        <v>874</v>
      </c>
      <c r="C413" s="490"/>
      <c r="D413" s="139">
        <v>0</v>
      </c>
      <c r="E413" s="139">
        <v>0</v>
      </c>
      <c r="F413" s="139">
        <v>0</v>
      </c>
      <c r="G413" s="139">
        <v>0</v>
      </c>
      <c r="H413" s="139">
        <v>0</v>
      </c>
      <c r="I413" s="139">
        <v>0</v>
      </c>
      <c r="J413" s="180"/>
    </row>
    <row r="414" spans="2:10" ht="15" customHeight="1">
      <c r="B414" s="489" t="s">
        <v>458</v>
      </c>
      <c r="C414" s="490"/>
      <c r="D414" s="139">
        <v>0</v>
      </c>
      <c r="E414" s="139">
        <v>0</v>
      </c>
      <c r="F414" s="139">
        <v>0</v>
      </c>
      <c r="G414" s="139">
        <v>0</v>
      </c>
      <c r="H414" s="139">
        <v>0</v>
      </c>
      <c r="I414" s="139">
        <v>0</v>
      </c>
      <c r="J414" s="180"/>
    </row>
    <row r="415" spans="2:10">
      <c r="B415" s="297"/>
      <c r="C415" s="297"/>
      <c r="D415" s="297"/>
      <c r="H415" s="180"/>
      <c r="I415" s="180"/>
      <c r="J415" s="180"/>
    </row>
    <row r="416" spans="2:10">
      <c r="B416" s="161" t="s">
        <v>630</v>
      </c>
      <c r="C416" s="161" t="s">
        <v>692</v>
      </c>
      <c r="D416" s="161"/>
      <c r="E416" s="161"/>
      <c r="F416" s="279"/>
      <c r="G416" s="279"/>
      <c r="H416" s="280"/>
      <c r="I416" s="280"/>
      <c r="J416" s="180"/>
    </row>
    <row r="417" spans="2:10">
      <c r="B417" s="297"/>
      <c r="C417" s="297"/>
      <c r="D417" s="297"/>
      <c r="H417" s="180"/>
      <c r="I417" s="180"/>
      <c r="J417" s="180"/>
    </row>
    <row r="418" spans="2:10" ht="39.6">
      <c r="B418" s="474" t="s">
        <v>125</v>
      </c>
      <c r="C418" s="475"/>
      <c r="D418" s="369" t="s">
        <v>822</v>
      </c>
      <c r="E418" s="369" t="s">
        <v>158</v>
      </c>
      <c r="F418" s="370" t="s">
        <v>214</v>
      </c>
      <c r="G418" s="370" t="s">
        <v>215</v>
      </c>
      <c r="H418" s="180"/>
      <c r="I418" s="180"/>
      <c r="J418" s="180"/>
    </row>
    <row r="419" spans="2:10" ht="15" customHeight="1">
      <c r="B419" s="531" t="s">
        <v>210</v>
      </c>
      <c r="C419" s="532"/>
      <c r="D419" s="300" t="s">
        <v>210</v>
      </c>
      <c r="E419" s="300" t="s">
        <v>210</v>
      </c>
      <c r="F419" s="301">
        <v>0</v>
      </c>
      <c r="G419" s="301">
        <v>0</v>
      </c>
      <c r="H419" s="180"/>
      <c r="I419" s="180"/>
      <c r="J419" s="180"/>
    </row>
    <row r="420" spans="2:10" ht="15" customHeight="1">
      <c r="B420" s="489" t="s">
        <v>874</v>
      </c>
      <c r="C420" s="490"/>
      <c r="D420" s="139">
        <v>0</v>
      </c>
      <c r="E420" s="139">
        <v>0</v>
      </c>
      <c r="F420" s="139">
        <v>0</v>
      </c>
      <c r="G420" s="139">
        <v>0</v>
      </c>
      <c r="H420" s="180"/>
      <c r="I420" s="180"/>
      <c r="J420" s="180"/>
    </row>
    <row r="421" spans="2:10" ht="15" customHeight="1">
      <c r="B421" s="489" t="s">
        <v>458</v>
      </c>
      <c r="C421" s="490"/>
      <c r="D421" s="139">
        <v>0</v>
      </c>
      <c r="E421" s="139">
        <v>0</v>
      </c>
      <c r="F421" s="139">
        <v>0</v>
      </c>
      <c r="G421" s="139">
        <v>0</v>
      </c>
      <c r="H421" s="180"/>
      <c r="I421" s="180"/>
      <c r="J421" s="180"/>
    </row>
    <row r="422" spans="2:10">
      <c r="B422" s="217"/>
      <c r="C422" s="217"/>
      <c r="D422" s="217"/>
      <c r="E422" s="217"/>
      <c r="F422" s="302"/>
      <c r="G422" s="302"/>
      <c r="H422" s="180"/>
      <c r="I422" s="180"/>
      <c r="J422" s="180"/>
    </row>
    <row r="423" spans="2:10">
      <c r="B423" s="161" t="s">
        <v>631</v>
      </c>
      <c r="C423" s="161" t="s">
        <v>683</v>
      </c>
      <c r="D423" s="161"/>
      <c r="E423" s="161"/>
      <c r="F423" s="279"/>
      <c r="G423" s="279"/>
      <c r="H423" s="279"/>
      <c r="I423" s="280"/>
      <c r="J423" s="180"/>
    </row>
    <row r="424" spans="2:10">
      <c r="B424" s="271"/>
      <c r="C424" s="271"/>
      <c r="D424" s="271"/>
      <c r="H424" s="167"/>
      <c r="I424" s="180"/>
      <c r="J424" s="180"/>
    </row>
    <row r="425" spans="2:10" ht="25.95" customHeight="1">
      <c r="B425" s="474" t="s">
        <v>83</v>
      </c>
      <c r="C425" s="475"/>
      <c r="D425" s="367" t="s">
        <v>407</v>
      </c>
      <c r="E425" s="367" t="s">
        <v>408</v>
      </c>
      <c r="F425" s="150"/>
      <c r="G425" s="150"/>
      <c r="H425" s="167"/>
      <c r="I425" s="180"/>
      <c r="J425" s="180"/>
    </row>
    <row r="426" spans="2:10" ht="15" customHeight="1">
      <c r="B426" s="462" t="s">
        <v>212</v>
      </c>
      <c r="C426" s="463"/>
      <c r="D426" s="126">
        <v>108014167</v>
      </c>
      <c r="E426" s="126">
        <v>0</v>
      </c>
      <c r="F426" s="150"/>
      <c r="G426" s="150"/>
      <c r="H426" s="167"/>
      <c r="I426" s="180"/>
      <c r="J426" s="180"/>
    </row>
    <row r="427" spans="2:10" ht="15" customHeight="1">
      <c r="B427" s="462" t="s">
        <v>109</v>
      </c>
      <c r="C427" s="463"/>
      <c r="D427" s="126">
        <f>9782349+11352</f>
        <v>9793701</v>
      </c>
      <c r="E427" s="126">
        <v>0</v>
      </c>
      <c r="F427" s="150"/>
      <c r="G427" s="150"/>
      <c r="H427" s="167"/>
      <c r="I427" s="180"/>
      <c r="J427" s="180"/>
    </row>
    <row r="428" spans="2:10" ht="15" customHeight="1">
      <c r="B428" s="462" t="s">
        <v>229</v>
      </c>
      <c r="C428" s="463"/>
      <c r="D428" s="126">
        <v>1760502</v>
      </c>
      <c r="E428" s="126">
        <v>0</v>
      </c>
      <c r="F428" s="150"/>
      <c r="G428" s="150"/>
      <c r="H428" s="167"/>
      <c r="I428" s="180"/>
      <c r="J428" s="180"/>
    </row>
    <row r="429" spans="2:10" ht="15" customHeight="1">
      <c r="B429" s="462" t="s">
        <v>263</v>
      </c>
      <c r="C429" s="463"/>
      <c r="D429" s="126">
        <v>2992087800</v>
      </c>
      <c r="E429" s="126">
        <v>0</v>
      </c>
      <c r="F429" s="150"/>
      <c r="G429" s="150"/>
      <c r="H429" s="167"/>
      <c r="I429" s="180"/>
      <c r="J429" s="180"/>
    </row>
    <row r="430" spans="2:10" ht="15" customHeight="1">
      <c r="B430" s="462" t="s">
        <v>463</v>
      </c>
      <c r="C430" s="463"/>
      <c r="D430" s="126">
        <v>496890393</v>
      </c>
      <c r="E430" s="126">
        <v>0</v>
      </c>
      <c r="F430" s="150"/>
      <c r="G430" s="150"/>
      <c r="H430" s="167"/>
      <c r="I430" s="180"/>
      <c r="J430" s="180"/>
    </row>
    <row r="431" spans="2:10" ht="15" customHeight="1">
      <c r="B431" s="462" t="s">
        <v>759</v>
      </c>
      <c r="C431" s="463"/>
      <c r="D431" s="126">
        <v>58874998</v>
      </c>
      <c r="E431" s="126">
        <v>0</v>
      </c>
      <c r="F431" s="150"/>
      <c r="G431" s="150"/>
      <c r="H431" s="167"/>
      <c r="I431" s="180"/>
      <c r="J431" s="180"/>
    </row>
    <row r="432" spans="2:10" ht="15" customHeight="1">
      <c r="B432" s="462" t="s">
        <v>299</v>
      </c>
      <c r="C432" s="463"/>
      <c r="D432" s="126">
        <v>124023130</v>
      </c>
      <c r="E432" s="126">
        <v>0</v>
      </c>
      <c r="F432" s="150"/>
      <c r="G432" s="150"/>
      <c r="H432" s="167"/>
      <c r="I432" s="180"/>
      <c r="J432" s="180"/>
    </row>
    <row r="433" spans="2:10" ht="15" customHeight="1">
      <c r="B433" s="462" t="s">
        <v>300</v>
      </c>
      <c r="C433" s="463"/>
      <c r="D433" s="126">
        <v>57113269</v>
      </c>
      <c r="E433" s="126">
        <v>0</v>
      </c>
      <c r="F433" s="150"/>
      <c r="G433" s="150"/>
      <c r="H433" s="167"/>
      <c r="I433" s="180"/>
      <c r="J433" s="180"/>
    </row>
    <row r="434" spans="2:10" ht="15" customHeight="1">
      <c r="B434" s="462" t="s">
        <v>750</v>
      </c>
      <c r="C434" s="463"/>
      <c r="D434" s="126">
        <v>249777930</v>
      </c>
      <c r="E434" s="126">
        <v>0</v>
      </c>
      <c r="F434" s="150"/>
      <c r="G434" s="150"/>
      <c r="H434" s="167"/>
      <c r="I434" s="180"/>
      <c r="J434" s="180"/>
    </row>
    <row r="435" spans="2:10" ht="15" customHeight="1">
      <c r="B435" s="462" t="s">
        <v>893</v>
      </c>
      <c r="C435" s="463"/>
      <c r="D435" s="126">
        <v>48532290</v>
      </c>
      <c r="E435" s="126">
        <v>0</v>
      </c>
      <c r="F435" s="150"/>
      <c r="G435" s="150"/>
      <c r="H435" s="167"/>
      <c r="I435" s="180"/>
      <c r="J435" s="180"/>
    </row>
    <row r="436" spans="2:10" ht="15" customHeight="1">
      <c r="B436" s="489" t="s">
        <v>874</v>
      </c>
      <c r="C436" s="490"/>
      <c r="D436" s="125">
        <f>SUM(D426:D435)</f>
        <v>4146868180</v>
      </c>
      <c r="E436" s="125">
        <f>SUM(E426:E435)</f>
        <v>0</v>
      </c>
      <c r="F436" s="150"/>
      <c r="G436" s="150"/>
      <c r="H436" s="167"/>
      <c r="I436" s="180"/>
      <c r="J436" s="180"/>
    </row>
    <row r="437" spans="2:10" ht="15" customHeight="1">
      <c r="B437" s="489" t="s">
        <v>458</v>
      </c>
      <c r="C437" s="490"/>
      <c r="D437" s="125">
        <v>2118707702</v>
      </c>
      <c r="E437" s="139">
        <v>0</v>
      </c>
      <c r="F437" s="150"/>
      <c r="G437" s="150"/>
      <c r="H437" s="167"/>
      <c r="I437" s="180"/>
      <c r="J437" s="180"/>
    </row>
    <row r="438" spans="2:10" ht="15" customHeight="1">
      <c r="B438" s="271"/>
      <c r="C438" s="271"/>
      <c r="D438" s="271"/>
      <c r="H438" s="280"/>
      <c r="I438" s="280"/>
      <c r="J438" s="180"/>
    </row>
    <row r="439" spans="2:10">
      <c r="B439" s="271"/>
      <c r="C439" s="271"/>
      <c r="D439" s="271"/>
      <c r="H439" s="180"/>
      <c r="I439" s="180"/>
      <c r="J439" s="180"/>
    </row>
    <row r="440" spans="2:10">
      <c r="B440" s="161" t="s">
        <v>632</v>
      </c>
      <c r="C440" s="161" t="s">
        <v>684</v>
      </c>
      <c r="D440" s="161"/>
      <c r="E440" s="161"/>
      <c r="F440" s="277"/>
      <c r="G440" s="277"/>
      <c r="H440" s="277"/>
      <c r="I440" s="180"/>
      <c r="J440" s="277"/>
    </row>
    <row r="441" spans="2:10">
      <c r="B441" s="297"/>
      <c r="C441" s="297"/>
      <c r="D441" s="297"/>
      <c r="H441" s="180"/>
      <c r="I441" s="180"/>
      <c r="J441" s="180"/>
    </row>
    <row r="442" spans="2:10" ht="18" customHeight="1">
      <c r="B442" s="508" t="s">
        <v>160</v>
      </c>
      <c r="C442" s="509"/>
      <c r="D442" s="495" t="s">
        <v>154</v>
      </c>
      <c r="E442" s="495" t="s">
        <v>155</v>
      </c>
      <c r="F442" s="472" t="s">
        <v>161</v>
      </c>
      <c r="G442" s="473"/>
      <c r="H442" s="180"/>
      <c r="I442" s="180"/>
      <c r="J442" s="180"/>
    </row>
    <row r="443" spans="2:10" ht="26.4" customHeight="1">
      <c r="B443" s="510"/>
      <c r="C443" s="511"/>
      <c r="D443" s="496"/>
      <c r="E443" s="496"/>
      <c r="F443" s="396" t="s">
        <v>406</v>
      </c>
      <c r="G443" s="396" t="s">
        <v>409</v>
      </c>
      <c r="H443" s="180"/>
      <c r="I443" s="180"/>
      <c r="J443" s="180"/>
    </row>
    <row r="444" spans="2:10" ht="15" customHeight="1">
      <c r="B444" s="504" t="s">
        <v>776</v>
      </c>
      <c r="C444" s="505"/>
      <c r="D444" s="303" t="s">
        <v>851</v>
      </c>
      <c r="E444" s="303" t="s">
        <v>658</v>
      </c>
      <c r="F444" s="304">
        <v>0</v>
      </c>
      <c r="G444" s="305">
        <v>0</v>
      </c>
      <c r="H444" s="180"/>
      <c r="I444" s="180"/>
      <c r="J444" s="180"/>
    </row>
    <row r="445" spans="2:10" ht="15" customHeight="1">
      <c r="B445" s="489" t="s">
        <v>874</v>
      </c>
      <c r="C445" s="490"/>
      <c r="D445" s="306"/>
      <c r="E445" s="306"/>
      <c r="F445" s="307">
        <f>SUM(F444)</f>
        <v>0</v>
      </c>
      <c r="G445" s="307">
        <f>SUM(G444)</f>
        <v>0</v>
      </c>
      <c r="H445" s="180"/>
      <c r="I445" s="180"/>
      <c r="J445" s="180"/>
    </row>
    <row r="446" spans="2:10">
      <c r="B446" s="295"/>
      <c r="C446" s="295"/>
      <c r="D446" s="295"/>
      <c r="E446" s="217"/>
      <c r="F446" s="308"/>
      <c r="G446" s="308"/>
      <c r="H446" s="180"/>
      <c r="I446" s="180"/>
      <c r="J446" s="180"/>
    </row>
    <row r="447" spans="2:10">
      <c r="B447" s="297"/>
      <c r="C447" s="297"/>
      <c r="D447" s="297"/>
      <c r="H447" s="180"/>
      <c r="I447" s="180"/>
      <c r="J447" s="180"/>
    </row>
    <row r="448" spans="2:10">
      <c r="B448" s="161" t="s">
        <v>633</v>
      </c>
      <c r="C448" s="161" t="s">
        <v>667</v>
      </c>
      <c r="D448" s="161"/>
      <c r="E448" s="161"/>
      <c r="F448" s="277"/>
      <c r="G448" s="277"/>
      <c r="H448" s="277"/>
      <c r="I448" s="180"/>
      <c r="J448" s="180"/>
    </row>
    <row r="449" spans="2:12">
      <c r="B449" s="297"/>
      <c r="C449" s="297"/>
      <c r="D449" s="297"/>
      <c r="H449" s="280"/>
      <c r="I449" s="280"/>
      <c r="J449" s="180"/>
    </row>
    <row r="450" spans="2:12" ht="28.5" customHeight="1">
      <c r="B450" s="474" t="s">
        <v>162</v>
      </c>
      <c r="C450" s="475"/>
      <c r="D450" s="369" t="s">
        <v>213</v>
      </c>
      <c r="E450" s="370" t="s">
        <v>163</v>
      </c>
      <c r="F450" s="370" t="s">
        <v>189</v>
      </c>
      <c r="G450" s="150"/>
      <c r="H450" s="180"/>
      <c r="I450" s="180"/>
    </row>
    <row r="451" spans="2:12" ht="15" customHeight="1">
      <c r="B451" s="504" t="s">
        <v>776</v>
      </c>
      <c r="C451" s="505"/>
      <c r="D451" s="309" t="s">
        <v>769</v>
      </c>
      <c r="E451" s="310">
        <f>298500000+150086305</f>
        <v>448586305</v>
      </c>
      <c r="F451" s="397">
        <v>0</v>
      </c>
      <c r="G451" s="150"/>
      <c r="H451" s="180"/>
      <c r="I451" s="180"/>
      <c r="J451" s="180"/>
    </row>
    <row r="452" spans="2:12" ht="15" customHeight="1">
      <c r="B452" s="504" t="s">
        <v>850</v>
      </c>
      <c r="C452" s="505"/>
      <c r="D452" s="309" t="s">
        <v>526</v>
      </c>
      <c r="E452" s="311">
        <v>666720</v>
      </c>
      <c r="F452" s="397">
        <v>0</v>
      </c>
      <c r="G452" s="150"/>
      <c r="H452" s="180"/>
      <c r="I452" s="180"/>
      <c r="J452" s="180"/>
    </row>
    <row r="453" spans="2:12" ht="15" customHeight="1">
      <c r="B453" s="504" t="s">
        <v>852</v>
      </c>
      <c r="C453" s="505"/>
      <c r="D453" s="309" t="s">
        <v>455</v>
      </c>
      <c r="E453" s="311">
        <v>12603</v>
      </c>
      <c r="F453" s="397">
        <v>0</v>
      </c>
      <c r="G453" s="150"/>
      <c r="H453" s="180"/>
      <c r="I453" s="180"/>
      <c r="J453" s="180"/>
    </row>
    <row r="454" spans="2:12" ht="15" customHeight="1">
      <c r="B454" s="489" t="s">
        <v>874</v>
      </c>
      <c r="C454" s="550"/>
      <c r="D454" s="490"/>
      <c r="E454" s="307">
        <f>SUM(E451:E453)</f>
        <v>449265628</v>
      </c>
      <c r="F454" s="307">
        <f>2134157538.33333+229040810</f>
        <v>2363198348.3333302</v>
      </c>
      <c r="G454" s="150"/>
      <c r="H454" s="180"/>
      <c r="I454" s="180"/>
      <c r="J454" s="180"/>
    </row>
    <row r="455" spans="2:12" ht="15" customHeight="1">
      <c r="B455" s="489" t="s">
        <v>876</v>
      </c>
      <c r="C455" s="550"/>
      <c r="D455" s="490"/>
      <c r="E455" s="312">
        <v>16797097</v>
      </c>
      <c r="F455" s="307">
        <v>1456019287</v>
      </c>
      <c r="G455" s="150"/>
      <c r="H455" s="180"/>
      <c r="I455" s="180"/>
      <c r="J455" s="180"/>
    </row>
    <row r="456" spans="2:12">
      <c r="B456" s="297"/>
      <c r="C456" s="297"/>
      <c r="D456" s="297"/>
      <c r="H456" s="180"/>
      <c r="I456" s="180"/>
      <c r="J456" s="180"/>
      <c r="K456" s="180"/>
    </row>
    <row r="457" spans="2:12">
      <c r="B457" s="161" t="s">
        <v>634</v>
      </c>
      <c r="C457" s="161" t="s">
        <v>666</v>
      </c>
      <c r="D457" s="161"/>
      <c r="E457" s="161"/>
      <c r="F457" s="150"/>
      <c r="G457" s="150"/>
      <c r="I457" s="180"/>
      <c r="J457" s="180"/>
      <c r="K457" s="180"/>
    </row>
    <row r="458" spans="2:12">
      <c r="B458" s="297"/>
      <c r="C458" s="297"/>
      <c r="D458" s="297"/>
      <c r="H458" s="180"/>
      <c r="I458" s="180"/>
      <c r="J458" s="180"/>
      <c r="K458" s="180"/>
    </row>
    <row r="459" spans="2:12" ht="24.6" customHeight="1">
      <c r="B459" s="474" t="s">
        <v>83</v>
      </c>
      <c r="C459" s="475"/>
      <c r="D459" s="367" t="s">
        <v>456</v>
      </c>
      <c r="E459" s="367" t="s">
        <v>147</v>
      </c>
      <c r="F459" s="361" t="s">
        <v>164</v>
      </c>
      <c r="G459" s="361" t="s">
        <v>865</v>
      </c>
      <c r="H459" s="180"/>
      <c r="I459" s="180"/>
      <c r="J459" s="180"/>
      <c r="K459" s="180"/>
    </row>
    <row r="460" spans="2:12" ht="15" customHeight="1">
      <c r="B460" s="464" t="s">
        <v>165</v>
      </c>
      <c r="C460" s="465"/>
      <c r="D460" s="313">
        <v>30000000000</v>
      </c>
      <c r="E460" s="313">
        <v>0</v>
      </c>
      <c r="F460" s="313">
        <v>0</v>
      </c>
      <c r="G460" s="314">
        <f>+D460+E460-F460</f>
        <v>30000000000</v>
      </c>
      <c r="H460" s="180"/>
      <c r="I460" s="180"/>
      <c r="J460" s="180"/>
      <c r="K460" s="180"/>
    </row>
    <row r="461" spans="2:12" ht="15" customHeight="1">
      <c r="B461" s="464" t="s">
        <v>444</v>
      </c>
      <c r="C461" s="465"/>
      <c r="D461" s="313">
        <v>0</v>
      </c>
      <c r="E461" s="313">
        <v>4000000000</v>
      </c>
      <c r="F461" s="313">
        <v>0</v>
      </c>
      <c r="G461" s="314">
        <f t="shared" ref="G461:G468" si="16">+D461+E461-F461</f>
        <v>4000000000</v>
      </c>
      <c r="H461" s="180"/>
      <c r="I461" s="180"/>
      <c r="J461" s="180"/>
      <c r="K461" s="180"/>
    </row>
    <row r="462" spans="2:12" ht="15" customHeight="1">
      <c r="B462" s="464" t="s">
        <v>808</v>
      </c>
      <c r="C462" s="465"/>
      <c r="D462" s="313">
        <v>24823570</v>
      </c>
      <c r="E462" s="313">
        <v>0</v>
      </c>
      <c r="F462" s="313">
        <v>0</v>
      </c>
      <c r="G462" s="314">
        <f t="shared" si="16"/>
        <v>24823570</v>
      </c>
      <c r="H462" s="180"/>
      <c r="I462" s="180"/>
      <c r="J462" s="180"/>
      <c r="K462" s="180"/>
    </row>
    <row r="463" spans="2:12" ht="15" customHeight="1">
      <c r="B463" s="464" t="s">
        <v>216</v>
      </c>
      <c r="C463" s="465"/>
      <c r="D463" s="313">
        <v>100000</v>
      </c>
      <c r="E463" s="313">
        <v>0</v>
      </c>
      <c r="F463" s="313">
        <v>0</v>
      </c>
      <c r="G463" s="314">
        <f t="shared" si="16"/>
        <v>100000</v>
      </c>
      <c r="H463" s="180"/>
      <c r="I463" s="180"/>
      <c r="J463" s="180"/>
      <c r="K463" s="180"/>
    </row>
    <row r="464" spans="2:12" ht="15" customHeight="1">
      <c r="B464" s="464" t="s">
        <v>166</v>
      </c>
      <c r="C464" s="465"/>
      <c r="D464" s="313">
        <v>2059239025</v>
      </c>
      <c r="E464" s="313">
        <v>806963763</v>
      </c>
      <c r="F464" s="313">
        <v>0</v>
      </c>
      <c r="G464" s="314">
        <f t="shared" si="16"/>
        <v>2866202788</v>
      </c>
      <c r="H464" s="180"/>
      <c r="I464" s="180"/>
      <c r="J464" s="180"/>
      <c r="K464" s="180"/>
      <c r="L464" s="180"/>
    </row>
    <row r="465" spans="2:12" ht="15" customHeight="1">
      <c r="B465" s="464" t="s">
        <v>167</v>
      </c>
      <c r="C465" s="465"/>
      <c r="D465" s="313">
        <v>13503670142</v>
      </c>
      <c r="E465" s="313">
        <v>3000000000</v>
      </c>
      <c r="F465" s="313">
        <v>0</v>
      </c>
      <c r="G465" s="314">
        <f t="shared" si="16"/>
        <v>16503670142</v>
      </c>
      <c r="H465" s="180"/>
      <c r="I465" s="180"/>
      <c r="J465" s="180"/>
      <c r="K465" s="180"/>
    </row>
    <row r="466" spans="2:12" ht="15" customHeight="1">
      <c r="B466" s="464" t="s">
        <v>809</v>
      </c>
      <c r="C466" s="465"/>
      <c r="D466" s="313">
        <v>668393789.70968628</v>
      </c>
      <c r="E466" s="313">
        <v>0</v>
      </c>
      <c r="F466" s="313">
        <v>0</v>
      </c>
      <c r="G466" s="314">
        <f t="shared" si="16"/>
        <v>668393789.70968628</v>
      </c>
      <c r="H466" s="180"/>
      <c r="I466" s="180"/>
      <c r="J466" s="180"/>
      <c r="K466" s="180"/>
    </row>
    <row r="467" spans="2:12" ht="15" customHeight="1">
      <c r="B467" s="464" t="s">
        <v>168</v>
      </c>
      <c r="C467" s="465"/>
      <c r="D467" s="313">
        <v>0</v>
      </c>
      <c r="E467" s="313">
        <v>16139275261</v>
      </c>
      <c r="F467" s="313">
        <v>16139275261</v>
      </c>
      <c r="G467" s="314">
        <f t="shared" si="16"/>
        <v>0</v>
      </c>
      <c r="H467" s="180"/>
      <c r="I467" s="180"/>
      <c r="J467" s="180"/>
      <c r="K467" s="180"/>
    </row>
    <row r="468" spans="2:12" ht="15" customHeight="1">
      <c r="B468" s="464" t="s">
        <v>169</v>
      </c>
      <c r="C468" s="465"/>
      <c r="D468" s="313">
        <v>16139275261</v>
      </c>
      <c r="E468" s="313">
        <v>4746165151</v>
      </c>
      <c r="F468" s="313">
        <v>16139275261</v>
      </c>
      <c r="G468" s="314">
        <f t="shared" si="16"/>
        <v>4746165151</v>
      </c>
      <c r="H468" s="180"/>
      <c r="I468" s="180"/>
      <c r="J468" s="180"/>
      <c r="K468" s="180"/>
    </row>
    <row r="469" spans="2:12" ht="15" customHeight="1">
      <c r="B469" s="485" t="s">
        <v>62</v>
      </c>
      <c r="C469" s="486"/>
      <c r="D469" s="315">
        <f>SUM(D460:D468)</f>
        <v>62395501787.709686</v>
      </c>
      <c r="E469" s="315">
        <f t="shared" ref="E469:G469" si="17">SUM(E460:E468)</f>
        <v>28692404175</v>
      </c>
      <c r="F469" s="315">
        <f t="shared" si="17"/>
        <v>32278550522</v>
      </c>
      <c r="G469" s="315">
        <f t="shared" si="17"/>
        <v>58809355440.709686</v>
      </c>
      <c r="H469" s="180"/>
      <c r="I469" s="180"/>
      <c r="J469" s="180"/>
      <c r="K469" s="180"/>
      <c r="L469" s="167"/>
    </row>
    <row r="470" spans="2:12">
      <c r="B470" s="295"/>
      <c r="C470" s="295"/>
      <c r="D470" s="295"/>
      <c r="E470" s="316"/>
      <c r="F470" s="317"/>
      <c r="G470" s="317"/>
      <c r="H470" s="180"/>
      <c r="I470" s="180"/>
      <c r="J470" s="179"/>
      <c r="K470" s="180"/>
    </row>
    <row r="471" spans="2:12">
      <c r="B471" s="161" t="s">
        <v>635</v>
      </c>
      <c r="C471" s="161" t="s">
        <v>668</v>
      </c>
      <c r="D471" s="161"/>
      <c r="E471" s="161"/>
      <c r="H471" s="318"/>
      <c r="I471" s="180"/>
      <c r="J471" s="180"/>
      <c r="K471" s="180"/>
    </row>
    <row r="472" spans="2:12">
      <c r="B472" s="161"/>
      <c r="C472" s="161"/>
      <c r="D472" s="161"/>
      <c r="E472" s="161"/>
      <c r="H472" s="318"/>
      <c r="I472" s="180"/>
      <c r="J472" s="180"/>
      <c r="K472" s="180"/>
    </row>
    <row r="473" spans="2:12" ht="23.4" customHeight="1">
      <c r="B473" s="474" t="s">
        <v>132</v>
      </c>
      <c r="C473" s="475"/>
      <c r="D473" s="367" t="s">
        <v>707</v>
      </c>
      <c r="E473" s="367" t="s">
        <v>147</v>
      </c>
      <c r="F473" s="361" t="s">
        <v>170</v>
      </c>
      <c r="G473" s="361" t="s">
        <v>894</v>
      </c>
      <c r="H473" s="361" t="s">
        <v>901</v>
      </c>
      <c r="I473" s="180"/>
      <c r="J473" s="180"/>
      <c r="K473" s="180"/>
    </row>
    <row r="474" spans="2:12" ht="15" customHeight="1">
      <c r="B474" s="506" t="s">
        <v>171</v>
      </c>
      <c r="C474" s="507"/>
      <c r="D474" s="126">
        <v>12963492</v>
      </c>
      <c r="E474" s="294">
        <v>0</v>
      </c>
      <c r="F474" s="126">
        <v>12963492</v>
      </c>
      <c r="G474" s="126">
        <v>0</v>
      </c>
      <c r="H474" s="319">
        <v>12963492</v>
      </c>
      <c r="J474" s="180"/>
      <c r="K474" s="180"/>
    </row>
    <row r="475" spans="2:12" ht="15" customHeight="1">
      <c r="B475" s="506" t="s">
        <v>172</v>
      </c>
      <c r="C475" s="507"/>
      <c r="D475" s="294">
        <v>0</v>
      </c>
      <c r="E475" s="294">
        <v>0</v>
      </c>
      <c r="F475" s="126">
        <v>0</v>
      </c>
      <c r="G475" s="126">
        <v>0</v>
      </c>
      <c r="H475" s="126">
        <v>0</v>
      </c>
      <c r="I475" s="180"/>
      <c r="J475" s="180"/>
      <c r="K475" s="180"/>
    </row>
    <row r="476" spans="2:12" ht="15" customHeight="1">
      <c r="B476" s="489" t="s">
        <v>62</v>
      </c>
      <c r="C476" s="490"/>
      <c r="D476" s="139">
        <f>SUM(D474:D475)</f>
        <v>12963492</v>
      </c>
      <c r="E476" s="139">
        <f t="shared" ref="E476:G476" si="18">SUM(E474:E475)</f>
        <v>0</v>
      </c>
      <c r="F476" s="139">
        <f t="shared" si="18"/>
        <v>12963492</v>
      </c>
      <c r="G476" s="139">
        <f t="shared" si="18"/>
        <v>0</v>
      </c>
      <c r="H476" s="139">
        <f>SUM(H474:H475)</f>
        <v>12963492</v>
      </c>
      <c r="I476" s="180"/>
      <c r="J476" s="180"/>
      <c r="K476" s="180"/>
    </row>
    <row r="477" spans="2:12">
      <c r="B477" s="217"/>
      <c r="C477" s="217"/>
      <c r="D477" s="217"/>
      <c r="E477" s="217"/>
      <c r="F477" s="302"/>
      <c r="G477" s="302"/>
      <c r="H477" s="180"/>
      <c r="I477" s="180"/>
      <c r="J477" s="180"/>
      <c r="K477" s="180"/>
    </row>
    <row r="478" spans="2:12">
      <c r="B478" s="161" t="s">
        <v>636</v>
      </c>
      <c r="C478" s="161" t="s">
        <v>572</v>
      </c>
      <c r="D478" s="161"/>
      <c r="E478" s="161"/>
      <c r="F478" s="302"/>
      <c r="G478" s="302"/>
      <c r="H478" s="318"/>
      <c r="I478" s="180"/>
      <c r="J478" s="180"/>
      <c r="K478" s="180"/>
    </row>
    <row r="479" spans="2:12">
      <c r="B479" s="161" t="s">
        <v>638</v>
      </c>
      <c r="C479" s="161" t="s">
        <v>669</v>
      </c>
      <c r="D479" s="161"/>
      <c r="E479" s="161"/>
      <c r="F479" s="276"/>
      <c r="G479" s="276"/>
      <c r="H479" s="318"/>
      <c r="I479" s="180"/>
      <c r="J479" s="180"/>
      <c r="K479" s="180"/>
    </row>
    <row r="480" spans="2:12">
      <c r="B480" s="159"/>
      <c r="C480" s="159"/>
      <c r="D480" s="159"/>
      <c r="E480" s="159"/>
      <c r="F480" s="276"/>
      <c r="G480" s="276"/>
      <c r="H480" s="277"/>
      <c r="I480" s="277"/>
      <c r="J480" s="180"/>
      <c r="K480" s="180"/>
    </row>
    <row r="481" spans="2:11" ht="12.75" customHeight="1">
      <c r="B481" s="508" t="s">
        <v>83</v>
      </c>
      <c r="C481" s="509"/>
      <c r="D481" s="494" t="s">
        <v>217</v>
      </c>
      <c r="E481" s="494"/>
      <c r="F481" s="276"/>
      <c r="G481" s="276"/>
      <c r="H481" s="277"/>
      <c r="I481" s="277"/>
      <c r="J481" s="180"/>
      <c r="K481" s="180"/>
    </row>
    <row r="482" spans="2:11">
      <c r="B482" s="510"/>
      <c r="C482" s="511"/>
      <c r="D482" s="102">
        <v>44834</v>
      </c>
      <c r="E482" s="102">
        <v>44469</v>
      </c>
      <c r="F482" s="276"/>
      <c r="G482" s="276"/>
      <c r="H482" s="277"/>
      <c r="I482" s="277"/>
      <c r="J482" s="180"/>
      <c r="K482" s="180"/>
    </row>
    <row r="483" spans="2:11" ht="15" customHeight="1">
      <c r="B483" s="541" t="s">
        <v>70</v>
      </c>
      <c r="C483" s="542"/>
      <c r="D483" s="126">
        <v>4096375168</v>
      </c>
      <c r="E483" s="126">
        <v>900628713</v>
      </c>
      <c r="F483" s="276"/>
      <c r="G483" s="276"/>
      <c r="H483" s="277"/>
      <c r="I483" s="277"/>
      <c r="J483" s="180"/>
      <c r="K483" s="180"/>
    </row>
    <row r="484" spans="2:11" ht="15" customHeight="1">
      <c r="B484" s="470" t="s">
        <v>68</v>
      </c>
      <c r="C484" s="471"/>
      <c r="D484" s="320">
        <f>SUM(D483)</f>
        <v>4096375168</v>
      </c>
      <c r="E484" s="320">
        <f>SUM(E483)</f>
        <v>900628713</v>
      </c>
      <c r="F484" s="276"/>
      <c r="G484" s="276"/>
      <c r="H484" s="277"/>
      <c r="I484" s="277"/>
      <c r="J484" s="180"/>
      <c r="K484" s="180"/>
    </row>
    <row r="485" spans="2:11">
      <c r="B485" s="159"/>
      <c r="C485" s="159"/>
      <c r="D485" s="159"/>
      <c r="E485" s="159"/>
      <c r="F485" s="276"/>
      <c r="G485" s="276"/>
      <c r="H485" s="277"/>
      <c r="I485" s="277"/>
      <c r="J485" s="180"/>
      <c r="K485" s="180"/>
    </row>
    <row r="486" spans="2:11">
      <c r="B486" s="161" t="s">
        <v>640</v>
      </c>
      <c r="C486" s="161" t="s">
        <v>670</v>
      </c>
      <c r="D486" s="161"/>
      <c r="E486" s="161"/>
      <c r="F486" s="276"/>
      <c r="G486" s="276"/>
      <c r="H486" s="180"/>
      <c r="I486" s="180"/>
      <c r="J486" s="180"/>
      <c r="K486" s="180"/>
    </row>
    <row r="487" spans="2:11">
      <c r="B487" s="159"/>
      <c r="C487" s="159"/>
      <c r="D487" s="159"/>
      <c r="E487" s="159"/>
      <c r="F487" s="276"/>
      <c r="G487" s="276"/>
      <c r="H487" s="277"/>
      <c r="I487" s="321"/>
      <c r="J487" s="180"/>
      <c r="K487" s="180"/>
    </row>
    <row r="488" spans="2:11" ht="18" customHeight="1">
      <c r="B488" s="508" t="s">
        <v>83</v>
      </c>
      <c r="C488" s="509"/>
      <c r="D488" s="512" t="s">
        <v>217</v>
      </c>
      <c r="E488" s="513"/>
      <c r="F488" s="276"/>
      <c r="G488" s="276"/>
      <c r="H488" s="277"/>
      <c r="I488" s="321"/>
      <c r="J488" s="180"/>
      <c r="K488" s="180"/>
    </row>
    <row r="489" spans="2:11" ht="18" customHeight="1">
      <c r="B489" s="510"/>
      <c r="C489" s="511"/>
      <c r="D489" s="102">
        <v>44834</v>
      </c>
      <c r="E489" s="102">
        <v>44469</v>
      </c>
      <c r="F489" s="276"/>
      <c r="G489" s="276"/>
      <c r="H489" s="277"/>
      <c r="I489" s="321"/>
      <c r="J489" s="180"/>
      <c r="K489" s="180"/>
    </row>
    <row r="490" spans="2:11" ht="15" customHeight="1">
      <c r="B490" s="459" t="s">
        <v>64</v>
      </c>
      <c r="C490" s="461"/>
      <c r="D490" s="322">
        <f>1473662722+195004122-12603</f>
        <v>1668654241</v>
      </c>
      <c r="E490" s="322">
        <v>3753082669</v>
      </c>
      <c r="F490" s="276"/>
      <c r="G490" s="180"/>
      <c r="H490" s="277"/>
      <c r="I490" s="321"/>
      <c r="J490" s="180"/>
      <c r="K490" s="180"/>
    </row>
    <row r="491" spans="2:11" ht="15" customHeight="1">
      <c r="B491" s="459" t="s">
        <v>66</v>
      </c>
      <c r="C491" s="461"/>
      <c r="D491" s="322">
        <v>1538239003</v>
      </c>
      <c r="E491" s="322">
        <v>2180357404</v>
      </c>
      <c r="F491" s="276"/>
      <c r="G491" s="276"/>
      <c r="H491" s="180"/>
      <c r="I491" s="180"/>
      <c r="J491" s="180"/>
      <c r="K491" s="180"/>
    </row>
    <row r="492" spans="2:11" ht="15" customHeight="1">
      <c r="B492" s="459" t="s">
        <v>67</v>
      </c>
      <c r="C492" s="461"/>
      <c r="D492" s="322">
        <f>6871212000+86000+99922694-150753025</f>
        <v>6820467669</v>
      </c>
      <c r="E492" s="322">
        <v>13294621719</v>
      </c>
      <c r="F492" s="276"/>
      <c r="G492" s="276"/>
      <c r="H492" s="180"/>
      <c r="I492" s="179"/>
      <c r="J492" s="180"/>
      <c r="K492" s="180"/>
    </row>
    <row r="493" spans="2:11" ht="15" customHeight="1">
      <c r="B493" s="459" t="s">
        <v>258</v>
      </c>
      <c r="C493" s="461"/>
      <c r="D493" s="322">
        <v>2425400</v>
      </c>
      <c r="E493" s="322">
        <v>21666128</v>
      </c>
      <c r="F493" s="276"/>
      <c r="G493" s="276"/>
      <c r="H493" s="180"/>
      <c r="I493" s="179"/>
      <c r="J493" s="180"/>
      <c r="K493" s="180"/>
    </row>
    <row r="494" spans="2:11" ht="15" customHeight="1">
      <c r="B494" s="470" t="s">
        <v>68</v>
      </c>
      <c r="C494" s="471"/>
      <c r="D494" s="129">
        <f>SUM(D490:D493)</f>
        <v>10029786313</v>
      </c>
      <c r="E494" s="129">
        <f>SUM(E490:E493)</f>
        <v>19249727920</v>
      </c>
      <c r="F494" s="276"/>
      <c r="G494" s="276"/>
      <c r="H494" s="180"/>
      <c r="I494" s="180"/>
      <c r="J494" s="180"/>
      <c r="K494" s="180"/>
    </row>
    <row r="495" spans="2:11">
      <c r="K495" s="180"/>
    </row>
    <row r="496" spans="2:11">
      <c r="B496" s="161" t="s">
        <v>699</v>
      </c>
      <c r="C496" s="161" t="s">
        <v>671</v>
      </c>
      <c r="D496" s="161"/>
      <c r="E496" s="161"/>
      <c r="K496" s="180"/>
    </row>
    <row r="497" spans="2:11">
      <c r="K497" s="180"/>
    </row>
    <row r="498" spans="2:11" ht="18" customHeight="1">
      <c r="B498" s="508" t="s">
        <v>83</v>
      </c>
      <c r="C498" s="509"/>
      <c r="D498" s="494" t="s">
        <v>217</v>
      </c>
      <c r="E498" s="494"/>
      <c r="F498" s="276"/>
      <c r="G498" s="276"/>
      <c r="H498" s="277"/>
      <c r="I498" s="321"/>
      <c r="J498" s="180"/>
      <c r="K498" s="180"/>
    </row>
    <row r="499" spans="2:11" ht="18" customHeight="1">
      <c r="B499" s="510"/>
      <c r="C499" s="511"/>
      <c r="D499" s="102">
        <v>44834</v>
      </c>
      <c r="E499" s="102">
        <v>44469</v>
      </c>
      <c r="H499" s="277"/>
      <c r="I499" s="321"/>
      <c r="J499" s="180"/>
      <c r="K499" s="180"/>
    </row>
    <row r="500" spans="2:11" ht="15" customHeight="1">
      <c r="B500" s="459" t="s">
        <v>69</v>
      </c>
      <c r="C500" s="461"/>
      <c r="D500" s="322">
        <v>0</v>
      </c>
      <c r="E500" s="322">
        <v>0</v>
      </c>
      <c r="F500" s="276"/>
    </row>
    <row r="501" spans="2:11" ht="15" customHeight="1">
      <c r="B501" s="543" t="s">
        <v>68</v>
      </c>
      <c r="C501" s="544"/>
      <c r="D501" s="320">
        <f>SUM(D500)</f>
        <v>0</v>
      </c>
      <c r="E501" s="320">
        <f>SUM(E500)</f>
        <v>0</v>
      </c>
    </row>
    <row r="503" spans="2:11">
      <c r="B503" s="161" t="s">
        <v>693</v>
      </c>
      <c r="C503" s="161" t="s">
        <v>673</v>
      </c>
      <c r="D503" s="161"/>
      <c r="E503" s="161"/>
    </row>
    <row r="505" spans="2:11">
      <c r="B505" s="161" t="s">
        <v>709</v>
      </c>
      <c r="C505" s="161" t="s">
        <v>672</v>
      </c>
      <c r="D505" s="161"/>
      <c r="E505" s="161"/>
    </row>
    <row r="506" spans="2:11">
      <c r="B506" s="161"/>
      <c r="C506" s="161"/>
      <c r="D506" s="161"/>
      <c r="E506" s="161"/>
    </row>
    <row r="507" spans="2:11" ht="18" customHeight="1">
      <c r="B507" s="508" t="s">
        <v>83</v>
      </c>
      <c r="C507" s="509"/>
      <c r="D507" s="494" t="s">
        <v>217</v>
      </c>
      <c r="E507" s="494"/>
      <c r="H507" s="277"/>
      <c r="I507" s="277"/>
      <c r="J507" s="180"/>
      <c r="K507" s="180"/>
    </row>
    <row r="508" spans="2:11" ht="18" customHeight="1">
      <c r="B508" s="510"/>
      <c r="C508" s="511"/>
      <c r="D508" s="102">
        <v>44834</v>
      </c>
      <c r="E508" s="102">
        <v>44469</v>
      </c>
      <c r="F508" s="150"/>
      <c r="K508" s="180"/>
    </row>
    <row r="509" spans="2:11" ht="15" customHeight="1">
      <c r="B509" s="459" t="s">
        <v>71</v>
      </c>
      <c r="C509" s="461"/>
      <c r="D509" s="319">
        <v>2641530</v>
      </c>
      <c r="E509" s="322">
        <v>2530200</v>
      </c>
      <c r="F509" s="276"/>
      <c r="G509" s="150"/>
    </row>
    <row r="510" spans="2:11" ht="15" customHeight="1">
      <c r="B510" s="459" t="s">
        <v>93</v>
      </c>
      <c r="C510" s="461"/>
      <c r="D510" s="319">
        <v>53554297</v>
      </c>
      <c r="E510" s="322">
        <v>106424282</v>
      </c>
      <c r="F510" s="276"/>
      <c r="G510" s="150"/>
    </row>
    <row r="511" spans="2:11" ht="15" customHeight="1">
      <c r="B511" s="459" t="s">
        <v>94</v>
      </c>
      <c r="C511" s="461"/>
      <c r="D511" s="319">
        <v>3641710</v>
      </c>
      <c r="E511" s="322">
        <v>3409841</v>
      </c>
      <c r="F511" s="276"/>
      <c r="G511" s="150"/>
    </row>
    <row r="512" spans="2:11" ht="15" customHeight="1">
      <c r="B512" s="459" t="s">
        <v>221</v>
      </c>
      <c r="C512" s="461"/>
      <c r="D512" s="319">
        <v>502855032</v>
      </c>
      <c r="E512" s="322">
        <v>60522873</v>
      </c>
      <c r="F512" s="276"/>
      <c r="G512" s="150"/>
    </row>
    <row r="513" spans="2:11" ht="15" customHeight="1">
      <c r="B513" s="459" t="s">
        <v>768</v>
      </c>
      <c r="C513" s="461"/>
      <c r="D513" s="319">
        <v>1323893381</v>
      </c>
      <c r="E513" s="319">
        <v>15037499</v>
      </c>
      <c r="F513" s="276"/>
      <c r="G513" s="150"/>
    </row>
    <row r="514" spans="2:11" ht="15" customHeight="1">
      <c r="B514" s="459" t="s">
        <v>841</v>
      </c>
      <c r="C514" s="461"/>
      <c r="D514" s="319">
        <v>128950</v>
      </c>
      <c r="E514" s="319">
        <v>0</v>
      </c>
      <c r="F514" s="276"/>
      <c r="G514" s="150"/>
    </row>
    <row r="515" spans="2:11" ht="15" customHeight="1">
      <c r="B515" s="543" t="s">
        <v>84</v>
      </c>
      <c r="C515" s="544"/>
      <c r="D515" s="320">
        <f>SUM(D509:D514)</f>
        <v>1886714900</v>
      </c>
      <c r="E515" s="320">
        <f>SUM(E509:E514)</f>
        <v>187924695</v>
      </c>
      <c r="F515" s="150"/>
      <c r="G515" s="150"/>
    </row>
    <row r="516" spans="2:11">
      <c r="B516" s="185"/>
      <c r="C516" s="185"/>
      <c r="D516" s="267"/>
      <c r="E516" s="267"/>
    </row>
    <row r="517" spans="2:11">
      <c r="B517" s="161" t="s">
        <v>710</v>
      </c>
      <c r="C517" s="161" t="s">
        <v>675</v>
      </c>
      <c r="D517" s="161"/>
      <c r="E517" s="161"/>
    </row>
    <row r="518" spans="2:11">
      <c r="B518" s="161"/>
      <c r="C518" s="161"/>
      <c r="D518" s="161"/>
      <c r="E518" s="161"/>
    </row>
    <row r="519" spans="2:11" ht="18" customHeight="1">
      <c r="B519" s="508" t="s">
        <v>83</v>
      </c>
      <c r="C519" s="509"/>
      <c r="D519" s="494" t="s">
        <v>217</v>
      </c>
      <c r="E519" s="494"/>
      <c r="F519" s="150"/>
      <c r="G519" s="150"/>
      <c r="H519" s="277"/>
      <c r="I519" s="321"/>
      <c r="J519" s="180"/>
      <c r="K519" s="180"/>
    </row>
    <row r="520" spans="2:11" ht="18" customHeight="1">
      <c r="B520" s="510"/>
      <c r="C520" s="511"/>
      <c r="D520" s="102">
        <v>44834</v>
      </c>
      <c r="E520" s="102">
        <v>44469</v>
      </c>
      <c r="F520" s="150"/>
      <c r="G520" s="150"/>
      <c r="H520" s="277"/>
      <c r="I520" s="321"/>
      <c r="J520" s="180"/>
      <c r="K520" s="180"/>
    </row>
    <row r="521" spans="2:11" ht="15" customHeight="1">
      <c r="B521" s="459" t="s">
        <v>92</v>
      </c>
      <c r="C521" s="461"/>
      <c r="D521" s="319">
        <v>41279273</v>
      </c>
      <c r="E521" s="322">
        <v>31580128</v>
      </c>
      <c r="F521" s="276"/>
      <c r="G521" s="150"/>
    </row>
    <row r="522" spans="2:11" ht="15" customHeight="1">
      <c r="B522" s="459" t="s">
        <v>72</v>
      </c>
      <c r="C522" s="461"/>
      <c r="D522" s="319">
        <v>61377975</v>
      </c>
      <c r="E522" s="322">
        <v>279027870</v>
      </c>
      <c r="F522" s="276"/>
      <c r="G522" s="150"/>
    </row>
    <row r="523" spans="2:11" ht="15" customHeight="1">
      <c r="B523" s="459" t="s">
        <v>433</v>
      </c>
      <c r="C523" s="461"/>
      <c r="D523" s="319">
        <v>0</v>
      </c>
      <c r="E523" s="322">
        <v>30140100</v>
      </c>
      <c r="F523" s="150"/>
      <c r="G523" s="150"/>
    </row>
    <row r="524" spans="2:11" ht="15" customHeight="1">
      <c r="B524" s="543" t="s">
        <v>84</v>
      </c>
      <c r="C524" s="544"/>
      <c r="D524" s="320">
        <f>SUM(D521:D523)</f>
        <v>102657248</v>
      </c>
      <c r="E524" s="320">
        <f>SUM(E521:E523)</f>
        <v>340748098</v>
      </c>
      <c r="F524" s="150"/>
      <c r="G524" s="150"/>
    </row>
    <row r="525" spans="2:11" s="185" customFormat="1">
      <c r="D525" s="267"/>
      <c r="E525" s="267"/>
      <c r="F525" s="216"/>
      <c r="G525" s="216"/>
    </row>
    <row r="526" spans="2:11">
      <c r="B526" s="161" t="s">
        <v>711</v>
      </c>
      <c r="C526" s="161" t="s">
        <v>674</v>
      </c>
      <c r="D526" s="161"/>
      <c r="E526" s="161"/>
    </row>
    <row r="527" spans="2:11">
      <c r="B527" s="161"/>
      <c r="C527" s="161"/>
      <c r="D527" s="161"/>
      <c r="E527" s="161"/>
    </row>
    <row r="528" spans="2:11" ht="18" customHeight="1">
      <c r="B528" s="508" t="s">
        <v>83</v>
      </c>
      <c r="C528" s="509"/>
      <c r="D528" s="494" t="s">
        <v>217</v>
      </c>
      <c r="E528" s="494"/>
      <c r="H528" s="277"/>
      <c r="I528" s="321"/>
      <c r="J528" s="180"/>
      <c r="K528" s="180"/>
    </row>
    <row r="529" spans="2:11" ht="18" customHeight="1">
      <c r="B529" s="510"/>
      <c r="C529" s="511"/>
      <c r="D529" s="102">
        <v>44834</v>
      </c>
      <c r="E529" s="102">
        <v>44469</v>
      </c>
      <c r="H529" s="277"/>
      <c r="I529" s="321"/>
      <c r="J529" s="180"/>
      <c r="K529" s="180"/>
    </row>
    <row r="530" spans="2:11" ht="15" customHeight="1">
      <c r="B530" s="459" t="s">
        <v>185</v>
      </c>
      <c r="C530" s="461"/>
      <c r="D530" s="322">
        <v>268500000</v>
      </c>
      <c r="E530" s="322">
        <v>121500000</v>
      </c>
      <c r="F530" s="276"/>
      <c r="G530" s="323"/>
      <c r="H530" s="277"/>
      <c r="I530" s="321"/>
      <c r="J530" s="180"/>
      <c r="K530" s="180"/>
    </row>
    <row r="531" spans="2:11" ht="15" customHeight="1">
      <c r="B531" s="459" t="s">
        <v>222</v>
      </c>
      <c r="C531" s="461"/>
      <c r="D531" s="322">
        <v>648000000</v>
      </c>
      <c r="E531" s="322">
        <v>648000000</v>
      </c>
      <c r="F531" s="276"/>
      <c r="H531" s="277"/>
      <c r="I531" s="321"/>
      <c r="J531" s="180"/>
      <c r="K531" s="180"/>
    </row>
    <row r="532" spans="2:11" ht="15" customHeight="1">
      <c r="B532" s="459" t="s">
        <v>81</v>
      </c>
      <c r="C532" s="461"/>
      <c r="D532" s="322">
        <v>3203380204</v>
      </c>
      <c r="E532" s="322">
        <v>2474845069</v>
      </c>
      <c r="F532" s="276"/>
      <c r="H532" s="277"/>
      <c r="I532" s="321"/>
      <c r="J532" s="180"/>
      <c r="K532" s="180"/>
    </row>
    <row r="533" spans="2:11" ht="15" customHeight="1">
      <c r="B533" s="390" t="s">
        <v>897</v>
      </c>
      <c r="C533" s="391"/>
      <c r="D533" s="324">
        <v>0</v>
      </c>
      <c r="E533" s="324">
        <v>1664798</v>
      </c>
      <c r="F533" s="276"/>
      <c r="H533" s="277"/>
      <c r="I533" s="321"/>
      <c r="J533" s="180"/>
      <c r="K533" s="180"/>
    </row>
    <row r="534" spans="2:11" ht="15" customHeight="1">
      <c r="B534" s="459" t="s">
        <v>76</v>
      </c>
      <c r="C534" s="461"/>
      <c r="D534" s="322">
        <v>266948348</v>
      </c>
      <c r="E534" s="322">
        <v>206237088</v>
      </c>
      <c r="F534" s="276"/>
      <c r="H534" s="277"/>
      <c r="I534" s="321"/>
      <c r="J534" s="180"/>
      <c r="K534" s="180"/>
    </row>
    <row r="535" spans="2:11" ht="15" customHeight="1">
      <c r="B535" s="459" t="s">
        <v>82</v>
      </c>
      <c r="C535" s="461"/>
      <c r="D535" s="322">
        <v>545585733</v>
      </c>
      <c r="E535" s="322">
        <v>418327013</v>
      </c>
      <c r="F535" s="276"/>
      <c r="H535" s="277"/>
      <c r="I535" s="321"/>
      <c r="J535" s="180"/>
      <c r="K535" s="180"/>
    </row>
    <row r="536" spans="2:11" ht="15" customHeight="1">
      <c r="B536" s="459" t="s">
        <v>78</v>
      </c>
      <c r="C536" s="461"/>
      <c r="D536" s="322">
        <v>396055688</v>
      </c>
      <c r="E536" s="322">
        <v>1191177493</v>
      </c>
      <c r="F536" s="276"/>
      <c r="H536" s="277"/>
      <c r="I536" s="321"/>
      <c r="J536" s="180"/>
      <c r="K536" s="180"/>
    </row>
    <row r="537" spans="2:11" ht="15" customHeight="1">
      <c r="B537" s="459" t="s">
        <v>895</v>
      </c>
      <c r="C537" s="461"/>
      <c r="D537" s="324">
        <v>10023927</v>
      </c>
      <c r="E537" s="324">
        <v>0</v>
      </c>
      <c r="F537" s="276"/>
      <c r="H537" s="277"/>
      <c r="I537" s="321"/>
      <c r="J537" s="180"/>
      <c r="K537" s="180"/>
    </row>
    <row r="538" spans="2:11" ht="15" customHeight="1">
      <c r="B538" s="459" t="s">
        <v>223</v>
      </c>
      <c r="C538" s="461"/>
      <c r="D538" s="322">
        <v>58874998</v>
      </c>
      <c r="E538" s="322">
        <v>90708189</v>
      </c>
      <c r="F538" s="276"/>
      <c r="H538" s="277"/>
      <c r="I538" s="321"/>
      <c r="J538" s="180"/>
      <c r="K538" s="180"/>
    </row>
    <row r="539" spans="2:11" ht="15" customHeight="1">
      <c r="B539" s="459" t="s">
        <v>74</v>
      </c>
      <c r="C539" s="461"/>
      <c r="D539" s="322">
        <v>145380261</v>
      </c>
      <c r="E539" s="322">
        <v>158690458</v>
      </c>
      <c r="F539" s="276"/>
      <c r="H539" s="277"/>
      <c r="I539" s="321"/>
      <c r="J539" s="180"/>
      <c r="K539" s="180"/>
    </row>
    <row r="540" spans="2:11" ht="15" customHeight="1">
      <c r="B540" s="459" t="s">
        <v>200</v>
      </c>
      <c r="C540" s="461"/>
      <c r="D540" s="322">
        <v>64269933</v>
      </c>
      <c r="E540" s="322">
        <v>14776336</v>
      </c>
      <c r="F540" s="276"/>
      <c r="H540" s="277"/>
      <c r="I540" s="321"/>
      <c r="J540" s="180"/>
      <c r="K540" s="180"/>
    </row>
    <row r="541" spans="2:11" ht="15" customHeight="1">
      <c r="B541" s="459" t="s">
        <v>219</v>
      </c>
      <c r="C541" s="461"/>
      <c r="D541" s="322">
        <v>28744367</v>
      </c>
      <c r="E541" s="322">
        <v>13515506</v>
      </c>
      <c r="F541" s="276"/>
      <c r="H541" s="277"/>
      <c r="I541" s="321"/>
      <c r="J541" s="180"/>
      <c r="K541" s="180"/>
    </row>
    <row r="542" spans="2:11" ht="15" customHeight="1">
      <c r="B542" s="459" t="s">
        <v>199</v>
      </c>
      <c r="C542" s="461"/>
      <c r="D542" s="322">
        <v>201066000</v>
      </c>
      <c r="E542" s="322">
        <v>130642300</v>
      </c>
      <c r="F542" s="276"/>
    </row>
    <row r="543" spans="2:11" ht="15" customHeight="1">
      <c r="B543" s="459" t="s">
        <v>224</v>
      </c>
      <c r="C543" s="461"/>
      <c r="D543" s="322">
        <v>40800000</v>
      </c>
      <c r="E543" s="322">
        <v>13125000</v>
      </c>
      <c r="F543" s="276"/>
    </row>
    <row r="544" spans="2:11" ht="15" customHeight="1">
      <c r="B544" s="459" t="s">
        <v>225</v>
      </c>
      <c r="C544" s="461"/>
      <c r="D544" s="322">
        <v>70932291</v>
      </c>
      <c r="E544" s="322">
        <v>4375000</v>
      </c>
      <c r="F544" s="276"/>
    </row>
    <row r="545" spans="2:9" ht="15" customHeight="1">
      <c r="B545" s="459" t="s">
        <v>91</v>
      </c>
      <c r="C545" s="461"/>
      <c r="D545" s="322">
        <v>44356079</v>
      </c>
      <c r="E545" s="322">
        <v>30454404</v>
      </c>
      <c r="F545" s="276"/>
    </row>
    <row r="546" spans="2:9" ht="15" customHeight="1">
      <c r="B546" s="459" t="s">
        <v>88</v>
      </c>
      <c r="C546" s="461"/>
      <c r="D546" s="322">
        <v>10811348</v>
      </c>
      <c r="E546" s="322">
        <v>17932519</v>
      </c>
      <c r="F546" s="276"/>
    </row>
    <row r="547" spans="2:9" ht="15" customHeight="1">
      <c r="B547" s="459" t="s">
        <v>75</v>
      </c>
      <c r="C547" s="461"/>
      <c r="D547" s="322">
        <v>690910</v>
      </c>
      <c r="E547" s="322">
        <v>363636</v>
      </c>
      <c r="F547" s="276"/>
    </row>
    <row r="548" spans="2:9" ht="15" customHeight="1">
      <c r="B548" s="459" t="s">
        <v>89</v>
      </c>
      <c r="C548" s="461"/>
      <c r="D548" s="322">
        <f>289118824+590909</f>
        <v>289709733</v>
      </c>
      <c r="E548" s="322">
        <f>142248830-6601000</f>
        <v>135647830</v>
      </c>
      <c r="F548" s="276"/>
      <c r="H548" s="167"/>
      <c r="I548" s="180"/>
    </row>
    <row r="549" spans="2:9" ht="15" customHeight="1">
      <c r="B549" s="459" t="s">
        <v>87</v>
      </c>
      <c r="C549" s="461"/>
      <c r="D549" s="322">
        <v>43124646</v>
      </c>
      <c r="E549" s="322">
        <v>40534659</v>
      </c>
      <c r="F549" s="276"/>
      <c r="H549" s="180"/>
    </row>
    <row r="550" spans="2:9" ht="15" customHeight="1">
      <c r="B550" s="459" t="s">
        <v>90</v>
      </c>
      <c r="C550" s="461"/>
      <c r="D550" s="322">
        <v>15522727</v>
      </c>
      <c r="E550" s="322">
        <v>13643396</v>
      </c>
      <c r="F550" s="276"/>
      <c r="G550" s="150"/>
    </row>
    <row r="551" spans="2:9" ht="15" customHeight="1">
      <c r="B551" s="459" t="s">
        <v>77</v>
      </c>
      <c r="C551" s="461"/>
      <c r="D551" s="322">
        <v>32311451</v>
      </c>
      <c r="E551" s="322">
        <v>16127936</v>
      </c>
      <c r="F551" s="276"/>
      <c r="G551" s="150"/>
    </row>
    <row r="552" spans="2:9" ht="15" customHeight="1">
      <c r="B552" s="459" t="s">
        <v>464</v>
      </c>
      <c r="C552" s="461"/>
      <c r="D552" s="324">
        <v>653114217</v>
      </c>
      <c r="E552" s="324">
        <v>338523999</v>
      </c>
      <c r="F552" s="276"/>
      <c r="G552" s="150"/>
    </row>
    <row r="553" spans="2:9" ht="15" customHeight="1">
      <c r="B553" s="459" t="s">
        <v>810</v>
      </c>
      <c r="C553" s="461"/>
      <c r="D553" s="324">
        <v>37881761</v>
      </c>
      <c r="E553" s="324">
        <v>45571523</v>
      </c>
      <c r="F553" s="276"/>
      <c r="G553" s="150"/>
    </row>
    <row r="554" spans="2:9" ht="15" customHeight="1">
      <c r="B554" s="459" t="s">
        <v>73</v>
      </c>
      <c r="C554" s="461"/>
      <c r="D554" s="324">
        <f>84057809+103228</f>
        <v>84161037</v>
      </c>
      <c r="E554" s="322">
        <v>2187838</v>
      </c>
      <c r="F554" s="276"/>
      <c r="G554" s="150"/>
    </row>
    <row r="555" spans="2:9" ht="15" customHeight="1">
      <c r="B555" s="459" t="s">
        <v>220</v>
      </c>
      <c r="C555" s="461"/>
      <c r="D555" s="322">
        <v>225523971</v>
      </c>
      <c r="E555" s="322">
        <v>136427910</v>
      </c>
      <c r="F555" s="276"/>
      <c r="G555" s="150"/>
    </row>
    <row r="556" spans="2:9" ht="15" customHeight="1">
      <c r="B556" s="459" t="s">
        <v>301</v>
      </c>
      <c r="C556" s="461"/>
      <c r="D556" s="322">
        <v>29065545</v>
      </c>
      <c r="E556" s="322">
        <v>26647980</v>
      </c>
      <c r="F556" s="276"/>
      <c r="G556" s="150"/>
    </row>
    <row r="557" spans="2:9" ht="15" customHeight="1">
      <c r="B557" s="459" t="s">
        <v>218</v>
      </c>
      <c r="C557" s="461"/>
      <c r="D557" s="322">
        <v>54721226</v>
      </c>
      <c r="E557" s="322">
        <v>53099409</v>
      </c>
      <c r="F557" s="276"/>
      <c r="G557" s="150"/>
    </row>
    <row r="558" spans="2:9" ht="15" customHeight="1">
      <c r="B558" s="459" t="s">
        <v>302</v>
      </c>
      <c r="C558" s="461"/>
      <c r="D558" s="322">
        <v>46054634</v>
      </c>
      <c r="E558" s="322">
        <v>11353275</v>
      </c>
      <c r="F558" s="276"/>
      <c r="G558" s="150"/>
    </row>
    <row r="559" spans="2:9" ht="15" customHeight="1">
      <c r="B559" s="459" t="s">
        <v>811</v>
      </c>
      <c r="C559" s="461"/>
      <c r="D559" s="322">
        <v>11587665</v>
      </c>
      <c r="E559" s="322">
        <v>85452464</v>
      </c>
      <c r="F559" s="276"/>
      <c r="G559" s="150"/>
    </row>
    <row r="560" spans="2:9" ht="15" customHeight="1">
      <c r="B560" s="459" t="s">
        <v>303</v>
      </c>
      <c r="C560" s="461"/>
      <c r="D560" s="322">
        <v>103650915</v>
      </c>
      <c r="E560" s="322">
        <v>27549536</v>
      </c>
      <c r="F560" s="276"/>
      <c r="G560" s="150"/>
    </row>
    <row r="561" spans="2:11" ht="15" customHeight="1">
      <c r="B561" s="459" t="s">
        <v>748</v>
      </c>
      <c r="C561" s="461"/>
      <c r="D561" s="325">
        <v>30738636</v>
      </c>
      <c r="E561" s="325">
        <v>6601000</v>
      </c>
      <c r="F561" s="276"/>
      <c r="G561" s="150"/>
    </row>
    <row r="562" spans="2:11" ht="15" customHeight="1">
      <c r="B562" s="543" t="s">
        <v>68</v>
      </c>
      <c r="C562" s="544"/>
      <c r="D562" s="320">
        <f>SUM(D530:D561)</f>
        <v>7661588251</v>
      </c>
      <c r="E562" s="320">
        <f>SUM(E530:E561)</f>
        <v>6475703564</v>
      </c>
      <c r="F562" s="150"/>
      <c r="G562" s="180"/>
    </row>
    <row r="564" spans="2:11">
      <c r="B564" s="185"/>
      <c r="C564" s="185"/>
      <c r="D564" s="267"/>
      <c r="E564" s="267"/>
      <c r="F564" s="150"/>
      <c r="G564" s="150"/>
    </row>
    <row r="565" spans="2:11">
      <c r="B565" s="161" t="s">
        <v>700</v>
      </c>
      <c r="C565" s="161" t="s">
        <v>18</v>
      </c>
      <c r="D565" s="161"/>
      <c r="E565" s="161"/>
    </row>
    <row r="567" spans="2:11">
      <c r="C567" s="170" t="s">
        <v>18</v>
      </c>
    </row>
    <row r="568" spans="2:11" ht="18" customHeight="1">
      <c r="B568" s="508" t="s">
        <v>83</v>
      </c>
      <c r="C568" s="509"/>
      <c r="D568" s="494" t="s">
        <v>217</v>
      </c>
      <c r="E568" s="494"/>
      <c r="I568" s="321"/>
      <c r="J568" s="180"/>
      <c r="K568" s="180"/>
    </row>
    <row r="569" spans="2:11" ht="18" customHeight="1">
      <c r="B569" s="510"/>
      <c r="C569" s="511"/>
      <c r="D569" s="102">
        <v>44834</v>
      </c>
      <c r="E569" s="102">
        <v>44469</v>
      </c>
      <c r="I569" s="321"/>
      <c r="J569" s="180"/>
      <c r="K569" s="180"/>
    </row>
    <row r="570" spans="2:11" ht="15" customHeight="1">
      <c r="B570" s="551" t="s">
        <v>85</v>
      </c>
      <c r="C570" s="552"/>
      <c r="D570" s="326">
        <f>SUM(D571)</f>
        <v>15205821</v>
      </c>
      <c r="E570" s="326">
        <f>SUM(E571)</f>
        <v>336201</v>
      </c>
      <c r="F570" s="393"/>
    </row>
    <row r="571" spans="2:11" ht="15" customHeight="1">
      <c r="B571" s="459" t="s">
        <v>61</v>
      </c>
      <c r="C571" s="461"/>
      <c r="D571" s="319">
        <f>313705821-298500000</f>
        <v>15205821</v>
      </c>
      <c r="E571" s="319">
        <v>336201</v>
      </c>
      <c r="F571" s="276"/>
    </row>
    <row r="572" spans="2:11" ht="15" customHeight="1">
      <c r="B572" s="551" t="s">
        <v>86</v>
      </c>
      <c r="C572" s="552"/>
      <c r="D572" s="326">
        <f>SUM(D573)</f>
        <v>28360466</v>
      </c>
      <c r="E572" s="326">
        <f>SUM(E573)</f>
        <v>306879674</v>
      </c>
      <c r="I572" s="180"/>
      <c r="J572" s="180"/>
    </row>
    <row r="573" spans="2:11" ht="15" customHeight="1">
      <c r="B573" s="459" t="s">
        <v>79</v>
      </c>
      <c r="C573" s="461"/>
      <c r="D573" s="319">
        <v>28360466</v>
      </c>
      <c r="E573" s="319">
        <v>306879674</v>
      </c>
      <c r="F573" s="276"/>
      <c r="I573" s="180"/>
      <c r="J573" s="180"/>
    </row>
    <row r="574" spans="2:11" ht="15" customHeight="1">
      <c r="F574" s="276"/>
      <c r="I574" s="180"/>
      <c r="J574" s="180"/>
    </row>
    <row r="575" spans="2:11">
      <c r="I575" s="180"/>
      <c r="J575" s="180"/>
    </row>
    <row r="576" spans="2:11">
      <c r="B576" s="170" t="s">
        <v>712</v>
      </c>
      <c r="C576" s="170" t="s">
        <v>19</v>
      </c>
      <c r="H576" s="180"/>
      <c r="I576" s="180"/>
      <c r="J576" s="180"/>
    </row>
    <row r="577" spans="2:11">
      <c r="B577" s="170" t="s">
        <v>701</v>
      </c>
      <c r="C577" s="170" t="s">
        <v>637</v>
      </c>
      <c r="H577" s="180"/>
      <c r="I577" s="180"/>
      <c r="J577" s="180"/>
    </row>
    <row r="578" spans="2:11">
      <c r="H578" s="180"/>
      <c r="I578" s="180"/>
      <c r="J578" s="180"/>
    </row>
    <row r="579" spans="2:11" ht="18" customHeight="1">
      <c r="B579" s="508" t="s">
        <v>83</v>
      </c>
      <c r="C579" s="509"/>
      <c r="D579" s="494" t="s">
        <v>217</v>
      </c>
      <c r="E579" s="494"/>
      <c r="H579" s="277"/>
      <c r="I579" s="321"/>
      <c r="J579" s="180"/>
      <c r="K579" s="180"/>
    </row>
    <row r="580" spans="2:11" ht="18" customHeight="1">
      <c r="B580" s="510"/>
      <c r="C580" s="511"/>
      <c r="D580" s="102">
        <v>44834</v>
      </c>
      <c r="E580" s="102">
        <v>44469</v>
      </c>
      <c r="H580" s="277"/>
      <c r="I580" s="321"/>
      <c r="J580" s="180"/>
      <c r="K580" s="180"/>
    </row>
    <row r="581" spans="2:11" ht="15" customHeight="1">
      <c r="B581" s="459" t="s">
        <v>65</v>
      </c>
      <c r="C581" s="461"/>
      <c r="D581" s="319">
        <v>4014104613</v>
      </c>
      <c r="E581" s="319">
        <v>813714543</v>
      </c>
      <c r="F581" s="276"/>
      <c r="H581" s="180"/>
      <c r="I581" s="180"/>
      <c r="J581" s="180"/>
    </row>
    <row r="582" spans="2:11" ht="15" customHeight="1">
      <c r="B582" s="459" t="s">
        <v>63</v>
      </c>
      <c r="C582" s="461"/>
      <c r="D582" s="319">
        <f>3038281764</f>
        <v>3038281764</v>
      </c>
      <c r="E582" s="319">
        <v>977291770</v>
      </c>
      <c r="F582" s="276"/>
      <c r="H582" s="180"/>
      <c r="I582" s="180"/>
      <c r="J582" s="180"/>
    </row>
    <row r="583" spans="2:11" ht="15" customHeight="1">
      <c r="B583" s="470" t="s">
        <v>68</v>
      </c>
      <c r="C583" s="471"/>
      <c r="D583" s="129">
        <f>SUM(D581:D582)</f>
        <v>7052386377</v>
      </c>
      <c r="E583" s="129">
        <f>SUM(E581:E582)</f>
        <v>1791006313</v>
      </c>
      <c r="H583" s="180"/>
      <c r="I583" s="180"/>
      <c r="J583" s="180"/>
    </row>
    <row r="584" spans="2:11" s="185" customFormat="1">
      <c r="B584" s="327"/>
      <c r="C584" s="327"/>
      <c r="D584" s="290"/>
      <c r="E584" s="290"/>
      <c r="F584" s="216"/>
      <c r="G584" s="216"/>
      <c r="H584" s="267"/>
      <c r="I584" s="267"/>
      <c r="J584" s="267"/>
    </row>
    <row r="585" spans="2:11" s="185" customFormat="1">
      <c r="B585" s="327" t="s">
        <v>702</v>
      </c>
      <c r="C585" s="327" t="s">
        <v>639</v>
      </c>
      <c r="D585" s="290"/>
      <c r="E585" s="290"/>
      <c r="F585" s="216"/>
      <c r="G585" s="216"/>
      <c r="H585" s="267"/>
      <c r="I585" s="267"/>
      <c r="J585" s="267"/>
    </row>
    <row r="586" spans="2:11" s="185" customFormat="1">
      <c r="B586" s="327"/>
      <c r="C586" s="327"/>
      <c r="D586" s="290"/>
      <c r="E586" s="290"/>
      <c r="F586" s="216"/>
      <c r="G586" s="216"/>
      <c r="H586" s="267"/>
      <c r="I586" s="267"/>
      <c r="J586" s="267"/>
    </row>
    <row r="587" spans="2:11" ht="18" customHeight="1">
      <c r="B587" s="508" t="s">
        <v>83</v>
      </c>
      <c r="C587" s="509"/>
      <c r="D587" s="494" t="s">
        <v>217</v>
      </c>
      <c r="E587" s="494"/>
      <c r="F587" s="216"/>
      <c r="G587" s="216"/>
      <c r="H587" s="277"/>
      <c r="I587" s="321"/>
      <c r="J587" s="180"/>
      <c r="K587" s="180"/>
    </row>
    <row r="588" spans="2:11" ht="18" customHeight="1">
      <c r="B588" s="510"/>
      <c r="C588" s="511"/>
      <c r="D588" s="102">
        <v>44834</v>
      </c>
      <c r="E588" s="102">
        <v>44469</v>
      </c>
      <c r="F588" s="216"/>
      <c r="G588" s="216"/>
      <c r="H588" s="277"/>
      <c r="I588" s="321"/>
      <c r="J588" s="180"/>
      <c r="K588" s="180"/>
    </row>
    <row r="589" spans="2:11" ht="15" customHeight="1">
      <c r="B589" s="459" t="s">
        <v>80</v>
      </c>
      <c r="C589" s="461"/>
      <c r="D589" s="319">
        <v>1691294949</v>
      </c>
      <c r="E589" s="319">
        <v>268333409</v>
      </c>
      <c r="F589" s="276"/>
      <c r="G589" s="216"/>
      <c r="H589" s="180"/>
      <c r="I589" s="180"/>
      <c r="J589" s="180"/>
    </row>
    <row r="590" spans="2:11" ht="15" customHeight="1">
      <c r="B590" s="459" t="s">
        <v>840</v>
      </c>
      <c r="C590" s="461"/>
      <c r="D590" s="319">
        <v>4144290804</v>
      </c>
      <c r="E590" s="319">
        <v>79693521</v>
      </c>
      <c r="F590" s="276"/>
      <c r="G590" s="216"/>
      <c r="H590" s="180"/>
      <c r="I590" s="180"/>
      <c r="J590" s="180"/>
    </row>
    <row r="591" spans="2:11" ht="15" customHeight="1">
      <c r="B591" s="470" t="s">
        <v>68</v>
      </c>
      <c r="C591" s="471"/>
      <c r="D591" s="129">
        <f>SUM(D589:D590)</f>
        <v>5835585753</v>
      </c>
      <c r="E591" s="129">
        <f>SUM(E589:E590)</f>
        <v>348026930</v>
      </c>
      <c r="F591" s="216"/>
      <c r="G591" s="216"/>
      <c r="H591" s="180"/>
      <c r="I591" s="180"/>
      <c r="J591" s="180"/>
    </row>
    <row r="592" spans="2:11">
      <c r="H592" s="180"/>
      <c r="I592" s="180"/>
      <c r="J592" s="180"/>
    </row>
    <row r="593" spans="1:11">
      <c r="H593" s="180"/>
      <c r="I593" s="180"/>
      <c r="J593" s="180"/>
    </row>
    <row r="594" spans="1:11">
      <c r="B594" s="170" t="s">
        <v>713</v>
      </c>
      <c r="C594" s="170" t="s">
        <v>676</v>
      </c>
      <c r="D594" s="206"/>
      <c r="E594" s="206"/>
      <c r="H594" s="180"/>
      <c r="I594" s="180"/>
      <c r="J594" s="180"/>
    </row>
    <row r="595" spans="1:11">
      <c r="A595" s="150" t="s">
        <v>643</v>
      </c>
      <c r="B595" s="170" t="s">
        <v>714</v>
      </c>
      <c r="C595" s="170" t="s">
        <v>644</v>
      </c>
      <c r="D595" s="206"/>
      <c r="E595" s="206"/>
      <c r="H595" s="180"/>
      <c r="I595" s="180"/>
      <c r="J595" s="180"/>
    </row>
    <row r="596" spans="1:11">
      <c r="B596" s="170"/>
      <c r="C596" s="170"/>
      <c r="D596" s="206"/>
      <c r="E596" s="206"/>
      <c r="H596" s="180"/>
      <c r="I596" s="180"/>
      <c r="J596" s="180"/>
    </row>
    <row r="597" spans="1:11" ht="18" customHeight="1">
      <c r="B597" s="508" t="s">
        <v>83</v>
      </c>
      <c r="C597" s="509"/>
      <c r="D597" s="494" t="s">
        <v>217</v>
      </c>
      <c r="E597" s="494"/>
      <c r="F597" s="276"/>
      <c r="G597" s="276"/>
      <c r="H597" s="277"/>
      <c r="I597" s="321"/>
      <c r="J597" s="180"/>
      <c r="K597" s="180"/>
    </row>
    <row r="598" spans="1:11" ht="18" customHeight="1">
      <c r="B598" s="510"/>
      <c r="C598" s="511"/>
      <c r="D598" s="102">
        <v>44834</v>
      </c>
      <c r="E598" s="102">
        <v>44469</v>
      </c>
      <c r="H598" s="277"/>
      <c r="I598" s="321"/>
      <c r="J598" s="180"/>
      <c r="K598" s="180"/>
    </row>
    <row r="599" spans="1:11" ht="15" customHeight="1">
      <c r="B599" s="462" t="s">
        <v>210</v>
      </c>
      <c r="C599" s="463"/>
      <c r="D599" s="294">
        <v>0</v>
      </c>
      <c r="E599" s="294">
        <v>0</v>
      </c>
      <c r="H599" s="180"/>
      <c r="I599" s="180"/>
      <c r="J599" s="180"/>
    </row>
    <row r="600" spans="1:11" ht="15" customHeight="1">
      <c r="B600" s="489" t="s">
        <v>62</v>
      </c>
      <c r="C600" s="490"/>
      <c r="D600" s="139">
        <f>SUM(D599)</f>
        <v>0</v>
      </c>
      <c r="E600" s="139">
        <f>SUM(E599)</f>
        <v>0</v>
      </c>
      <c r="H600" s="180"/>
      <c r="I600" s="180"/>
      <c r="J600" s="180"/>
    </row>
    <row r="601" spans="1:11">
      <c r="B601" s="328"/>
      <c r="C601" s="328"/>
      <c r="D601" s="274"/>
      <c r="E601" s="274"/>
      <c r="H601" s="180"/>
      <c r="I601" s="180"/>
      <c r="J601" s="180"/>
    </row>
    <row r="602" spans="1:11" s="185" customFormat="1">
      <c r="A602" s="185" t="s">
        <v>641</v>
      </c>
      <c r="B602" s="293" t="s">
        <v>715</v>
      </c>
      <c r="C602" s="293" t="s">
        <v>642</v>
      </c>
      <c r="D602" s="274"/>
      <c r="E602" s="274"/>
      <c r="F602" s="216"/>
      <c r="G602" s="216"/>
      <c r="H602" s="267"/>
      <c r="I602" s="267"/>
      <c r="J602" s="267"/>
    </row>
    <row r="603" spans="1:11" s="185" customFormat="1">
      <c r="B603" s="328"/>
      <c r="C603" s="328"/>
      <c r="D603" s="274"/>
      <c r="E603" s="274"/>
      <c r="F603" s="216"/>
      <c r="G603" s="216"/>
      <c r="H603" s="267"/>
      <c r="I603" s="267"/>
      <c r="J603" s="267"/>
    </row>
    <row r="604" spans="1:11" ht="18" customHeight="1">
      <c r="B604" s="508" t="s">
        <v>83</v>
      </c>
      <c r="C604" s="509"/>
      <c r="D604" s="494" t="s">
        <v>217</v>
      </c>
      <c r="E604" s="494"/>
      <c r="F604" s="276"/>
      <c r="G604" s="276"/>
      <c r="H604" s="277"/>
      <c r="I604" s="321"/>
      <c r="J604" s="180"/>
      <c r="K604" s="180"/>
    </row>
    <row r="605" spans="1:11" ht="18" customHeight="1">
      <c r="B605" s="510"/>
      <c r="C605" s="511"/>
      <c r="D605" s="102">
        <v>44834</v>
      </c>
      <c r="E605" s="102">
        <v>44469</v>
      </c>
      <c r="G605" s="150"/>
      <c r="H605" s="277"/>
      <c r="I605" s="321"/>
      <c r="J605" s="180"/>
      <c r="K605" s="180"/>
    </row>
    <row r="606" spans="1:11" ht="15" customHeight="1">
      <c r="B606" s="462" t="s">
        <v>210</v>
      </c>
      <c r="C606" s="463"/>
      <c r="D606" s="294">
        <v>0</v>
      </c>
      <c r="E606" s="294">
        <v>0</v>
      </c>
      <c r="H606" s="180"/>
      <c r="I606" s="180"/>
      <c r="J606" s="180"/>
    </row>
    <row r="607" spans="1:11">
      <c r="B607" s="489" t="s">
        <v>62</v>
      </c>
      <c r="C607" s="490"/>
      <c r="D607" s="139">
        <f>SUM(D606)</f>
        <v>0</v>
      </c>
      <c r="E607" s="139">
        <f>SUM(E606)</f>
        <v>0</v>
      </c>
      <c r="H607" s="180"/>
      <c r="I607" s="180"/>
      <c r="J607" s="180"/>
    </row>
    <row r="608" spans="1:11">
      <c r="H608" s="180"/>
      <c r="I608" s="180"/>
      <c r="J608" s="180"/>
    </row>
    <row r="609" spans="2:10">
      <c r="B609" s="170" t="s">
        <v>611</v>
      </c>
      <c r="C609" s="170" t="s">
        <v>677</v>
      </c>
      <c r="D609" s="170"/>
      <c r="H609" s="180"/>
      <c r="I609" s="180"/>
      <c r="J609" s="180"/>
    </row>
    <row r="610" spans="2:10">
      <c r="H610" s="180"/>
      <c r="I610" s="180"/>
      <c r="J610" s="180"/>
    </row>
    <row r="611" spans="2:10">
      <c r="B611" s="170" t="s">
        <v>647</v>
      </c>
      <c r="C611" s="150" t="s">
        <v>645</v>
      </c>
      <c r="D611" s="150" t="s">
        <v>281</v>
      </c>
      <c r="H611" s="329"/>
      <c r="I611" s="180"/>
      <c r="J611" s="180"/>
    </row>
    <row r="612" spans="2:10">
      <c r="B612" s="170" t="s">
        <v>648</v>
      </c>
      <c r="C612" s="150" t="s">
        <v>646</v>
      </c>
      <c r="D612" s="150" t="s">
        <v>281</v>
      </c>
      <c r="H612" s="180"/>
      <c r="I612" s="180"/>
      <c r="J612" s="180"/>
    </row>
    <row r="613" spans="2:10">
      <c r="B613" s="170" t="s">
        <v>649</v>
      </c>
      <c r="C613" s="150" t="s">
        <v>812</v>
      </c>
      <c r="H613" s="180"/>
      <c r="I613" s="180"/>
      <c r="J613" s="180"/>
    </row>
    <row r="614" spans="2:10">
      <c r="B614" s="170"/>
      <c r="H614" s="180"/>
      <c r="I614" s="180"/>
      <c r="J614" s="180"/>
    </row>
    <row r="615" spans="2:10" ht="18" customHeight="1">
      <c r="B615" s="525" t="s">
        <v>173</v>
      </c>
      <c r="C615" s="525"/>
      <c r="D615" s="525" t="s">
        <v>193</v>
      </c>
      <c r="E615" s="525"/>
      <c r="F615" s="546" t="s">
        <v>175</v>
      </c>
      <c r="G615" s="546"/>
      <c r="H615" s="546"/>
      <c r="I615" s="367" t="s">
        <v>174</v>
      </c>
      <c r="J615" s="180"/>
    </row>
    <row r="616" spans="2:10" s="160" customFormat="1" ht="72" customHeight="1">
      <c r="B616" s="501" t="s">
        <v>760</v>
      </c>
      <c r="C616" s="501"/>
      <c r="D616" s="545" t="s">
        <v>761</v>
      </c>
      <c r="E616" s="545"/>
      <c r="F616" s="547" t="s">
        <v>877</v>
      </c>
      <c r="G616" s="548"/>
      <c r="H616" s="549"/>
      <c r="I616" s="134">
        <v>637576750</v>
      </c>
      <c r="J616" s="330"/>
    </row>
    <row r="617" spans="2:10">
      <c r="H617" s="180"/>
      <c r="I617" s="180"/>
      <c r="J617" s="180"/>
    </row>
    <row r="618" spans="2:10">
      <c r="B618" s="170" t="s">
        <v>606</v>
      </c>
      <c r="C618" s="170" t="s">
        <v>678</v>
      </c>
      <c r="D618" s="170"/>
      <c r="H618" s="180"/>
      <c r="I618" s="180"/>
      <c r="J618" s="180"/>
    </row>
    <row r="619" spans="2:10" ht="32.25" customHeight="1">
      <c r="B619" s="503" t="s">
        <v>176</v>
      </c>
      <c r="C619" s="503"/>
      <c r="D619" s="503"/>
      <c r="E619" s="503"/>
      <c r="F619" s="503"/>
      <c r="H619" s="180"/>
      <c r="I619" s="180"/>
      <c r="J619" s="180"/>
    </row>
    <row r="620" spans="2:10">
      <c r="H620" s="180"/>
      <c r="I620" s="180"/>
      <c r="J620" s="180"/>
    </row>
    <row r="621" spans="2:10">
      <c r="B621" s="170" t="s">
        <v>607</v>
      </c>
      <c r="C621" s="170" t="s">
        <v>682</v>
      </c>
      <c r="D621" s="170"/>
      <c r="H621" s="180"/>
      <c r="I621" s="180"/>
      <c r="J621" s="180"/>
    </row>
    <row r="622" spans="2:10">
      <c r="B622" s="150" t="s">
        <v>813</v>
      </c>
      <c r="H622" s="180"/>
      <c r="I622" s="180"/>
      <c r="J622" s="180"/>
    </row>
    <row r="623" spans="2:10">
      <c r="H623" s="180"/>
      <c r="I623" s="180"/>
      <c r="J623" s="180"/>
    </row>
    <row r="624" spans="2:10">
      <c r="B624" s="170" t="s">
        <v>608</v>
      </c>
      <c r="C624" s="170" t="s">
        <v>679</v>
      </c>
      <c r="D624" s="170"/>
      <c r="H624" s="180"/>
      <c r="I624" s="180"/>
      <c r="J624" s="180"/>
    </row>
    <row r="625" spans="2:10">
      <c r="B625" s="150" t="s">
        <v>177</v>
      </c>
      <c r="H625" s="180"/>
      <c r="I625" s="180"/>
      <c r="J625" s="180"/>
    </row>
    <row r="626" spans="2:10">
      <c r="H626" s="180"/>
      <c r="I626" s="180"/>
      <c r="J626" s="180"/>
    </row>
    <row r="627" spans="2:10">
      <c r="B627" s="170" t="s">
        <v>609</v>
      </c>
      <c r="C627" s="170" t="s">
        <v>680</v>
      </c>
      <c r="D627" s="170"/>
      <c r="H627" s="180"/>
      <c r="I627" s="180"/>
      <c r="J627" s="180"/>
    </row>
    <row r="628" spans="2:10">
      <c r="B628" s="150" t="s">
        <v>177</v>
      </c>
      <c r="G628" s="276"/>
      <c r="H628" s="180"/>
      <c r="I628" s="180"/>
      <c r="J628" s="180"/>
    </row>
    <row r="629" spans="2:10">
      <c r="H629" s="180"/>
      <c r="I629" s="180"/>
      <c r="J629" s="180"/>
    </row>
    <row r="630" spans="2:10">
      <c r="B630" s="170" t="s">
        <v>610</v>
      </c>
      <c r="C630" s="170" t="s">
        <v>681</v>
      </c>
      <c r="D630" s="170"/>
      <c r="H630" s="180"/>
      <c r="I630" s="180"/>
      <c r="J630" s="180"/>
    </row>
    <row r="631" spans="2:10">
      <c r="B631" s="150" t="s">
        <v>814</v>
      </c>
      <c r="F631" s="276"/>
      <c r="G631" s="276"/>
      <c r="H631" s="180"/>
      <c r="I631" s="180"/>
      <c r="J631" s="180"/>
    </row>
    <row r="644" spans="6:9">
      <c r="F644" s="502"/>
      <c r="G644" s="502"/>
      <c r="H644" s="502"/>
      <c r="I644" s="502"/>
    </row>
    <row r="645" spans="6:9">
      <c r="F645" s="502"/>
      <c r="G645" s="502"/>
      <c r="H645" s="502"/>
      <c r="I645" s="502"/>
    </row>
    <row r="646" spans="6:9">
      <c r="F646" s="502"/>
      <c r="G646" s="502"/>
      <c r="H646" s="502"/>
      <c r="I646" s="502"/>
    </row>
    <row r="647" spans="6:9">
      <c r="F647" s="502"/>
      <c r="G647" s="502"/>
      <c r="H647" s="502"/>
      <c r="I647" s="502"/>
    </row>
    <row r="648" spans="6:9">
      <c r="F648" s="502"/>
      <c r="G648" s="502"/>
      <c r="H648" s="502"/>
      <c r="I648" s="502"/>
    </row>
  </sheetData>
  <mergeCells count="446">
    <mergeCell ref="B347:C347"/>
    <mergeCell ref="B87:C87"/>
    <mergeCell ref="B199:C199"/>
    <mergeCell ref="B200:C200"/>
    <mergeCell ref="B514:C514"/>
    <mergeCell ref="B607:C607"/>
    <mergeCell ref="E304:I304"/>
    <mergeCell ref="B304:D305"/>
    <mergeCell ref="B306:D306"/>
    <mergeCell ref="B307:D307"/>
    <mergeCell ref="B308:D308"/>
    <mergeCell ref="B309:D309"/>
    <mergeCell ref="B310:D310"/>
    <mergeCell ref="B311:D311"/>
    <mergeCell ref="B312:D312"/>
    <mergeCell ref="B397:C397"/>
    <mergeCell ref="B398:C398"/>
    <mergeCell ref="B399:C399"/>
    <mergeCell ref="B400:C400"/>
    <mergeCell ref="B392:C392"/>
    <mergeCell ref="B393:C393"/>
    <mergeCell ref="B411:C411"/>
    <mergeCell ref="B372:C372"/>
    <mergeCell ref="B376:C376"/>
    <mergeCell ref="H158:J158"/>
    <mergeCell ref="B158:G158"/>
    <mergeCell ref="B188:E188"/>
    <mergeCell ref="B195:E195"/>
    <mergeCell ref="B203:E203"/>
    <mergeCell ref="B160:G160"/>
    <mergeCell ref="B161:G161"/>
    <mergeCell ref="H190:J190"/>
    <mergeCell ref="B190:G190"/>
    <mergeCell ref="H197:J197"/>
    <mergeCell ref="B197:G197"/>
    <mergeCell ref="B198:C198"/>
    <mergeCell ref="B164:C164"/>
    <mergeCell ref="B165:C165"/>
    <mergeCell ref="B193:C193"/>
    <mergeCell ref="B177:C177"/>
    <mergeCell ref="B178:C178"/>
    <mergeCell ref="B179:C179"/>
    <mergeCell ref="B180:C180"/>
    <mergeCell ref="B181:C181"/>
    <mergeCell ref="B615:C615"/>
    <mergeCell ref="B579:C580"/>
    <mergeCell ref="B581:C581"/>
    <mergeCell ref="B582:C582"/>
    <mergeCell ref="B583:C583"/>
    <mergeCell ref="B555:C555"/>
    <mergeCell ref="B556:C556"/>
    <mergeCell ref="B557:C557"/>
    <mergeCell ref="B558:C558"/>
    <mergeCell ref="B559:C559"/>
    <mergeCell ref="B560:C560"/>
    <mergeCell ref="B562:C562"/>
    <mergeCell ref="B561:C561"/>
    <mergeCell ref="B616:C616"/>
    <mergeCell ref="B361:C361"/>
    <mergeCell ref="D615:E615"/>
    <mergeCell ref="D616:E616"/>
    <mergeCell ref="F615:H615"/>
    <mergeCell ref="F616:H616"/>
    <mergeCell ref="B453:C453"/>
    <mergeCell ref="B454:D454"/>
    <mergeCell ref="B455:D455"/>
    <mergeCell ref="B587:C588"/>
    <mergeCell ref="B589:C589"/>
    <mergeCell ref="B590:C590"/>
    <mergeCell ref="B591:C591"/>
    <mergeCell ref="B597:C598"/>
    <mergeCell ref="B599:C599"/>
    <mergeCell ref="B600:C600"/>
    <mergeCell ref="B604:C605"/>
    <mergeCell ref="B568:C569"/>
    <mergeCell ref="B570:C570"/>
    <mergeCell ref="B606:C606"/>
    <mergeCell ref="B571:C571"/>
    <mergeCell ref="B573:C573"/>
    <mergeCell ref="B513:C513"/>
    <mergeCell ref="B572:C572"/>
    <mergeCell ref="B550:C550"/>
    <mergeCell ref="B551:C551"/>
    <mergeCell ref="B552:C552"/>
    <mergeCell ref="B553:C553"/>
    <mergeCell ref="B554:C554"/>
    <mergeCell ref="B539:C539"/>
    <mergeCell ref="B540:C540"/>
    <mergeCell ref="B541:C541"/>
    <mergeCell ref="B542:C542"/>
    <mergeCell ref="B543:C543"/>
    <mergeCell ref="B544:C544"/>
    <mergeCell ref="B545:C545"/>
    <mergeCell ref="B546:C546"/>
    <mergeCell ref="B547:C547"/>
    <mergeCell ref="B548:C548"/>
    <mergeCell ref="B549:C549"/>
    <mergeCell ref="B530:C530"/>
    <mergeCell ref="B531:C531"/>
    <mergeCell ref="B532:C532"/>
    <mergeCell ref="B534:C534"/>
    <mergeCell ref="B535:C535"/>
    <mergeCell ref="B536:C536"/>
    <mergeCell ref="B538:C538"/>
    <mergeCell ref="B512:C512"/>
    <mergeCell ref="B515:C515"/>
    <mergeCell ref="B519:C520"/>
    <mergeCell ref="B524:C524"/>
    <mergeCell ref="B521:C521"/>
    <mergeCell ref="B522:C522"/>
    <mergeCell ref="B523:C523"/>
    <mergeCell ref="B528:C529"/>
    <mergeCell ref="B537:C537"/>
    <mergeCell ref="B498:C499"/>
    <mergeCell ref="B501:C501"/>
    <mergeCell ref="B500:C500"/>
    <mergeCell ref="B507:C508"/>
    <mergeCell ref="B509:C509"/>
    <mergeCell ref="B510:C510"/>
    <mergeCell ref="B511:C511"/>
    <mergeCell ref="B484:C484"/>
    <mergeCell ref="B488:C489"/>
    <mergeCell ref="B494:C494"/>
    <mergeCell ref="B490:C490"/>
    <mergeCell ref="B492:C492"/>
    <mergeCell ref="B433:C433"/>
    <mergeCell ref="B434:C434"/>
    <mergeCell ref="B436:C436"/>
    <mergeCell ref="B437:C437"/>
    <mergeCell ref="B442:C443"/>
    <mergeCell ref="B444:C444"/>
    <mergeCell ref="B445:C445"/>
    <mergeCell ref="B426:C426"/>
    <mergeCell ref="B493:C493"/>
    <mergeCell ref="B377:C377"/>
    <mergeCell ref="B460:C460"/>
    <mergeCell ref="B461:C461"/>
    <mergeCell ref="B462:C462"/>
    <mergeCell ref="B463:C463"/>
    <mergeCell ref="B464:C464"/>
    <mergeCell ref="B491:C491"/>
    <mergeCell ref="B407:C407"/>
    <mergeCell ref="B379:C379"/>
    <mergeCell ref="B383:C383"/>
    <mergeCell ref="B384:C384"/>
    <mergeCell ref="B390:C390"/>
    <mergeCell ref="B391:C391"/>
    <mergeCell ref="B385:C385"/>
    <mergeCell ref="B428:C428"/>
    <mergeCell ref="B413:C413"/>
    <mergeCell ref="B414:C414"/>
    <mergeCell ref="B420:C420"/>
    <mergeCell ref="B421:C421"/>
    <mergeCell ref="B386:C386"/>
    <mergeCell ref="B378:C378"/>
    <mergeCell ref="B404:C404"/>
    <mergeCell ref="B405:C405"/>
    <mergeCell ref="B483:C483"/>
    <mergeCell ref="B406:C406"/>
    <mergeCell ref="B412:C412"/>
    <mergeCell ref="B418:C418"/>
    <mergeCell ref="B419:C419"/>
    <mergeCell ref="B313:C314"/>
    <mergeCell ref="B320:C320"/>
    <mergeCell ref="B321:C321"/>
    <mergeCell ref="B324:C325"/>
    <mergeCell ref="B332:C333"/>
    <mergeCell ref="B370:C370"/>
    <mergeCell ref="B348:C348"/>
    <mergeCell ref="B342:C343"/>
    <mergeCell ref="B349:C349"/>
    <mergeCell ref="B350:C350"/>
    <mergeCell ref="B351:C351"/>
    <mergeCell ref="B352:C352"/>
    <mergeCell ref="B353:C353"/>
    <mergeCell ref="B354:C354"/>
    <mergeCell ref="B359:C359"/>
    <mergeCell ref="B355:C355"/>
    <mergeCell ref="B356:C356"/>
    <mergeCell ref="B357:C357"/>
    <mergeCell ref="B358:C358"/>
    <mergeCell ref="B371:C371"/>
    <mergeCell ref="E332:G332"/>
    <mergeCell ref="D342:E342"/>
    <mergeCell ref="D324:D325"/>
    <mergeCell ref="E324:G324"/>
    <mergeCell ref="D332:D333"/>
    <mergeCell ref="D313:I313"/>
    <mergeCell ref="H218:K266"/>
    <mergeCell ref="B278:C278"/>
    <mergeCell ref="B290:D290"/>
    <mergeCell ref="B291:D291"/>
    <mergeCell ref="B295:C295"/>
    <mergeCell ref="B296:C296"/>
    <mergeCell ref="B297:C297"/>
    <mergeCell ref="B298:D298"/>
    <mergeCell ref="B279:C279"/>
    <mergeCell ref="B270:C270"/>
    <mergeCell ref="B271:C271"/>
    <mergeCell ref="B272:C272"/>
    <mergeCell ref="B273:C273"/>
    <mergeCell ref="B282:D282"/>
    <mergeCell ref="B219:C219"/>
    <mergeCell ref="B227:C227"/>
    <mergeCell ref="B228:C228"/>
    <mergeCell ref="B286:D286"/>
    <mergeCell ref="B287:D287"/>
    <mergeCell ref="D219:E219"/>
    <mergeCell ref="F219:G219"/>
    <mergeCell ref="B234:C234"/>
    <mergeCell ref="B229:C229"/>
    <mergeCell ref="B230:C230"/>
    <mergeCell ref="B281:D281"/>
    <mergeCell ref="B269:F269"/>
    <mergeCell ref="B218:C218"/>
    <mergeCell ref="B240:C240"/>
    <mergeCell ref="B256:C256"/>
    <mergeCell ref="B257:C257"/>
    <mergeCell ref="B258:C258"/>
    <mergeCell ref="B280:C280"/>
    <mergeCell ref="B266:C266"/>
    <mergeCell ref="B152:C152"/>
    <mergeCell ref="B154:C154"/>
    <mergeCell ref="B159:C159"/>
    <mergeCell ref="B162:C162"/>
    <mergeCell ref="B163:C163"/>
    <mergeCell ref="B211:G211"/>
    <mergeCell ref="B184:C184"/>
    <mergeCell ref="B185:C185"/>
    <mergeCell ref="B186:C186"/>
    <mergeCell ref="B187:C187"/>
    <mergeCell ref="B176:C176"/>
    <mergeCell ref="B192:C192"/>
    <mergeCell ref="B246:C246"/>
    <mergeCell ref="B247:C247"/>
    <mergeCell ref="B248:C248"/>
    <mergeCell ref="B249:C249"/>
    <mergeCell ref="B194:C194"/>
    <mergeCell ref="B201:C201"/>
    <mergeCell ref="B202:C202"/>
    <mergeCell ref="B170:C170"/>
    <mergeCell ref="B171:C171"/>
    <mergeCell ref="B172:C172"/>
    <mergeCell ref="B173:C173"/>
    <mergeCell ref="B174:C174"/>
    <mergeCell ref="B175:C175"/>
    <mergeCell ref="B212:C212"/>
    <mergeCell ref="B213:C213"/>
    <mergeCell ref="B214:C214"/>
    <mergeCell ref="B231:C231"/>
    <mergeCell ref="B232:C232"/>
    <mergeCell ref="B233:C233"/>
    <mergeCell ref="B235:C235"/>
    <mergeCell ref="B215:C215"/>
    <mergeCell ref="B205:E205"/>
    <mergeCell ref="B207:E207"/>
    <mergeCell ref="B208:E208"/>
    <mergeCell ref="B9:I9"/>
    <mergeCell ref="B10:I10"/>
    <mergeCell ref="C14:I14"/>
    <mergeCell ref="B54:C54"/>
    <mergeCell ref="B53:C53"/>
    <mergeCell ref="B55:C55"/>
    <mergeCell ref="B56:C56"/>
    <mergeCell ref="B57:C57"/>
    <mergeCell ref="C21:I21"/>
    <mergeCell ref="C20:I20"/>
    <mergeCell ref="C29:I29"/>
    <mergeCell ref="C31:I31"/>
    <mergeCell ref="C27:I27"/>
    <mergeCell ref="C33:I33"/>
    <mergeCell ref="B19:I19"/>
    <mergeCell ref="B30:I30"/>
    <mergeCell ref="B28:I28"/>
    <mergeCell ref="B24:I24"/>
    <mergeCell ref="B22:I22"/>
    <mergeCell ref="F644:I648"/>
    <mergeCell ref="B619:F619"/>
    <mergeCell ref="D579:E579"/>
    <mergeCell ref="D587:E587"/>
    <mergeCell ref="D604:E604"/>
    <mergeCell ref="B450:C450"/>
    <mergeCell ref="B451:C451"/>
    <mergeCell ref="B452:C452"/>
    <mergeCell ref="B459:C459"/>
    <mergeCell ref="B465:C465"/>
    <mergeCell ref="B466:C466"/>
    <mergeCell ref="B467:C467"/>
    <mergeCell ref="B468:C468"/>
    <mergeCell ref="B469:C469"/>
    <mergeCell ref="B473:C473"/>
    <mergeCell ref="B474:C474"/>
    <mergeCell ref="B475:C475"/>
    <mergeCell ref="B476:C476"/>
    <mergeCell ref="B481:C482"/>
    <mergeCell ref="D519:E519"/>
    <mergeCell ref="D597:E597"/>
    <mergeCell ref="D568:E568"/>
    <mergeCell ref="D528:E528"/>
    <mergeCell ref="D488:E488"/>
    <mergeCell ref="B59:C59"/>
    <mergeCell ref="B60:C60"/>
    <mergeCell ref="B61:C61"/>
    <mergeCell ref="B62:C62"/>
    <mergeCell ref="B63:C63"/>
    <mergeCell ref="B64:C64"/>
    <mergeCell ref="B18:I18"/>
    <mergeCell ref="B26:F26"/>
    <mergeCell ref="B32:H32"/>
    <mergeCell ref="B39:I39"/>
    <mergeCell ref="B34:I34"/>
    <mergeCell ref="B46:D46"/>
    <mergeCell ref="B47:D47"/>
    <mergeCell ref="D498:E498"/>
    <mergeCell ref="D507:E507"/>
    <mergeCell ref="D481:E481"/>
    <mergeCell ref="D442:D443"/>
    <mergeCell ref="E442:E443"/>
    <mergeCell ref="B132:C132"/>
    <mergeCell ref="B133:C133"/>
    <mergeCell ref="B134:C134"/>
    <mergeCell ref="B149:C149"/>
    <mergeCell ref="B135:C135"/>
    <mergeCell ref="B136:C136"/>
    <mergeCell ref="B137:C137"/>
    <mergeCell ref="B138:C138"/>
    <mergeCell ref="B210:G210"/>
    <mergeCell ref="B432:C432"/>
    <mergeCell ref="B427:C427"/>
    <mergeCell ref="B139:C139"/>
    <mergeCell ref="B140:C140"/>
    <mergeCell ref="B148:C148"/>
    <mergeCell ref="B141:C141"/>
    <mergeCell ref="B143:C143"/>
    <mergeCell ref="B147:C147"/>
    <mergeCell ref="B144:C144"/>
    <mergeCell ref="B150:C150"/>
    <mergeCell ref="B6:I6"/>
    <mergeCell ref="B102:C102"/>
    <mergeCell ref="B103:C103"/>
    <mergeCell ref="B104:C104"/>
    <mergeCell ref="B69:C69"/>
    <mergeCell ref="B70:C70"/>
    <mergeCell ref="B71:C71"/>
    <mergeCell ref="B36:F36"/>
    <mergeCell ref="B45:D45"/>
    <mergeCell ref="B90:C90"/>
    <mergeCell ref="B91:C91"/>
    <mergeCell ref="B73:C73"/>
    <mergeCell ref="B74:C74"/>
    <mergeCell ref="B79:C79"/>
    <mergeCell ref="B83:C83"/>
    <mergeCell ref="B84:C84"/>
    <mergeCell ref="B85:C85"/>
    <mergeCell ref="B86:C86"/>
    <mergeCell ref="B88:C88"/>
    <mergeCell ref="B96:D96"/>
    <mergeCell ref="B97:D97"/>
    <mergeCell ref="B12:F12"/>
    <mergeCell ref="B15:I15"/>
    <mergeCell ref="B58:C58"/>
    <mergeCell ref="B65:C65"/>
    <mergeCell ref="B66:C66"/>
    <mergeCell ref="B67:C67"/>
    <mergeCell ref="B68:C68"/>
    <mergeCell ref="B75:C75"/>
    <mergeCell ref="B121:C121"/>
    <mergeCell ref="B122:C122"/>
    <mergeCell ref="B123:C123"/>
    <mergeCell ref="B124:C124"/>
    <mergeCell ref="B76:C76"/>
    <mergeCell ref="B77:C77"/>
    <mergeCell ref="B78:C78"/>
    <mergeCell ref="B117:C117"/>
    <mergeCell ref="B118:C118"/>
    <mergeCell ref="B119:C119"/>
    <mergeCell ref="B120:C120"/>
    <mergeCell ref="B89:C89"/>
    <mergeCell ref="B101:C101"/>
    <mergeCell ref="B95:D95"/>
    <mergeCell ref="B125:C125"/>
    <mergeCell ref="B146:C146"/>
    <mergeCell ref="B108:C108"/>
    <mergeCell ref="B109:C109"/>
    <mergeCell ref="B110:C110"/>
    <mergeCell ref="B111:C111"/>
    <mergeCell ref="B112:C112"/>
    <mergeCell ref="B113:C113"/>
    <mergeCell ref="B114:C114"/>
    <mergeCell ref="B115:C115"/>
    <mergeCell ref="B116:C116"/>
    <mergeCell ref="B130:C130"/>
    <mergeCell ref="B131:C131"/>
    <mergeCell ref="B126:C126"/>
    <mergeCell ref="B127:C127"/>
    <mergeCell ref="B128:C128"/>
    <mergeCell ref="B129:C129"/>
    <mergeCell ref="B145:C145"/>
    <mergeCell ref="F442:G442"/>
    <mergeCell ref="B425:C425"/>
    <mergeCell ref="B429:C429"/>
    <mergeCell ref="B430:C430"/>
    <mergeCell ref="B166:C166"/>
    <mergeCell ref="B167:C167"/>
    <mergeCell ref="B168:C168"/>
    <mergeCell ref="B169:C169"/>
    <mergeCell ref="B182:C182"/>
    <mergeCell ref="B183:C183"/>
    <mergeCell ref="B191:C191"/>
    <mergeCell ref="B431:C431"/>
    <mergeCell ref="B299:D299"/>
    <mergeCell ref="B366:C366"/>
    <mergeCell ref="B367:C367"/>
    <mergeCell ref="B368:C368"/>
    <mergeCell ref="B369:C369"/>
    <mergeCell ref="B334:C334"/>
    <mergeCell ref="B335:C335"/>
    <mergeCell ref="B344:C344"/>
    <mergeCell ref="B236:C236"/>
    <mergeCell ref="B237:C237"/>
    <mergeCell ref="B238:C238"/>
    <mergeCell ref="B239:C239"/>
    <mergeCell ref="B288:D288"/>
    <mergeCell ref="B435:C435"/>
    <mergeCell ref="B259:C259"/>
    <mergeCell ref="B260:C260"/>
    <mergeCell ref="B261:C261"/>
    <mergeCell ref="B241:C241"/>
    <mergeCell ref="B242:C242"/>
    <mergeCell ref="B265:C265"/>
    <mergeCell ref="B250:C250"/>
    <mergeCell ref="B251:C251"/>
    <mergeCell ref="B252:C252"/>
    <mergeCell ref="B263:C263"/>
    <mergeCell ref="B262:C262"/>
    <mergeCell ref="B264:C264"/>
    <mergeCell ref="B243:C243"/>
    <mergeCell ref="B244:C244"/>
    <mergeCell ref="B245:C245"/>
    <mergeCell ref="B329:C329"/>
    <mergeCell ref="B328:C328"/>
    <mergeCell ref="B336:C336"/>
    <mergeCell ref="B337:C337"/>
    <mergeCell ref="B253:C253"/>
    <mergeCell ref="B254:C254"/>
    <mergeCell ref="B255:C255"/>
  </mergeCells>
  <pageMargins left="0.70866141732283472" right="0.70866141732283472" top="0.74803149606299213" bottom="0.74803149606299213" header="0.31496062992125984" footer="0.31496062992125984"/>
  <pageSetup paperSize="9" scale="60" orientation="landscape" r:id="rId1"/>
  <ignoredErrors>
    <ignoredError sqref="D361:E361 D515:E515 D524:E524 D591:E591 D583:E583 E494" formulaRange="1"/>
    <ignoredError sqref="D571 G328" formula="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VjJJty4v+84GoCSZD2poyAOmm/EDSpYBxTteA9fhf/k=</DigestValue>
    </Reference>
    <Reference Type="http://www.w3.org/2000/09/xmldsig#Object" URI="#idOfficeObject">
      <DigestMethod Algorithm="http://www.w3.org/2001/04/xmlenc#sha256"/>
      <DigestValue>Ok9J+r8EABqDOiYCiY6BYubJVPO06t1Vn9lNlfO+Jd8=</DigestValue>
    </Reference>
    <Reference Type="http://uri.etsi.org/01903#SignedProperties" URI="#idSignedProperties">
      <Transforms>
        <Transform Algorithm="http://www.w3.org/TR/2001/REC-xml-c14n-20010315"/>
      </Transforms>
      <DigestMethod Algorithm="http://www.w3.org/2001/04/xmlenc#sha256"/>
      <DigestValue>BNxj8qG88capvo0z+v2N/n8Ux/wU5TXzba7ClJXv2Jc=</DigestValue>
    </Reference>
    <Reference Type="http://www.w3.org/2000/09/xmldsig#Object" URI="#idValidSigLnImg">
      <DigestMethod Algorithm="http://www.w3.org/2001/04/xmlenc#sha256"/>
      <DigestValue>n4Ek8cveV+HC7JLODWPLpao4DfLYORgIsaMKjdd7whg=</DigestValue>
    </Reference>
    <Reference Type="http://www.w3.org/2000/09/xmldsig#Object" URI="#idInvalidSigLnImg">
      <DigestMethod Algorithm="http://www.w3.org/2001/04/xmlenc#sha256"/>
      <DigestValue>uvNdRXeGIhVWKKSsb98PLrMb2JcieWY4p4RRy9/hEyU=</DigestValue>
    </Reference>
  </SignedInfo>
  <SignatureValue>pdpr75MdYU2ikM59t5tU4b8BQvrJUGqT3M60URtaNKBXc0aaqvkPcJJsN0pEBiwHztPM7ti2jBIV
CRM8gi74Tu/UG72rCB//mWFZrfAb4T5V8K2qwqOMEvxYA+fIcYq6AhZChVnNhU+x3iQ76iqtOHpE
eNjWEHQxW+dLOT/NJw2rtqRBd3aQIf3+XJt2AkwpgKgbhoy8fnc2pi/iuYH9xtEsRoruRmyHrhrr
j+xLBW4XLQ0DQvlluvQRMNWrKjXqOnUKd2HnnCO1GbiHOUU3ZxpCK2cNjiPAvy0JuNx3Agv5d5o9
HVOS0RKa9lKv815o1/2q9xGP5QCTZTgZuN39Ww==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2022-10-31T18:08:21Z</mdssi:Value>
        </mdssi:SignatureTime>
      </SignatureProperty>
    </SignatureProperties>
  </Object>
  <Object Id="idOfficeObject">
    <SignatureProperties>
      <SignatureProperty Id="idOfficeV1Details" Target="#idPackageSignature">
        <SignatureInfoV1 xmlns="http://schemas.microsoft.com/office/2006/digsig">
          <SetupID>{BC3DDC4B-3068-4884-878D-1F92228D7613}</SetupID>
          <SignatureText>César Fernández</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2022-10-31T18:08:21Z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BGAAAOg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FcBAACgAAAAAAAAAAAAAABX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AAAAVgAAADAAAAA7AAAAkA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AAAAAVwAAACUAAAAMAAAABAAAAFQAAACoAAAAMQAAADsAAAC+AAAAVgAAAAEAAABVVY9BJrSPQTEAAAA7AAAADwAAAEwAAAAAAAAAAAAAAAAAAAD//////////2wAAABDAOkAcwBhAHIAIABGAGUAcgBuAOEAbgBkAGUAegAAAAwAAAAKAAAACAAAAAoAAAAHAAAABQAAAAoAAAAKAAAABwAAAAsAAAAKAAAACwAAAAwAAAAKAAAAC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BGAAAOg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HweMbs2cJZVBXS+6cBaV/G7YJmR0MzYWKViabfJt8Sk=</DigestValue>
    </Reference>
    <Reference Type="http://www.w3.org/2000/09/xmldsig#Object" URI="#idOfficeObject">
      <DigestMethod Algorithm="http://www.w3.org/2001/04/xmlenc#sha256"/>
      <DigestValue>9eyuD2PnSRG7nPj4ZmB46EJ69MTXEFropEZm4VSwEdg=</DigestValue>
    </Reference>
    <Reference Type="http://uri.etsi.org/01903#SignedProperties" URI="#idSignedProperties">
      <Transforms>
        <Transform Algorithm="http://www.w3.org/TR/2001/REC-xml-c14n-20010315"/>
      </Transforms>
      <DigestMethod Algorithm="http://www.w3.org/2001/04/xmlenc#sha256"/>
      <DigestValue>YjzhAlDtoHzQycPeQ3k2kE4DxJjzdL5AdeBpSbjHqo8=</DigestValue>
    </Reference>
    <Reference Type="http://www.w3.org/2000/09/xmldsig#Object" URI="#idValidSigLnImg">
      <DigestMethod Algorithm="http://www.w3.org/2001/04/xmlenc#sha256"/>
      <DigestValue>PQAyul/iLbTLJYbnPYFVZ0tyC8HTIMuOafwA1ZTd6xI=</DigestValue>
    </Reference>
    <Reference Type="http://www.w3.org/2000/09/xmldsig#Object" URI="#idInvalidSigLnImg">
      <DigestMethod Algorithm="http://www.w3.org/2001/04/xmlenc#sha256"/>
      <DigestValue>p596y9d+jzH6yf7FEn8yKTx0aaih0Fo+8ad+Ob0dI2E=</DigestValue>
    </Reference>
  </SignedInfo>
  <SignatureValue>Dt0+Xsw2SC+aR+KIYFrNIfPAqWfUfw3wn9l3W5qO12RDT1HWsdFNh26Z5zocY94I679+ImQP3uqr
76cQqjxsIILE2YTTbsTWiuhhY3m0Aoo3+VwX8A2upnbhpEM05mGJZbrBn27XADjPMl76/AzGoRoC
0d01Qdi/03QiJ8+ms5zK0S4Q/cLwmGnQmUItnuYk8RBDZfiCILzouWol+5fsR8P0EAUj3XDHt/L4
ujW9N8p5/6CvgqpRO8IG/xAhdBG8OAFdiam6IRmE9ppIwN6q2KrzQnPG28DRaO87lCFILrNcHFDg
jApTM1axWSv85jIf5fFAmKKLCECVlHhFCUSPqw==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2022-10-31T18:23:01Z</mdssi:Value>
        </mdssi:SignatureTime>
      </SignatureProperty>
    </SignatureProperties>
  </Object>
  <Object Id="idOfficeObject">
    <SignatureProperties>
      <SignatureProperty Id="idOfficeV1Details" Target="#idPackageSignature">
        <SignatureInfoV1 xmlns="http://schemas.microsoft.com/office/2006/digsig">
          <SetupID>{671D9E33-18F1-4F18-A30F-32936D4E8790}</SetupID>
          <SignatureText>Gustavo Segovia</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2022-10-31T18:23:01Z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3FgAAOgsAACBFTUYAAAEAy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EEBAACgAAAAAAAAAAAAAABB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EAAAAVgAAADA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FAAAAVwAAACUAAAAMAAAABAAAAFQAAACoAAAAMQAAADsAAADDAAAAVgAAAAEAAABVVY9BJrSPQTEAAAA7AAAADwAAAEwAAAAAAAAAAAAAAAAAAAD//////////2wAAABHAHUAcwB0AGEAdgBvACAAUwBlAGcAbwB2AGkAYQAAAA4AAAALAAAACAAAAAcAAAAKAAAACgAAAAwAAAAFAAAACwAAAAoAAAAMAAAADAAAAAoAAAAFAAAACgAAAEsAAABAAAAAMAAAAAUAAAAgAAAAAQAAAAEAAAAQAAAAAAAAAAAAAABBAQAAoAAAAAAAAAAAAAAAQQEAAKAAAAAlAAAADAAAAAIAAAAnAAAAGAAAAAUAAAAAAAAA////AAAAAAAlAAAADAAAAAUAAABMAAAAZAAAAAAAAABhAAAAQAEAAJsAAAAAAAAAYQAAAEEBAAA7AAAAIQDwAAAAAAAAAAAAAACAPwAAAAAAAAAAAACAPwAAAAAAAAAAAAAAAAAAAAAAAAAAAAAAAAAAAAAAAAAAJQAAAAwAAAAAAACAKAAAAAwAAAAFAAAAJwAAABgAAAAFAAAAAAAAAP///wAAAAAAJQAAAAwAAAAFAAAATAAAAGQAAAAOAAAAYQAAADIBAABxAAAADgAAAGEAAAAlAQAAEQAAACEA8AAAAAAAAAAAAAAAgD8AAAAAAAAAAAAAgD8AAAAAAAAAAAAAAAAAAAAAAAAAAAAAAAAAAAAAAAAAACUAAAAMAAAAAAAAgCgAAAAMAAAABQAAACUAAAAMAAAAAQAAABgAAAAMAAAAAAAAABIAAAAMAAAAAQAAAB4AAAAYAAAADgAAAGEAAAAzAQAAcgAAACUAAAAMAAAAAQAAAFQAAACoAAAADwAAAGEAAABvAAAAcQAAAAEAAABVVY9BJrSPQQ8AAABhAAAADwAAAEwAAAAAAAAAAAAAAAAAAAD//////////2wAAABHAHUAcwB0AGEAdgBvACAAUwBlAGcAbwB2AGkAYQAAAAkAAAAHAAAABgAAAAQAAAAHAAAABgAAAAgAAAAEAAAABwAAAAcAAAAIAAAACAAAAAYAAAADAAAABw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AAAAAPAAAAdgAAAGQAAACGAAAAAQAAAFVVj0EmtI9BDwAAAHYAAAAOAAAATAAAAAAAAAAAAAAAAAAAAP//////////aAAAAFYAaQBjAGUAcAByAGUAcwBpAGQAZQBuAHQAZQAIAAAAAwAAAAYAAAAHAAAACAAAAAUAAAAHAAAABgAAAAMAAAAIAAAABwAAAAcAAAAEAAAABwAAAEsAAABAAAAAMAAAAAUAAAAgAAAAAQAAAAEAAAAQAAAAAAAAAAAAAABBAQAAoAAAAAAAAAAAAAAAQQEAAKAAAAAlAAAADAAAAAIAAAAnAAAAGAAAAAUAAAAAAAAA////AAAAAAAlAAAADAAAAAUAAABMAAAAZAAAAA4AAACLAAAAMgEAAJsAAAAOAAAAiwAAACUBAAARAAAAIQDwAAAAAAAAAAAAAACAPwAAAAAAAAAAAACAPwAAAAAAAAAAAAAAAAAAAAAAAAAAAAAAAAAAAAAAAAAAJQAAAAwAAAAAAACAKAAAAAwAAAAFAAAAJQAAAAwAAAABAAAAGAAAAAwAAAAAAAAAEgAAAAwAAAABAAAAFgAAAAwAAAAAAAAAVAAAAEQBAAAPAAAAiwAAADEBAACbAAAAAQAAAFVVj0EmtI9BDwAAAIsAAAApAAAATAAAAAQAAAAOAAAAiwAAADM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EABAACfAAAAAAAAAAAAAAB3FgAAOgsAACBFTUYAAAEAR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qAAAAA8AAABhAAAAbwAAAHEAAAABAAAAVVWPQSa0j0EPAAAAYQAAAA8AAABMAAAAAAAAAAAAAAAAAAAA//////////9sAAAARwB1AHMAdABhAHYAbwAgAFMAZQBnAG8AdgBpAGEAAAAJAAAABwAAAAYAAAAEAAAABwAAAAYAAAAIAAAABAAAAAcAAAAHAAAACAAAAAgAAAAGAAAAAwAAAAcAAABLAAAAQAAAADAAAAAFAAAAIAAAAAEAAAABAAAAEAAAAAAAAAAAAAAAQQEAAKAAAAAAAAAAAAAAAEEBAACgAAAAJQAAAAwAAAACAAAAJwAAABgAAAAFAAAAAAAAAP///wAAAAAAJQAAAAwAAAAFAAAATAAAAGQAAAAOAAAAdgAAADIBAACGAAAADgAAAHYAAAAlAQAAEQAAACEA8AAAAAAAAAAAAAAAgD8AAAAAAAAAAAAAgD8AAAAAAAAAAAAAAAAAAAAAAAAAAAAAAAAAAAAAAAAAACUAAAAMAAAAAAAAgCgAAAAMAAAABQAAACUAAAAMAAAAAQAAABgAAAAMAAAAAAAAABIAAAAMAAAAAQAAAB4AAAAYAAAADgAAAHYAAAAzAQAAhwAAACUAAAAMAAAAAQAAAFQAAACgAAAADwAAAHYAAABkAAAAhgAAAAEAAABVVY9BJrSPQQ8AAAB2AAAADgAAAEwAAAAAAAAAAAAAAAAAAAD//////////2gAAABWAGkAYwBlAHAAcgBlAHMAaQBkAGUAbgB0AGUACAAAAAMAAAAGAAAABwAAAAg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B7wN/qNCQvfRNj5rvVNh9CrifL5w/smBE1Qoy64zrQs=</DigestValue>
    </Reference>
    <Reference Type="http://www.w3.org/2000/09/xmldsig#Object" URI="#idOfficeObject">
      <DigestMethod Algorithm="http://www.w3.org/2001/04/xmlenc#sha256"/>
      <DigestValue>S1zZFdHPoJvuPRlTk0skpCV6dVhLKoZT9hDU3MIZOnQ=</DigestValue>
    </Reference>
    <Reference Type="http://uri.etsi.org/01903#SignedProperties" URI="#idSignedProperties">
      <Transforms>
        <Transform Algorithm="http://www.w3.org/TR/2001/REC-xml-c14n-20010315"/>
      </Transforms>
      <DigestMethod Algorithm="http://www.w3.org/2001/04/xmlenc#sha256"/>
      <DigestValue>yxjMLKP9GRvZZcDbUOr2u1PY8hkyvRj3b0Ngjv3a1AY=</DigestValue>
    </Reference>
    <Reference Type="http://www.w3.org/2000/09/xmldsig#Object" URI="#idValidSigLnImg">
      <DigestMethod Algorithm="http://www.w3.org/2001/04/xmlenc#sha256"/>
      <DigestValue>eJMILa/SuwgxraVk38SlBKjHnCICiIvy0bGjEsdjfeE=</DigestValue>
    </Reference>
    <Reference Type="http://www.w3.org/2000/09/xmldsig#Object" URI="#idInvalidSigLnImg">
      <DigestMethod Algorithm="http://www.w3.org/2001/04/xmlenc#sha256"/>
      <DigestValue>p596y9d+jzH6yf7FEn8yKTx0aaih0Fo+8ad+Ob0dI2E=</DigestValue>
    </Reference>
  </SignedInfo>
  <SignatureValue>e7FzeUpoDGTR+ph7JESTkjC+ukXm1ogXFFAPxCHBYBRMWi/GmUXjKYfPbfOcZWtYC/OnEXql1e82
U/p6PuJvNTLZzvrMvG3B9gNGsSsqXWGK4mJIXclwyPdw2toHFITNisJ3qzs9B1w6JC0IIjOVnwlz
UgZlgLTTiuncUdA1+BUoKhJsvVE14didEl4Tt1oEQ9Uks/3Xl5B/R/KYhZBItaXgvNtju5FHtZfr
8tDzjr3mDDrrTEWPetti1+bMd70B1ATv3rm4rUfRMcvtiZL0oTeERVzgdA4QMJYlX9GSvIUHwAGl
kn/z/GaYpFLi/sCfoKAKewTH2YVqsTHmEI83Bw==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2022-10-31T18:23:16Z</mdssi:Value>
        </mdssi:SignatureTime>
      </SignatureProperty>
    </SignatureProperties>
  </Object>
  <Object Id="idOfficeObject">
    <SignatureProperties>
      <SignatureProperty Id="idOfficeV1Details" Target="#idPackageSignature">
        <SignatureInfoV1 xmlns="http://schemas.microsoft.com/office/2006/digsig">
          <SetupID>{FBF67F6A-2203-4CF8-8F7F-E48AF1130997}</SetupID>
          <SignatureText>Gustavo Segovia</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2022-10-31T18:23:16Z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3FgAAOgsAACBFTUYAAAEAy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EEBAACgAAAAAAAAAAAAAABB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ArD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EAAAAVgAAADA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FAAAAVwAAACUAAAAMAAAABAAAAFQAAACoAAAAMQAAADsAAADDAAAAVgAAAAEAAABVVY9BJrSPQTEAAAA7AAAADwAAAEwAAAAAAAAAAAAAAAAAAAD//////////2wAAABHAHUAcwB0AGEAdgBvACAAUwBlAGcAbwB2AGkAYQCCNw4AAAALAAAACAAAAAcAAAAKAAAACgAAAAwAAAAFAAAACwAAAAoAAAAMAAAADAAAAAoAAAAFAAAACgAAAEsAAABAAAAAMAAAAAUAAAAgAAAAAQAAAAEAAAAQAAAAAAAAAAAAAABBAQAAoAAAAAAAAAAAAAAAQQEAAKAAAAAlAAAADAAAAAIAAAAnAAAAGAAAAAUAAAAAAAAA////AAAAAAAlAAAADAAAAAUAAABMAAAAZAAAAAAAAABhAAAAQAEAAJsAAAAAAAAAYQAAAEEBAAA7AAAAIQDwAAAAAAAAAAAAAACAPwAAAAAAAAAAAACAPwAAAAAAAAAAAAAAAAAAAAAAAAAAAAAAAAAAAAAAAAAAJQAAAAwAAAAAAACAKAAAAAwAAAAFAAAAJwAAABgAAAAFAAAAAAAAAP///wAAAAAAJQAAAAwAAAAFAAAATAAAAGQAAAAOAAAAYQAAADIBAABxAAAADgAAAGEAAAAlAQAAEQAAACEA8AAAAAAAAAAAAAAAgD8AAAAAAAAAAAAAgD8AAAAAAAAAAAAAAAAAAAAAAAAAAAAAAAAAAAAAAAAAACUAAAAMAAAAAAAAgCgAAAAMAAAABQAAACUAAAAMAAAAAQAAABgAAAAMAAAAAAAAABIAAAAMAAAAAQAAAB4AAAAYAAAADgAAAGEAAAAzAQAAcgAAACUAAAAMAAAAAQAAAFQAAACoAAAADwAAAGEAAABvAAAAcQAAAAEAAABVVY9BJrSPQQ8AAABhAAAADwAAAEwAAAAAAAAAAAAAAAAAAAD//////////2wAAABHAHUAcwB0AGEAdgBvACAAUwBlAGcAbwB2AGkAYQAAAAkAAAAHAAAABgAAAAQAAAAHAAAABgAAAAgAAAAEAAAABwAAAAcAAAAIAAAACAAAAAYAAAADAAAABw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AAAAAPAAAAdgAAAGQAAACGAAAAAQAAAFVVj0EmtI9BDwAAAHYAAAAOAAAATAAAAAAAAAAAAAAAAAAAAP//////////aAAAAFYAaQBjAGUAcAByAGUAcwBpAGQAZQBuAHQAZQAIAAAAAwAAAAYAAAAHAAAACAAAAAUAAAAHAAAABgAAAAMAAAAIAAAABwAAAAcAAAAEAAAABwAAAEsAAABAAAAAMAAAAAUAAAAgAAAAAQAAAAEAAAAQAAAAAAAAAAAAAABBAQAAoAAAAAAAAAAAAAAAQQEAAKAAAAAlAAAADAAAAAIAAAAnAAAAGAAAAAUAAAAAAAAA////AAAAAAAlAAAADAAAAAUAAABMAAAAZAAAAA4AAACLAAAAMgEAAJsAAAAOAAAAiwAAACUBAAARAAAAIQDwAAAAAAAAAAAAAACAPwAAAAAAAAAAAACAPwAAAAAAAAAAAAAAAAAAAAAAAAAAAAAAAAAAAAAAAAAAJQAAAAwAAAAAAACAKAAAAAwAAAAFAAAAJQAAAAwAAAABAAAAGAAAAAwAAAAAAAAAEgAAAAwAAAABAAAAFgAAAAwAAAAAAAAAVAAAAEQBAAAPAAAAiwAAADEBAACbAAAAAQAAAFVVj0EmtI9BDwAAAIsAAAApAAAATAAAAAQAAAAOAAAAiwAAADM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EABAACfAAAAAAAAAAAAAAB3FgAAOgsAACBFTUYAAAEAR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qAAAAA8AAABhAAAAbwAAAHEAAAABAAAAVVWPQSa0j0EPAAAAYQAAAA8AAABMAAAAAAAAAAAAAAAAAAAA//////////9sAAAARwB1AHMAdABhAHYAbwAgAFMAZQBnAG8AdgBpAGEAAAAJAAAABwAAAAYAAAAEAAAABwAAAAYAAAAIAAAABAAAAAcAAAAHAAAACAAAAAgAAAAGAAAAAwAAAAcAAABLAAAAQAAAADAAAAAFAAAAIAAAAAEAAAABAAAAEAAAAAAAAAAAAAAAQQEAAKAAAAAAAAAAAAAAAEEBAACgAAAAJQAAAAwAAAACAAAAJwAAABgAAAAFAAAAAAAAAP///wAAAAAAJQAAAAwAAAAFAAAATAAAAGQAAAAOAAAAdgAAADIBAACGAAAADgAAAHYAAAAlAQAAEQAAACEA8AAAAAAAAAAAAAAAgD8AAAAAAAAAAAAAgD8AAAAAAAAAAAAAAAAAAAAAAAAAAAAAAAAAAAAAAAAAACUAAAAMAAAAAAAAgCgAAAAMAAAABQAAACUAAAAMAAAAAQAAABgAAAAMAAAAAAAAABIAAAAMAAAAAQAAAB4AAAAYAAAADgAAAHYAAAAzAQAAhwAAACUAAAAMAAAAAQAAAFQAAACgAAAADwAAAHYAAABkAAAAhgAAAAEAAABVVY9BJrSPQQ8AAAB2AAAADgAAAEwAAAAAAAAAAAAAAAAAAAD//////////2gAAABWAGkAYwBlAHAAcgBlAHMAaQBkAGUAbgB0AGUACAAAAAMAAAAGAAAABwAAAAg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QuN3PMiTfx5MeHIAVhul5/ZAFWcv/xpRlasFY9qil9w=</DigestValue>
    </Reference>
    <Reference Type="http://www.w3.org/2000/09/xmldsig#Object" URI="#idOfficeObject">
      <DigestMethod Algorithm="http://www.w3.org/2001/04/xmlenc#sha256"/>
      <DigestValue>RnoIHUMQIt+i4Sc0PXou2D/RsnZrN2svXaUfxUEBOmY=</DigestValue>
    </Reference>
    <Reference Type="http://uri.etsi.org/01903#SignedProperties" URI="#idSignedProperties">
      <Transforms>
        <Transform Algorithm="http://www.w3.org/TR/2001/REC-xml-c14n-20010315"/>
      </Transforms>
      <DigestMethod Algorithm="http://www.w3.org/2001/04/xmlenc#sha256"/>
      <DigestValue>bRwmmYWaQiFqTAtQ3r6Sv+ufQeLIjy5I2D/7RL9uq9U=</DigestValue>
    </Reference>
    <Reference Type="http://www.w3.org/2000/09/xmldsig#Object" URI="#idValidSigLnImg">
      <DigestMethod Algorithm="http://www.w3.org/2001/04/xmlenc#sha256"/>
      <DigestValue>PQAyul/iLbTLJYbnPYFVZ0tyC8HTIMuOafwA1ZTd6xI=</DigestValue>
    </Reference>
    <Reference Type="http://www.w3.org/2000/09/xmldsig#Object" URI="#idInvalidSigLnImg">
      <DigestMethod Algorithm="http://www.w3.org/2001/04/xmlenc#sha256"/>
      <DigestValue>p596y9d+jzH6yf7FEn8yKTx0aaih0Fo+8ad+Ob0dI2E=</DigestValue>
    </Reference>
  </SignedInfo>
  <SignatureValue>p30r9PDN/xwavY606yxWXwjGtOsF8M2GHR+idk4KaYIV/7EpBr9m5qvANwA/EijK8jjy2bT9t5P7
sCjBD1zWj49veL4un8eGC9LSdjSsUsZt/JKrbkz4snCEmNWyFnTu6WgvZLBgznyeccTvf4c27XaS
gUKt5QH60tvArgmaIAmlGqf0Wk4wKgl/SLcPqA6E/SlDVZT3P2OfJPf1EkWWEffmH62ZqbiM3NLj
dyeaIrnqGGe+0JBPWEBIphe3s3HutpKCBEbFE7opDDY9RsxDztksnSUdJEmY5xAnZwPIGp1Mr5OW
saQowLvkJLmV3XJWlSk0cbVIEph+/51dvCUk8A==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2022-10-31T18:23:38Z</mdssi:Value>
        </mdssi:SignatureTime>
      </SignatureProperty>
    </SignatureProperties>
  </Object>
  <Object Id="idOfficeObject">
    <SignatureProperties>
      <SignatureProperty Id="idOfficeV1Details" Target="#idPackageSignature">
        <SignatureInfoV1 xmlns="http://schemas.microsoft.com/office/2006/digsig">
          <SetupID>{AA891F13-BDEB-4999-A9B8-2240B091DFFB}</SetupID>
          <SignatureText>Gustavo Segovia</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2022-10-31T18:23:38Z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3FgAAOgsAACBFTUYAAAEAy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EEBAACgAAAAAAAAAAAAAABB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EAAAAVgAAADA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FAAAAVwAAACUAAAAMAAAABAAAAFQAAACoAAAAMQAAADsAAADDAAAAVgAAAAEAAABVVY9BJrSPQTEAAAA7AAAADwAAAEwAAAAAAAAAAAAAAAAAAAD//////////2wAAABHAHUAcwB0AGEAdgBvACAAUwBlAGcAbwB2AGkAYQAAAA4AAAALAAAACAAAAAcAAAAKAAAACgAAAAwAAAAFAAAACwAAAAoAAAAMAAAADAAAAAoAAAAFAAAACgAAAEsAAABAAAAAMAAAAAUAAAAgAAAAAQAAAAEAAAAQAAAAAAAAAAAAAABBAQAAoAAAAAAAAAAAAAAAQQEAAKAAAAAlAAAADAAAAAIAAAAnAAAAGAAAAAUAAAAAAAAA////AAAAAAAlAAAADAAAAAUAAABMAAAAZAAAAAAAAABhAAAAQAEAAJsAAAAAAAAAYQAAAEEBAAA7AAAAIQDwAAAAAAAAAAAAAACAPwAAAAAAAAAAAACAPwAAAAAAAAAAAAAAAAAAAAAAAAAAAAAAAAAAAAAAAAAAJQAAAAwAAAAAAACAKAAAAAwAAAAFAAAAJwAAABgAAAAFAAAAAAAAAP///wAAAAAAJQAAAAwAAAAFAAAATAAAAGQAAAAOAAAAYQAAADIBAABxAAAADgAAAGEAAAAlAQAAEQAAACEA8AAAAAAAAAAAAAAAgD8AAAAAAAAAAAAAgD8AAAAAAAAAAAAAAAAAAAAAAAAAAAAAAAAAAAAAAAAAACUAAAAMAAAAAAAAgCgAAAAMAAAABQAAACUAAAAMAAAAAQAAABgAAAAMAAAAAAAAABIAAAAMAAAAAQAAAB4AAAAYAAAADgAAAGEAAAAzAQAAcgAAACUAAAAMAAAAAQAAAFQAAACoAAAADwAAAGEAAABvAAAAcQAAAAEAAABVVY9BJrSPQQ8AAABhAAAADwAAAEwAAAAAAAAAAAAAAAAAAAD//////////2wAAABHAHUAcwB0AGEAdgBvACAAUwBlAGcAbwB2AGkAYQAAAAkAAAAHAAAABgAAAAQAAAAHAAAABgAAAAgAAAAEAAAABwAAAAcAAAAIAAAACAAAAAYAAAADAAAABw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AAAAAPAAAAdgAAAGQAAACGAAAAAQAAAFVVj0EmtI9BDwAAAHYAAAAOAAAATAAAAAAAAAAAAAAAAAAAAP//////////aAAAAFYAaQBjAGUAcAByAGUAcwBpAGQAZQBuAHQAZQAIAAAAAwAAAAYAAAAHAAAACAAAAAUAAAAHAAAABgAAAAMAAAAIAAAABwAAAAcAAAAEAAAABwAAAEsAAABAAAAAMAAAAAUAAAAgAAAAAQAAAAEAAAAQAAAAAAAAAAAAAABBAQAAoAAAAAAAAAAAAAAAQQEAAKAAAAAlAAAADAAAAAIAAAAnAAAAGAAAAAUAAAAAAAAA////AAAAAAAlAAAADAAAAAUAAABMAAAAZAAAAA4AAACLAAAAMgEAAJsAAAAOAAAAiwAAACUBAAARAAAAIQDwAAAAAAAAAAAAAACAPwAAAAAAAAAAAACAPwAAAAAAAAAAAAAAAAAAAAAAAAAAAAAAAAAAAAAAAAAAJQAAAAwAAAAAAACAKAAAAAwAAAAFAAAAJQAAAAwAAAABAAAAGAAAAAwAAAAAAAAAEgAAAAwAAAABAAAAFgAAAAwAAAAAAAAAVAAAAEQBAAAPAAAAiwAAADEBAACbAAAAAQAAAFVVj0EmtI9BDwAAAIsAAAApAAAATAAAAAQAAAAOAAAAiwAAADM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EABAACfAAAAAAAAAAAAAAB3FgAAOgsAACBFTUYAAAEAR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qAAAAA8AAABhAAAAbwAAAHEAAAABAAAAVVWPQSa0j0EPAAAAYQAAAA8AAABMAAAAAAAAAAAAAAAAAAAA//////////9sAAAARwB1AHMAdABhAHYAbwAgAFMAZQBnAG8AdgBpAGEAAAAJAAAABwAAAAYAAAAEAAAABwAAAAYAAAAIAAAABAAAAAcAAAAHAAAACAAAAAgAAAAGAAAAAwAAAAcAAABLAAAAQAAAADAAAAAFAAAAIAAAAAEAAAABAAAAEAAAAAAAAAAAAAAAQQEAAKAAAAAAAAAAAAAAAEEBAACgAAAAJQAAAAwAAAACAAAAJwAAABgAAAAFAAAAAAAAAP///wAAAAAAJQAAAAwAAAAFAAAATAAAAGQAAAAOAAAAdgAAADIBAACGAAAADgAAAHYAAAAlAQAAEQAAACEA8AAAAAAAAAAAAAAAgD8AAAAAAAAAAAAAgD8AAAAAAAAAAAAAAAAAAAAAAAAAAAAAAAAAAAAAAAAAACUAAAAMAAAAAAAAgCgAAAAMAAAABQAAACUAAAAMAAAAAQAAABgAAAAMAAAAAAAAABIAAAAMAAAAAQAAAB4AAAAYAAAADgAAAHYAAAAzAQAAhwAAACUAAAAMAAAAAQAAAFQAAACgAAAADwAAAHYAAABkAAAAhgAAAAEAAABVVY9BJrSPQQ8AAAB2AAAADgAAAEwAAAAAAAAAAAAAAAAAAAD//////////2gAAABWAGkAYwBlAHAAcgBlAHMAaQBkAGUAbgB0AGUACAAAAAMAAAAGAAAABwAAAAg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Mxw0Yo2cUVzXgCyXHLvm4z8Tqp0kIEgy0HT5oXgJbXs=</DigestValue>
    </Reference>
    <Reference Type="http://www.w3.org/2000/09/xmldsig#Object" URI="#idOfficeObject">
      <DigestMethod Algorithm="http://www.w3.org/2001/04/xmlenc#sha256"/>
      <DigestValue>NiDStzVCo8z2pbOdA0vcV34gcBQtF0LQxQteII2k/4A=</DigestValue>
    </Reference>
    <Reference Type="http://uri.etsi.org/01903#SignedProperties" URI="#idSignedProperties">
      <Transforms>
        <Transform Algorithm="http://www.w3.org/TR/2001/REC-xml-c14n-20010315"/>
      </Transforms>
      <DigestMethod Algorithm="http://www.w3.org/2001/04/xmlenc#sha256"/>
      <DigestValue>NAzk3YHooQ2rsPCH0ZT7UbOMc3o9L5gyAZkqOlk8Kxs=</DigestValue>
    </Reference>
    <Reference Type="http://www.w3.org/2000/09/xmldsig#Object" URI="#idValidSigLnImg">
      <DigestMethod Algorithm="http://www.w3.org/2001/04/xmlenc#sha256"/>
      <DigestValue>52SUdx9kf8XnBp45gp8X7PIaX8qp5CR9jG4eadW8Hs4=</DigestValue>
    </Reference>
    <Reference Type="http://www.w3.org/2000/09/xmldsig#Object" URI="#idInvalidSigLnImg">
      <DigestMethod Algorithm="http://www.w3.org/2001/04/xmlenc#sha256"/>
      <DigestValue>uvNdRXeGIhVWKKSsb98PLrMb2JcieWY4p4RRy9/hEyU=</DigestValue>
    </Reference>
  </SignedInfo>
  <SignatureValue>KC8YoDZZKJL8g/yhUjRm9rzIeEH9j5wXTZ+wZMJcuQgNBKRNNNufUquxDK6euup3/0KD/TcCJ90m
GMnegAYFJ0lXr/sDyQMn/WRgqenQBGwaXY0l1Vgx29FiPU+Ndkat9bT2m2x8xGATwt5Cy2RLl0j4
y0Pz9RlV5dbdzhqLqo46M4mGzvP+FA3sdA5iCCkl8zk7FknPI3Bdn2sQxpWDpyb/+bha2l6x4WBO
N/CpQSn2FxEWeP3nnun/uBSUjNAVeExK14zCDspzxRfHyYj32FB48LAZlEDiLtIEtsFwMU4LacVB
jAgd11m/3kkf9mk5gere8ZlWdiwklw4pbO5cSw==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2022-10-31T18:08:29Z</mdssi:Value>
        </mdssi:SignatureTime>
      </SignatureProperty>
    </SignatureProperties>
  </Object>
  <Object Id="idOfficeObject">
    <SignatureProperties>
      <SignatureProperty Id="idOfficeV1Details" Target="#idPackageSignature">
        <SignatureInfoV1 xmlns="http://schemas.microsoft.com/office/2006/digsig">
          <SetupID>{AC9CEE6B-D788-4991-B2AB-FAB9A337D313}</SetupID>
          <SignatureText>César Fernández</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2022-10-31T18:08:29Z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BGAAAOg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FcBAACgAAAAAAAAAAAAAABX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AAAAVgAAADAAAAA7AAAAkA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AAAAAVwAAACUAAAAMAAAABAAAAFQAAACoAAAAMQAAADsAAAC+AAAAVgAAAAEAAABVVY9BJrSPQTEAAAA7AAAADwAAAEwAAAAAAAAAAAAAAAAAAAD//////////2wAAABDAOkAcwBhAHIAIABGAGUAcgBuAOEAbgBkAGUAegAAAAwAAAAKAAAACAAAAAoAAAAHAAAABQAAAAoAAAAKAAAABwAAAAsAAAAKAAAACwAAAAwAAAAKAAAAC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BGAAAOg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OmoV7Ynab6T129WnAMFxq6B/ku1R+0Ah3/BX8XvTyOs=</DigestValue>
    </Reference>
    <Reference Type="http://www.w3.org/2000/09/xmldsig#Object" URI="#idOfficeObject">
      <DigestMethod Algorithm="http://www.w3.org/2001/04/xmlenc#sha256"/>
      <DigestValue>XnXnlT9OoMEgLKI7doX1sd6Gl+z5430g4igrtT/qgxI=</DigestValue>
    </Reference>
    <Reference Type="http://uri.etsi.org/01903#SignedProperties" URI="#idSignedProperties">
      <Transforms>
        <Transform Algorithm="http://www.w3.org/TR/2001/REC-xml-c14n-20010315"/>
      </Transforms>
      <DigestMethod Algorithm="http://www.w3.org/2001/04/xmlenc#sha256"/>
      <DigestValue>H922kRWG9qy7luJb+eyCf7fOqLiBvq+SwCgc4Vtp9Hc=</DigestValue>
    </Reference>
    <Reference Type="http://www.w3.org/2000/09/xmldsig#Object" URI="#idValidSigLnImg">
      <DigestMethod Algorithm="http://www.w3.org/2001/04/xmlenc#sha256"/>
      <DigestValue>52SUdx9kf8XnBp45gp8X7PIaX8qp5CR9jG4eadW8Hs4=</DigestValue>
    </Reference>
    <Reference Type="http://www.w3.org/2000/09/xmldsig#Object" URI="#idInvalidSigLnImg">
      <DigestMethod Algorithm="http://www.w3.org/2001/04/xmlenc#sha256"/>
      <DigestValue>uvNdRXeGIhVWKKSsb98PLrMb2JcieWY4p4RRy9/hEyU=</DigestValue>
    </Reference>
  </SignedInfo>
  <SignatureValue>jkUC5zjIjUsVoN04/5bVxcPNPJRvSAghmwDUH8+OtVmo3J3SLhPar24YSiFw+2NmRe+t7844qYOH
pqSgm7qJ87LwkkxZi6JK34Fhda8JYymJNlmCbzpuPANAm4lpVhKXH7GjCEgooBzSoNnv/b1l9AS3
IjVMfqxG01Uq79hwuoUskieRM+kC87htHy6jmFYdH4t1QTGsJHFLh5Zg4yvepp+3xHv9ANWYfE47
1m+E3l8mLk5DAqcsGA/tlrZi0JCHzxaCteEl8+GSeqMcMlArI/qolXZueEdRS7CWEutTP3IL7hnn
zAYWPe2VfR5WE9ancOqgjI3szoBV5Xd3Mc29iw==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2022-10-31T18:08:40Z</mdssi:Value>
        </mdssi:SignatureTime>
      </SignatureProperty>
    </SignatureProperties>
  </Object>
  <Object Id="idOfficeObject">
    <SignatureProperties>
      <SignatureProperty Id="idOfficeV1Details" Target="#idPackageSignature">
        <SignatureInfoV1 xmlns="http://schemas.microsoft.com/office/2006/digsig">
          <SetupID>{047F5C11-3666-4D5B-9593-FD0DB523B569}</SetupID>
          <SignatureText>César Fernández</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2022-10-31T18:08:40Z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BGAAAOg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FcBAACgAAAAAAAAAAAAAABX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AAAAVgAAADAAAAA7AAAAkA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AAAAAVwAAACUAAAAMAAAABAAAAFQAAACoAAAAMQAAADsAAAC+AAAAVgAAAAEAAABVVY9BJrSPQTEAAAA7AAAADwAAAEwAAAAAAAAAAAAAAAAAAAD//////////2wAAABDAOkAcwBhAHIAIABGAGUAcgBuAOEAbgBkAGUAegAAAAwAAAAKAAAACAAAAAoAAAAHAAAABQAAAAoAAAAKAAAABwAAAAsAAAAKAAAACwAAAAwAAAAKAAAAC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BGAAAOg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UmJ+g+g/9Xl4pOKYEThkWZ7bRRkI2+OLteweCE0avcs=</DigestValue>
    </Reference>
    <Reference Type="http://www.w3.org/2000/09/xmldsig#Object" URI="#idOfficeObject">
      <DigestMethod Algorithm="http://www.w3.org/2001/04/xmlenc#sha256"/>
      <DigestValue>xx7A21b3YsrB84BjoFsJuhSBBi6HUPPZxTgCPyndKSY=</DigestValue>
    </Reference>
    <Reference Type="http://uri.etsi.org/01903#SignedProperties" URI="#idSignedProperties">
      <Transforms>
        <Transform Algorithm="http://www.w3.org/TR/2001/REC-xml-c14n-20010315"/>
      </Transforms>
      <DigestMethod Algorithm="http://www.w3.org/2001/04/xmlenc#sha256"/>
      <DigestValue>qKPH++Pbp1PZyCU3i0CYZmirjLIJqhR7PQw6b3O9qYM=</DigestValue>
    </Reference>
    <Reference Type="http://www.w3.org/2000/09/xmldsig#Object" URI="#idValidSigLnImg">
      <DigestMethod Algorithm="http://www.w3.org/2001/04/xmlenc#sha256"/>
      <DigestValue>n4Ek8cveV+HC7JLODWPLpao4DfLYORgIsaMKjdd7whg=</DigestValue>
    </Reference>
    <Reference Type="http://www.w3.org/2000/09/xmldsig#Object" URI="#idInvalidSigLnImg">
      <DigestMethod Algorithm="http://www.w3.org/2001/04/xmlenc#sha256"/>
      <DigestValue>uvNdRXeGIhVWKKSsb98PLrMb2JcieWY4p4RRy9/hEyU=</DigestValue>
    </Reference>
  </SignedInfo>
  <SignatureValue>eovDoK4USyyS/LiMjxgPSg/4alT5m0jqsTbaE+nbHpGc63yeemGp1mwhXUqaZHiHMJdlxcMnAC4f
DTlfu+Is+9X0LIm1YXD4BqLnCT4EkVF5iJFsSNvKFuCWDZOYEivnzIvARUXLiZm+6jUwjswhvgNN
XeGE5rhgBJ23ZDFT072iDkDOJ99sCaPu0Nuomvqq/d9Xf0mgF7L74uziBXKtd3WGZ/hZ7xuZtu9z
rBBKd2Kr9mC9X+s9ql+7FhyUbucn8+F42oLR50uH7h/11gCyxLq+PN/UtvkA0yOrm3ryAc3h+0By
wluMflaLcslLghU6wgbNYdIBqZPlda4LH1CBAg==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2022-10-31T18:08:49Z</mdssi:Value>
        </mdssi:SignatureTime>
      </SignatureProperty>
    </SignatureProperties>
  </Object>
  <Object Id="idOfficeObject">
    <SignatureProperties>
      <SignatureProperty Id="idOfficeV1Details" Target="#idPackageSignature">
        <SignatureInfoV1 xmlns="http://schemas.microsoft.com/office/2006/digsig">
          <SetupID>{BC41CDB8-0365-4B1A-8AAE-0F7B48DDF5AE}</SetupID>
          <SignatureText>César Fernández</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2022-10-31T18:08:49Z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BGAAAOg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FcBAACgAAAAAAAAAAAAAABX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AAAAVgAAADAAAAA7AAAAkA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AAAAAVwAAACUAAAAMAAAABAAAAFQAAACoAAAAMQAAADsAAAC+AAAAVgAAAAEAAABVVY9BJrSPQTEAAAA7AAAADwAAAEwAAAAAAAAAAAAAAAAAAAD//////////2wAAABDAOkAcwBhAHIAIABGAGUAcgBuAOEAbgBkAGUAegAAAAwAAAAKAAAACAAAAAoAAAAHAAAABQAAAAoAAAAKAAAABwAAAAsAAAAKAAAACwAAAAwAAAAKAAAAC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BGAAAOg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6D+Vbej8bQSWI+GrDz5+I+EudCX2dDi4da0mFBfmkIc=</DigestValue>
    </Reference>
    <Reference Type="http://www.w3.org/2000/09/xmldsig#Object" URI="#idOfficeObject">
      <DigestMethod Algorithm="http://www.w3.org/2001/04/xmlenc#sha256"/>
      <DigestValue>HpPCQm9BAX0+Nn0hth1Aps19Y02elOYwAtUJMmrFbTQ=</DigestValue>
    </Reference>
    <Reference Type="http://uri.etsi.org/01903#SignedProperties" URI="#idSignedProperties">
      <Transforms>
        <Transform Algorithm="http://www.w3.org/TR/2001/REC-xml-c14n-20010315"/>
      </Transforms>
      <DigestMethod Algorithm="http://www.w3.org/2001/04/xmlenc#sha256"/>
      <DigestValue>izZ4TyW6+hdKQYF0sa4DjnhTu5QVOPpkK6xkivpDlYs=</DigestValue>
    </Reference>
    <Reference Type="http://www.w3.org/2000/09/xmldsig#Object" URI="#idValidSigLnImg">
      <DigestMethod Algorithm="http://www.w3.org/2001/04/xmlenc#sha256"/>
      <DigestValue>52SUdx9kf8XnBp45gp8X7PIaX8qp5CR9jG4eadW8Hs4=</DigestValue>
    </Reference>
    <Reference Type="http://www.w3.org/2000/09/xmldsig#Object" URI="#idInvalidSigLnImg">
      <DigestMethod Algorithm="http://www.w3.org/2001/04/xmlenc#sha256"/>
      <DigestValue>uvNdRXeGIhVWKKSsb98PLrMb2JcieWY4p4RRy9/hEyU=</DigestValue>
    </Reference>
  </SignedInfo>
  <SignatureValue>mR/7gb0fE5R8cMRuNAjSOMHK2CBPmWzYWnOXnr4/gsxYY+FC+JJSlSakAAH9FBptKR717FNHK8rE
NS98WBoFEeO2axThb8sEoe5osSsHj6iS0f66PbMqgCH+YVQTuKCOfCvZKlUxgUMpFtfXbXk8ZWpA
tbb6ubiiEosGggIusSs1q+OSCAa2Dxq3hDEY1A58lw6KdOBBmdVcPn7lxbFvbMyxIbpdjmB3OS0a
PDuzaZxxq6TayoegegFtnSeUy005KYk8VDsLUaa/GopJhO0A809MtjXpzbxlRB+AY992zpwaFQui
Tm21Pia1g4vcJ/Me8cjIQuWIbWElY9/nqbVK1Q==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2022-10-31T18:08:57Z</mdssi:Value>
        </mdssi:SignatureTime>
      </SignatureProperty>
    </SignatureProperties>
  </Object>
  <Object Id="idOfficeObject">
    <SignatureProperties>
      <SignatureProperty Id="idOfficeV1Details" Target="#idPackageSignature">
        <SignatureInfoV1 xmlns="http://schemas.microsoft.com/office/2006/digsig">
          <SetupID>{7797B0AC-8CFE-4F7D-BEEE-D19C103C97B8}</SetupID>
          <SignatureText>César Fernández</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2022-10-31T18:08:57Z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BGAAAOg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FcBAACgAAAAAAAAAAAAAABX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AAAAVgAAADAAAAA7AAAAkA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AAAAAVwAAACUAAAAMAAAABAAAAFQAAACoAAAAMQAAADsAAAC+AAAAVgAAAAEAAABVVY9BJrSPQTEAAAA7AAAADwAAAEwAAAAAAAAAAAAAAAAAAAD//////////2wAAABDAOkAcwBhAHIAIABGAGUAcgBuAOEAbgBkAGUAegAAAAwAAAAKAAAACAAAAAoAAAAHAAAABQAAAAoAAAAKAAAABwAAAAsAAAAKAAAACwAAAAwAAAAKAAAAC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BGAAAOg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15G/Zr8XRze059eqegBiR4Dc6RlcVt/IdWcMHNRsFLQ=</DigestValue>
    </Reference>
    <Reference Type="http://www.w3.org/2000/09/xmldsig#Object" URI="#idOfficeObject">
      <DigestMethod Algorithm="http://www.w3.org/2001/04/xmlenc#sha256"/>
      <DigestValue>2Ul+UYynr1+3L5AXni2VC1eBYSEDNvl1H+KHWQzAmGk=</DigestValue>
    </Reference>
    <Reference Type="http://uri.etsi.org/01903#SignedProperties" URI="#idSignedProperties">
      <Transforms>
        <Transform Algorithm="http://www.w3.org/TR/2001/REC-xml-c14n-20010315"/>
      </Transforms>
      <DigestMethod Algorithm="http://www.w3.org/2001/04/xmlenc#sha256"/>
      <DigestValue>kA6Jemul+ciWsVZUnsbDsdR6IZEHS68jAW8g+jVrESQ=</DigestValue>
    </Reference>
    <Reference Type="http://www.w3.org/2000/09/xmldsig#Object" URI="#idValidSigLnImg">
      <DigestMethod Algorithm="http://www.w3.org/2001/04/xmlenc#sha256"/>
      <DigestValue>52SUdx9kf8XnBp45gp8X7PIaX8qp5CR9jG4eadW8Hs4=</DigestValue>
    </Reference>
    <Reference Type="http://www.w3.org/2000/09/xmldsig#Object" URI="#idInvalidSigLnImg">
      <DigestMethod Algorithm="http://www.w3.org/2001/04/xmlenc#sha256"/>
      <DigestValue>uvNdRXeGIhVWKKSsb98PLrMb2JcieWY4p4RRy9/hEyU=</DigestValue>
    </Reference>
  </SignedInfo>
  <SignatureValue>1kK0QQPZnk0MX5hFVuET3uaiEy67+y7agUJvulG3HTkgMyamu4K30Un6A+/4HUZFlEbJ8FSfT87N
+vZVgFY8bHvA+V6E6C3FCmBymWAN+U9rnHqRhpK22wDJ/3wn9qESr1VHgCgfJxX+D5BtjQ9p2PJr
hlmj9m16Z0kNc3fFGP3Br58MhDN6oWnAow/rjj4EMGOykf+UwKKjW5TwqlQ4zplyEH/Kt1upvDHa
rdBYUurqmZxJCnkO7970SBX6D9zatg4P+i5uoZBR8YvurmhsERUjAVJD/CcjQA48BttVyq8XS8tO
JgrR2vgB9iovOYaEbuou79iGqumDUJkMBLeUfg==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2022-10-31T18:09:08Z</mdssi:Value>
        </mdssi:SignatureTime>
      </SignatureProperty>
    </SignatureProperties>
  </Object>
  <Object Id="idOfficeObject">
    <SignatureProperties>
      <SignatureProperty Id="idOfficeV1Details" Target="#idPackageSignature">
        <SignatureInfoV1 xmlns="http://schemas.microsoft.com/office/2006/digsig">
          <SetupID>{5E2B96A2-27F1-4D8C-AE1C-A467856F87E8}</SetupID>
          <SignatureText>César Fernández</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2022-10-31T18:09:08Z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BGAAAOg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FcBAACgAAAAAAAAAAAAAABX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AAAAVgAAADAAAAA7AAAAkA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AAAAAVwAAACUAAAAMAAAABAAAAFQAAACoAAAAMQAAADsAAAC+AAAAVgAAAAEAAABVVY9BJrSPQTEAAAA7AAAADwAAAEwAAAAAAAAAAAAAAAAAAAD//////////2wAAABDAOkAcwBhAHIAIABGAGUAcgBuAOEAbgBkAGUAegAAAAwAAAAKAAAACAAAAAoAAAAHAAAABQAAAAoAAAAKAAAABwAAAAsAAAAKAAAACwAAAAwAAAAKAAAAC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BGAAAOg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/yAoEX7dJSOm6yPit6voQ77VJk1lVeHdFNQDhu6JEjg=</DigestValue>
    </Reference>
    <Reference Type="http://www.w3.org/2000/09/xmldsig#Object" URI="#idOfficeObject">
      <DigestMethod Algorithm="http://www.w3.org/2001/04/xmlenc#sha256"/>
      <DigestValue>81WSlwyJuVBcpwj5s8HNYJMe66fXXOfPVNt4celkfL8=</DigestValue>
    </Reference>
    <Reference Type="http://uri.etsi.org/01903#SignedProperties" URI="#idSignedProperties">
      <Transforms>
        <Transform Algorithm="http://www.w3.org/TR/2001/REC-xml-c14n-20010315"/>
      </Transforms>
      <DigestMethod Algorithm="http://www.w3.org/2001/04/xmlenc#sha256"/>
      <DigestValue>Yw2+LBidO/PRumkPQWo3JDLh41MHd29iKU2bu2NYZUc=</DigestValue>
    </Reference>
    <Reference Type="http://www.w3.org/2000/09/xmldsig#Object" URI="#idValidSigLnImg">
      <DigestMethod Algorithm="http://www.w3.org/2001/04/xmlenc#sha256"/>
      <DigestValue>PQAyul/iLbTLJYbnPYFVZ0tyC8HTIMuOafwA1ZTd6xI=</DigestValue>
    </Reference>
    <Reference Type="http://www.w3.org/2000/09/xmldsig#Object" URI="#idInvalidSigLnImg">
      <DigestMethod Algorithm="http://www.w3.org/2001/04/xmlenc#sha256"/>
      <DigestValue>p596y9d+jzH6yf7FEn8yKTx0aaih0Fo+8ad+Ob0dI2E=</DigestValue>
    </Reference>
  </SignedInfo>
  <SignatureValue>NrNZvBImXUyvU9uoEc/DHgJaBdY4ASYlEu1FCJ8DdynbHsp6ElRPLiXAO6wGtabU4vGPtnuf0IYf
5F3VWEtRnnIMnnXc/GJUmoS7GRgN1uBUMSKmeZ/NTAWw2ZcvLnNVZizwu3HkJwwvm7eQbSbpMUmd
Rjf6HCVK2csuf1Wd7Ht8buhYDm6D9w5L6xT7DAgmjeX1+x1TMNEdMeiUStX9rGUl7BwB+15VaSDH
ozSqmtX7v9VRaMYlt4Nc+x2mhm3qnn7ROjfAGhRC81sk8u4Wym7zeIckvtcuUobG4d1YmW5U2HjQ
fte6+tyzSU1cWMGjdOw81/L/m9t42wMdq+uBBg==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2022-10-31T18:22:15Z</mdssi:Value>
        </mdssi:SignatureTime>
      </SignatureProperty>
    </SignatureProperties>
  </Object>
  <Object Id="idOfficeObject">
    <SignatureProperties>
      <SignatureProperty Id="idOfficeV1Details" Target="#idPackageSignature">
        <SignatureInfoV1 xmlns="http://schemas.microsoft.com/office/2006/digsig">
          <SetupID>{2B42AD58-B211-440D-85A3-10ED71719A3D}</SetupID>
          <SignatureText>Gustavo Segovia</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2022-10-31T18:22:15Z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3FgAAOgsAACBFTUYAAAEAy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EEBAACgAAAAAAAAAAAAAABB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EAAAAVgAAADA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FAAAAVwAAACUAAAAMAAAABAAAAFQAAACoAAAAMQAAADsAAADDAAAAVgAAAAEAAABVVY9BJrSPQTEAAAA7AAAADwAAAEwAAAAAAAAAAAAAAAAAAAD//////////2wAAABHAHUAcwB0AGEAdgBvACAAUwBlAGcAbwB2AGkAYQAAAA4AAAALAAAACAAAAAcAAAAKAAAACgAAAAwAAAAFAAAACwAAAAoAAAAMAAAADAAAAAoAAAAFAAAACgAAAEsAAABAAAAAMAAAAAUAAAAgAAAAAQAAAAEAAAAQAAAAAAAAAAAAAABBAQAAoAAAAAAAAAAAAAAAQQEAAKAAAAAlAAAADAAAAAIAAAAnAAAAGAAAAAUAAAAAAAAA////AAAAAAAlAAAADAAAAAUAAABMAAAAZAAAAAAAAABhAAAAQAEAAJsAAAAAAAAAYQAAAEEBAAA7AAAAIQDwAAAAAAAAAAAAAACAPwAAAAAAAAAAAACAPwAAAAAAAAAAAAAAAAAAAAAAAAAAAAAAAAAAAAAAAAAAJQAAAAwAAAAAAACAKAAAAAwAAAAFAAAAJwAAABgAAAAFAAAAAAAAAP///wAAAAAAJQAAAAwAAAAFAAAATAAAAGQAAAAOAAAAYQAAADIBAABxAAAADgAAAGEAAAAlAQAAEQAAACEA8AAAAAAAAAAAAAAAgD8AAAAAAAAAAAAAgD8AAAAAAAAAAAAAAAAAAAAAAAAAAAAAAAAAAAAAAAAAACUAAAAMAAAAAAAAgCgAAAAMAAAABQAAACUAAAAMAAAAAQAAABgAAAAMAAAAAAAAABIAAAAMAAAAAQAAAB4AAAAYAAAADgAAAGEAAAAzAQAAcgAAACUAAAAMAAAAAQAAAFQAAACoAAAADwAAAGEAAABvAAAAcQAAAAEAAABVVY9BJrSPQQ8AAABhAAAADwAAAEwAAAAAAAAAAAAAAAAAAAD//////////2wAAABHAHUAcwB0AGEAdgBvACAAUwBlAGcAbwB2AGkAYQAAAAkAAAAHAAAABgAAAAQAAAAHAAAABgAAAAgAAAAEAAAABwAAAAcAAAAIAAAACAAAAAYAAAADAAAABw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AAAAAPAAAAdgAAAGQAAACGAAAAAQAAAFVVj0EmtI9BDwAAAHYAAAAOAAAATAAAAAAAAAAAAAAAAAAAAP//////////aAAAAFYAaQBjAGUAcAByAGUAcwBpAGQAZQBuAHQAZQAIAAAAAwAAAAYAAAAHAAAACAAAAAUAAAAHAAAABgAAAAMAAAAIAAAABwAAAAcAAAAEAAAABwAAAEsAAABAAAAAMAAAAAUAAAAgAAAAAQAAAAEAAAAQAAAAAAAAAAAAAABBAQAAoAAAAAAAAAAAAAAAQQEAAKAAAAAlAAAADAAAAAIAAAAnAAAAGAAAAAUAAAAAAAAA////AAAAAAAlAAAADAAAAAUAAABMAAAAZAAAAA4AAACLAAAAMgEAAJsAAAAOAAAAiwAAACUBAAARAAAAIQDwAAAAAAAAAAAAAACAPwAAAAAAAAAAAACAPwAAAAAAAAAAAAAAAAAAAAAAAAAAAAAAAAAAAAAAAAAAJQAAAAwAAAAAAACAKAAAAAwAAAAFAAAAJQAAAAwAAAABAAAAGAAAAAwAAAAAAAAAEgAAAAwAAAABAAAAFgAAAAwAAAAAAAAAVAAAAEQBAAAPAAAAiwAAADEBAACbAAAAAQAAAFVVj0EmtI9BDwAAAIsAAAApAAAATAAAAAQAAAAOAAAAiwAAADM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EABAACfAAAAAAAAAAAAAAB3FgAAOgsAACBFTUYAAAEAR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qAAAAA8AAABhAAAAbwAAAHEAAAABAAAAVVWPQSa0j0EPAAAAYQAAAA8AAABMAAAAAAAAAAAAAAAAAAAA//////////9sAAAARwB1AHMAdABhAHYAbwAgAFMAZQBnAG8AdgBpAGEAAAAJAAAABwAAAAYAAAAEAAAABwAAAAYAAAAIAAAABAAAAAcAAAAHAAAACAAAAAgAAAAGAAAAAwAAAAcAAABLAAAAQAAAADAAAAAFAAAAIAAAAAEAAAABAAAAEAAAAAAAAAAAAAAAQQEAAKAAAAAAAAAAAAAAAEEBAACgAAAAJQAAAAwAAAACAAAAJwAAABgAAAAFAAAAAAAAAP///wAAAAAAJQAAAAwAAAAFAAAATAAAAGQAAAAOAAAAdgAAADIBAACGAAAADgAAAHYAAAAlAQAAEQAAACEA8AAAAAAAAAAAAAAAgD8AAAAAAAAAAAAAgD8AAAAAAAAAAAAAAAAAAAAAAAAAAAAAAAAAAAAAAAAAACUAAAAMAAAAAAAAgCgAAAAMAAAABQAAACUAAAAMAAAAAQAAABgAAAAMAAAAAAAAABIAAAAMAAAAAQAAAB4AAAAYAAAADgAAAHYAAAAzAQAAhwAAACUAAAAMAAAAAQAAAFQAAACgAAAADwAAAHYAAABkAAAAhgAAAAEAAABVVY9BJrSPQQ8AAAB2AAAADgAAAEwAAAAAAAAAAAAAAAAAAAD//////////2gAAABWAGkAYwBlAHAAcgBlAHMAaQBkAGUAbgB0AGUACAAAAAMAAAAGAAAABwAAAAg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k8bwRoKNXIwa3glwZggPdPivb1odYZdq0+LlHe+gpbw=</DigestValue>
    </Reference>
    <Reference Type="http://www.w3.org/2000/09/xmldsig#Object" URI="#idOfficeObject">
      <DigestMethod Algorithm="http://www.w3.org/2001/04/xmlenc#sha256"/>
      <DigestValue>90xYKB31Eyzgzm57J2dIE1ukpqLQFvowKWNLmHgBbuo=</DigestValue>
    </Reference>
    <Reference Type="http://uri.etsi.org/01903#SignedProperties" URI="#idSignedProperties">
      <Transforms>
        <Transform Algorithm="http://www.w3.org/TR/2001/REC-xml-c14n-20010315"/>
      </Transforms>
      <DigestMethod Algorithm="http://www.w3.org/2001/04/xmlenc#sha256"/>
      <DigestValue>6mYzuXN1oogh6eMG56Hqba5XaoSvFMbu0yCjSA/MHUY=</DigestValue>
    </Reference>
    <Reference Type="http://www.w3.org/2000/09/xmldsig#Object" URI="#idValidSigLnImg">
      <DigestMethod Algorithm="http://www.w3.org/2001/04/xmlenc#sha256"/>
      <DigestValue>PQAyul/iLbTLJYbnPYFVZ0tyC8HTIMuOafwA1ZTd6xI=</DigestValue>
    </Reference>
    <Reference Type="http://www.w3.org/2000/09/xmldsig#Object" URI="#idInvalidSigLnImg">
      <DigestMethod Algorithm="http://www.w3.org/2001/04/xmlenc#sha256"/>
      <DigestValue>p596y9d+jzH6yf7FEn8yKTx0aaih0Fo+8ad+Ob0dI2E=</DigestValue>
    </Reference>
  </SignedInfo>
  <SignatureValue>ABisyZ9wPgIxmxBpDJuWHUB6KU6NhkM1ixb56j15aIpvYrHGDyCSIW3y1EZjAFw4HVpYxLyjuZ87
tYkg3wVy4G96rvyW+dbmnTMyMfan1uqXgzfkcacwEmi4HKOiTzPu/68sMYvxNO9sStr/gNom2Z1Q
301qg9Ad2fKgnVRnw3nzK02YeDjuNOg4gP6Ek0d6UzvaLdra1BR+ZVTuf4YfhlAkLniXtn4a57Ng
P6XkqZERc9kI22YCE2ZQjgpaZRqTuk3+3kBVtZfits4AkgOxwVnIKvuUEHVoL0qMeOxwzUuGQg7A
FBCEClaCCDBKGn2bzKQQsawWMnIFZ24Jkf2WlA==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2022-10-31T18:22:35Z</mdssi:Value>
        </mdssi:SignatureTime>
      </SignatureProperty>
    </SignatureProperties>
  </Object>
  <Object Id="idOfficeObject">
    <SignatureProperties>
      <SignatureProperty Id="idOfficeV1Details" Target="#idPackageSignature">
        <SignatureInfoV1 xmlns="http://schemas.microsoft.com/office/2006/digsig">
          <SetupID>{516A8962-8AD7-4BAA-A02B-A29814987752}</SetupID>
          <SignatureText>Gustavo Segovia</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2022-10-31T18:22:35Z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3FgAAOgsAACBFTUYAAAEAy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EEBAACgAAAAAAAAAAAAAABB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EAAAAVgAAADA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FAAAAVwAAACUAAAAMAAAABAAAAFQAAACoAAAAMQAAADsAAADDAAAAVgAAAAEAAABVVY9BJrSPQTEAAAA7AAAADwAAAEwAAAAAAAAAAAAAAAAAAAD//////////2wAAABHAHUAcwB0AGEAdgBvACAAUwBlAGcAbwB2AGkAYQAAAA4AAAALAAAACAAAAAcAAAAKAAAACgAAAAwAAAAFAAAACwAAAAoAAAAMAAAADAAAAAoAAAAFAAAACgAAAEsAAABAAAAAMAAAAAUAAAAgAAAAAQAAAAEAAAAQAAAAAAAAAAAAAABBAQAAoAAAAAAAAAAAAAAAQQEAAKAAAAAlAAAADAAAAAIAAAAnAAAAGAAAAAUAAAAAAAAA////AAAAAAAlAAAADAAAAAUAAABMAAAAZAAAAAAAAABhAAAAQAEAAJsAAAAAAAAAYQAAAEEBAAA7AAAAIQDwAAAAAAAAAAAAAACAPwAAAAAAAAAAAACAPwAAAAAAAAAAAAAAAAAAAAAAAAAAAAAAAAAAAAAAAAAAJQAAAAwAAAAAAACAKAAAAAwAAAAFAAAAJwAAABgAAAAFAAAAAAAAAP///wAAAAAAJQAAAAwAAAAFAAAATAAAAGQAAAAOAAAAYQAAADIBAABxAAAADgAAAGEAAAAlAQAAEQAAACEA8AAAAAAAAAAAAAAAgD8AAAAAAAAAAAAAgD8AAAAAAAAAAAAAAAAAAAAAAAAAAAAAAAAAAAAAAAAAACUAAAAMAAAAAAAAgCgAAAAMAAAABQAAACUAAAAMAAAAAQAAABgAAAAMAAAAAAAAABIAAAAMAAAAAQAAAB4AAAAYAAAADgAAAGEAAAAzAQAAcgAAACUAAAAMAAAAAQAAAFQAAACoAAAADwAAAGEAAABvAAAAcQAAAAEAAABVVY9BJrSPQQ8AAABhAAAADwAAAEwAAAAAAAAAAAAAAAAAAAD//////////2wAAABHAHUAcwB0AGEAdgBvACAAUwBlAGcAbwB2AGkAYQAAAAkAAAAHAAAABgAAAAQAAAAHAAAABgAAAAgAAAAEAAAABwAAAAcAAAAIAAAACAAAAAYAAAADAAAABw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AAAAAPAAAAdgAAAGQAAACGAAAAAQAAAFVVj0EmtI9BDwAAAHYAAAAOAAAATAAAAAAAAAAAAAAAAAAAAP//////////aAAAAFYAaQBjAGUAcAByAGUAcwBpAGQAZQBuAHQAZQAIAAAAAwAAAAYAAAAHAAAACAAAAAUAAAAHAAAABgAAAAMAAAAIAAAABwAAAAcAAAAEAAAABwAAAEsAAABAAAAAMAAAAAUAAAAgAAAAAQAAAAEAAAAQAAAAAAAAAAAAAABBAQAAoAAAAAAAAAAAAAAAQQEAAKAAAAAlAAAADAAAAAIAAAAnAAAAGAAAAAUAAAAAAAAA////AAAAAAAlAAAADAAAAAUAAABMAAAAZAAAAA4AAACLAAAAMgEAAJsAAAAOAAAAiwAAACUBAAARAAAAIQDwAAAAAAAAAAAAAACAPwAAAAAAAAAAAACAPwAAAAAAAAAAAAAAAAAAAAAAAAAAAAAAAAAAAAAAAAAAJQAAAAwAAAAAAACAKAAAAAwAAAAFAAAAJQAAAAwAAAABAAAAGAAAAAwAAAAAAAAAEgAAAAwAAAABAAAAFgAAAAwAAAAAAAAAVAAAAEQBAAAPAAAAiwAAADEBAACbAAAAAQAAAFVVj0EmtI9BDwAAAIsAAAApAAAATAAAAAQAAAAOAAAAiwAAADM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EABAACfAAAAAAAAAAAAAAB3FgAAOgsAACBFTUYAAAEAR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qAAAAA8AAABhAAAAbwAAAHEAAAABAAAAVVWPQSa0j0EPAAAAYQAAAA8AAABMAAAAAAAAAAAAAAAAAAAA//////////9sAAAARwB1AHMAdABhAHYAbwAgAFMAZQBnAG8AdgBpAGEAAAAJAAAABwAAAAYAAAAEAAAABwAAAAYAAAAIAAAABAAAAAcAAAAHAAAACAAAAAgAAAAGAAAAAwAAAAcAAABLAAAAQAAAADAAAAAFAAAAIAAAAAEAAAABAAAAEAAAAAAAAAAAAAAAQQEAAKAAAAAAAAAAAAAAAEEBAACgAAAAJQAAAAwAAAACAAAAJwAAABgAAAAFAAAAAAAAAP///wAAAAAAJQAAAAwAAAAFAAAATAAAAGQAAAAOAAAAdgAAADIBAACGAAAADgAAAHYAAAAlAQAAEQAAACEA8AAAAAAAAAAAAAAAgD8AAAAAAAAAAAAAgD8AAAAAAAAAAAAAAAAAAAAAAAAAAAAAAAAAAAAAAAAAACUAAAAMAAAAAAAAgCgAAAAMAAAABQAAACUAAAAMAAAAAQAAABgAAAAMAAAAAAAAABIAAAAMAAAAAQAAAB4AAAAYAAAADgAAAHYAAAAzAQAAhwAAACUAAAAMAAAAAQAAAFQAAACgAAAADwAAAHYAAABkAAAAhgAAAAEAAABVVY9BJrSPQQ8AAAB2AAAADgAAAEwAAAAAAAAAAAAAAAAAAAD//////////2gAAABWAGkAYwBlAHAAcgBlAHMAaQBkAGUAbgB0AGUACAAAAAMAAAAGAAAABwAAAAg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iIlhDZiSflek91JKEQWEEBrrIK23iWYxZnmlvyMjVKY=</DigestValue>
    </Reference>
    <Reference Type="http://www.w3.org/2000/09/xmldsig#Object" URI="#idOfficeObject">
      <DigestMethod Algorithm="http://www.w3.org/2001/04/xmlenc#sha256"/>
      <DigestValue>8IMzVUalSLYBVpBX8UkpBS0d7nQGq1esjaWAws1GLkM=</DigestValue>
    </Reference>
    <Reference Type="http://uri.etsi.org/01903#SignedProperties" URI="#idSignedProperties">
      <Transforms>
        <Transform Algorithm="http://www.w3.org/TR/2001/REC-xml-c14n-20010315"/>
      </Transforms>
      <DigestMethod Algorithm="http://www.w3.org/2001/04/xmlenc#sha256"/>
      <DigestValue>R4rdisEfa8B29peAC3UcUvd129m5FfetvADvGK3RXpY=</DigestValue>
    </Reference>
    <Reference Type="http://www.w3.org/2000/09/xmldsig#Object" URI="#idValidSigLnImg">
      <DigestMethod Algorithm="http://www.w3.org/2001/04/xmlenc#sha256"/>
      <DigestValue>PQAyul/iLbTLJYbnPYFVZ0tyC8HTIMuOafwA1ZTd6xI=</DigestValue>
    </Reference>
    <Reference Type="http://www.w3.org/2000/09/xmldsig#Object" URI="#idInvalidSigLnImg">
      <DigestMethod Algorithm="http://www.w3.org/2001/04/xmlenc#sha256"/>
      <DigestValue>p596y9d+jzH6yf7FEn8yKTx0aaih0Fo+8ad+Ob0dI2E=</DigestValue>
    </Reference>
  </SignedInfo>
  <SignatureValue>Qthi3eQK9eg5Z4g1s2JGGv5ciYXizc5fjZbwspDDY8Bjiax5y3W7TPCbL8zcJJ/Aj2NIoPrRRm4Z
mV35OYOeL9Bzq8Itz6J6ZAdCdKogRvIQf+JAtlAHVqEJXOXBNkCDCtCrcGGZYlhsnllMlhsv/aoD
UvIk3O6zh/HeeTLxYLRIkAHONJPIWkPmUh5BcKtQT2xUmJ9pD6SWaglFzlO+ptELkqmbofRHQZbF
KO4nsL8RumGkJBKD/I+IOTWyn3U+f57wL+kbVJhvfjIQ/9YOU7zOX57fvw0LPi/4NcntC5t5MgFl
+1zwGjkKyHjZu6w2+THIUW0zQUQncn3aSRtFPg==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0aoZmiMDr4q1B+xeq0bnAuLSiLAyBNlFPf7xvw6+KHs=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og8jlIQJdllbidENkchwUYHon/v3aZBzi0S1Oaq/pXc=</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G4MpxksGMkssazz/BZQDt7PNUq00tn6l90a655wFl1I=</DigestValue>
      </Reference>
      <Reference URI="/xl/drawings/drawing3.xml?ContentType=application/vnd.openxmlformats-officedocument.drawing+xml">
        <DigestMethod Algorithm="http://www.w3.org/2001/04/xmlenc#sha256"/>
        <DigestValue>w4KemlS8QG9wWPOVYRKF0e7OiKgRerKEaYraSHC6LM8=</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Maa8b16Pugkt3qg75C5CdCKAZltvlh5UmnErpDRH4iA=</DigestValue>
      </Reference>
      <Reference URI="/xl/drawings/vmlDrawing1.vml?ContentType=application/vnd.openxmlformats-officedocument.vmlDrawing">
        <DigestMethod Algorithm="http://www.w3.org/2001/04/xmlenc#sha256"/>
        <DigestValue>cI7LwQ/PtTs6IuAu6bN8GIvgzlneyNhbEHFGA7psw1M=</DigestValue>
      </Reference>
      <Reference URI="/xl/drawings/vmlDrawing2.vml?ContentType=application/vnd.openxmlformats-officedocument.vmlDrawing">
        <DigestMethod Algorithm="http://www.w3.org/2001/04/xmlenc#sha256"/>
        <DigestValue>/6nGEMhnG7/btOxXxEZoUpqlnPPlJx0+wQMW8ZNpsiE=</DigestValue>
      </Reference>
      <Reference URI="/xl/drawings/vmlDrawing3.vml?ContentType=application/vnd.openxmlformats-officedocument.vmlDrawing">
        <DigestMethod Algorithm="http://www.w3.org/2001/04/xmlenc#sha256"/>
        <DigestValue>hpi0KM7YgZWNk+8ejKtJ30sHt4VwZPF3ha6FlIPij9M=</DigestValue>
      </Reference>
      <Reference URI="/xl/drawings/vmlDrawing4.vml?ContentType=application/vnd.openxmlformats-officedocument.vmlDrawing">
        <DigestMethod Algorithm="http://www.w3.org/2001/04/xmlenc#sha256"/>
        <DigestValue>FYcGQ0biRjXLMm2kaWXtRNtVWLvEhnGQDj4lpYf2Suo=</DigestValue>
      </Reference>
      <Reference URI="/xl/drawings/vmlDrawing5.vml?ContentType=application/vnd.openxmlformats-officedocument.vmlDrawing">
        <DigestMethod Algorithm="http://www.w3.org/2001/04/xmlenc#sha256"/>
        <DigestValue>dql7EN8yWZreLmG0rTZnloylmFjW+F8W2KX4zUKg5HA=</DigestValue>
      </Reference>
      <Reference URI="/xl/drawings/vmlDrawing6.vml?ContentType=application/vnd.openxmlformats-officedocument.vmlDrawing">
        <DigestMethod Algorithm="http://www.w3.org/2001/04/xmlenc#sha256"/>
        <DigestValue>gtm6u5I14v3Ft3TxHvdGImX/vFIceAOPDg1ug5UhD1E=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9g/j2BFB25Dk9p7St3MKrQuAX4+o+J9x9dgprdRMCkc=</DigestValue>
      </Reference>
      <Reference URI="/xl/media/image3.emf?ContentType=image/x-emf">
        <DigestMethod Algorithm="http://www.w3.org/2001/04/xmlenc#sha256"/>
        <DigestValue>udSOx5mVD3OnOBmZmxSygOTnSDXNLNHG3ZI/sviKF00=</DigestValue>
      </Reference>
      <Reference URI="/xl/media/image4.emf?ContentType=image/x-emf">
        <DigestMethod Algorithm="http://www.w3.org/2001/04/xmlenc#sha256"/>
        <DigestValue>GnNk6Lm3yyl5z14ZXwoU1b7Dy0/XU7QpdQnIGMKHidg=</DigestValue>
      </Reference>
      <Reference URI="/xl/media/image5.emf?ContentType=image/x-emf">
        <DigestMethod Algorithm="http://www.w3.org/2001/04/xmlenc#sha256"/>
        <DigestValue>Mq7k5QxWEnKZVeMuccFjhkQJnbVXku9I/3cPEjdJHI4=</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+cpFLO+OuEkc1ub7cOVmltRJzqin8yC9BzOHCCNGS4M=</DigestValue>
      </Reference>
      <Reference URI="/xl/styles.xml?ContentType=application/vnd.openxmlformats-officedocument.spreadsheetml.styles+xml">
        <DigestMethod Algorithm="http://www.w3.org/2001/04/xmlenc#sha256"/>
        <DigestValue>sBtgHLinrxZhGu2dP0ChVaMSxEwp0Js35EczPH4ZulM=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rPxKFsSYJLHCUAWrPO1m1eww2sRQTHWIoSDDl7LgFUU=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STUXCmnlAqeB6DxvDjdndN9KcmAYoMH0KEeTZKN+LHo=</DigestValue>
      </Reference>
      <Reference URI="/xl/worksheets/sheet2.xml?ContentType=application/vnd.openxmlformats-officedocument.spreadsheetml.worksheet+xml">
        <DigestMethod Algorithm="http://www.w3.org/2001/04/xmlenc#sha256"/>
        <DigestValue>KRsNl0u16lyBKVzBsX7UNvykTsEeZwJNA5tRA+Ac4AQ=</DigestValue>
      </Reference>
      <Reference URI="/xl/worksheets/sheet3.xml?ContentType=application/vnd.openxmlformats-officedocument.spreadsheetml.worksheet+xml">
        <DigestMethod Algorithm="http://www.w3.org/2001/04/xmlenc#sha256"/>
        <DigestValue>iuZzx8r7Sp4j3mU3eZp4kMBMCTvETKaKfjhYNZUOvBg=</DigestValue>
      </Reference>
      <Reference URI="/xl/worksheets/sheet4.xml?ContentType=application/vnd.openxmlformats-officedocument.spreadsheetml.worksheet+xml">
        <DigestMethod Algorithm="http://www.w3.org/2001/04/xmlenc#sha256"/>
        <DigestValue>6igESIE2e4rewev9vMjkZlUUlsHOg0+puXjHnDTD75A=</DigestValue>
      </Reference>
      <Reference URI="/xl/worksheets/sheet5.xml?ContentType=application/vnd.openxmlformats-officedocument.spreadsheetml.worksheet+xml">
        <DigestMethod Algorithm="http://www.w3.org/2001/04/xmlenc#sha256"/>
        <DigestValue>WNOgDw9wx4I1y+PolGwhGilfEWQv+4Do481q44t6Rnc=</DigestValue>
      </Reference>
      <Reference URI="/xl/worksheets/sheet6.xml?ContentType=application/vnd.openxmlformats-officedocument.spreadsheetml.worksheet+xml">
        <DigestMethod Algorithm="http://www.w3.org/2001/04/xmlenc#sha256"/>
        <DigestValue>diUjCumeedet32rGfllR7ZihSUxui0e1CQpvVz1CZ0w=</DigestValue>
      </Reference>
      <Reference URI="/xl/worksheets/sheet7.xml?ContentType=application/vnd.openxmlformats-officedocument.spreadsheetml.worksheet+xml">
        <DigestMethod Algorithm="http://www.w3.org/2001/04/xmlenc#sha256"/>
        <DigestValue>tlU4LDQnfD4sICETrk3uNo3gd2x+1VywvGVfTVxyRjo=</DigestValue>
      </Reference>
    </Manifest>
    <SignatureProperties>
      <SignatureProperty Id="idSignatureTime" Target="#idPackageSignature">
        <mdssi:SignatureTime xmlns:mdssi="http://schemas.openxmlformats.org/package/2006/digital-signature">
          <mdssi:Format>YYYY-MM-DDThh:mm:ssTZD</mdssi:Format>
          <mdssi:Value>2022-10-31T18:22:48Z</mdssi:Value>
        </mdssi:SignatureTime>
      </SignatureProperty>
    </SignatureProperties>
  </Object>
  <Object Id="idOfficeObject">
    <SignatureProperties>
      <SignatureProperty Id="idOfficeV1Details" Target="#idPackageSignature">
        <SignatureInfoV1 xmlns="http://schemas.microsoft.com/office/2006/digsig">
          <SetupID>{E8F10505-34EB-4AEE-8309-07B001C264F9}</SetupID>
          <SignatureText>Gustavo Segovia</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2022-10-31T18:22:48Z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3FgAAOgsAACBFTUYAAAEAy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4KiY/H8AAADgqJj8fwAAEwAAAAAAAAAAAMoW/X8AAIUo+5f8fwAAMBbKFv1/AAATAAAAAAAAAOAWAAAAAAAAQAAAwPx/AAAAAMoW/X8AAFUr+5f8fwAABAAAAAAAAAAwFsoW/X8AABC5D1cYAAAAEwAAAAAAAABIAAAAAAAAAGQci5j8fwAAoOOomPx/AADAIIuY/H8AAAEAAAAAAAAASEaLmPx/AAAAAMoW/X8AAAAAAAAAAAAAAAAAAAAAAACwuA9XGAAAAHDG7LNAAQAAq9/oFP1/AADguQ9XGAAAAHm6D1cYAAAAAAAAAAAAAAAAAAAAZHYACAAAAAAlAAAADAAAAAEAAAAYAAAADAAAAAAAAAASAAAADAAAAAEAAAAeAAAAGAAAAO4AAAAFAAAAMgEAABYAAAAlAAAADAAAAAEAAABUAAAAiAAAAO8AAAAFAAAAMAEAABUAAAABAAAAVVWPQSa0j0HvAAAABQAAAAoAAABMAAAAAAAAAAAAAAAAAAAA//////////9gAAAAMwAxAC8AMQAwAC8AMgAwADIAMgAHAAAABwAAAAUAAAAHAAAABwAAAAUAAAAHAAAABwAAAAcAAAAHAAAASwAAAEAAAAAwAAAABQAAACAAAAABAAAAAQAAABAAAAAAAAAAAAAAAEEBAACgAAAAAAAAAAAAAABBAQAAoAAAAFIAAABwAQAAAgAAABQAAAAJAAAAAAAAAAAAAAC8AgAAAAAAAAECAiJTAHkAcwB0AGUAbQAAAAAAAAAAAAAAAAAAAAAAAAAAAAAAAAAAAAAAAAAAAAAAAAAAAAAAAAAAAAAAAAAAAAAAAAAAAMgq+5f8fwAAKFAOVxgAAAAAAAAAAAAAAIg+DBX9fwAAAAAAAAAAAAAJAAAAAAAAAAAAAAAAAAAAyCr7l/x/AAAAAAAAAAAAAAAAAAAAAAAAu5pq5pntAACoUQ5XGAAAAAAAAAAAAAAAMPGss0ABAABwxuyzQAEAANBSDlcAAAAAAAAAAAAAAAAHAAAAAAAAAIgwILRAAQAADFIOVxgAAABJUg5XGAAAAHHN5BT9fwAAAQAAAEABAACAVQ5XAAAAAH/LGtnyIgAAAAAAAAAAAABwxuyzQAEAAKvf6BT9fwAAsFEOVxgAAABJUg5XGAAAAMA/U7RA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qN1ul/x/AACJjOiW/H8AAAAAAAD8fwAAiD4MFf1/AAAAAAAAAAAAAJBbbpf8fwAAAQAAAAAAAAAg426X/H8AAAAAAAAAAAAAAAAAAAAAAAAb/Wrmme0AAHEqDlcYAAAAELCU0kABAADg////AAAAAHDG7LNAAQAASCwOVwAAAAAAAAAAAAAAAAYAAAAAAAAAIAAAAAAAAABsKw5XGAAAAKkrDlcYAAAAcc3kFP1/AABw17moQAEAAAAAAAAAAAAA0CsOVxgAAAA8ha2Y/H8AAHDG7LNAAQAAq9/oFP1/AAAQKw5XGAAAAKkrDlcYAAAAgCBC0EABAAAAAAAAZHYACAAAAAAlAAAADAAAAAMAAAAYAAAADAAAAAAAAAASAAAADAAAAAEAAAAWAAAADAAAAAgAAABUAAAAVAAAAAwAAAA3AAAAIAAAAFoAAAABAAAAVVWPQSa0j0EMAAAAWwAAAAEAAABMAAAABAAAAAsAAAA3AAAAIgAAAFsAAABQAAAAWADKF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EAAAAVgAAADA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gAAAD/////2PNul/x/AACIPgwV/X8AAAAAAAAAAAAAwAYG0EABAADABgbQQAEAAAAAAAAAAAAAAAAAAAAAAAAAAAAAAAAAAFv9auaZ7QAAtnLflvx/AADY826X/H8AAOz///8AAAAAcMbss0ABAACILA5XAAAAAAAAAAAAAAAACQAAAAAAAAAgAAAAAAAAAKwrDlcYAAAA6SsOVxgAAABxzeQU/X8AANjzbpf8fwAA2PNulwAAAAAIAAAAAAEAAAAAAAAAAAAAcMbss0ABAACr3+gU/X8AAFArDlcYAAAA6SsOVxgAAADQxRHVQAEAAAAAAABkdgAIAAAAACUAAAAMAAAABAAAABgAAAAMAAAAAAAAABIAAAAMAAAAAQAAAB4AAAAYAAAAMAAAADsAAADFAAAAVwAAACUAAAAMAAAABAAAAFQAAACoAAAAMQAAADsAAADDAAAAVgAAAAEAAABVVY9BJrSPQTEAAAA7AAAADwAAAEwAAAAAAAAAAAAAAAAAAAD//////////2wAAABHAHUAcwB0AGEAdgBvACAAUwBlAGcAbwB2AGkAYQAAAA4AAAALAAAACAAAAAcAAAAKAAAACgAAAAwAAAAFAAAACwAAAAoAAAAMAAAADAAAAAoAAAAFAAAACgAAAEsAAABAAAAAMAAAAAUAAAAgAAAAAQAAAAEAAAAQAAAAAAAAAAAAAABBAQAAoAAAAAAAAAAAAAAAQQEAAKAAAAAlAAAADAAAAAIAAAAnAAAAGAAAAAUAAAAAAAAA////AAAAAAAlAAAADAAAAAUAAABMAAAAZAAAAAAAAABhAAAAQAEAAJsAAAAAAAAAYQAAAEEBAAA7AAAAIQDwAAAAAAAAAAAAAACAPwAAAAAAAAAAAACAPwAAAAAAAAAAAAAAAAAAAAAAAAAAAAAAAAAAAAAAAAAAJQAAAAwAAAAAAACAKAAAAAwAAAAFAAAAJwAAABgAAAAFAAAAAAAAAP///wAAAAAAJQAAAAwAAAAFAAAATAAAAGQAAAAOAAAAYQAAADIBAABxAAAADgAAAGEAAAAlAQAAEQAAACEA8AAAAAAAAAAAAAAAgD8AAAAAAAAAAAAAgD8AAAAAAAAAAAAAAAAAAAAAAAAAAAAAAAAAAAAAAAAAACUAAAAMAAAAAAAAgCgAAAAMAAAABQAAACUAAAAMAAAAAQAAABgAAAAMAAAAAAAAABIAAAAMAAAAAQAAAB4AAAAYAAAADgAAAGEAAAAzAQAAcgAAACUAAAAMAAAAAQAAAFQAAACoAAAADwAAAGEAAABvAAAAcQAAAAEAAABVVY9BJrSPQQ8AAABhAAAADwAAAEwAAAAAAAAAAAAAAAAAAAD//////////2wAAABHAHUAcwB0AGEAdgBvACAAUwBlAGcAbwB2AGkAYQAAAAkAAAAHAAAABgAAAAQAAAAHAAAABgAAAAgAAAAEAAAABwAAAAcAAAAIAAAACAAAAAYAAAADAAAABw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AAAAAPAAAAdgAAAGQAAACGAAAAAQAAAFVVj0EmtI9BDwAAAHYAAAAOAAAATAAAAAAAAAAAAAAAAAAAAP//////////aAAAAFYAaQBjAGUAcAByAGUAcwBpAGQAZQBuAHQAZQAIAAAAAwAAAAYAAAAHAAAACAAAAAUAAAAHAAAABgAAAAMAAAAIAAAABwAAAAcAAAAEAAAABwAAAEsAAABAAAAAMAAAAAUAAAAgAAAAAQAAAAEAAAAQAAAAAAAAAAAAAABBAQAAoAAAAAAAAAAAAAAAQQEAAKAAAAAlAAAADAAAAAIAAAAnAAAAGAAAAAUAAAAAAAAA////AAAAAAAlAAAADAAAAAUAAABMAAAAZAAAAA4AAACLAAAAMgEAAJsAAAAOAAAAiwAAACUBAAARAAAAIQDwAAAAAAAAAAAAAACAPwAAAAAAAAAAAACAPwAAAAAAAAAAAAAAAAAAAAAAAAAAAAAAAAAAAAAAAAAAJQAAAAwAAAAAAACAKAAAAAwAAAAFAAAAJQAAAAwAAAABAAAAGAAAAAwAAAAAAAAAEgAAAAwAAAABAAAAFgAAAAwAAAAAAAAAVAAAAEQBAAAPAAAAiwAAADEBAACbAAAAAQAAAFVVj0EmtI9BDwAAAIsAAAApAAAATAAAAAQAAAAOAAAAiwAAADM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EABAACfAAAAAAAAAAAAAAB3FgAAOgsAACBFTUYAAAEAR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gqJj8fwAAAOComPx/AAATAAAAAAAAAAAAyhb9fwAAhSj7l/x/AAAwFsoW/X8AABMAAAAAAAAA4BYAAAAAAABAAADA/H8AAAAAyhb9fwAAVSv7l/x/AAAEAAAAAAAAADAWyhb9fwAAELkPVxgAAAATAAAAAAAAAEgAAAAAAAAAZByLmPx/AACg46iY/H8AAMAgi5j8fwAAAQAAAAAAAABIRouY/H8AAAAAyhb9fwAAAAAAAAAAAAAAAAAAAAAAALC4D1cYAAAAcMbss0ABAACr3+gU/X8AAOC5D1cYAAAAeboPVxg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UAAAACQAAAAAAAAAAAAAAvAIAAAAAAAABAgIiUwB5AHMAdABlAG0AAAAAAAAAAAAAAAAAAAAAAAAAAAAAAAAAAAAAAAAAAAAAAAAAAAAAAAAAAAAAAAAAAAAAAAAAAADIKvuX/H8AAChQDlcYAAAAAAAAAAAAAACIPgwV/X8AAAAAAAAAAAAACQAAAAAAAAAAAAAAAAAAAMgq+5f8fwAAAAAAAAAAAAAAAAAAAAAAALuaauaZ7QAAqFEOVxgAAAAAAAAAAAAAADDxrLNAAQAAcMbss0ABAADQUg5XAAAAAAAAAAAAAAAABwAAAAAAAACIMCC0QAEAAAxSDlcYAAAASVIOVxgAAABxzeQU/X8AAAEAAABAAQAAgFUOVwAAAAB/yxrZ8iIAAAAAAAAAAAAAcMbss0ABAACr3+gU/X8AALBRDlcYAAAASVIOVxgAAADAP1O0Q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Kjdbpf8fwAAiYzolvx/AAAAAAAA/H8AAIg+DBX9fwAAAAAAAAAAAACQW26X/H8AAAEAAAAAAAAAIONul/x/AAAAAAAAAAAAAAAAAAAAAAAAG/1q5pntAABxKg5XGAAAABCwlNJAAQAA4P///wAAAABwxuyzQAEAAEgsDlcAAAAAAAAAAAAAAAAGAAAAAAAAACAAAAAAAAAAbCsOVxgAAACpKw5XGAAAAHHN5BT9fwAAcNe5qEABAAAAAAAAAAAAANArDlcYAAAAPIWtmPx/AABwxuyzQAEAAKvf6BT9fwAAECsOVxgAAACpKw5XGAAAAIAgQtBA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AAAAAAAAAAAIAAAA/////9jzbpf8fwAAiD4MFf1/AAAAAAAAAAAAAMAGBtBAAQAAwAYG0EABAAAAAAAAAAAAAAAAAAAAAAAAAAAAAAAAAABb/Wrmme0AALZy35b8fwAA2PNul/x/AADs////AAAAAHDG7LNAAQAAiCwOVwAAAAAAAAAAAAAAAAkAAAAAAAAAIAAAAAAAAACsKw5XGAAAAOkrDlcYAAAAcc3kFP1/AADY826X/H8AANjzbpcAAAAACAAAAAABAAAAAAAAAAAAAHDG7LNAAQAAq9/oFP1/AABQKw5XGAAAAOkrDlcYAAAA0MUR1UA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qAAAAA8AAABhAAAAbwAAAHEAAAABAAAAVVWPQSa0j0EPAAAAYQAAAA8AAABMAAAAAAAAAAAAAAAAAAAA//////////9sAAAARwB1AHMAdABhAHYAbwAgAFMAZQBnAG8AdgBpAGEAAAAJAAAABwAAAAYAAAAEAAAABwAAAAYAAAAIAAAABAAAAAcAAAAHAAAACAAAAAgAAAAGAAAAAwAAAAcAAABLAAAAQAAAADAAAAAFAAAAIAAAAAEAAAABAAAAEAAAAAAAAAAAAAAAQQEAAKAAAAAAAAAAAAAAAEEBAACgAAAAJQAAAAwAAAACAAAAJwAAABgAAAAFAAAAAAAAAP///wAAAAAAJQAAAAwAAAAFAAAATAAAAGQAAAAOAAAAdgAAADIBAACGAAAADgAAAHYAAAAlAQAAEQAAACEA8AAAAAAAAAAAAAAAgD8AAAAAAAAAAAAAgD8AAAAAAAAAAAAAAAAAAAAAAAAAAAAAAAAAAAAAAAAAACUAAAAMAAAAAAAAgCgAAAAMAAAABQAAACUAAAAMAAAAAQAAABgAAAAMAAAAAAAAABIAAAAMAAAAAQAAAB4AAAAYAAAADgAAAHYAAAAzAQAAhwAAACUAAAAMAAAAAQAAAFQAAACgAAAADwAAAHYAAABkAAAAhgAAAAEAAABVVY9BJrSPQQ8AAAB2AAAADgAAAEwAAAAAAAAAAAAAAAAAAAD//////////2gAAABWAGkAYwBlAHAAcgBlAHMAaQBkAGUAbgB0AGUACAAAAAMAAAAGAAAABwAAAAg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A8F089-7317-45DC-ADC3-C523472DACA2}"/>
</file>

<file path=customXml/itemProps2.xml><?xml version="1.0" encoding="utf-8"?>
<ds:datastoreItem xmlns:ds="http://schemas.openxmlformats.org/officeDocument/2006/customXml" ds:itemID="{9404FEAD-E717-4E7B-969A-61A27F27A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2021-08-12T20:18:40Z</cp:lastPrinted>
  <dcterms:created xsi:type="dcterms:W3CDTF">2017-03-20T17:23:58Z</dcterms:created>
  <dcterms:modified xsi:type="dcterms:W3CDTF">2022-10-31T18:08:07Z</dcterms:modified>
</cp:coreProperties>
</file>