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0440" activeTab="1"/>
  </bookViews>
  <sheets>
    <sheet name="Indice" sheetId="1" r:id="rId1"/>
    <sheet name="Balance Gral. Resol. 6" sheetId="2" r:id="rId2"/>
    <sheet name="Estado de Resultado Resol. 6" sheetId="3" r:id="rId3"/>
    <sheet name="Flujo de Efectivo Resol. Res 6" sheetId="4" r:id="rId4"/>
    <sheet name="Estado de Variacion PN " sheetId="5" r:id="rId5"/>
    <sheet name="NOTA A LOS ESTADOS CONTA. 1-4" sheetId="6" r:id="rId6"/>
    <sheet name="NOTA 5 A-C CRITERIOS ESPECIF." sheetId="7" r:id="rId7"/>
    <sheet name="NOTA D - DISPONIBILIDADES" sheetId="8" r:id="rId8"/>
    <sheet name="NOTA E - INVERSIONES" sheetId="9" r:id="rId9"/>
    <sheet name="NOTA F - CREDITOS" sheetId="10" r:id="rId10"/>
    <sheet name="NOTA G BIENES DE USO" sheetId="11" r:id="rId11"/>
    <sheet name="NOTA H CARGOS DIFERIDOS" sheetId="12" r:id="rId12"/>
    <sheet name=" NOTA I INTANGIBLES" sheetId="13" r:id="rId13"/>
    <sheet name="NOTA J OTROS ACTIVOS CTES Y NO " sheetId="14" r:id="rId14"/>
    <sheet name="NOTA K PRESTAMOS" sheetId="15" r:id="rId15"/>
    <sheet name="NOTA L DOCUMENTOS Y CTAS A PAGA" sheetId="16" r:id="rId16"/>
    <sheet name="NOTAS M-Q ACREEDORES CTO PLAZO" sheetId="17" r:id="rId17"/>
    <sheet name="NOTA R SALDOS Y TRANSACCIONES " sheetId="18" r:id="rId18"/>
    <sheet name="NOTA S RESULTADOS CON PERSONAS" sheetId="19" r:id="rId19"/>
    <sheet name=" NOTA T PATRIMONIO" sheetId="20" r:id="rId20"/>
    <sheet name="NOTA V INGRESOS OPERATIVOS" sheetId="21" r:id="rId21"/>
    <sheet name="NOTA W OTROS GASTOS OPERATIVOS" sheetId="22" r:id="rId22"/>
    <sheet name="NOTA X OTROS INGRESOS Y EGRESOS" sheetId="23" r:id="rId23"/>
    <sheet name="NOTA Y RESULTADOS FINANCIEROS" sheetId="24" r:id="rId24"/>
    <sheet name="NOTA Z RESULT EXTRAORD" sheetId="25" r:id="rId25"/>
    <sheet name="NOTA 6 INFORMACION REFERENTE" sheetId="26" r:id="rId26"/>
  </sheets>
  <externalReferences>
    <externalReference r:id="rId29"/>
    <externalReference r:id="rId30"/>
  </externalReferences>
  <definedNames>
    <definedName name="_MON_1268749014" localSheetId="6">'NOTA 5 A-C CRITERIOS ESPECIF.'!$C$6</definedName>
    <definedName name="a" localSheetId="4">#REF!</definedName>
    <definedName name="a" localSheetId="3">#REF!</definedName>
    <definedName name="a" localSheetId="6">#REF!</definedName>
    <definedName name="a" localSheetId="5">#REF!</definedName>
    <definedName name="a">#REF!</definedName>
    <definedName name="aa" localSheetId="4">#REF!</definedName>
    <definedName name="aa" localSheetId="3">#REF!</definedName>
    <definedName name="aa" localSheetId="6">#REF!</definedName>
    <definedName name="aa" localSheetId="5">#REF!</definedName>
    <definedName name="aa">#REF!</definedName>
    <definedName name="_xlnm.Print_Area" localSheetId="1">'Balance Gral. Resol. 6'!$C$1:$H$75</definedName>
    <definedName name="_xlnm.Print_Area" localSheetId="2">'Estado de Resultado Resol. 6'!$B$1:$I$99</definedName>
    <definedName name="_xlnm.Print_Area" localSheetId="21">'NOTA W OTROS GASTOS OPERATIVOS'!$M$1:$O$39</definedName>
    <definedName name="BuiltIn_Print_Area">#N/A</definedName>
    <definedName name="BuiltIn_Print_Area___0">#N/A</definedName>
    <definedName name="BuiltIn_Print_Area___0___0" localSheetId="4">#REF!</definedName>
    <definedName name="BuiltIn_Print_Area___0___0" localSheetId="3">#REF!</definedName>
    <definedName name="BuiltIn_Print_Area___0___0" localSheetId="6">#REF!</definedName>
    <definedName name="BuiltIn_Print_Area___0___0" localSheetId="5">#REF!</definedName>
    <definedName name="BuiltIn_Print_Area___0___0">#REF!</definedName>
    <definedName name="BuiltIn_Print_Area___0___0___0___0" localSheetId="4">'[1]Flujos de efectivo'!#REF!</definedName>
    <definedName name="BuiltIn_Print_Area___0___0___0___0" localSheetId="3">'[1]Flujos de efectivo'!#REF!</definedName>
    <definedName name="BuiltIn_Print_Area___0___0___0___0" localSheetId="6">'[1]Flujos de efectivo'!#REF!</definedName>
    <definedName name="BuiltIn_Print_Area___0___0___0___0" localSheetId="5">'[1]Flujos de efectivo'!#REF!</definedName>
    <definedName name="BuiltIn_Print_Area___0___0___0___0">'[1]Flujos de efectivo'!#REF!</definedName>
    <definedName name="BuiltIn_Print_Area___0___0___0___0___0" localSheetId="4">#REF!</definedName>
    <definedName name="BuiltIn_Print_Area___0___0___0___0___0" localSheetId="3">#REF!</definedName>
    <definedName name="BuiltIn_Print_Area___0___0___0___0___0" localSheetId="6">#REF!</definedName>
    <definedName name="BuiltIn_Print_Area___0___0___0___0___0" localSheetId="5">#REF!</definedName>
    <definedName name="BuiltIn_Print_Area___0___0___0___0___0">#REF!</definedName>
    <definedName name="Clientes" localSheetId="4">#REF!</definedName>
    <definedName name="Clientes" localSheetId="3">#REF!</definedName>
    <definedName name="Clientes" localSheetId="6">#REF!</definedName>
    <definedName name="Clientes" localSheetId="5">#REF!</definedName>
    <definedName name="Clientes">#REF!</definedName>
    <definedName name="DATA16" localSheetId="4">#REF!</definedName>
    <definedName name="DATA16" localSheetId="3">#REF!</definedName>
    <definedName name="DATA16" localSheetId="6">#REF!</definedName>
    <definedName name="DATA16" localSheetId="5">#REF!</definedName>
    <definedName name="DATA16">#REF!</definedName>
    <definedName name="DATA17" localSheetId="4">#REF!</definedName>
    <definedName name="DATA17" localSheetId="3">#REF!</definedName>
    <definedName name="DATA17" localSheetId="6">#REF!</definedName>
    <definedName name="DATA17" localSheetId="5">#REF!</definedName>
    <definedName name="DATA17">#REF!</definedName>
    <definedName name="DATA18" localSheetId="4">#REF!</definedName>
    <definedName name="DATA18" localSheetId="3">#REF!</definedName>
    <definedName name="DATA18" localSheetId="6">#REF!</definedName>
    <definedName name="DATA18" localSheetId="5">#REF!</definedName>
    <definedName name="DATA18">#REF!</definedName>
    <definedName name="DATA20" localSheetId="4">#REF!</definedName>
    <definedName name="DATA20" localSheetId="3">#REF!</definedName>
    <definedName name="DATA20" localSheetId="6">#REF!</definedName>
    <definedName name="DATA20" localSheetId="5">#REF!</definedName>
    <definedName name="DATA20">#REF!</definedName>
    <definedName name="datos" localSheetId="4">#REF!</definedName>
    <definedName name="datos" localSheetId="3">#REF!</definedName>
    <definedName name="datos" localSheetId="6">#REF!</definedName>
    <definedName name="datos" localSheetId="5">#REF!</definedName>
    <definedName name="datos">#REF!</definedName>
    <definedName name="k" localSheetId="4">#REF!</definedName>
    <definedName name="k" localSheetId="3">#REF!</definedName>
    <definedName name="k" localSheetId="6">#REF!</definedName>
    <definedName name="k" localSheetId="5">#REF!</definedName>
    <definedName name="k">#REF!</definedName>
    <definedName name="klkl" localSheetId="4">#REF!</definedName>
    <definedName name="klkl" localSheetId="3">#REF!</definedName>
    <definedName name="klkl" localSheetId="6">#REF!</definedName>
    <definedName name="klkl" localSheetId="5">#REF!</definedName>
    <definedName name="klkl">#REF!</definedName>
    <definedName name="klll" localSheetId="4">#REF!</definedName>
    <definedName name="klll" localSheetId="3">#REF!</definedName>
    <definedName name="klll" localSheetId="6">#REF!</definedName>
    <definedName name="klll" localSheetId="5">#REF!</definedName>
    <definedName name="klll">#REF!</definedName>
    <definedName name="ver" localSheetId="4">#REF!</definedName>
    <definedName name="ver" localSheetId="3">#REF!</definedName>
    <definedName name="ver" localSheetId="6">#REF!</definedName>
    <definedName name="ver" localSheetId="5">#REF!</definedName>
    <definedName name="ver">#REF!</definedName>
    <definedName name="verificar" localSheetId="4">#REF!</definedName>
    <definedName name="verificar" localSheetId="3">#REF!</definedName>
    <definedName name="verificar" localSheetId="6">#REF!</definedName>
    <definedName name="verificar" localSheetId="5">#REF!</definedName>
    <definedName name="verificar">#REF!</definedName>
  </definedNames>
  <calcPr fullCalcOnLoad="1"/>
</workbook>
</file>

<file path=xl/sharedStrings.xml><?xml version="1.0" encoding="utf-8"?>
<sst xmlns="http://schemas.openxmlformats.org/spreadsheetml/2006/main" count="1363" uniqueCount="844">
  <si>
    <t>INVESTOR CASA DE BOLSA S.A.</t>
  </si>
  <si>
    <t xml:space="preserve">BALANCE GENERAL </t>
  </si>
  <si>
    <t xml:space="preserve"> (Expresado en Guaraníes)</t>
  </si>
  <si>
    <t>ACTIVO</t>
  </si>
  <si>
    <t>PERIODO ACTUAL 2019</t>
  </si>
  <si>
    <t>EJERCICIO ANTERIOR 2018</t>
  </si>
  <si>
    <t>PASIVO</t>
  </si>
  <si>
    <t>ACTIVO CORRIENTE Nota 5 a</t>
  </si>
  <si>
    <t>PASIVO CORRIENTE</t>
  </si>
  <si>
    <t>1 01</t>
  </si>
  <si>
    <t>DISPONIBILIDADES Nota 5 d</t>
  </si>
  <si>
    <t>DOCUEMENTOS Y CUENTAS A PAGAR</t>
  </si>
  <si>
    <t>1 01 01</t>
  </si>
  <si>
    <t>Caja</t>
  </si>
  <si>
    <t>Acreedores por Intermediación. Nota 5 q</t>
  </si>
  <si>
    <t>Recaudaciones a Depositar</t>
  </si>
  <si>
    <t>Acreedores Varios  - Nota 5 l</t>
  </si>
  <si>
    <t>1 01 01 01</t>
  </si>
  <si>
    <t>Bancos</t>
  </si>
  <si>
    <t>Cuentas por Pagar a Personas y Emp. Relacionadas</t>
  </si>
  <si>
    <t>1 01 01 03</t>
  </si>
  <si>
    <t>Obligaciones  por Contratos de Underwiting</t>
  </si>
  <si>
    <t>Obligaciones por Administracion de Carteras</t>
  </si>
  <si>
    <t>Inversiones Temporarias</t>
  </si>
  <si>
    <t>PRESTAMOS FINANCIEROS - Nota 5 k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</si>
  <si>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</si>
  <si>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</si>
  <si>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</si>
  <si>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</si>
  <si>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</si>
  <si>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</si>
  <si>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1 01 03</t>
  </si>
  <si>
    <t>1 01 03 01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</si>
  <si>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</si>
  <si>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</si>
  <si>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</si>
  <si>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</si>
  <si>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</si>
  <si>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</si>
  <si>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</si>
  <si>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</si>
  <si>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</si>
  <si>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</si>
  <si>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</si>
  <si>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</si>
  <si>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Menos: Prevision por Incobrables a Personas y Emp Relacionadas</t>
  </si>
  <si>
    <t>Derechos sobre titulos por Contratos de Underwiting</t>
  </si>
  <si>
    <t>OTROS ACTIVOS</t>
  </si>
  <si>
    <t>OTROS PASIVOS</t>
  </si>
  <si>
    <t>1 01 03 11</t>
  </si>
  <si>
    <t>Gastos No Devengados</t>
  </si>
  <si>
    <t>1 01 03 13</t>
  </si>
  <si>
    <t>Intereses a Vencer -  Nota 5 h</t>
  </si>
  <si>
    <t>Prestamos de Terceros</t>
  </si>
  <si>
    <t>1 01 03 14</t>
  </si>
  <si>
    <t xml:space="preserve">Seguros a Vencer  -  Nota 5 h </t>
  </si>
  <si>
    <t>Dividendos a Pagar</t>
  </si>
  <si>
    <t>Otros Pasivos Corrientes</t>
  </si>
  <si>
    <t>1 01 15</t>
  </si>
  <si>
    <t>1 01 15 02</t>
  </si>
  <si>
    <t>1 01 15 03</t>
  </si>
  <si>
    <t>Total Activo Corriente</t>
  </si>
  <si>
    <t>Total Pasivo Corriente</t>
  </si>
  <si>
    <t>2 01 15 03</t>
  </si>
  <si>
    <t>ACTIVO NO CORRIENTE</t>
  </si>
  <si>
    <t>PASIVOS NO CORRIENTE</t>
  </si>
  <si>
    <t>INVERSIONES PERMANENTES Nota 5 e</t>
  </si>
  <si>
    <t>PRESTAMOS FINANCIEROS</t>
  </si>
  <si>
    <t>1 01 20</t>
  </si>
  <si>
    <t>Préstamos en Bancos</t>
  </si>
  <si>
    <t>Titulo de Renta Fija</t>
  </si>
  <si>
    <t>1 01 20 01</t>
  </si>
  <si>
    <t>Acciones en la Bolsa de Valores</t>
  </si>
  <si>
    <t>1 01 20 02</t>
  </si>
  <si>
    <t>Otros Valores</t>
  </si>
  <si>
    <t>PREVISIONES</t>
  </si>
  <si>
    <t xml:space="preserve">Instrumentos Financieros Cedidos </t>
  </si>
  <si>
    <t>Prevision para Indeminzacion</t>
  </si>
  <si>
    <t>Otras Contingencias</t>
  </si>
  <si>
    <t>CREDITOS</t>
  </si>
  <si>
    <t>Otros Pasivos No Corrientes</t>
  </si>
  <si>
    <t>1 02</t>
  </si>
  <si>
    <t>1 02 01</t>
  </si>
  <si>
    <t>1 02 01 09</t>
  </si>
  <si>
    <t>Deudores por Gestion en Cobro</t>
  </si>
  <si>
    <t>Total  Pasivo no Corriente</t>
  </si>
  <si>
    <t>Total Pasivo</t>
  </si>
  <si>
    <t>PATRIMONIO NETO  Nota 5 t</t>
  </si>
  <si>
    <t>1 02 02</t>
  </si>
  <si>
    <t>Capital</t>
  </si>
  <si>
    <t>1 02 02 01</t>
  </si>
  <si>
    <t>Capital realizado</t>
  </si>
  <si>
    <t>1 02 02 02</t>
  </si>
  <si>
    <t>Aportes para Futuras Integraciones</t>
  </si>
  <si>
    <t>1 02 02 03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</si>
  <si>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</si>
  <si>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</si>
  <si>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</si>
  <si>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</si>
  <si>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</si>
  <si>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</si>
  <si>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1 02 10</t>
  </si>
  <si>
    <t>Utilidad por valuación BVPSA</t>
  </si>
  <si>
    <t>ACTIVOS INTANGIBLES  Nota 5 i</t>
  </si>
  <si>
    <t>Licencias</t>
  </si>
  <si>
    <t>Marcas</t>
  </si>
  <si>
    <t>Membresia BVPASA</t>
  </si>
  <si>
    <t xml:space="preserve">Resultados   </t>
  </si>
  <si>
    <t>Sistemas Informaticos</t>
  </si>
  <si>
    <t>Resultados Acumulados</t>
  </si>
  <si>
    <t>Amortización Acumulada</t>
  </si>
  <si>
    <t>Resultado del Ejercicio</t>
  </si>
  <si>
    <t>Total Patrimonio Neto</t>
  </si>
  <si>
    <t>Total Pasivo y Patrimonio Neto</t>
  </si>
  <si>
    <t>Garantía de Alquiler   - Nota 5 j</t>
  </si>
  <si>
    <t>Gastos de Constitución</t>
  </si>
  <si>
    <t>1 02 10 01</t>
  </si>
  <si>
    <t>Seguros Pagados por Adelantado</t>
  </si>
  <si>
    <t>1 02 10 02</t>
  </si>
  <si>
    <t>Total Activo no Corriente</t>
  </si>
  <si>
    <t>1 02 20</t>
  </si>
  <si>
    <t>Total de Activos</t>
  </si>
  <si>
    <t>1 02 20 01</t>
  </si>
  <si>
    <t>1 02 20 02</t>
  </si>
  <si>
    <t>1 02 20 03</t>
  </si>
  <si>
    <t>1 02 20 04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</si>
  <si>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</si>
  <si>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</si>
  <si>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</si>
  <si>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</si>
  <si>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</si>
  <si>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</si>
  <si>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</si>
  <si>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</si>
  <si>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</si>
  <si>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</si>
  <si>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</si>
  <si>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</si>
  <si>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</si>
  <si>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</si>
  <si>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</si>
  <si>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</si>
  <si>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</si>
  <si>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</si>
  <si>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</si>
  <si>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</si>
  <si>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</si>
  <si>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</si>
  <si>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</si>
  <si>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</si>
  <si>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</si>
  <si>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</si>
  <si>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</si>
  <si>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</si>
  <si>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</si>
  <si>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</si>
  <si>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</si>
  <si>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</si>
  <si>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</si>
  <si>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</si>
  <si>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</si>
  <si>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</si>
  <si>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</si>
  <si>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</si>
  <si>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</si>
  <si>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Ingresos Operativos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</si>
  <si>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</si>
  <si>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</si>
  <si>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</si>
  <si>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</si>
  <si>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</si>
  <si>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</si>
  <si>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</si>
  <si>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</si>
  <si>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</si>
  <si>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 por Administracion de Carteras</t>
  </si>
  <si>
    <t>ingreso por Custodia de Valores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</si>
  <si>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</si>
  <si>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</si>
  <si>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</si>
  <si>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</si>
  <si>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</si>
  <si>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Ingrsos por Operaciones y Servicios Extrabursatiles</t>
  </si>
  <si>
    <t>Otros Ingresos Operativos</t>
  </si>
  <si>
    <t>Ganancia por Venta de Titulos - Bonos</t>
  </si>
  <si>
    <t>- Dividendos  Cobrados</t>
  </si>
  <si>
    <t>- Otros Ingresos</t>
  </si>
  <si>
    <t>Gastos Operativos</t>
  </si>
  <si>
    <t>Gastos por Comisiones y Servicios</t>
  </si>
  <si>
    <t>Aranceles por negociación Bolsa de Valores</t>
  </si>
  <si>
    <t>Perdida por Venta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</si>
  <si>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</si>
  <si>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</si>
  <si>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</si>
  <si>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</si>
  <si>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</si>
  <si>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</si>
  <si>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Sueldos y Jornales</t>
  </si>
  <si>
    <t>Aporte Patronal</t>
  </si>
  <si>
    <t>Aguinaldos Pagados</t>
  </si>
  <si>
    <t>Bonificacion Familiar</t>
  </si>
  <si>
    <t>Vacaciones Pagadas</t>
  </si>
  <si>
    <t>Indemnizaciones</t>
  </si>
  <si>
    <t>Mantenimiento</t>
  </si>
  <si>
    <t>Alquileres</t>
  </si>
  <si>
    <t>Gastos Generales</t>
  </si>
  <si>
    <t>Seguros</t>
  </si>
  <si>
    <t>Impuestos, Tasas y Contribuciones</t>
  </si>
  <si>
    <t>Otros Gastos de Administración</t>
  </si>
  <si>
    <t>Honorarios Profesianales</t>
  </si>
  <si>
    <t>Remuneracion Personal Superior</t>
  </si>
  <si>
    <t>Servicios Personales</t>
  </si>
  <si>
    <t>Gastos de Capacitación</t>
  </si>
  <si>
    <t>Servicios Contratados</t>
  </si>
  <si>
    <t>Iva Gastos</t>
  </si>
  <si>
    <t>Donaciones y Contribuciones</t>
  </si>
  <si>
    <t>Servicios de Asesoramiento</t>
  </si>
  <si>
    <t>Depreciaciones del Ejercicio</t>
  </si>
  <si>
    <t>Resultado Operativo Neto</t>
  </si>
  <si>
    <t>- Otros ingresos y Egresos</t>
  </si>
  <si>
    <t>Otros Ingresos</t>
  </si>
  <si>
    <t>Otros Egresos</t>
  </si>
  <si>
    <t>Resultados financieros</t>
  </si>
  <si>
    <t>Generados por Activos</t>
  </si>
  <si>
    <t>Intereses cobrados</t>
  </si>
  <si>
    <t>Diferencia de Cambio</t>
  </si>
  <si>
    <t>Generados por Pasivos</t>
  </si>
  <si>
    <t>Intereses pagados</t>
  </si>
  <si>
    <t>Resultados  extraordinarias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</si>
  <si>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</si>
  <si>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</si>
  <si>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</si>
  <si>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</si>
  <si>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</si>
  <si>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</si>
  <si>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</si>
  <si>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Ganancias (o pérdidas) netas a distribuir</t>
  </si>
  <si>
    <t>CAPITAL</t>
  </si>
  <si>
    <t>CUENTAS</t>
  </si>
  <si>
    <t>SALDO AL 30/09/2019</t>
  </si>
  <si>
    <t>Anticipo a Proveedores</t>
  </si>
  <si>
    <t>Intereses a Vencer</t>
  </si>
  <si>
    <t>Seguros a Vencer</t>
  </si>
  <si>
    <t>Intereses a Cobrar</t>
  </si>
  <si>
    <t>Garantia de Alquiler</t>
  </si>
  <si>
    <t>Impuesto a la Renta a Pagar</t>
  </si>
  <si>
    <t>CONCEPTO</t>
  </si>
  <si>
    <t xml:space="preserve"> ACTIVO CORRIENTE</t>
  </si>
  <si>
    <t xml:space="preserve">  DISPONIBILIDADES                       </t>
  </si>
  <si>
    <t>TOTAL DISPONIBILIDADES</t>
  </si>
  <si>
    <r>
      <t xml:space="preserve">Guaraníes. </t>
    </r>
    <r>
      <rPr>
        <sz val="11"/>
        <color theme="1"/>
        <rFont val="Calibri"/>
        <family val="2"/>
      </rPr>
      <t xml:space="preserve">    </t>
    </r>
  </si>
  <si>
    <t xml:space="preserve">                INFORMACION SOBRE EL DOCUMENTO Y EL EMISOR</t>
  </si>
  <si>
    <t xml:space="preserve"> INFORMACION SOBRE EL EMISOR AL 30/09/2019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</si>
  <si>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</si>
  <si>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</si>
  <si>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</si>
  <si>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</si>
  <si>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</si>
  <si>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</si>
  <si>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</si>
  <si>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</si>
  <si>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</si>
  <si>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</si>
  <si>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</si>
  <si>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</si>
  <si>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BONOS</t>
  </si>
  <si>
    <t>FINANCIERA EL COMERCIO S.A.E.C.A.</t>
  </si>
  <si>
    <t>Total al 30/09/2019</t>
  </si>
  <si>
    <t>Total al 30/06/2018</t>
  </si>
  <si>
    <t xml:space="preserve">              INFORMACION SOBRE EL DOCUMENTO Y EL EMISOR</t>
  </si>
  <si>
    <t>TIPO DE TITULOS</t>
  </si>
  <si>
    <t>CANTIDAD DE TITULOS</t>
  </si>
  <si>
    <t>VALOR NOMINAL</t>
  </si>
  <si>
    <t>VALOR CONTABLE</t>
  </si>
  <si>
    <t>BANCO FAMILIAR S.A.E.C.A.</t>
  </si>
  <si>
    <t>ACCION</t>
  </si>
  <si>
    <t>BANCO CONTINENTAL S.A.E.C.A.</t>
  </si>
  <si>
    <t>BANCO RIO SAECA</t>
  </si>
  <si>
    <t>ACCIONES Y FIDEICOMISO DE LA BOLSA DE VALORES Y PRODUCTOS DE ASUNCION S.A.</t>
  </si>
  <si>
    <t>CANTIDAD</t>
  </si>
  <si>
    <t>TIPO DE TITULO</t>
  </si>
  <si>
    <t>VALOR LIBRO</t>
  </si>
  <si>
    <t>VALOR ULTIMO REMATE</t>
  </si>
  <si>
    <t>1 (UNA)</t>
  </si>
  <si>
    <t>Acción</t>
  </si>
  <si>
    <t xml:space="preserve"> INFORMACION SOBRE EL EMISOR AL 30/09/2018</t>
  </si>
  <si>
    <t>INVERSIONES INTERNACIONALES / OTROS VALORES</t>
  </si>
  <si>
    <t>INTERACTIVE BROKERS</t>
  </si>
  <si>
    <t>Cuentas Cash</t>
  </si>
  <si>
    <t>No aplicable</t>
  </si>
  <si>
    <t xml:space="preserve">INSTRUMENTOS FINANCIEROS CEDIDOS </t>
  </si>
  <si>
    <t>Aporte Fideicomiso - Repo en Bco. Rio.</t>
  </si>
  <si>
    <t>no aplicable</t>
  </si>
  <si>
    <t xml:space="preserve">Aporte Fideicomiso - En garantia BVPASA </t>
  </si>
  <si>
    <t>ACCIONES EN OTRAS EMPRESAS</t>
  </si>
  <si>
    <t>ADMINISTRADORA DE FONDOS SA</t>
  </si>
  <si>
    <t>INCUBATE SA</t>
  </si>
  <si>
    <t>PROCAMPO</t>
  </si>
  <si>
    <t>TOTALES INVERSIONES</t>
  </si>
  <si>
    <t>DEUDORES POR INTERMEDIACION</t>
  </si>
  <si>
    <t>GUARANIES</t>
  </si>
  <si>
    <t>Corto Plazo Gs.</t>
  </si>
  <si>
    <t>Largo Plazo Gs.</t>
  </si>
  <si>
    <t>Clientes por Operaciones</t>
  </si>
  <si>
    <t>Clientes por Asesoramientos</t>
  </si>
  <si>
    <t>Credito Fiscal IVA</t>
  </si>
  <si>
    <t>Anticipo de IRACIS</t>
  </si>
  <si>
    <t>Anticipo de servicios</t>
  </si>
  <si>
    <t>Deudores empresas relacionadas</t>
  </si>
  <si>
    <t>Anticipo al Personal</t>
  </si>
  <si>
    <t>Dividendos a cobrar</t>
  </si>
  <si>
    <t>Poyectos Inmobiliarios</t>
  </si>
  <si>
    <t>Documentos y ctas a cobras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</si>
  <si>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</si>
  <si>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</si>
  <si>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</si>
  <si>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</si>
  <si>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</si>
  <si>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</si>
  <si>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</si>
  <si>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</si>
  <si>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</si>
  <si>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</si>
  <si>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</si>
  <si>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</si>
  <si>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</si>
  <si>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</si>
  <si>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</si>
  <si>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</si>
  <si>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</si>
  <si>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</si>
  <si>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</si>
  <si>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</si>
  <si>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</si>
  <si>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</si>
  <si>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</si>
  <si>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</si>
  <si>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</si>
  <si>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</si>
  <si>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</si>
  <si>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>Mejoras en Predio Ajeno</t>
  </si>
  <si>
    <t>Utiles y enseres</t>
  </si>
  <si>
    <t>SALDO INICIAL</t>
  </si>
  <si>
    <t>AUMENTOS</t>
  </si>
  <si>
    <t>AMORTIZACIONES</t>
  </si>
  <si>
    <t>SALDO NETO FINAL</t>
  </si>
  <si>
    <r>
      <t>h)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Cargos Diferidos</t>
    </r>
  </si>
  <si>
    <t>CUENTA</t>
  </si>
  <si>
    <t>Marcas y Licencias</t>
  </si>
  <si>
    <t>Marca Investor C.B. S.A.</t>
  </si>
  <si>
    <t>Licencias Informáticas</t>
  </si>
  <si>
    <t>Licencias para PCS</t>
  </si>
  <si>
    <t>Sistemas Informáticos</t>
  </si>
  <si>
    <t>Sistemas: Contable y Operativo</t>
  </si>
  <si>
    <t>Licencia Actividad Bursatil</t>
  </si>
  <si>
    <t>i)   Intangibles</t>
  </si>
  <si>
    <t>Anticipos a proveedores y otros</t>
  </si>
  <si>
    <t>Seguros pagados por adelantado</t>
  </si>
  <si>
    <t>Cupones a cobrar</t>
  </si>
  <si>
    <t>Deudores varios</t>
  </si>
  <si>
    <t>INSTITUCION</t>
  </si>
  <si>
    <t>CORTO PLAZO GS.</t>
  </si>
  <si>
    <t>LARGO PLAZO GS.</t>
  </si>
  <si>
    <t>Prestamo BBVA</t>
  </si>
  <si>
    <t>Prestamo ITAU</t>
  </si>
  <si>
    <t>Sobregiros bancarios</t>
  </si>
  <si>
    <r>
      <t>k)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Préstamos Financieros a corto y a largo plazo.</t>
    </r>
  </si>
  <si>
    <r>
      <t>l)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Documentos y cuentas por pagar (Corto y largo plazo)</t>
    </r>
  </si>
  <si>
    <t>CORRIENTE G.</t>
  </si>
  <si>
    <t>NO CORRIENTE G.</t>
  </si>
  <si>
    <t>Acreedores por Intermediacion</t>
  </si>
  <si>
    <r>
      <t>m)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Acreedores Corto y Largo Plazo. No aplicable.</t>
    </r>
  </si>
  <si>
    <t>A la fecha la entidad no registra administración de Cartera a Corto y Largo Plazo</t>
  </si>
  <si>
    <t xml:space="preserve"> No aplicable</t>
  </si>
  <si>
    <r>
      <t>n)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Administración de Cartera (Corto y Largo Plazo)</t>
    </r>
  </si>
  <si>
    <r>
      <t>o)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Cuentas a Pagar a personas y empresas relacionadas (Corto y Largo plazo)</t>
    </r>
  </si>
  <si>
    <r>
      <t>p)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Obligaciones por contrato de Underwriting (Corto y Largo Plazo)</t>
    </r>
  </si>
  <si>
    <t>Corriente Gs.</t>
  </si>
  <si>
    <t>No corrientes Gs.</t>
  </si>
  <si>
    <t>Aportes y retenciones a Pagar</t>
  </si>
  <si>
    <t>Aguinaldo a Pagar</t>
  </si>
  <si>
    <r>
      <t>q)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Otros Pasivos Corrientes y No Corrientes</t>
    </r>
  </si>
  <si>
    <t>TIPO DE OPERACIÓN</t>
  </si>
  <si>
    <t>RELACION</t>
  </si>
  <si>
    <t>NOMBRE</t>
  </si>
  <si>
    <t>Cuentas a cobrar</t>
  </si>
  <si>
    <t>Empresa Vinculada</t>
  </si>
  <si>
    <t>Director y Accionista</t>
  </si>
  <si>
    <t>Funcionaria</t>
  </si>
  <si>
    <t>SALDOS (Deudores y Acreedores mantenidos)</t>
  </si>
  <si>
    <r>
      <t>r)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mbria"/>
        <family val="1"/>
      </rPr>
      <t>Saldos y Transacciones con personas y empresas relacionadas (Corriente y No Corriente)</t>
    </r>
  </si>
  <si>
    <t>PERSONA O EMPRESA RELACIONADA</t>
  </si>
  <si>
    <t>Total Ingresos</t>
  </si>
  <si>
    <t>Total Egresos</t>
  </si>
  <si>
    <t>Albaro Acosta - Presidente</t>
  </si>
  <si>
    <t>Federico Callizo-Vice Presidente</t>
  </si>
  <si>
    <t>Federico Sebastián Oporto Leiva Espínola</t>
  </si>
  <si>
    <t xml:space="preserve">Edge </t>
  </si>
  <si>
    <t>Investor AFPI SA</t>
  </si>
  <si>
    <t>Incubate SA</t>
  </si>
  <si>
    <r>
      <t>S)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Resultados con Personas y Empresas Vinculadas</t>
    </r>
  </si>
  <si>
    <t>SALDO AL INICIO DEL EJERCICIO</t>
  </si>
  <si>
    <t>DISMINUCIÓN</t>
  </si>
  <si>
    <t>Capital Integrado</t>
  </si>
  <si>
    <t>Aportes no capitalizados</t>
  </si>
  <si>
    <t>t) Patrimonio</t>
  </si>
  <si>
    <t>La entidad no registra previsiones a la fecha.</t>
  </si>
  <si>
    <r>
      <t>u)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 xml:space="preserve">Previsiones </t>
    </r>
  </si>
  <si>
    <t>Ingresos por Operaciones</t>
  </si>
  <si>
    <t>Por intermediación de Acciones en Rueda</t>
  </si>
  <si>
    <t>Por intermediación de Renta Fija en Rueda</t>
  </si>
  <si>
    <t>Ingresos por Asesoría Financiera</t>
  </si>
  <si>
    <t>Ingresos por venta cartera propia</t>
  </si>
  <si>
    <t>Ingresos por intereses de Cartera propia</t>
  </si>
  <si>
    <t>Totales</t>
  </si>
  <si>
    <t>Ganancia por venta de Titulos</t>
  </si>
  <si>
    <t xml:space="preserve">Dividendos Cobrados </t>
  </si>
  <si>
    <t>Otros ingresos</t>
  </si>
  <si>
    <t>Total</t>
  </si>
  <si>
    <r>
      <t>v)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Ingresos Operativos</t>
    </r>
  </si>
  <si>
    <t>BALANCE DESCALZO</t>
  </si>
  <si>
    <t>BALANCE A MARZO'13</t>
  </si>
  <si>
    <t>BALANCE FINAL A JUNIO</t>
  </si>
  <si>
    <t>AL 30/06/2013</t>
  </si>
  <si>
    <t>AL 31/12/2012</t>
  </si>
  <si>
    <t>Otros Gastos Operativos</t>
  </si>
  <si>
    <t xml:space="preserve">  Gastos por comisiones y servicios</t>
  </si>
  <si>
    <t xml:space="preserve">  Aranceles por neg. BVPASA</t>
  </si>
  <si>
    <t>Perdida por venta de valores</t>
  </si>
  <si>
    <t xml:space="preserve">  Otros Gastos Operativos</t>
  </si>
  <si>
    <t>Otros Gastos de Comercialización</t>
  </si>
  <si>
    <t xml:space="preserve">  Puclicidad</t>
  </si>
  <si>
    <t xml:space="preserve">  Folletos e impresiones</t>
  </si>
  <si>
    <t xml:space="preserve">  Otros Gastos de Comercialización</t>
  </si>
  <si>
    <t xml:space="preserve">  Sueldos y Jornales</t>
  </si>
  <si>
    <t xml:space="preserve">  Aporte Patronal</t>
  </si>
  <si>
    <t>Aguinaldos Devengados</t>
  </si>
  <si>
    <t xml:space="preserve">  Aguinaldos Pagados</t>
  </si>
  <si>
    <t xml:space="preserve">  Alquileres</t>
  </si>
  <si>
    <t xml:space="preserve">  Gastos Generales</t>
  </si>
  <si>
    <t xml:space="preserve">  Seguros Pagados</t>
  </si>
  <si>
    <t xml:space="preserve">  Multas</t>
  </si>
  <si>
    <t xml:space="preserve">  Impuestos Tasas y Contribuciones</t>
  </si>
  <si>
    <t xml:space="preserve">  Otros Gastos de Administración</t>
  </si>
  <si>
    <t xml:space="preserve">  Honorarios Profesionales</t>
  </si>
  <si>
    <t xml:space="preserve">  Remuneración Personal Superior</t>
  </si>
  <si>
    <t>Honorarios Profesionales</t>
  </si>
  <si>
    <t xml:space="preserve">  Servicios Personales</t>
  </si>
  <si>
    <t xml:space="preserve">  Gastos de Capacitación</t>
  </si>
  <si>
    <t xml:space="preserve">  Vacaciones Pagadas</t>
  </si>
  <si>
    <t xml:space="preserve">  Donaciones y Contribuciones</t>
  </si>
  <si>
    <t>w) Otros Gastos Operativos, de comercialización y de administración</t>
  </si>
  <si>
    <r>
      <t>x)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Otros Ingresos y Egresos</t>
    </r>
  </si>
  <si>
    <t>Generados Por Activos</t>
  </si>
  <si>
    <t>Intereses Cobrados</t>
  </si>
  <si>
    <t>Generados Por Pasivos</t>
  </si>
  <si>
    <t>Intereses Pagados</t>
  </si>
  <si>
    <r>
      <t>y)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Resultados Financieros</t>
    </r>
  </si>
  <si>
    <t>Ingresos Extraordinarios</t>
  </si>
  <si>
    <t>Ganancia por Venta de Rodado</t>
  </si>
  <si>
    <t>Egresos Extraordinarios</t>
  </si>
  <si>
    <t>Perdida por Venta de Activo</t>
  </si>
  <si>
    <r>
      <t xml:space="preserve">z)  </t>
    </r>
    <r>
      <rPr>
        <b/>
        <sz val="10"/>
        <color indexed="8"/>
        <rFont val="Cambria"/>
        <family val="1"/>
      </rPr>
      <t xml:space="preserve">Resultados Extraordinarios </t>
    </r>
  </si>
  <si>
    <t>NOTA 6. INFORMACION REFERENTE A CONTINGENCIAS Y COMPROMISOS</t>
  </si>
  <si>
    <r>
      <t>a)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Cambria"/>
        <family val="1"/>
      </rPr>
      <t>Compromisos Directos</t>
    </r>
  </si>
  <si>
    <t>No registra</t>
  </si>
  <si>
    <r>
      <t>b)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Cambria"/>
        <family val="1"/>
      </rPr>
      <t>Contingencias Legales</t>
    </r>
  </si>
  <si>
    <r>
      <t>c)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Cambria"/>
        <family val="1"/>
      </rPr>
      <t>Garantías Constituidas</t>
    </r>
  </si>
  <si>
    <t>De acuerdo a lo previsto en el artículo 111 de la Ley 5810/17, la entidad tiene constituida como garantía la suma de Gs. 550.00.000.- (guaraníes quinientos cincuenta millones), representados por Quinientos cincuenta (550) bonos emitidos por Automotores y Maquinarias S.A.E.C.A (AUTOMAQ SAECA) con ISIN NUMBER PYATM01F8823.</t>
  </si>
  <si>
    <t>NOTA 7. HECHOS POSTERIORES AL CIERRE DEL EJERCICIO</t>
  </si>
  <si>
    <t>No corresponde al presente periodo.</t>
  </si>
  <si>
    <r>
      <t>NOTA 8.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LIMITACION A LA LIBRE DISPONIBILIDAD DE LOS ACTIVOS O DEL PATRIMONIO Y DE CUALQUIER RESTRICCION AL DERECHO DE PROPIEDAD.</t>
    </r>
  </si>
  <si>
    <t>No registra.</t>
  </si>
  <si>
    <t>NOTA 9. CAMBIOS CONTABLES</t>
  </si>
  <si>
    <t>NOTA 10. RESTRICIONES PARA DISTRIBUCIÓN DE UTILIDADES</t>
  </si>
  <si>
    <t>NOTA 11. SANCIONES</t>
  </si>
  <si>
    <t>No Registra.</t>
  </si>
  <si>
    <r>
      <t>d)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Disponibilidades</t>
    </r>
  </si>
  <si>
    <r>
      <t>e)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Inversiones Permanentes</t>
    </r>
  </si>
  <si>
    <r>
      <t>f)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Créditos</t>
    </r>
  </si>
  <si>
    <r>
      <t>g)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0"/>
        <color indexed="8"/>
        <rFont val="Cambria"/>
        <family val="1"/>
      </rPr>
      <t>Bienes de Uso</t>
    </r>
  </si>
  <si>
    <r>
      <t>j)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Otros Activos Corrientes y No Corrientes</t>
    </r>
  </si>
  <si>
    <t>CORRESPONDIENTE AL 31 DE DICIEMBRE DE 2019 PRESENTADO EN FORMA COMPARATIVA CON EL EJERCICIO ANTERIOR CERRADO EL  31 DE DICIEMBRE DE  2018.</t>
  </si>
  <si>
    <t>Diciembre</t>
  </si>
  <si>
    <t>Balance General</t>
  </si>
  <si>
    <t>Noviembre</t>
  </si>
  <si>
    <t>Octubre</t>
  </si>
  <si>
    <t>Septiembre</t>
  </si>
  <si>
    <t>Agosto</t>
  </si>
  <si>
    <t>REF.</t>
  </si>
  <si>
    <t>INDICE</t>
  </si>
  <si>
    <t>Julio</t>
  </si>
  <si>
    <t>Junio</t>
  </si>
  <si>
    <t>Mayo</t>
  </si>
  <si>
    <t>Fecha Presentación:</t>
  </si>
  <si>
    <t>Abril</t>
  </si>
  <si>
    <t>Marzo</t>
  </si>
  <si>
    <t>Febrero</t>
  </si>
  <si>
    <t>Enero</t>
  </si>
  <si>
    <t>La composición de los fondos disponibles en Bancos al 31 de diciembre de 2019, es como sigue:</t>
  </si>
  <si>
    <t xml:space="preserve">    Recaudaciones a Depositar Suspenso</t>
  </si>
  <si>
    <t xml:space="preserve">    Recaudaciones a Depositar</t>
  </si>
  <si>
    <t xml:space="preserve">    Fondo Fijo</t>
  </si>
  <si>
    <t xml:space="preserve">    Itau Cta. Cte. Gs.</t>
  </si>
  <si>
    <t xml:space="preserve">    Itau Cta. Cte. USD</t>
  </si>
  <si>
    <t xml:space="preserve">    Regional Cta. Cte. Gs.</t>
  </si>
  <si>
    <t xml:space="preserve">    Regional Cta. Cte. USD</t>
  </si>
  <si>
    <t xml:space="preserve">    Itau Adm 70087633-8</t>
  </si>
  <si>
    <t xml:space="preserve">    Itau Adm 75080348-5 USD</t>
  </si>
  <si>
    <t xml:space="preserve">    Itau 75080363-6 USD</t>
  </si>
  <si>
    <t xml:space="preserve">    Itau Cta. Comp. Gs.</t>
  </si>
  <si>
    <t xml:space="preserve">    Itau Cta. Comp. USD</t>
  </si>
  <si>
    <t xml:space="preserve">    Banco Familiar Cta. Comp. Gs</t>
  </si>
  <si>
    <t xml:space="preserve">    Banco Familiar Cta. Comp. USD</t>
  </si>
  <si>
    <t xml:space="preserve">    Banco Regional Cta. Comp. Gs.</t>
  </si>
  <si>
    <t xml:space="preserve">    Banco Regional Cta. Comp. USD</t>
  </si>
  <si>
    <t xml:space="preserve">    BBVA Cta. Cte. Gs.</t>
  </si>
  <si>
    <t xml:space="preserve">    BBVA Cta. Cte. USD</t>
  </si>
  <si>
    <t xml:space="preserve">    Sudameris Cta.Cte. USD</t>
  </si>
  <si>
    <t xml:space="preserve">    Continental Cta. Cte. USD</t>
  </si>
  <si>
    <t xml:space="preserve">    Continental Cta. Cte. Gs.</t>
  </si>
  <si>
    <t xml:space="preserve">    Visión Banco Cta. Cte. Gs.</t>
  </si>
  <si>
    <t xml:space="preserve">    Visión Banco Cta. Cte. USD</t>
  </si>
  <si>
    <t xml:space="preserve">    Citi Bank. Cta. Cte. Gs.</t>
  </si>
  <si>
    <t xml:space="preserve">    Citi Bank. Cta. Cte. USD.</t>
  </si>
  <si>
    <t xml:space="preserve">    Atlas. Cta. Cte. USD.</t>
  </si>
  <si>
    <t xml:space="preserve">    Bancop USD</t>
  </si>
  <si>
    <t xml:space="preserve">    Bancop Gs.</t>
  </si>
  <si>
    <t xml:space="preserve">    Sudameris. Cta. Cte. Gs.</t>
  </si>
  <si>
    <t xml:space="preserve">    Sudameris. Ahorro . Gs.</t>
  </si>
  <si>
    <t xml:space="preserve">    Finexpar Cta. Cte. Gs.</t>
  </si>
  <si>
    <t xml:space="preserve">    Finexpar Cta. Cte. USD.</t>
  </si>
  <si>
    <t xml:space="preserve">    GNB. Cta. Cte. Gs.</t>
  </si>
  <si>
    <t xml:space="preserve">    GNB. Cta. Cte. USD.</t>
  </si>
  <si>
    <t xml:space="preserve">    Banco Basa Gs.</t>
  </si>
  <si>
    <t xml:space="preserve">    Financiera Rio 100165400-0</t>
  </si>
  <si>
    <t xml:space="preserve">    Financiera Rio S.A.E.C.A. Usd</t>
  </si>
  <si>
    <t xml:space="preserve">    Financiera El Comercio Ahorro Gs.</t>
  </si>
  <si>
    <t xml:space="preserve">    Financiera Rio USD</t>
  </si>
  <si>
    <t xml:space="preserve">    Banco Atlas Gs.</t>
  </si>
  <si>
    <t xml:space="preserve">    Banco Basa U$</t>
  </si>
  <si>
    <t xml:space="preserve">    FIC DE FINANZAS U$D 0131000849</t>
  </si>
  <si>
    <t>TU FINANCIERA S.A.</t>
  </si>
  <si>
    <t xml:space="preserve">CRISOL Y ENCARNACION FINANCIERA SAECA </t>
  </si>
  <si>
    <t>BBVA</t>
  </si>
  <si>
    <t>VISION BANCO S.A.E.C.A.</t>
  </si>
  <si>
    <t>AUTOMOTORES Y MAQUINARIA S.A.E.C.A.</t>
  </si>
  <si>
    <t>BANCO ATLAS S.A.</t>
  </si>
  <si>
    <t>BANCO BASA S.A.</t>
  </si>
  <si>
    <t>BANCO REGIONAL S.A.E.C.A.</t>
  </si>
  <si>
    <t>ELECTROBAN S.A.E.C.A.</t>
  </si>
  <si>
    <t>FINANCIERA RÍO S.A.E.C.A.</t>
  </si>
  <si>
    <t>INNOVARE S.A.E.C.A.</t>
  </si>
  <si>
    <t>NUCLEO S.A.</t>
  </si>
  <si>
    <t>TELEFONICA CELULAR DEL PARAGUAY S.A.E.</t>
  </si>
  <si>
    <t xml:space="preserve"> INFORMACION SOBRE EL EMISOR AL 31/12/2019</t>
  </si>
  <si>
    <t>Total al 31/12/2018</t>
  </si>
  <si>
    <t>Total al 31/12/2019</t>
  </si>
  <si>
    <t>LC RISK</t>
  </si>
  <si>
    <t>Banco Familiar S.A.E.C.A.</t>
  </si>
  <si>
    <t>Banco Continental</t>
  </si>
  <si>
    <t>Corresponde a cuentas por cobrar a diversos clientes. Su composición al 31 de diciembre de 2019 comparativo con el ejercicio anterior, es como sigue:</t>
  </si>
  <si>
    <t>Construcciones en curso</t>
  </si>
  <si>
    <t xml:space="preserve">Inmuebles </t>
  </si>
  <si>
    <t>Valores al 31/12/2019</t>
  </si>
  <si>
    <t>Proveedores Locales</t>
  </si>
  <si>
    <t>Deudas Tarjetas de Credito</t>
  </si>
  <si>
    <t>Balance Gral. Resol. 1'!A1</t>
  </si>
  <si>
    <t>Cuentas a Pagar Emp y Personas Relacionadas</t>
  </si>
  <si>
    <t>Segursos a Pagar</t>
  </si>
  <si>
    <t>Valores al 31/12/2018</t>
  </si>
  <si>
    <t>Manuel Ferreira</t>
  </si>
  <si>
    <t>Investor Agrobusiness SA</t>
  </si>
  <si>
    <t>Federico Callizo</t>
  </si>
  <si>
    <t>Fabio Zarza</t>
  </si>
  <si>
    <t>Funcionario</t>
  </si>
  <si>
    <t xml:space="preserve">Comisiones </t>
  </si>
  <si>
    <t xml:space="preserve">Aldo Marquez </t>
  </si>
  <si>
    <t>Fabrizio Sapena</t>
  </si>
  <si>
    <t>Ex Funcionario</t>
  </si>
  <si>
    <t>Edge SA</t>
  </si>
  <si>
    <t>Noelia Rojas</t>
  </si>
  <si>
    <t>Sonia Godoy</t>
  </si>
  <si>
    <t>Federico Sebastian Oporto</t>
  </si>
  <si>
    <t>Investor AFPI</t>
  </si>
  <si>
    <t>Empresa Controlada</t>
  </si>
  <si>
    <t>Felix SA</t>
  </si>
  <si>
    <t>Empresa de Eventos</t>
  </si>
  <si>
    <t>Investor Real State</t>
  </si>
  <si>
    <t>In Positiva SA</t>
  </si>
  <si>
    <t>Olga Cuevas</t>
  </si>
  <si>
    <t>Anticipo de Salario</t>
  </si>
  <si>
    <t>Codesarrollos SA</t>
  </si>
  <si>
    <t>Rolando Natalizia</t>
  </si>
  <si>
    <t>Banco Familiar</t>
  </si>
  <si>
    <t>Dividendos</t>
  </si>
  <si>
    <t>LC Riskc</t>
  </si>
  <si>
    <t>Albaro Acosta</t>
  </si>
  <si>
    <t>Adrian Aponte</t>
  </si>
  <si>
    <t>Incubate</t>
  </si>
  <si>
    <t>ANTIGÜEDAD DE LA DEUDA</t>
  </si>
  <si>
    <t>PERIODO ACTUAL G.</t>
  </si>
  <si>
    <t>PERIODO ANTERIOR G.</t>
  </si>
  <si>
    <t>Sueldos a pagar</t>
  </si>
  <si>
    <t>Funcionarios</t>
  </si>
  <si>
    <t>Sueldos</t>
  </si>
  <si>
    <t>Eugenia Vega- Ex Sindico</t>
  </si>
  <si>
    <t>Estado de Resultado Resol. 1'!A1</t>
  </si>
  <si>
    <t>Balance 14 04'!A1</t>
  </si>
  <si>
    <t xml:space="preserve">AL 31/12/2019 </t>
  </si>
  <si>
    <t xml:space="preserve">AL 31/12/2018 </t>
  </si>
  <si>
    <t>AL 31/12/2019</t>
  </si>
  <si>
    <t>AL 31/12/2018</t>
  </si>
  <si>
    <t>Cuadro de Resultados</t>
  </si>
  <si>
    <t>Flujo de Efectivo</t>
  </si>
  <si>
    <t>Estado de Variacion Patrimonial</t>
  </si>
  <si>
    <t>Flujo de Efectivo Resol. 950'!A1</t>
  </si>
  <si>
    <t>Calculo de IRACIS</t>
  </si>
  <si>
    <t>CALCULO DE IRACIS (2019)'!A1</t>
  </si>
  <si>
    <t>Balance del Sistema</t>
  </si>
  <si>
    <t>Balance Final 15'!A1</t>
  </si>
  <si>
    <t>Calculo de Flujo de Caja</t>
  </si>
  <si>
    <t>2018 (2)'!A1</t>
  </si>
  <si>
    <t>Informe del Sindico</t>
  </si>
  <si>
    <t>Informe del Auditor Externo</t>
  </si>
  <si>
    <t>Memoria del Directorio</t>
  </si>
  <si>
    <t>ANEXO F DE LA RESOLUCION Nº 6/19</t>
  </si>
  <si>
    <t>NOTA A LOS ESTADOS CONTA. 1-4'!A1</t>
  </si>
  <si>
    <t>NOTA 5 A-C CRITERIOS ESPECIF.'!A1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</si>
  <si>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</si>
  <si>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</si>
  <si>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</si>
  <si>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</si>
  <si>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</si>
  <si>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</si>
  <si>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</si>
  <si>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</si>
  <si>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</si>
  <si>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</si>
  <si>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</si>
  <si>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</si>
  <si>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</si>
  <si>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</si>
  <si>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</si>
  <si>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</si>
  <si>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</si>
  <si>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</si>
  <si>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</si>
  <si>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</si>
  <si>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</si>
  <si>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</si>
  <si>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</si>
  <si>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</si>
  <si>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</si>
  <si>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</si>
  <si>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</si>
  <si>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</si>
  <si>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</si>
  <si>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</si>
  <si>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</si>
  <si>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 xml:space="preserve"> Notas a los Estados Contables</t>
  </si>
  <si>
    <t>II-ESTADOS FINANCIEROS BASICOS</t>
  </si>
  <si>
    <t>I-INFORMACIÓN GENERAL DE INVESTOR CASA DE BOLSA SA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</si>
  <si>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</si>
  <si>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</si>
  <si>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</si>
  <si>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</si>
  <si>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</si>
  <si>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9- Cambios Contables</t>
  </si>
  <si>
    <t>Nota 8- Limitaciones a libre disponibilidad</t>
  </si>
  <si>
    <t>Nota 10- Restricciones para Distribuir Utilidades</t>
  </si>
  <si>
    <t>Nota 11- Sanciones</t>
  </si>
  <si>
    <t>NOTA D - DISPONIBILIDADES'!A1</t>
  </si>
  <si>
    <t>NOTA E - INVERSIONES'!A1</t>
  </si>
  <si>
    <t>NOTA F - CREDITOS'!A1</t>
  </si>
  <si>
    <t>NOTA G BIENES DE USO'!A1</t>
  </si>
  <si>
    <t>NOTA H CARGOS DIFERIDOS'!A1</t>
  </si>
  <si>
    <t xml:space="preserve"> NOTA I INTANGIBLES'!A1</t>
  </si>
  <si>
    <t>NOTA J OTROS ACTIVOS CTES Y NO '!A1</t>
  </si>
  <si>
    <t>NOTA K PRESTAMOS'!A1</t>
  </si>
  <si>
    <t>NOTA L DOCUMENTOS Y CTAS A PAGA'!A1</t>
  </si>
  <si>
    <t>NOTAS M-Q ACREEDORES CTO PLAZO'!A1</t>
  </si>
  <si>
    <t>NOTA R SALDOS Y TRANSACCIONES '!A1</t>
  </si>
  <si>
    <t>NOTA S RESULTADOS CON PERSONAS'!A1</t>
  </si>
  <si>
    <t xml:space="preserve"> NOTA T PATRIMONIO'!A1</t>
  </si>
  <si>
    <t>NOTA V INGRESOS OPERATIVOS'!A1</t>
  </si>
  <si>
    <t>NOTA W OTROS GASTOS OPERATIVOS'!A1</t>
  </si>
  <si>
    <t>NOTA X OTROS INGRESOS Y EGRESOS'!A1</t>
  </si>
  <si>
    <t>NOTA Y RESULTADOS FINANCIEROS'!A1</t>
  </si>
  <si>
    <t>NOTA Z RESULT EXTRAORD'!A1</t>
  </si>
  <si>
    <t>NOTA 6 INFORMACION REFERENTE'!A1</t>
  </si>
  <si>
    <t>ESTADO DE FLUJO DE EFECTIVO</t>
  </si>
  <si>
    <t>CORRESPONDIENTE AL 31 DE DICIEMBRE DE 2019 PRESENTADO EN FORMA COMPARATIVA CON EL 31 DE DICIEMBRE DE 2018</t>
  </si>
  <si>
    <t>PERIODO ACTUAL 31 12 2019</t>
  </si>
  <si>
    <t>PERIODO ANTERIOR  2018</t>
  </si>
  <si>
    <t>Flujo de efectivo por las actividades operativas</t>
  </si>
  <si>
    <t>Importe en efectivo de comisiones y otros ingresos operativos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</si>
  <si>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</si>
  <si>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</si>
  <si>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</si>
  <si>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</si>
  <si>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</si>
  <si>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</si>
  <si>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</si>
  <si>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</si>
  <si>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</si>
  <si>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</si>
  <si>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</si>
  <si>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</si>
  <si>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</si>
  <si>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</si>
  <si>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</si>
  <si>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</si>
  <si>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</si>
  <si>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</si>
  <si>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</si>
  <si>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</si>
  <si>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Préstamos y Otras Deudas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</si>
  <si>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</si>
  <si>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</si>
  <si>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</si>
  <si>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</si>
  <si>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</si>
  <si>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</si>
  <si>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</si>
  <si>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CORRESPONDIENTE AL 31  DE DICIEMBRE DE 2019  PRESENTADO EN FORMA COMPARATIVA CON EL 31 DE DICIEMBRE DE 2018</t>
  </si>
  <si>
    <t>RESERVAS</t>
  </si>
  <si>
    <t>RESULTADOS</t>
  </si>
  <si>
    <t>PATRIMONIO NETO</t>
  </si>
  <si>
    <t>AP. FUT. INTEGRAC.</t>
  </si>
  <si>
    <t>INTEGRADO</t>
  </si>
  <si>
    <t>LEGAL</t>
  </si>
  <si>
    <t>REGULARIZACION</t>
  </si>
  <si>
    <t>REVALÚO</t>
  </si>
  <si>
    <t>ACUMULADOS</t>
  </si>
  <si>
    <t>DEL EJERCICIO</t>
  </si>
  <si>
    <t>PERIODO ACTUAL</t>
  </si>
  <si>
    <t>PERIODO ANTERIOR</t>
  </si>
  <si>
    <t>Saldo al inicio del ejercicio</t>
  </si>
  <si>
    <t>-</t>
  </si>
  <si>
    <t>Mov. Subsecuentes</t>
  </si>
  <si>
    <t>Reserva Legal  y otros del Ejercicio</t>
  </si>
  <si>
    <t>Revaluo del Ejercicio</t>
  </si>
  <si>
    <t>Aportes a Cta. Fut Capitalizaciones</t>
  </si>
  <si>
    <t>Retiros a Cta. De Utilidades</t>
  </si>
  <si>
    <t>Aporte Capital</t>
  </si>
  <si>
    <t>SALDO AL 31/12/2019</t>
  </si>
  <si>
    <t>SALDO AL 31/12/2018</t>
  </si>
  <si>
    <t xml:space="preserve">NOTA A LOS ESTADOS CONTABLES </t>
  </si>
  <si>
    <t>NOTA 1: CONSIDERACION DE LOS ESTADOS CONTABLES</t>
  </si>
  <si>
    <r>
      <t>Los Estados Contables semestrales (Balance General, Estado de Resultados, Estado de Flujo de Efectivo y Estado de Variación del Patrimonio Neto) correspondientes al 31 de diciembre de 2019 han sido</t>
    </r>
    <r>
      <rPr>
        <sz val="10"/>
        <color indexed="10"/>
        <rFont val="Cambria"/>
        <family val="1"/>
      </rPr>
      <t xml:space="preserve"> </t>
    </r>
    <r>
      <rPr>
        <sz val="10"/>
        <color indexed="8"/>
        <rFont val="Cambria"/>
        <family val="1"/>
      </rPr>
      <t>considerados y aprobados según Acta de Asamblea  Nro. ...... de fecha 27  de marzo de 2020.-</t>
    </r>
  </si>
  <si>
    <t>NOTA 2:  INFORMACIÓN BÁSICA DE LA EMPRESA</t>
  </si>
  <si>
    <r>
      <t>2.1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10"/>
        <color indexed="8"/>
        <rFont val="Cambria"/>
        <family val="1"/>
      </rPr>
      <t>Naturaleza jurídica de las actividades de la sociedad</t>
    </r>
  </si>
  <si>
    <r>
      <t>INVESTOR CASA DE BOLSA S.A</t>
    </r>
    <r>
      <rPr>
        <sz val="10"/>
        <color indexed="8"/>
        <rFont val="Cambria"/>
        <family val="1"/>
      </rPr>
      <t>. fue constituida bajo la forma jurídica de Sociedad Anónima el 06 de Marzo de 2010 según escritura Pública Nº 205 e inscripta en el Registro Público de Comercio en el Libro Seccional respectivo y bajo en Nº 62 Y el folio Nº 696 y siguiente de fecha 23 de Marzo de 2010. La Sociedad se halla regida por las disposiciones de sus Estatutos, las Normas Legales y Reglamentarias relativas a la Sociedad y al Código Civil. La duración inicial de la Sociedad es de noventa y nueve años.</t>
    </r>
  </si>
  <si>
    <t>Inscripta en la Comisión Nacional de Valores según Resolución 1275/10 de fecha 19 de mayo de 2010 y en la Bolsa de Valores y Productos de Asunción S.A. según resolución 915/10 de fecha 31 de mayo de 2010, bajo el número 021.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</si>
  <si>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</si>
  <si>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</si>
  <si>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</si>
  <si>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</si>
  <si>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</si>
  <si>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</si>
  <si>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</si>
  <si>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</si>
  <si>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</si>
  <si>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</si>
  <si>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</si>
  <si>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r>
      <t>2.2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Cambria"/>
        <family val="1"/>
      </rPr>
      <t>Participación en empresas vinculadas</t>
    </r>
  </si>
  <si>
    <t>Investor Casa de Bolsa. S.A. posee Acciones de la Empresa Investor Administradora de Fondos Patrimoniales de Inversión S.A., constituida en Asunción-Paraguay, por valor de Gs.2.346.000.000 que representan el 85% del Capital Social. –</t>
  </si>
  <si>
    <t>Investor Casa de Bolsa. S.A. posee Acciones de la Empresa Incubate S.A., constituida en Asunción-Paraguay, por valor de Gs. 2.500.000.000 que representan el 99% del Capital Social. –</t>
  </si>
  <si>
    <t>Investor Casa de Bolsa. S.A. posee Acciones de la Empresa Procampo S.A., constituida en Asunción-Paraguay, por valor de Gs. 251.000.000 que representan el 50,20% del Capital Social. –</t>
  </si>
  <si>
    <t>NOTA 3: PRINCIPALES POLÍTICAS Y PRÁCTICAS CONTABLES APLICADAS</t>
  </si>
  <si>
    <t>3.1.  Base de preparación de los estados contables</t>
  </si>
  <si>
    <t xml:space="preserve">Los estados Contables han sido preparados de acuerdo a la Resolución Nro. 06/19 de la Comisión Nacional de Valores y a Principios y Normas Contables Vigentes en Paraguay. </t>
  </si>
  <si>
    <t>3.2. Criterios de valuación</t>
  </si>
  <si>
    <t>Son aplicados los criterios de valuación y exposición aceptados por las Normas Contables y Tributarias Vigentes en Paraguay y de acuerdo a la Resolución 6/19 y la Resolución 763/04 de la Comisión Nacional de Valores.</t>
  </si>
  <si>
    <t>3.3. Previsión para cuentas incobrables</t>
  </si>
  <si>
    <t xml:space="preserve">La entidad no posee previsión para cuentas incobrables. </t>
  </si>
  <si>
    <r>
      <t>3.4.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Depreciación de bienes de uso</t>
    </r>
  </si>
  <si>
    <t>Los Bienes de Uso se expresan a su valor de adquisición, revaluados de acuerdo al índice de revalúo fijado por la Subsecretaria del Estado de Tributación del Ministerio de Hacienda.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</si>
  <si>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</si>
  <si>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</si>
  <si>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</si>
  <si>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</si>
  <si>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</si>
  <si>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</si>
  <si>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</si>
  <si>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</si>
  <si>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r>
      <t>a)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mbria"/>
        <family val="1"/>
      </rPr>
      <t>Valuación en moneda extranjera</t>
    </r>
  </si>
  <si>
    <t>Tipos de Cambio</t>
  </si>
  <si>
    <t>31 12 2019</t>
  </si>
  <si>
    <t>31 12 2018</t>
  </si>
  <si>
    <t>Comprador</t>
  </si>
  <si>
    <t>Vendedor</t>
  </si>
  <si>
    <r>
      <t>a)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mbria"/>
        <family val="1"/>
      </rPr>
      <t>Posición en moneda extranjera</t>
    </r>
  </si>
  <si>
    <t>Activos y Pasivos en Moneda Extranjera</t>
  </si>
  <si>
    <t>DETALLE</t>
  </si>
  <si>
    <t>MONEDA EXTRANJERA CLASE</t>
  </si>
  <si>
    <t>MONEDA EXTRANJERA MONTO</t>
  </si>
  <si>
    <t>CAMBIO CIERRE PERIODO ACTUAL 2019</t>
  </si>
  <si>
    <t>CAMBIO CIERRE PERIODO ANTERIOR 2018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</si>
  <si>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</si>
  <si>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</si>
  <si>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</si>
  <si>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</si>
  <si>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</si>
  <si>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</si>
  <si>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IRACIS</t>
  </si>
  <si>
    <t>ANTICIPOS</t>
  </si>
  <si>
    <t>Anticipos Honorarios-Servicios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</si>
  <si>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</si>
  <si>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</si>
  <si>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</si>
  <si>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</si>
  <si>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</si>
  <si>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</si>
  <si>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</si>
  <si>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</si>
  <si>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</si>
  <si>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CAMBIO CIERRE PERIODO ACTUAL</t>
  </si>
  <si>
    <t>CAMBIO CIERRE EJERCICIO ANTERIOR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</si>
  <si>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</si>
  <si>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</si>
  <si>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</si>
  <si>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</si>
  <si>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</si>
  <si>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</si>
  <si>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</si>
  <si>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Sueldos a Pagar</t>
  </si>
  <si>
    <t>Seguros a Pagar</t>
  </si>
  <si>
    <t>PASIVO NO CORRIENTE</t>
  </si>
  <si>
    <t>Ganancias a Devengar</t>
  </si>
  <si>
    <t>Cuentas a Pagar por Compra de Acciones</t>
  </si>
  <si>
    <r>
      <t>C)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mbria"/>
        <family val="1"/>
      </rPr>
      <t>Diferencia de cambio en moneda extranjera.</t>
    </r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</si>
  <si>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</si>
  <si>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</si>
  <si>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</si>
  <si>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</si>
  <si>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</si>
  <si>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</si>
  <si>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</si>
  <si>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</si>
  <si>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</si>
  <si>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Infome en Word.</t>
  </si>
  <si>
    <t>Ex Director y Ex accionista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</si>
</sst>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_ ;_ @_ "/>
    <numFmt numFmtId="173" formatCode="_ * #,##0.00_ ;_ * \-#,##0.00_ ;_ * &quot;-&quot;??_ ;_ @_ "/>
    <numFmt numFmtId="174" formatCode="_-* #,##0\ _D_M_-;\-* #,##0\ _D_M_-;_-* &quot;-&quot;??\ _D_M_-;_-@_-"/>
    <numFmt numFmtId="175" formatCode="_-[$Gs.-3C0A]\ * #,##0.00_ ;_-[$Gs.-3C0A]\ * \-#,##0.00\ ;_-[$Gs.-3C0A]\ * &quot;-&quot;??_ ;_-@_ "/>
    <numFmt numFmtId="176" formatCode="_(* #,##0_);_(* \(#,##0\);_(* &quot;-&quot;??_);_(@_)"/>
    <numFmt numFmtId="177" formatCode="_-* #,##0_-;\-* #,##0_-;_-* &quot;-&quot;??_-;_-@_-"/>
    <numFmt numFmtId="178" formatCode="_-* #,##0.00\ _€_-;\-* #,##0.00\ _€_-;_-* &quot;-&quot;??\ _€_-;_-@_-"/>
    <numFmt numFmtId="179" formatCode="dd/mm/yyyy;@"/>
    <numFmt numFmtId="180" formatCode="#,##0;\(#,##0\)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mbria"/>
      <family val="1"/>
    </font>
    <font>
      <b/>
      <sz val="7"/>
      <color indexed="8"/>
      <name val="Times New Roman"/>
      <family val="1"/>
    </font>
    <font>
      <b/>
      <sz val="10"/>
      <name val="Cambria"/>
      <family val="1"/>
    </font>
    <font>
      <b/>
      <sz val="7"/>
      <name val="Times New Roman"/>
      <family val="1"/>
    </font>
    <font>
      <sz val="10"/>
      <name val="Arial 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Cambria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indexed="8"/>
      <name val="Cambria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color indexed="8"/>
      <name val="Albertus Extra Bold"/>
      <family val="2"/>
    </font>
    <font>
      <b/>
      <sz val="9"/>
      <color indexed="8"/>
      <name val="Arial"/>
      <family val="2"/>
    </font>
    <font>
      <sz val="10"/>
      <color indexed="6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u val="single"/>
      <sz val="11"/>
      <color indexed="17"/>
      <name val="Calibri"/>
      <family val="2"/>
    </font>
    <font>
      <b/>
      <i/>
      <u val="single"/>
      <sz val="11"/>
      <color indexed="53"/>
      <name val="Calibri"/>
      <family val="2"/>
    </font>
    <font>
      <b/>
      <i/>
      <u val="single"/>
      <sz val="11"/>
      <color indexed="10"/>
      <name val="Calibri"/>
      <family val="2"/>
    </font>
    <font>
      <b/>
      <i/>
      <u val="single"/>
      <sz val="11"/>
      <color indexed="50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u val="single"/>
      <sz val="11"/>
      <color indexed="30"/>
      <name val="Calibri"/>
      <family val="2"/>
    </font>
    <font>
      <b/>
      <sz val="10"/>
      <color indexed="57"/>
      <name val="Arial"/>
      <family val="2"/>
    </font>
    <font>
      <sz val="8"/>
      <color indexed="53"/>
      <name val="Arial"/>
      <family val="2"/>
    </font>
    <font>
      <sz val="8"/>
      <color indexed="8"/>
      <name val="Cambria"/>
      <family val="1"/>
    </font>
    <font>
      <b/>
      <u val="single"/>
      <sz val="10"/>
      <color indexed="8"/>
      <name val="Cambria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8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theme="1"/>
      <name val="Albertus Extra Bold"/>
      <family val="2"/>
    </font>
    <font>
      <b/>
      <sz val="9"/>
      <color rgb="FF000000"/>
      <name val="Arial"/>
      <family val="2"/>
    </font>
    <font>
      <sz val="10"/>
      <color rgb="FF333333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i/>
      <u val="single"/>
      <sz val="11"/>
      <color rgb="FF00B050"/>
      <name val="Calibri"/>
      <family val="2"/>
    </font>
    <font>
      <b/>
      <i/>
      <u val="single"/>
      <sz val="11"/>
      <color theme="5" tint="-0.24997000396251678"/>
      <name val="Calibri"/>
      <family val="2"/>
    </font>
    <font>
      <b/>
      <i/>
      <u val="single"/>
      <sz val="11"/>
      <color rgb="FFFF0000"/>
      <name val="Calibri"/>
      <family val="2"/>
    </font>
    <font>
      <b/>
      <i/>
      <u val="single"/>
      <sz val="11"/>
      <color theme="7" tint="-0.24997000396251678"/>
      <name val="Calibri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u val="single"/>
      <sz val="11"/>
      <color theme="10"/>
      <name val="Calibri"/>
      <family val="2"/>
    </font>
    <font>
      <b/>
      <sz val="10"/>
      <color theme="9"/>
      <name val="Arial"/>
      <family val="2"/>
    </font>
    <font>
      <sz val="8"/>
      <color theme="5"/>
      <name val="Arial"/>
      <family val="2"/>
    </font>
    <font>
      <sz val="8"/>
      <color theme="1"/>
      <name val="Cambria"/>
      <family val="1"/>
    </font>
    <font>
      <b/>
      <u val="single"/>
      <sz val="10"/>
      <color theme="1"/>
      <name val="Cambria"/>
      <family val="1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1"/>
      </bottom>
    </border>
    <border>
      <left/>
      <right/>
      <top/>
      <bottom style="thin">
        <color indexed="8"/>
      </bottom>
    </border>
    <border>
      <left style="thin"/>
      <right style="thin"/>
      <top style="thin">
        <color theme="1"/>
      </top>
      <bottom/>
    </border>
    <border>
      <left style="thin"/>
      <right style="thin">
        <color theme="9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 style="thin"/>
      <right style="thin">
        <color theme="9"/>
      </right>
      <top style="thin"/>
      <bottom style="thin">
        <color indexed="8"/>
      </bottom>
    </border>
    <border>
      <left style="thin"/>
      <right style="thin"/>
      <top/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double"/>
    </border>
    <border>
      <left/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/>
      <right style="thin"/>
      <top/>
      <bottom style="double"/>
    </border>
    <border>
      <left style="thin"/>
      <right style="thin"/>
      <top style="thin">
        <color indexed="8"/>
      </top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>
        <color theme="9"/>
      </left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8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8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9" fillId="0" borderId="0">
      <alignment/>
      <protection/>
    </xf>
    <xf numFmtId="0" fontId="8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6" fillId="21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77" fillId="0" borderId="8" applyNumberFormat="0" applyFill="0" applyAlignment="0" applyProtection="0"/>
    <xf numFmtId="0" fontId="91" fillId="0" borderId="9" applyNumberFormat="0" applyFill="0" applyAlignment="0" applyProtection="0"/>
  </cellStyleXfs>
  <cellXfs count="4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9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41" fillId="0" borderId="12" xfId="0" applyFont="1" applyBorder="1" applyAlignment="1">
      <alignment/>
    </xf>
    <xf numFmtId="174" fontId="42" fillId="0" borderId="13" xfId="51" applyNumberFormat="1" applyFont="1" applyFill="1" applyBorder="1" applyAlignment="1">
      <alignment horizontal="center" wrapText="1"/>
    </xf>
    <xf numFmtId="174" fontId="42" fillId="0" borderId="14" xfId="51" applyNumberFormat="1" applyFont="1" applyFill="1" applyBorder="1" applyAlignment="1">
      <alignment horizontal="center" wrapText="1"/>
    </xf>
    <xf numFmtId="0" fontId="41" fillId="0" borderId="15" xfId="0" applyFont="1" applyBorder="1" applyAlignment="1">
      <alignment/>
    </xf>
    <xf numFmtId="174" fontId="42" fillId="0" borderId="16" xfId="51" applyNumberFormat="1" applyFont="1" applyFill="1" applyBorder="1" applyAlignment="1">
      <alignment horizontal="center" wrapText="1"/>
    </xf>
    <xf numFmtId="0" fontId="41" fillId="0" borderId="17" xfId="0" applyFont="1" applyBorder="1" applyAlignment="1">
      <alignment/>
    </xf>
    <xf numFmtId="172" fontId="41" fillId="0" borderId="15" xfId="52" applyFont="1" applyFill="1" applyBorder="1" applyAlignment="1">
      <alignment horizontal="right"/>
    </xf>
    <xf numFmtId="172" fontId="42" fillId="0" borderId="17" xfId="52" applyFont="1" applyFill="1" applyBorder="1" applyAlignment="1">
      <alignment horizontal="right"/>
    </xf>
    <xf numFmtId="172" fontId="43" fillId="0" borderId="17" xfId="52" applyFont="1" applyFill="1" applyBorder="1" applyAlignment="1">
      <alignment horizontal="right"/>
    </xf>
    <xf numFmtId="172" fontId="44" fillId="0" borderId="17" xfId="52" applyFont="1" applyFill="1" applyBorder="1" applyAlignment="1">
      <alignment horizontal="right"/>
    </xf>
    <xf numFmtId="1" fontId="3" fillId="0" borderId="0" xfId="0" applyNumberFormat="1" applyFont="1" applyAlignment="1">
      <alignment/>
    </xf>
    <xf numFmtId="172" fontId="43" fillId="0" borderId="15" xfId="52" applyFont="1" applyFill="1" applyBorder="1" applyAlignment="1">
      <alignment horizontal="right"/>
    </xf>
    <xf numFmtId="0" fontId="3" fillId="0" borderId="0" xfId="0" applyFont="1" applyAlignment="1">
      <alignment/>
    </xf>
    <xf numFmtId="0" fontId="43" fillId="0" borderId="17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172" fontId="44" fillId="0" borderId="15" xfId="52" applyFont="1" applyFill="1" applyBorder="1" applyAlignment="1">
      <alignment horizontal="right"/>
    </xf>
    <xf numFmtId="0" fontId="43" fillId="0" borderId="17" xfId="0" applyFont="1" applyBorder="1" applyAlignment="1">
      <alignment/>
    </xf>
    <xf numFmtId="172" fontId="41" fillId="0" borderId="18" xfId="52" applyFont="1" applyFill="1" applyBorder="1" applyAlignment="1">
      <alignment horizontal="right"/>
    </xf>
    <xf numFmtId="172" fontId="41" fillId="0" borderId="19" xfId="52" applyFont="1" applyFill="1" applyBorder="1" applyAlignment="1">
      <alignment horizontal="right"/>
    </xf>
    <xf numFmtId="0" fontId="45" fillId="0" borderId="17" xfId="0" applyFont="1" applyBorder="1" applyAlignment="1">
      <alignment/>
    </xf>
    <xf numFmtId="172" fontId="43" fillId="0" borderId="20" xfId="52" applyFont="1" applyFill="1" applyBorder="1" applyAlignment="1">
      <alignment horizontal="right"/>
    </xf>
    <xf numFmtId="172" fontId="44" fillId="0" borderId="20" xfId="52" applyFont="1" applyFill="1" applyBorder="1" applyAlignment="1">
      <alignment horizontal="right"/>
    </xf>
    <xf numFmtId="0" fontId="43" fillId="0" borderId="15" xfId="0" applyFont="1" applyBorder="1" applyAlignment="1">
      <alignment/>
    </xf>
    <xf numFmtId="172" fontId="41" fillId="0" borderId="20" xfId="52" applyFont="1" applyFill="1" applyBorder="1" applyAlignment="1">
      <alignment horizontal="right"/>
    </xf>
    <xf numFmtId="172" fontId="41" fillId="0" borderId="21" xfId="52" applyFont="1" applyFill="1" applyBorder="1" applyAlignment="1">
      <alignment horizontal="right"/>
    </xf>
    <xf numFmtId="0" fontId="41" fillId="0" borderId="17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172" fontId="41" fillId="0" borderId="17" xfId="52" applyFont="1" applyFill="1" applyBorder="1" applyAlignment="1">
      <alignment horizontal="right"/>
    </xf>
    <xf numFmtId="0" fontId="41" fillId="0" borderId="22" xfId="0" applyFont="1" applyBorder="1" applyAlignment="1">
      <alignment/>
    </xf>
    <xf numFmtId="172" fontId="41" fillId="0" borderId="23" xfId="52" applyFont="1" applyFill="1" applyBorder="1" applyAlignment="1">
      <alignment horizontal="right"/>
    </xf>
    <xf numFmtId="172" fontId="41" fillId="0" borderId="24" xfId="52" applyFont="1" applyFill="1" applyBorder="1" applyAlignment="1">
      <alignment horizontal="right"/>
    </xf>
    <xf numFmtId="0" fontId="41" fillId="0" borderId="25" xfId="0" applyFont="1" applyBorder="1" applyAlignment="1">
      <alignment/>
    </xf>
    <xf numFmtId="172" fontId="41" fillId="0" borderId="26" xfId="52" applyFont="1" applyFill="1" applyBorder="1" applyAlignment="1">
      <alignment horizontal="right"/>
    </xf>
    <xf numFmtId="172" fontId="2" fillId="0" borderId="0" xfId="0" applyNumberFormat="1" applyFont="1" applyAlignment="1">
      <alignment/>
    </xf>
    <xf numFmtId="172" fontId="94" fillId="0" borderId="15" xfId="52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0" fontId="41" fillId="0" borderId="27" xfId="0" applyFont="1" applyBorder="1" applyAlignment="1">
      <alignment/>
    </xf>
    <xf numFmtId="172" fontId="41" fillId="0" borderId="28" xfId="52" applyFont="1" applyFill="1" applyBorder="1" applyAlignment="1">
      <alignment horizontal="right"/>
    </xf>
    <xf numFmtId="0" fontId="43" fillId="0" borderId="29" xfId="0" applyFont="1" applyBorder="1" applyAlignment="1">
      <alignment horizontal="left"/>
    </xf>
    <xf numFmtId="172" fontId="43" fillId="0" borderId="21" xfId="52" applyFont="1" applyFill="1" applyBorder="1" applyAlignment="1">
      <alignment horizontal="right"/>
    </xf>
    <xf numFmtId="172" fontId="44" fillId="0" borderId="30" xfId="52" applyFont="1" applyFill="1" applyBorder="1" applyAlignment="1">
      <alignment horizontal="right"/>
    </xf>
    <xf numFmtId="0" fontId="41" fillId="0" borderId="31" xfId="0" applyFont="1" applyBorder="1" applyAlignment="1">
      <alignment/>
    </xf>
    <xf numFmtId="172" fontId="41" fillId="0" borderId="30" xfId="52" applyFont="1" applyFill="1" applyBorder="1" applyAlignment="1">
      <alignment horizontal="right"/>
    </xf>
    <xf numFmtId="174" fontId="2" fillId="0" borderId="0" xfId="0" applyNumberFormat="1" applyFont="1" applyAlignment="1">
      <alignment/>
    </xf>
    <xf numFmtId="174" fontId="2" fillId="0" borderId="32" xfId="0" applyNumberFormat="1" applyFont="1" applyBorder="1" applyAlignment="1">
      <alignment/>
    </xf>
    <xf numFmtId="0" fontId="2" fillId="0" borderId="15" xfId="0" applyFont="1" applyBorder="1" applyAlignment="1">
      <alignment/>
    </xf>
    <xf numFmtId="172" fontId="42" fillId="0" borderId="14" xfId="52" applyFont="1" applyFill="1" applyBorder="1" applyAlignment="1">
      <alignment horizontal="right"/>
    </xf>
    <xf numFmtId="0" fontId="41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41" fillId="0" borderId="0" xfId="0" applyFont="1" applyAlignment="1">
      <alignment/>
    </xf>
    <xf numFmtId="174" fontId="41" fillId="0" borderId="0" xfId="51" applyNumberFormat="1" applyFont="1" applyFill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174" fontId="2" fillId="0" borderId="0" xfId="51" applyNumberFormat="1" applyFont="1" applyFill="1" applyAlignment="1">
      <alignment/>
    </xf>
    <xf numFmtId="174" fontId="2" fillId="0" borderId="0" xfId="51" applyNumberFormat="1" applyFont="1" applyFill="1" applyAlignment="1" applyProtection="1">
      <alignment/>
      <protection hidden="1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51" applyNumberFormat="1" applyFont="1" applyFill="1" applyAlignment="1">
      <alignment/>
    </xf>
    <xf numFmtId="0" fontId="92" fillId="0" borderId="0" xfId="0" applyFont="1" applyAlignment="1">
      <alignment horizontal="justify" vertic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172" fontId="5" fillId="0" borderId="11" xfId="52" applyFont="1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2" fontId="4" fillId="0" borderId="0" xfId="52" applyFont="1" applyFill="1" applyAlignment="1">
      <alignment horizontal="right"/>
    </xf>
    <xf numFmtId="172" fontId="5" fillId="0" borderId="0" xfId="52" applyFont="1" applyFill="1" applyAlignment="1">
      <alignment horizontal="right"/>
    </xf>
    <xf numFmtId="17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3" fontId="4" fillId="0" borderId="33" xfId="0" applyNumberFormat="1" applyFont="1" applyBorder="1" applyAlignment="1">
      <alignment/>
    </xf>
    <xf numFmtId="172" fontId="4" fillId="0" borderId="33" xfId="52" applyFont="1" applyFill="1" applyBorder="1" applyAlignment="1">
      <alignment horizontal="right"/>
    </xf>
    <xf numFmtId="0" fontId="5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172" fontId="5" fillId="0" borderId="35" xfId="52" applyFont="1" applyFill="1" applyBorder="1" applyAlignment="1">
      <alignment horizontal="right"/>
    </xf>
    <xf numFmtId="49" fontId="5" fillId="0" borderId="0" xfId="0" applyNumberFormat="1" applyFont="1" applyAlignment="1">
      <alignment/>
    </xf>
    <xf numFmtId="172" fontId="4" fillId="0" borderId="0" xfId="52" applyFont="1" applyFill="1" applyAlignment="1">
      <alignment/>
    </xf>
    <xf numFmtId="49" fontId="4" fillId="0" borderId="33" xfId="0" applyNumberFormat="1" applyFont="1" applyBorder="1" applyAlignment="1">
      <alignment/>
    </xf>
    <xf numFmtId="172" fontId="4" fillId="0" borderId="11" xfId="52" applyFont="1" applyFill="1" applyBorder="1" applyAlignment="1">
      <alignment horizontal="right"/>
    </xf>
    <xf numFmtId="175" fontId="4" fillId="0" borderId="0" xfId="0" applyNumberFormat="1" applyFont="1" applyAlignment="1">
      <alignment/>
    </xf>
    <xf numFmtId="175" fontId="4" fillId="0" borderId="0" xfId="51" applyNumberFormat="1" applyFont="1" applyFill="1" applyAlignment="1">
      <alignment/>
    </xf>
    <xf numFmtId="172" fontId="4" fillId="0" borderId="0" xfId="52" applyFont="1" applyFill="1" applyBorder="1" applyAlignment="1">
      <alignment horizontal="right"/>
    </xf>
    <xf numFmtId="0" fontId="5" fillId="0" borderId="36" xfId="0" applyFont="1" applyBorder="1" applyAlignment="1">
      <alignment/>
    </xf>
    <xf numFmtId="3" fontId="5" fillId="0" borderId="35" xfId="0" applyNumberFormat="1" applyFont="1" applyBorder="1" applyAlignment="1">
      <alignment/>
    </xf>
    <xf numFmtId="172" fontId="5" fillId="0" borderId="37" xfId="52" applyFont="1" applyFill="1" applyBorder="1" applyAlignment="1">
      <alignment horizontal="right"/>
    </xf>
    <xf numFmtId="172" fontId="5" fillId="0" borderId="38" xfId="52" applyFont="1" applyFill="1" applyBorder="1" applyAlignment="1">
      <alignment horizontal="right"/>
    </xf>
    <xf numFmtId="3" fontId="4" fillId="0" borderId="0" xfId="0" applyNumberFormat="1" applyFont="1" applyAlignment="1" applyProtection="1">
      <alignment/>
      <protection hidden="1"/>
    </xf>
    <xf numFmtId="3" fontId="4" fillId="0" borderId="0" xfId="0" applyNumberFormat="1" applyFont="1" applyAlignment="1" applyProtection="1">
      <alignment/>
      <protection hidden="1" locked="0"/>
    </xf>
    <xf numFmtId="0" fontId="95" fillId="0" borderId="0" xfId="0" applyFont="1" applyAlignment="1">
      <alignment horizontal="center" vertical="center"/>
    </xf>
    <xf numFmtId="172" fontId="43" fillId="0" borderId="17" xfId="52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justify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justify" vertical="center"/>
    </xf>
    <xf numFmtId="0" fontId="97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8" fillId="0" borderId="0" xfId="0" applyFont="1" applyAlignment="1">
      <alignment horizontal="justify" vertical="center"/>
    </xf>
    <xf numFmtId="0" fontId="99" fillId="0" borderId="39" xfId="0" applyFont="1" applyBorder="1" applyAlignment="1">
      <alignment horizontal="center" vertical="center"/>
    </xf>
    <xf numFmtId="0" fontId="99" fillId="0" borderId="39" xfId="0" applyFont="1" applyBorder="1" applyAlignment="1">
      <alignment horizontal="center" vertical="center" wrapText="1"/>
    </xf>
    <xf numFmtId="3" fontId="100" fillId="0" borderId="39" xfId="0" applyNumberFormat="1" applyFont="1" applyBorder="1" applyAlignment="1">
      <alignment horizontal="right"/>
    </xf>
    <xf numFmtId="0" fontId="99" fillId="0" borderId="39" xfId="0" applyFont="1" applyBorder="1" applyAlignment="1">
      <alignment/>
    </xf>
    <xf numFmtId="3" fontId="99" fillId="0" borderId="39" xfId="0" applyNumberFormat="1" applyFont="1" applyBorder="1" applyAlignment="1">
      <alignment horizontal="right"/>
    </xf>
    <xf numFmtId="14" fontId="99" fillId="0" borderId="39" xfId="0" applyNumberFormat="1" applyFont="1" applyBorder="1" applyAlignment="1">
      <alignment horizontal="center"/>
    </xf>
    <xf numFmtId="0" fontId="101" fillId="0" borderId="39" xfId="0" applyFont="1" applyBorder="1" applyAlignment="1">
      <alignment horizontal="right" vertical="center"/>
    </xf>
    <xf numFmtId="0" fontId="101" fillId="0" borderId="39" xfId="0" applyFont="1" applyBorder="1" applyAlignment="1">
      <alignment horizontal="right"/>
    </xf>
    <xf numFmtId="0" fontId="100" fillId="0" borderId="39" xfId="0" applyFont="1" applyBorder="1" applyAlignment="1">
      <alignment/>
    </xf>
    <xf numFmtId="3" fontId="100" fillId="0" borderId="39" xfId="0" applyNumberFormat="1" applyFont="1" applyBorder="1" applyAlignment="1">
      <alignment horizontal="right" vertical="center"/>
    </xf>
    <xf numFmtId="3" fontId="102" fillId="0" borderId="39" xfId="0" applyNumberFormat="1" applyFont="1" applyBorder="1" applyAlignment="1">
      <alignment horizontal="right" vertical="center"/>
    </xf>
    <xf numFmtId="3" fontId="102" fillId="0" borderId="39" xfId="0" applyNumberFormat="1" applyFont="1" applyBorder="1" applyAlignment="1">
      <alignment horizontal="right"/>
    </xf>
    <xf numFmtId="0" fontId="97" fillId="0" borderId="0" xfId="0" applyFont="1" applyAlignment="1">
      <alignment horizontal="left" vertical="center" indent="2"/>
    </xf>
    <xf numFmtId="0" fontId="103" fillId="0" borderId="39" xfId="0" applyFont="1" applyBorder="1" applyAlignment="1">
      <alignment horizontal="center" vertical="center"/>
    </xf>
    <xf numFmtId="0" fontId="104" fillId="0" borderId="39" xfId="0" applyFont="1" applyBorder="1" applyAlignment="1">
      <alignment horizontal="center" vertical="center"/>
    </xf>
    <xf numFmtId="0" fontId="104" fillId="0" borderId="29" xfId="0" applyFont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/>
    </xf>
    <xf numFmtId="0" fontId="50" fillId="0" borderId="39" xfId="0" applyFont="1" applyBorder="1" applyAlignment="1">
      <alignment vertical="center"/>
    </xf>
    <xf numFmtId="172" fontId="50" fillId="0" borderId="39" xfId="52" applyFont="1" applyFill="1" applyBorder="1" applyAlignment="1">
      <alignment vertical="center"/>
    </xf>
    <xf numFmtId="0" fontId="50" fillId="0" borderId="39" xfId="0" applyFont="1" applyBorder="1" applyAlignment="1">
      <alignment vertical="center" wrapText="1"/>
    </xf>
    <xf numFmtId="0" fontId="104" fillId="0" borderId="30" xfId="0" applyFont="1" applyBorder="1" applyAlignment="1">
      <alignment vertical="center"/>
    </xf>
    <xf numFmtId="176" fontId="104" fillId="0" borderId="30" xfId="51" applyNumberFormat="1" applyFont="1" applyFill="1" applyBorder="1" applyAlignment="1">
      <alignment horizontal="right" vertical="center"/>
    </xf>
    <xf numFmtId="0" fontId="104" fillId="0" borderId="39" xfId="0" applyFont="1" applyBorder="1" applyAlignment="1">
      <alignment vertical="center"/>
    </xf>
    <xf numFmtId="176" fontId="104" fillId="0" borderId="39" xfId="51" applyNumberFormat="1" applyFont="1" applyBorder="1" applyAlignment="1">
      <alignment horizontal="right" vertical="center"/>
    </xf>
    <xf numFmtId="176" fontId="103" fillId="0" borderId="39" xfId="51" applyNumberFormat="1" applyFont="1" applyBorder="1" applyAlignment="1">
      <alignment vertical="center"/>
    </xf>
    <xf numFmtId="0" fontId="104" fillId="0" borderId="0" xfId="0" applyFont="1" applyAlignment="1">
      <alignment vertical="center"/>
    </xf>
    <xf numFmtId="176" fontId="104" fillId="0" borderId="0" xfId="51" applyNumberFormat="1" applyFont="1" applyBorder="1" applyAlignment="1">
      <alignment horizontal="right" vertical="center"/>
    </xf>
    <xf numFmtId="176" fontId="103" fillId="0" borderId="0" xfId="51" applyNumberFormat="1" applyFont="1" applyBorder="1" applyAlignment="1">
      <alignment vertical="center"/>
    </xf>
    <xf numFmtId="0" fontId="100" fillId="0" borderId="0" xfId="0" applyFont="1" applyAlignment="1">
      <alignment vertical="center"/>
    </xf>
    <xf numFmtId="3" fontId="104" fillId="0" borderId="39" xfId="0" applyNumberFormat="1" applyFont="1" applyBorder="1" applyAlignment="1">
      <alignment horizontal="right" vertical="center"/>
    </xf>
    <xf numFmtId="0" fontId="105" fillId="0" borderId="39" xfId="0" applyFont="1" applyBorder="1" applyAlignment="1">
      <alignment vertical="center"/>
    </xf>
    <xf numFmtId="0" fontId="103" fillId="0" borderId="39" xfId="0" applyFont="1" applyBorder="1" applyAlignment="1">
      <alignment vertical="center"/>
    </xf>
    <xf numFmtId="3" fontId="100" fillId="0" borderId="0" xfId="0" applyNumberFormat="1" applyFont="1" applyAlignment="1">
      <alignment vertical="center"/>
    </xf>
    <xf numFmtId="0" fontId="104" fillId="0" borderId="39" xfId="0" applyFont="1" applyBorder="1" applyAlignment="1">
      <alignment horizontal="center" vertical="center" wrapText="1"/>
    </xf>
    <xf numFmtId="176" fontId="103" fillId="0" borderId="39" xfId="51" applyNumberFormat="1" applyFont="1" applyBorder="1" applyAlignment="1">
      <alignment horizontal="right" vertical="center"/>
    </xf>
    <xf numFmtId="176" fontId="103" fillId="0" borderId="39" xfId="51" applyNumberFormat="1" applyFont="1" applyFill="1" applyBorder="1" applyAlignment="1">
      <alignment horizontal="right" vertical="center"/>
    </xf>
    <xf numFmtId="0" fontId="101" fillId="0" borderId="0" xfId="0" applyFont="1" applyAlignment="1">
      <alignment vertical="center"/>
    </xf>
    <xf numFmtId="176" fontId="101" fillId="0" borderId="0" xfId="0" applyNumberFormat="1" applyFont="1" applyAlignment="1">
      <alignment vertical="center"/>
    </xf>
    <xf numFmtId="176" fontId="9" fillId="0" borderId="39" xfId="51" applyNumberFormat="1" applyFont="1" applyBorder="1" applyAlignment="1">
      <alignment horizontal="right" vertical="center"/>
    </xf>
    <xf numFmtId="176" fontId="9" fillId="0" borderId="39" xfId="51" applyNumberFormat="1" applyFont="1" applyFill="1" applyBorder="1" applyAlignment="1">
      <alignment horizontal="right" vertical="center"/>
    </xf>
    <xf numFmtId="0" fontId="103" fillId="0" borderId="0" xfId="0" applyFont="1" applyAlignment="1">
      <alignment vertical="center"/>
    </xf>
    <xf numFmtId="3" fontId="104" fillId="0" borderId="0" xfId="0" applyNumberFormat="1" applyFont="1" applyAlignment="1">
      <alignment horizontal="right" vertical="center"/>
    </xf>
    <xf numFmtId="0" fontId="105" fillId="0" borderId="0" xfId="0" applyFont="1" applyAlignment="1">
      <alignment vertical="center"/>
    </xf>
    <xf numFmtId="0" fontId="103" fillId="0" borderId="39" xfId="0" applyFont="1" applyBorder="1" applyAlignment="1">
      <alignment horizontal="center" vertical="center" wrapText="1"/>
    </xf>
    <xf numFmtId="176" fontId="103" fillId="0" borderId="39" xfId="51" applyNumberFormat="1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177" fontId="0" fillId="0" borderId="39" xfId="51" applyNumberFormat="1" applyFont="1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104" fillId="0" borderId="40" xfId="0" applyFont="1" applyBorder="1" applyAlignment="1">
      <alignment vertical="center"/>
    </xf>
    <xf numFmtId="0" fontId="91" fillId="0" borderId="40" xfId="0" applyFont="1" applyBorder="1" applyAlignment="1">
      <alignment vertical="center"/>
    </xf>
    <xf numFmtId="176" fontId="91" fillId="0" borderId="40" xfId="0" applyNumberFormat="1" applyFont="1" applyBorder="1" applyAlignment="1">
      <alignment vertical="center"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39" xfId="0" applyFont="1" applyBorder="1" applyAlignment="1">
      <alignment horizontal="left"/>
    </xf>
    <xf numFmtId="173" fontId="100" fillId="0" borderId="39" xfId="51" applyFont="1" applyFill="1" applyBorder="1" applyAlignment="1">
      <alignment horizontal="right"/>
    </xf>
    <xf numFmtId="0" fontId="104" fillId="0" borderId="39" xfId="0" applyFont="1" applyBorder="1" applyAlignment="1">
      <alignment/>
    </xf>
    <xf numFmtId="176" fontId="100" fillId="0" borderId="0" xfId="51" applyNumberFormat="1" applyFont="1" applyFill="1" applyAlignment="1">
      <alignment/>
    </xf>
    <xf numFmtId="3" fontId="100" fillId="0" borderId="0" xfId="0" applyNumberFormat="1" applyFont="1" applyAlignment="1">
      <alignment/>
    </xf>
    <xf numFmtId="0" fontId="99" fillId="0" borderId="0" xfId="0" applyFont="1" applyAlignment="1">
      <alignment horizontal="left"/>
    </xf>
    <xf numFmtId="3" fontId="99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101" fillId="0" borderId="0" xfId="0" applyFont="1" applyAlignment="1">
      <alignment horizontal="left"/>
    </xf>
    <xf numFmtId="0" fontId="101" fillId="0" borderId="0" xfId="0" applyFont="1" applyAlignment="1">
      <alignment/>
    </xf>
    <xf numFmtId="0" fontId="106" fillId="0" borderId="0" xfId="0" applyFont="1" applyAlignment="1">
      <alignment/>
    </xf>
    <xf numFmtId="3" fontId="10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99" fillId="0" borderId="41" xfId="0" applyFont="1" applyBorder="1" applyAlignment="1">
      <alignment horizontal="center" vertical="center" wrapText="1"/>
    </xf>
    <xf numFmtId="0" fontId="99" fillId="0" borderId="42" xfId="0" applyFont="1" applyBorder="1" applyAlignment="1">
      <alignment horizontal="center" vertical="center" wrapText="1"/>
    </xf>
    <xf numFmtId="0" fontId="101" fillId="0" borderId="43" xfId="0" applyFont="1" applyBorder="1" applyAlignment="1">
      <alignment vertical="center" wrapText="1"/>
    </xf>
    <xf numFmtId="0" fontId="99" fillId="0" borderId="43" xfId="0" applyFont="1" applyBorder="1" applyAlignment="1">
      <alignment horizontal="center" vertical="center" wrapText="1"/>
    </xf>
    <xf numFmtId="0" fontId="100" fillId="0" borderId="44" xfId="0" applyFont="1" applyBorder="1" applyAlignment="1">
      <alignment horizontal="center" vertical="center" wrapText="1"/>
    </xf>
    <xf numFmtId="0" fontId="100" fillId="0" borderId="42" xfId="0" applyFont="1" applyBorder="1" applyAlignment="1">
      <alignment horizontal="center" vertical="center" wrapText="1"/>
    </xf>
    <xf numFmtId="0" fontId="100" fillId="0" borderId="43" xfId="0" applyFont="1" applyBorder="1" applyAlignment="1">
      <alignment horizontal="center" vertical="center" wrapText="1"/>
    </xf>
    <xf numFmtId="0" fontId="99" fillId="0" borderId="31" xfId="0" applyFont="1" applyBorder="1" applyAlignment="1">
      <alignment horizontal="center" vertical="center"/>
    </xf>
    <xf numFmtId="0" fontId="99" fillId="0" borderId="37" xfId="0" applyFont="1" applyBorder="1" applyAlignment="1">
      <alignment horizontal="center" vertical="center" wrapText="1"/>
    </xf>
    <xf numFmtId="0" fontId="100" fillId="0" borderId="30" xfId="0" applyFont="1" applyBorder="1" applyAlignment="1">
      <alignment/>
    </xf>
    <xf numFmtId="171" fontId="100" fillId="0" borderId="39" xfId="56" applyFont="1" applyFill="1" applyBorder="1" applyAlignment="1">
      <alignment horizontal="right"/>
    </xf>
    <xf numFmtId="172" fontId="100" fillId="0" borderId="39" xfId="52" applyFont="1" applyFill="1" applyBorder="1" applyAlignment="1">
      <alignment horizontal="right"/>
    </xf>
    <xf numFmtId="3" fontId="0" fillId="0" borderId="0" xfId="0" applyNumberFormat="1" applyAlignment="1">
      <alignment/>
    </xf>
    <xf numFmtId="176" fontId="100" fillId="0" borderId="39" xfId="56" applyNumberFormat="1" applyFont="1" applyFill="1" applyBorder="1" applyAlignment="1">
      <alignment horizontal="right"/>
    </xf>
    <xf numFmtId="176" fontId="0" fillId="0" borderId="0" xfId="56" applyNumberFormat="1" applyFont="1" applyFill="1" applyAlignment="1">
      <alignment/>
    </xf>
    <xf numFmtId="176" fontId="0" fillId="0" borderId="0" xfId="0" applyNumberFormat="1" applyAlignment="1">
      <alignment/>
    </xf>
    <xf numFmtId="0" fontId="97" fillId="0" borderId="0" xfId="0" applyFont="1" applyAlignment="1">
      <alignment horizontal="left" vertical="center" indent="3"/>
    </xf>
    <xf numFmtId="0" fontId="99" fillId="0" borderId="39" xfId="0" applyFont="1" applyBorder="1" applyAlignment="1">
      <alignment horizontal="center"/>
    </xf>
    <xf numFmtId="178" fontId="0" fillId="0" borderId="0" xfId="0" applyNumberFormat="1" applyAlignment="1">
      <alignment/>
    </xf>
    <xf numFmtId="171" fontId="99" fillId="0" borderId="39" xfId="56" applyFont="1" applyFill="1" applyBorder="1" applyAlignment="1">
      <alignment horizontal="right"/>
    </xf>
    <xf numFmtId="0" fontId="96" fillId="0" borderId="0" xfId="0" applyFont="1" applyAlignment="1">
      <alignment horizontal="left" vertical="center" indent="3"/>
    </xf>
    <xf numFmtId="0" fontId="99" fillId="0" borderId="39" xfId="0" applyFont="1" applyBorder="1" applyAlignment="1">
      <alignment horizontal="center" wrapText="1"/>
    </xf>
    <xf numFmtId="0" fontId="100" fillId="0" borderId="39" xfId="0" applyFont="1" applyBorder="1" applyAlignment="1">
      <alignment horizontal="left"/>
    </xf>
    <xf numFmtId="3" fontId="100" fillId="0" borderId="39" xfId="0" applyNumberFormat="1" applyFont="1" applyBorder="1" applyAlignment="1">
      <alignment/>
    </xf>
    <xf numFmtId="3" fontId="99" fillId="0" borderId="39" xfId="0" applyNumberFormat="1" applyFont="1" applyBorder="1" applyAlignment="1">
      <alignment/>
    </xf>
    <xf numFmtId="0" fontId="12" fillId="0" borderId="0" xfId="0" applyFont="1" applyAlignment="1">
      <alignment/>
    </xf>
    <xf numFmtId="176" fontId="99" fillId="0" borderId="39" xfId="56" applyNumberFormat="1" applyFont="1" applyBorder="1" applyAlignment="1">
      <alignment horizontal="right"/>
    </xf>
    <xf numFmtId="171" fontId="100" fillId="0" borderId="39" xfId="56" applyFont="1" applyBorder="1" applyAlignment="1">
      <alignment horizontal="right"/>
    </xf>
    <xf numFmtId="176" fontId="100" fillId="0" borderId="39" xfId="56" applyNumberFormat="1" applyFont="1" applyBorder="1" applyAlignment="1">
      <alignment horizontal="right"/>
    </xf>
    <xf numFmtId="0" fontId="0" fillId="0" borderId="0" xfId="0" applyAlignment="1">
      <alignment horizontal="right"/>
    </xf>
    <xf numFmtId="171" fontId="0" fillId="0" borderId="0" xfId="56" applyFont="1" applyAlignment="1">
      <alignment/>
    </xf>
    <xf numFmtId="0" fontId="100" fillId="0" borderId="29" xfId="0" applyFont="1" applyBorder="1" applyAlignment="1">
      <alignment/>
    </xf>
    <xf numFmtId="2" fontId="99" fillId="0" borderId="39" xfId="0" applyNumberFormat="1" applyFont="1" applyBorder="1" applyAlignment="1">
      <alignment horizontal="center" vertical="center" wrapText="1"/>
    </xf>
    <xf numFmtId="0" fontId="95" fillId="0" borderId="0" xfId="0" applyFont="1" applyAlignment="1">
      <alignment horizontal="left" vertical="center" indent="3"/>
    </xf>
    <xf numFmtId="172" fontId="0" fillId="0" borderId="0" xfId="52" applyFont="1" applyFill="1" applyAlignment="1">
      <alignment/>
    </xf>
    <xf numFmtId="172" fontId="99" fillId="0" borderId="39" xfId="52" applyFont="1" applyFill="1" applyBorder="1" applyAlignment="1">
      <alignment horizontal="right"/>
    </xf>
    <xf numFmtId="172" fontId="0" fillId="0" borderId="39" xfId="52" applyFont="1" applyFill="1" applyBorder="1" applyAlignment="1">
      <alignment/>
    </xf>
    <xf numFmtId="0" fontId="0" fillId="0" borderId="39" xfId="0" applyBorder="1" applyAlignment="1">
      <alignment/>
    </xf>
    <xf numFmtId="0" fontId="100" fillId="0" borderId="29" xfId="0" applyFont="1" applyBorder="1" applyAlignment="1">
      <alignment horizontal="left" vertical="center"/>
    </xf>
    <xf numFmtId="49" fontId="100" fillId="0" borderId="39" xfId="0" applyNumberFormat="1" applyFont="1" applyBorder="1" applyAlignment="1">
      <alignment/>
    </xf>
    <xf numFmtId="172" fontId="99" fillId="0" borderId="30" xfId="52" applyFont="1" applyFill="1" applyBorder="1" applyAlignment="1">
      <alignment horizontal="center" vertical="center" wrapText="1"/>
    </xf>
    <xf numFmtId="0" fontId="99" fillId="0" borderId="30" xfId="0" applyFont="1" applyBorder="1" applyAlignment="1">
      <alignment horizontal="center" vertical="center"/>
    </xf>
    <xf numFmtId="0" fontId="99" fillId="0" borderId="45" xfId="0" applyFont="1" applyBorder="1" applyAlignment="1">
      <alignment/>
    </xf>
    <xf numFmtId="0" fontId="99" fillId="0" borderId="46" xfId="0" applyFont="1" applyBorder="1" applyAlignment="1">
      <alignment/>
    </xf>
    <xf numFmtId="0" fontId="100" fillId="0" borderId="47" xfId="0" applyFont="1" applyBorder="1" applyAlignment="1">
      <alignment/>
    </xf>
    <xf numFmtId="0" fontId="12" fillId="0" borderId="0" xfId="0" applyFont="1" applyAlignment="1">
      <alignment horizontal="left" vertical="center" indent="2"/>
    </xf>
    <xf numFmtId="172" fontId="104" fillId="0" borderId="39" xfId="52" applyFont="1" applyBorder="1" applyAlignment="1">
      <alignment horizontal="center" vertical="center" wrapText="1"/>
    </xf>
    <xf numFmtId="0" fontId="107" fillId="0" borderId="39" xfId="0" applyFont="1" applyBorder="1" applyAlignment="1">
      <alignment horizontal="center" vertical="center" wrapText="1"/>
    </xf>
    <xf numFmtId="0" fontId="103" fillId="0" borderId="39" xfId="0" applyFont="1" applyBorder="1" applyAlignment="1">
      <alignment horizontal="left" vertical="center"/>
    </xf>
    <xf numFmtId="172" fontId="103" fillId="0" borderId="39" xfId="52" applyFont="1" applyFill="1" applyBorder="1" applyAlignment="1">
      <alignment horizontal="right" vertical="center"/>
    </xf>
    <xf numFmtId="3" fontId="103" fillId="0" borderId="39" xfId="0" applyNumberFormat="1" applyFont="1" applyBorder="1" applyAlignment="1">
      <alignment horizontal="right" vertical="center"/>
    </xf>
    <xf numFmtId="4" fontId="108" fillId="0" borderId="0" xfId="0" applyNumberFormat="1" applyFont="1" applyAlignment="1">
      <alignment/>
    </xf>
    <xf numFmtId="176" fontId="104" fillId="0" borderId="39" xfId="56" applyNumberFormat="1" applyFont="1" applyBorder="1" applyAlignment="1">
      <alignment horizontal="right" vertical="center"/>
    </xf>
    <xf numFmtId="172" fontId="104" fillId="0" borderId="39" xfId="52" applyFont="1" applyBorder="1" applyAlignment="1">
      <alignment horizontal="right" vertical="center"/>
    </xf>
    <xf numFmtId="179" fontId="109" fillId="0" borderId="0" xfId="0" applyNumberFormat="1" applyFont="1" applyAlignment="1">
      <alignment/>
    </xf>
    <xf numFmtId="0" fontId="109" fillId="0" borderId="0" xfId="0" applyFont="1" applyAlignment="1">
      <alignment/>
    </xf>
    <xf numFmtId="176" fontId="109" fillId="0" borderId="0" xfId="56" applyNumberFormat="1" applyFont="1" applyAlignment="1">
      <alignment/>
    </xf>
    <xf numFmtId="176" fontId="110" fillId="0" borderId="0" xfId="56" applyNumberFormat="1" applyFont="1" applyAlignment="1">
      <alignment/>
    </xf>
    <xf numFmtId="176" fontId="0" fillId="0" borderId="0" xfId="56" applyNumberFormat="1" applyFont="1" applyAlignment="1">
      <alignment/>
    </xf>
    <xf numFmtId="172" fontId="0" fillId="0" borderId="0" xfId="52" applyFont="1" applyAlignment="1">
      <alignment/>
    </xf>
    <xf numFmtId="0" fontId="100" fillId="0" borderId="39" xfId="0" applyFont="1" applyBorder="1" applyAlignment="1">
      <alignment horizontal="left" vertical="center"/>
    </xf>
    <xf numFmtId="176" fontId="100" fillId="0" borderId="39" xfId="56" applyNumberFormat="1" applyFont="1" applyFill="1" applyBorder="1" applyAlignment="1">
      <alignment horizontal="right" vertical="center"/>
    </xf>
    <xf numFmtId="172" fontId="100" fillId="0" borderId="39" xfId="52" applyFont="1" applyFill="1" applyBorder="1" applyAlignment="1">
      <alignment horizontal="right" vertical="center"/>
    </xf>
    <xf numFmtId="176" fontId="0" fillId="0" borderId="0" xfId="56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99" fillId="0" borderId="39" xfId="0" applyNumberFormat="1" applyFont="1" applyBorder="1" applyAlignment="1">
      <alignment horizontal="right" vertical="center"/>
    </xf>
    <xf numFmtId="172" fontId="99" fillId="0" borderId="39" xfId="52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3" fontId="100" fillId="0" borderId="39" xfId="0" applyNumberFormat="1" applyFont="1" applyBorder="1" applyAlignment="1">
      <alignment horizontal="center"/>
    </xf>
    <xf numFmtId="3" fontId="99" fillId="0" borderId="39" xfId="0" applyNumberFormat="1" applyFont="1" applyBorder="1" applyAlignment="1">
      <alignment horizontal="center"/>
    </xf>
    <xf numFmtId="0" fontId="113" fillId="0" borderId="0" xfId="0" applyFont="1" applyAlignment="1">
      <alignment/>
    </xf>
    <xf numFmtId="0" fontId="114" fillId="0" borderId="33" xfId="0" applyFont="1" applyBorder="1" applyAlignment="1">
      <alignment horizontal="center"/>
    </xf>
    <xf numFmtId="0" fontId="115" fillId="0" borderId="33" xfId="0" applyFont="1" applyBorder="1" applyAlignment="1">
      <alignment horizontal="center"/>
    </xf>
    <xf numFmtId="0" fontId="116" fillId="0" borderId="33" xfId="0" applyFont="1" applyBorder="1" applyAlignment="1">
      <alignment horizontal="center"/>
    </xf>
    <xf numFmtId="0" fontId="117" fillId="0" borderId="33" xfId="0" applyFont="1" applyBorder="1" applyAlignment="1">
      <alignment horizontal="center"/>
    </xf>
    <xf numFmtId="172" fontId="99" fillId="0" borderId="39" xfId="52" applyFont="1" applyFill="1" applyBorder="1" applyAlignment="1">
      <alignment/>
    </xf>
    <xf numFmtId="172" fontId="100" fillId="0" borderId="39" xfId="52" applyFont="1" applyFill="1" applyBorder="1" applyAlignment="1">
      <alignment horizontal="center"/>
    </xf>
    <xf numFmtId="0" fontId="100" fillId="0" borderId="17" xfId="0" applyFont="1" applyBorder="1" applyAlignment="1">
      <alignment/>
    </xf>
    <xf numFmtId="176" fontId="100" fillId="0" borderId="39" xfId="52" applyNumberFormat="1" applyFont="1" applyFill="1" applyBorder="1" applyAlignment="1">
      <alignment/>
    </xf>
    <xf numFmtId="172" fontId="99" fillId="0" borderId="39" xfId="52" applyFont="1" applyFill="1" applyBorder="1" applyAlignment="1">
      <alignment horizontal="center"/>
    </xf>
    <xf numFmtId="172" fontId="91" fillId="0" borderId="39" xfId="52" applyFont="1" applyFill="1" applyBorder="1" applyAlignment="1">
      <alignment/>
    </xf>
    <xf numFmtId="176" fontId="100" fillId="0" borderId="39" xfId="52" applyNumberFormat="1" applyFont="1" applyFill="1" applyBorder="1" applyAlignment="1">
      <alignment horizontal="center"/>
    </xf>
    <xf numFmtId="172" fontId="0" fillId="0" borderId="39" xfId="52" applyFill="1" applyBorder="1" applyAlignment="1">
      <alignment/>
    </xf>
    <xf numFmtId="172" fontId="0" fillId="0" borderId="0" xfId="0" applyNumberFormat="1" applyAlignment="1">
      <alignment/>
    </xf>
    <xf numFmtId="0" fontId="113" fillId="0" borderId="0" xfId="0" applyFont="1" applyBorder="1" applyAlignment="1">
      <alignment/>
    </xf>
    <xf numFmtId="0" fontId="0" fillId="0" borderId="0" xfId="0" applyBorder="1" applyAlignment="1">
      <alignment/>
    </xf>
    <xf numFmtId="0" fontId="114" fillId="0" borderId="0" xfId="0" applyFont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116" fillId="0" borderId="0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172" fontId="100" fillId="0" borderId="39" xfId="52" applyFont="1" applyBorder="1" applyAlignment="1">
      <alignment horizontal="center"/>
    </xf>
    <xf numFmtId="172" fontId="99" fillId="0" borderId="39" xfId="52" applyFont="1" applyBorder="1" applyAlignment="1">
      <alignment horizontal="center"/>
    </xf>
    <xf numFmtId="0" fontId="0" fillId="0" borderId="0" xfId="0" applyAlignment="1">
      <alignment/>
    </xf>
    <xf numFmtId="0" fontId="95" fillId="0" borderId="0" xfId="0" applyFont="1" applyAlignment="1">
      <alignment vertical="center" wrapText="1"/>
    </xf>
    <xf numFmtId="3" fontId="4" fillId="0" borderId="0" xfId="52" applyNumberFormat="1" applyFont="1" applyFill="1" applyAlignment="1">
      <alignment horizontal="right"/>
    </xf>
    <xf numFmtId="172" fontId="4" fillId="0" borderId="0" xfId="0" applyNumberFormat="1" applyFont="1" applyAlignment="1">
      <alignment/>
    </xf>
    <xf numFmtId="0" fontId="100" fillId="0" borderId="0" xfId="0" applyFont="1" applyAlignment="1">
      <alignment horizontal="left"/>
    </xf>
    <xf numFmtId="0" fontId="118" fillId="0" borderId="0" xfId="48" applyFont="1" applyBorder="1" applyAlignment="1" quotePrefix="1">
      <alignment horizontal="left"/>
    </xf>
    <xf numFmtId="0" fontId="81" fillId="0" borderId="30" xfId="48" applyBorder="1" applyAlignment="1">
      <alignment horizontal="center" vertical="center"/>
    </xf>
    <xf numFmtId="0" fontId="100" fillId="0" borderId="33" xfId="0" applyFont="1" applyBorder="1" applyAlignment="1">
      <alignment/>
    </xf>
    <xf numFmtId="0" fontId="100" fillId="0" borderId="48" xfId="0" applyFont="1" applyBorder="1" applyAlignment="1">
      <alignment/>
    </xf>
    <xf numFmtId="0" fontId="81" fillId="0" borderId="17" xfId="48" applyBorder="1" applyAlignment="1">
      <alignment horizontal="center"/>
    </xf>
    <xf numFmtId="0" fontId="100" fillId="0" borderId="49" xfId="0" applyFont="1" applyBorder="1" applyAlignment="1">
      <alignment/>
    </xf>
    <xf numFmtId="0" fontId="81" fillId="0" borderId="17" xfId="48" applyBorder="1" applyAlignment="1" quotePrefix="1">
      <alignment horizontal="center"/>
    </xf>
    <xf numFmtId="0" fontId="8" fillId="33" borderId="49" xfId="0" applyFont="1" applyFill="1" applyBorder="1" applyAlignment="1">
      <alignment vertical="center"/>
    </xf>
    <xf numFmtId="0" fontId="118" fillId="0" borderId="17" xfId="48" applyFont="1" applyBorder="1" applyAlignment="1" quotePrefix="1">
      <alignment horizontal="center"/>
    </xf>
    <xf numFmtId="0" fontId="99" fillId="0" borderId="17" xfId="0" applyFont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9" fillId="0" borderId="29" xfId="0" applyFont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100" fillId="0" borderId="51" xfId="0" applyFont="1" applyBorder="1" applyAlignment="1">
      <alignment/>
    </xf>
    <xf numFmtId="0" fontId="119" fillId="0" borderId="0" xfId="0" applyFont="1" applyAlignment="1">
      <alignment horizontal="center" vertical="center"/>
    </xf>
    <xf numFmtId="0" fontId="100" fillId="34" borderId="0" xfId="0" applyFont="1" applyFill="1" applyAlignment="1">
      <alignment horizontal="left"/>
    </xf>
    <xf numFmtId="0" fontId="100" fillId="34" borderId="0" xfId="0" applyFont="1" applyFill="1" applyAlignment="1">
      <alignment/>
    </xf>
    <xf numFmtId="14" fontId="120" fillId="35" borderId="0" xfId="0" applyNumberFormat="1" applyFont="1" applyFill="1" applyAlignment="1">
      <alignment/>
    </xf>
    <xf numFmtId="0" fontId="99" fillId="0" borderId="0" xfId="0" applyFont="1" applyAlignment="1">
      <alignment horizontal="right"/>
    </xf>
    <xf numFmtId="0" fontId="99" fillId="0" borderId="39" xfId="0" applyFont="1" applyBorder="1" applyAlignment="1">
      <alignment horizontal="center"/>
    </xf>
    <xf numFmtId="0" fontId="104" fillId="0" borderId="17" xfId="0" applyFont="1" applyBorder="1" applyAlignment="1">
      <alignment horizontal="center" vertical="center"/>
    </xf>
    <xf numFmtId="172" fontId="103" fillId="0" borderId="39" xfId="52" applyFont="1" applyFill="1" applyBorder="1" applyAlignment="1">
      <alignment horizontal="center"/>
    </xf>
    <xf numFmtId="172" fontId="103" fillId="0" borderId="39" xfId="52" applyFont="1" applyBorder="1" applyAlignment="1">
      <alignment horizontal="right"/>
    </xf>
    <xf numFmtId="172" fontId="103" fillId="0" borderId="39" xfId="52" applyFont="1" applyBorder="1" applyAlignment="1">
      <alignment/>
    </xf>
    <xf numFmtId="176" fontId="104" fillId="0" borderId="39" xfId="56" applyNumberFormat="1" applyFont="1" applyBorder="1" applyAlignment="1">
      <alignment horizontal="right"/>
    </xf>
    <xf numFmtId="0" fontId="50" fillId="0" borderId="39" xfId="52" applyNumberFormat="1" applyFont="1" applyFill="1" applyBorder="1" applyAlignment="1">
      <alignment horizontal="right"/>
    </xf>
    <xf numFmtId="176" fontId="50" fillId="0" borderId="39" xfId="52" applyNumberFormat="1" applyFont="1" applyFill="1" applyBorder="1" applyAlignment="1">
      <alignment horizontal="right" vertical="center"/>
    </xf>
    <xf numFmtId="0" fontId="50" fillId="0" borderId="39" xfId="52" applyNumberFormat="1" applyFont="1" applyFill="1" applyBorder="1" applyAlignment="1">
      <alignment horizontal="right" vertical="center"/>
    </xf>
    <xf numFmtId="3" fontId="104" fillId="0" borderId="39" xfId="0" applyNumberFormat="1" applyFont="1" applyBorder="1" applyAlignment="1">
      <alignment horizontal="right"/>
    </xf>
    <xf numFmtId="172" fontId="99" fillId="0" borderId="39" xfId="52" applyFont="1" applyBorder="1" applyAlignment="1">
      <alignment horizontal="right"/>
    </xf>
    <xf numFmtId="172" fontId="100" fillId="0" borderId="39" xfId="52" applyFont="1" applyBorder="1" applyAlignment="1">
      <alignment horizontal="right"/>
    </xf>
    <xf numFmtId="172" fontId="100" fillId="0" borderId="39" xfId="52" applyFont="1" applyBorder="1" applyAlignment="1">
      <alignment/>
    </xf>
    <xf numFmtId="172" fontId="100" fillId="0" borderId="39" xfId="52" applyFont="1" applyFill="1" applyBorder="1" applyAlignment="1">
      <alignment/>
    </xf>
    <xf numFmtId="3" fontId="99" fillId="0" borderId="39" xfId="52" applyNumberFormat="1" applyFont="1" applyBorder="1" applyAlignment="1">
      <alignment horizontal="right"/>
    </xf>
    <xf numFmtId="3" fontId="99" fillId="0" borderId="39" xfId="51" applyNumberFormat="1" applyFont="1" applyFill="1" applyBorder="1" applyAlignment="1">
      <alignment horizontal="right"/>
    </xf>
    <xf numFmtId="171" fontId="100" fillId="0" borderId="39" xfId="56" applyNumberFormat="1" applyFont="1" applyFill="1" applyBorder="1" applyAlignment="1">
      <alignment horizontal="right"/>
    </xf>
    <xf numFmtId="3" fontId="100" fillId="0" borderId="39" xfId="56" applyNumberFormat="1" applyFont="1" applyFill="1" applyBorder="1" applyAlignment="1">
      <alignment horizontal="right"/>
    </xf>
    <xf numFmtId="171" fontId="0" fillId="0" borderId="0" xfId="0" applyNumberFormat="1" applyAlignment="1">
      <alignment/>
    </xf>
    <xf numFmtId="0" fontId="81" fillId="0" borderId="0" xfId="48" applyAlignment="1" quotePrefix="1">
      <alignment/>
    </xf>
    <xf numFmtId="176" fontId="100" fillId="0" borderId="39" xfId="0" applyNumberFormat="1" applyFont="1" applyBorder="1" applyAlignment="1">
      <alignment horizontal="right"/>
    </xf>
    <xf numFmtId="0" fontId="104" fillId="0" borderId="0" xfId="0" applyFont="1" applyBorder="1" applyAlignment="1">
      <alignment/>
    </xf>
    <xf numFmtId="176" fontId="99" fillId="0" borderId="0" xfId="56" applyNumberFormat="1" applyFont="1" applyBorder="1" applyAlignment="1">
      <alignment horizontal="right"/>
    </xf>
    <xf numFmtId="171" fontId="100" fillId="0" borderId="0" xfId="56" applyFont="1" applyBorder="1" applyAlignment="1">
      <alignment horizontal="right"/>
    </xf>
    <xf numFmtId="176" fontId="99" fillId="0" borderId="39" xfId="0" applyNumberFormat="1" applyFont="1" applyBorder="1" applyAlignment="1">
      <alignment horizontal="right"/>
    </xf>
    <xf numFmtId="172" fontId="14" fillId="33" borderId="39" xfId="52" applyFont="1" applyFill="1" applyBorder="1" applyAlignment="1">
      <alignment horizontal="left"/>
    </xf>
    <xf numFmtId="3" fontId="100" fillId="0" borderId="39" xfId="0" applyNumberFormat="1" applyFont="1" applyBorder="1" applyAlignment="1">
      <alignment horizontal="left"/>
    </xf>
    <xf numFmtId="14" fontId="100" fillId="0" borderId="39" xfId="0" applyNumberFormat="1" applyFont="1" applyBorder="1" applyAlignment="1">
      <alignment horizontal="right"/>
    </xf>
    <xf numFmtId="0" fontId="81" fillId="0" borderId="0" xfId="48" applyAlignment="1" quotePrefix="1">
      <alignment vertical="center"/>
    </xf>
    <xf numFmtId="3" fontId="100" fillId="0" borderId="39" xfId="0" applyNumberFormat="1" applyFont="1" applyBorder="1" applyAlignment="1">
      <alignment/>
    </xf>
    <xf numFmtId="3" fontId="99" fillId="0" borderId="39" xfId="0" applyNumberFormat="1" applyFont="1" applyBorder="1" applyAlignment="1">
      <alignment/>
    </xf>
    <xf numFmtId="172" fontId="99" fillId="0" borderId="39" xfId="0" applyNumberFormat="1" applyFont="1" applyBorder="1" applyAlignment="1">
      <alignment/>
    </xf>
    <xf numFmtId="172" fontId="100" fillId="0" borderId="39" xfId="52" applyFont="1" applyBorder="1" applyAlignment="1">
      <alignment/>
    </xf>
    <xf numFmtId="0" fontId="81" fillId="0" borderId="0" xfId="48" applyAlignment="1" quotePrefix="1">
      <alignment/>
    </xf>
    <xf numFmtId="14" fontId="99" fillId="0" borderId="39" xfId="0" applyNumberFormat="1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50" fillId="0" borderId="37" xfId="0" applyFont="1" applyBorder="1" applyAlignment="1">
      <alignment vertical="center"/>
    </xf>
    <xf numFmtId="0" fontId="50" fillId="0" borderId="37" xfId="0" applyFont="1" applyBorder="1" applyAlignment="1">
      <alignment horizontal="right"/>
    </xf>
    <xf numFmtId="176" fontId="50" fillId="0" borderId="37" xfId="0" applyNumberFormat="1" applyFont="1" applyBorder="1" applyAlignment="1">
      <alignment horizontal="right"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1" xfId="0" applyFont="1" applyBorder="1" applyAlignment="1">
      <alignment horizontal="right"/>
    </xf>
    <xf numFmtId="176" fontId="50" fillId="0" borderId="31" xfId="0" applyNumberFormat="1" applyFont="1" applyBorder="1" applyAlignment="1">
      <alignment horizontal="right" vertical="center"/>
    </xf>
    <xf numFmtId="0" fontId="81" fillId="0" borderId="17" xfId="48" applyBorder="1" applyAlignment="1" quotePrefix="1">
      <alignment horizontal="center" vertical="center"/>
    </xf>
    <xf numFmtId="0" fontId="121" fillId="0" borderId="0" xfId="0" applyFont="1" applyAlignment="1">
      <alignment/>
    </xf>
    <xf numFmtId="0" fontId="122" fillId="0" borderId="17" xfId="48" applyFont="1" applyBorder="1" applyAlignment="1" quotePrefix="1">
      <alignment horizontal="center"/>
    </xf>
    <xf numFmtId="0" fontId="97" fillId="0" borderId="0" xfId="0" applyFont="1" applyAlignment="1">
      <alignment horizontal="center" vertical="center"/>
    </xf>
    <xf numFmtId="0" fontId="15" fillId="0" borderId="29" xfId="0" applyFont="1" applyBorder="1" applyAlignment="1">
      <alignment/>
    </xf>
    <xf numFmtId="174" fontId="16" fillId="0" borderId="14" xfId="51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/>
    </xf>
    <xf numFmtId="172" fontId="15" fillId="0" borderId="52" xfId="52" applyFont="1" applyBorder="1" applyAlignment="1">
      <alignment/>
    </xf>
    <xf numFmtId="172" fontId="15" fillId="0" borderId="53" xfId="52" applyFont="1" applyBorder="1" applyAlignment="1">
      <alignment/>
    </xf>
    <xf numFmtId="0" fontId="15" fillId="0" borderId="17" xfId="0" applyFont="1" applyBorder="1" applyAlignment="1">
      <alignment/>
    </xf>
    <xf numFmtId="172" fontId="15" fillId="0" borderId="15" xfId="52" applyFont="1" applyBorder="1" applyAlignment="1">
      <alignment/>
    </xf>
    <xf numFmtId="172" fontId="15" fillId="0" borderId="17" xfId="52" applyFont="1" applyBorder="1" applyAlignment="1">
      <alignment/>
    </xf>
    <xf numFmtId="174" fontId="15" fillId="0" borderId="17" xfId="52" applyNumberFormat="1" applyFont="1" applyBorder="1" applyAlignment="1">
      <alignment/>
    </xf>
    <xf numFmtId="0" fontId="8" fillId="0" borderId="17" xfId="0" applyFont="1" applyBorder="1" applyAlignment="1">
      <alignment/>
    </xf>
    <xf numFmtId="172" fontId="9" fillId="0" borderId="17" xfId="52" applyFont="1" applyBorder="1" applyAlignment="1">
      <alignment/>
    </xf>
    <xf numFmtId="174" fontId="9" fillId="0" borderId="17" xfId="52" applyNumberFormat="1" applyFont="1" applyBorder="1" applyAlignment="1">
      <alignment/>
    </xf>
    <xf numFmtId="172" fontId="8" fillId="0" borderId="19" xfId="53" applyFont="1" applyBorder="1" applyAlignment="1">
      <alignment/>
    </xf>
    <xf numFmtId="174" fontId="8" fillId="0" borderId="19" xfId="52" applyNumberFormat="1" applyFont="1" applyBorder="1" applyAlignment="1">
      <alignment/>
    </xf>
    <xf numFmtId="0" fontId="9" fillId="0" borderId="17" xfId="0" applyFont="1" applyBorder="1" applyAlignment="1">
      <alignment/>
    </xf>
    <xf numFmtId="172" fontId="8" fillId="0" borderId="17" xfId="52" applyFont="1" applyBorder="1" applyAlignment="1">
      <alignment/>
    </xf>
    <xf numFmtId="174" fontId="8" fillId="0" borderId="17" xfId="52" applyNumberFormat="1" applyFont="1" applyBorder="1" applyAlignment="1">
      <alignment/>
    </xf>
    <xf numFmtId="172" fontId="8" fillId="0" borderId="17" xfId="53" applyFont="1" applyBorder="1" applyAlignment="1">
      <alignment/>
    </xf>
    <xf numFmtId="0" fontId="17" fillId="0" borderId="17" xfId="0" applyFont="1" applyBorder="1" applyAlignment="1">
      <alignment/>
    </xf>
    <xf numFmtId="172" fontId="17" fillId="0" borderId="17" xfId="52" applyFont="1" applyBorder="1" applyAlignment="1">
      <alignment/>
    </xf>
    <xf numFmtId="174" fontId="17" fillId="0" borderId="17" xfId="52" applyNumberFormat="1" applyFont="1" applyBorder="1" applyAlignment="1">
      <alignment/>
    </xf>
    <xf numFmtId="0" fontId="15" fillId="0" borderId="30" xfId="0" applyFont="1" applyBorder="1" applyAlignment="1">
      <alignment/>
    </xf>
    <xf numFmtId="172" fontId="16" fillId="0" borderId="54" xfId="53" applyFont="1" applyBorder="1" applyAlignment="1">
      <alignment/>
    </xf>
    <xf numFmtId="174" fontId="16" fillId="0" borderId="54" xfId="52" applyNumberFormat="1" applyFont="1" applyBorder="1" applyAlignment="1">
      <alignment/>
    </xf>
    <xf numFmtId="0" fontId="15" fillId="0" borderId="0" xfId="0" applyFont="1" applyAlignment="1">
      <alignment/>
    </xf>
    <xf numFmtId="3" fontId="123" fillId="0" borderId="0" xfId="0" applyNumberFormat="1" applyFont="1" applyAlignment="1" applyProtection="1">
      <alignment/>
      <protection hidden="1" locked="0"/>
    </xf>
    <xf numFmtId="3" fontId="15" fillId="0" borderId="0" xfId="0" applyNumberFormat="1" applyFont="1" applyAlignment="1" applyProtection="1">
      <alignment/>
      <protection hidden="1" locked="0"/>
    </xf>
    <xf numFmtId="0" fontId="124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0" xfId="53" applyAlignment="1">
      <alignment/>
    </xf>
    <xf numFmtId="174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8" fillId="0" borderId="0" xfId="0" applyFont="1" applyAlignment="1">
      <alignment/>
    </xf>
    <xf numFmtId="0" fontId="15" fillId="0" borderId="55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/>
    </xf>
    <xf numFmtId="0" fontId="16" fillId="0" borderId="60" xfId="0" applyFont="1" applyBorder="1" applyAlignment="1">
      <alignment horizontal="center" wrapText="1"/>
    </xf>
    <xf numFmtId="0" fontId="16" fillId="0" borderId="61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 wrapText="1"/>
    </xf>
    <xf numFmtId="174" fontId="15" fillId="0" borderId="62" xfId="51" applyNumberFormat="1" applyFont="1" applyBorder="1" applyAlignment="1">
      <alignment/>
    </xf>
    <xf numFmtId="180" fontId="15" fillId="0" borderId="63" xfId="51" applyNumberFormat="1" applyFont="1" applyBorder="1" applyAlignment="1">
      <alignment/>
    </xf>
    <xf numFmtId="180" fontId="15" fillId="0" borderId="64" xfId="51" applyNumberFormat="1" applyFont="1" applyBorder="1" applyAlignment="1">
      <alignment/>
    </xf>
    <xf numFmtId="180" fontId="15" fillId="0" borderId="63" xfId="51" applyNumberFormat="1" applyFont="1" applyBorder="1" applyAlignment="1">
      <alignment horizontal="right"/>
    </xf>
    <xf numFmtId="180" fontId="15" fillId="0" borderId="64" xfId="51" applyNumberFormat="1" applyFont="1" applyBorder="1" applyAlignment="1">
      <alignment horizontal="right"/>
    </xf>
    <xf numFmtId="180" fontId="15" fillId="0" borderId="65" xfId="51" applyNumberFormat="1" applyFont="1" applyBorder="1" applyAlignment="1">
      <alignment horizontal="right"/>
    </xf>
    <xf numFmtId="180" fontId="16" fillId="0" borderId="63" xfId="51" applyNumberFormat="1" applyFont="1" applyBorder="1" applyAlignment="1">
      <alignment horizontal="right"/>
    </xf>
    <xf numFmtId="172" fontId="16" fillId="0" borderId="63" xfId="52" applyFont="1" applyBorder="1" applyAlignment="1">
      <alignment horizontal="right"/>
    </xf>
    <xf numFmtId="174" fontId="18" fillId="0" borderId="62" xfId="51" applyNumberFormat="1" applyFont="1" applyBorder="1" applyAlignment="1">
      <alignment/>
    </xf>
    <xf numFmtId="180" fontId="15" fillId="0" borderId="66" xfId="51" applyNumberFormat="1" applyFont="1" applyBorder="1" applyAlignment="1">
      <alignment horizontal="right"/>
    </xf>
    <xf numFmtId="180" fontId="15" fillId="0" borderId="67" xfId="51" applyNumberFormat="1" applyFont="1" applyBorder="1" applyAlignment="1">
      <alignment horizontal="right"/>
    </xf>
    <xf numFmtId="180" fontId="15" fillId="0" borderId="15" xfId="51" applyNumberFormat="1" applyFont="1" applyBorder="1" applyAlignment="1">
      <alignment horizontal="right"/>
    </xf>
    <xf numFmtId="172" fontId="16" fillId="0" borderId="63" xfId="53" applyFont="1" applyBorder="1" applyAlignment="1">
      <alignment horizontal="right"/>
    </xf>
    <xf numFmtId="172" fontId="15" fillId="0" borderId="67" xfId="53" applyFont="1" applyBorder="1" applyAlignment="1">
      <alignment horizontal="right"/>
    </xf>
    <xf numFmtId="174" fontId="15" fillId="0" borderId="68" xfId="51" applyNumberFormat="1" applyFont="1" applyBorder="1" applyAlignment="1">
      <alignment/>
    </xf>
    <xf numFmtId="180" fontId="15" fillId="0" borderId="69" xfId="51" applyNumberFormat="1" applyFont="1" applyBorder="1" applyAlignment="1">
      <alignment horizontal="right"/>
    </xf>
    <xf numFmtId="180" fontId="15" fillId="0" borderId="70" xfId="51" applyNumberFormat="1" applyFont="1" applyBorder="1" applyAlignment="1">
      <alignment horizontal="right"/>
    </xf>
    <xf numFmtId="180" fontId="15" fillId="0" borderId="62" xfId="51" applyNumberFormat="1" applyFont="1" applyBorder="1" applyAlignment="1">
      <alignment horizontal="right"/>
    </xf>
    <xf numFmtId="180" fontId="15" fillId="0" borderId="0" xfId="51" applyNumberFormat="1" applyFont="1" applyAlignment="1">
      <alignment horizontal="right"/>
    </xf>
    <xf numFmtId="0" fontId="16" fillId="0" borderId="59" xfId="0" applyFont="1" applyBorder="1" applyAlignment="1">
      <alignment/>
    </xf>
    <xf numFmtId="172" fontId="16" fillId="0" borderId="71" xfId="53" applyFont="1" applyBorder="1" applyAlignment="1">
      <alignment horizontal="right"/>
    </xf>
    <xf numFmtId="172" fontId="16" fillId="0" borderId="72" xfId="53" applyFont="1" applyBorder="1" applyAlignment="1">
      <alignment horizontal="right"/>
    </xf>
    <xf numFmtId="172" fontId="8" fillId="0" borderId="72" xfId="53" applyFont="1" applyBorder="1" applyAlignment="1">
      <alignment horizontal="right"/>
    </xf>
    <xf numFmtId="172" fontId="16" fillId="0" borderId="69" xfId="53" applyFont="1" applyBorder="1" applyAlignment="1">
      <alignment horizontal="right"/>
    </xf>
    <xf numFmtId="172" fontId="16" fillId="0" borderId="68" xfId="53" applyFont="1" applyBorder="1" applyAlignment="1">
      <alignment horizontal="right"/>
    </xf>
    <xf numFmtId="0" fontId="96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 indent="5"/>
    </xf>
    <xf numFmtId="0" fontId="97" fillId="0" borderId="0" xfId="0" applyFont="1" applyAlignment="1">
      <alignment horizontal="justify" vertical="center"/>
    </xf>
    <xf numFmtId="0" fontId="125" fillId="0" borderId="0" xfId="0" applyFont="1" applyAlignment="1">
      <alignment horizontal="justify" vertical="center"/>
    </xf>
    <xf numFmtId="0" fontId="97" fillId="0" borderId="39" xfId="0" applyFont="1" applyBorder="1" applyAlignment="1">
      <alignment horizontal="center" vertical="center"/>
    </xf>
    <xf numFmtId="0" fontId="91" fillId="0" borderId="39" xfId="0" applyFont="1" applyBorder="1" applyAlignment="1">
      <alignment horizontal="center"/>
    </xf>
    <xf numFmtId="0" fontId="98" fillId="0" borderId="39" xfId="0" applyFont="1" applyBorder="1" applyAlignment="1">
      <alignment horizontal="justify" vertical="center"/>
    </xf>
    <xf numFmtId="171" fontId="0" fillId="0" borderId="39" xfId="0" applyNumberFormat="1" applyBorder="1" applyAlignment="1">
      <alignment/>
    </xf>
    <xf numFmtId="0" fontId="126" fillId="0" borderId="0" xfId="0" applyFont="1" applyAlignment="1">
      <alignment vertical="center"/>
    </xf>
    <xf numFmtId="0" fontId="127" fillId="0" borderId="39" xfId="0" applyFont="1" applyBorder="1" applyAlignment="1">
      <alignment horizontal="center" vertical="center" wrapText="1"/>
    </xf>
    <xf numFmtId="0" fontId="99" fillId="0" borderId="39" xfId="0" applyFont="1" applyBorder="1" applyAlignment="1">
      <alignment vertical="center"/>
    </xf>
    <xf numFmtId="0" fontId="100" fillId="0" borderId="39" xfId="0" applyFont="1" applyBorder="1" applyAlignment="1">
      <alignment vertical="center"/>
    </xf>
    <xf numFmtId="4" fontId="100" fillId="0" borderId="39" xfId="0" applyNumberFormat="1" applyFont="1" applyBorder="1" applyAlignment="1">
      <alignment horizontal="center" vertical="center"/>
    </xf>
    <xf numFmtId="3" fontId="100" fillId="0" borderId="39" xfId="0" applyNumberFormat="1" applyFont="1" applyBorder="1" applyAlignment="1">
      <alignment vertical="center"/>
    </xf>
    <xf numFmtId="171" fontId="100" fillId="0" borderId="39" xfId="51" applyNumberFormat="1" applyFont="1" applyBorder="1" applyAlignment="1">
      <alignment horizontal="center" vertical="center"/>
    </xf>
    <xf numFmtId="0" fontId="100" fillId="0" borderId="39" xfId="51" applyNumberFormat="1" applyFont="1" applyBorder="1" applyAlignment="1">
      <alignment horizontal="center" vertical="center"/>
    </xf>
    <xf numFmtId="4" fontId="100" fillId="0" borderId="39" xfId="51" applyNumberFormat="1" applyFont="1" applyBorder="1" applyAlignment="1">
      <alignment horizontal="center" vertical="center"/>
    </xf>
    <xf numFmtId="0" fontId="99" fillId="0" borderId="39" xfId="0" applyFont="1" applyBorder="1" applyAlignment="1">
      <alignment horizontal="left" vertical="center"/>
    </xf>
    <xf numFmtId="0" fontId="8" fillId="0" borderId="39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4" fontId="9" fillId="0" borderId="39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vertical="center"/>
    </xf>
    <xf numFmtId="171" fontId="9" fillId="0" borderId="39" xfId="51" applyNumberFormat="1" applyFont="1" applyBorder="1" applyAlignment="1">
      <alignment horizontal="center" vertical="center"/>
    </xf>
    <xf numFmtId="3" fontId="99" fillId="0" borderId="39" xfId="0" applyNumberFormat="1" applyFont="1" applyBorder="1" applyAlignment="1">
      <alignment horizontal="center" vertical="center"/>
    </xf>
    <xf numFmtId="3" fontId="100" fillId="0" borderId="39" xfId="51" applyNumberFormat="1" applyFont="1" applyBorder="1" applyAlignment="1">
      <alignment horizontal="center" vertical="center"/>
    </xf>
    <xf numFmtId="173" fontId="100" fillId="0" borderId="39" xfId="51" applyFont="1" applyBorder="1" applyAlignment="1">
      <alignment horizontal="center" vertical="center"/>
    </xf>
    <xf numFmtId="0" fontId="100" fillId="0" borderId="73" xfId="0" applyFont="1" applyBorder="1" applyAlignment="1">
      <alignment/>
    </xf>
    <xf numFmtId="0" fontId="99" fillId="0" borderId="29" xfId="0" applyFont="1" applyBorder="1" applyAlignment="1">
      <alignment horizontal="center" wrapText="1"/>
    </xf>
    <xf numFmtId="0" fontId="100" fillId="0" borderId="39" xfId="0" applyFont="1" applyBorder="1" applyAlignment="1">
      <alignment wrapText="1"/>
    </xf>
    <xf numFmtId="171" fontId="0" fillId="0" borderId="39" xfId="0" applyNumberFormat="1" applyBorder="1" applyAlignment="1">
      <alignment horizontal="center" vertical="center"/>
    </xf>
    <xf numFmtId="171" fontId="100" fillId="0" borderId="39" xfId="51" applyNumberFormat="1" applyFont="1" applyBorder="1" applyAlignment="1">
      <alignment horizontal="right"/>
    </xf>
    <xf numFmtId="0" fontId="81" fillId="0" borderId="17" xfId="48" applyBorder="1" applyAlignment="1">
      <alignment horizontal="center" vertical="center"/>
    </xf>
    <xf numFmtId="172" fontId="9" fillId="0" borderId="30" xfId="52" applyFont="1" applyFill="1" applyBorder="1" applyAlignment="1">
      <alignment vertical="center"/>
    </xf>
    <xf numFmtId="172" fontId="50" fillId="0" borderId="37" xfId="52" applyFont="1" applyBorder="1" applyAlignment="1">
      <alignment vertical="center"/>
    </xf>
    <xf numFmtId="172" fontId="50" fillId="0" borderId="31" xfId="52" applyFont="1" applyBorder="1" applyAlignment="1">
      <alignment vertical="center"/>
    </xf>
    <xf numFmtId="172" fontId="103" fillId="0" borderId="39" xfId="52" applyFont="1" applyBorder="1" applyAlignment="1">
      <alignment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99" fillId="0" borderId="39" xfId="0" applyFont="1" applyBorder="1" applyAlignment="1">
      <alignment horizontal="center"/>
    </xf>
    <xf numFmtId="0" fontId="104" fillId="0" borderId="36" xfId="0" applyFont="1" applyBorder="1" applyAlignment="1">
      <alignment horizontal="center" vertical="center"/>
    </xf>
    <xf numFmtId="0" fontId="104" fillId="0" borderId="35" xfId="0" applyFont="1" applyBorder="1" applyAlignment="1">
      <alignment horizontal="center" vertical="center"/>
    </xf>
    <xf numFmtId="0" fontId="104" fillId="0" borderId="79" xfId="0" applyFont="1" applyBorder="1" applyAlignment="1">
      <alignment horizontal="center" vertical="center"/>
    </xf>
    <xf numFmtId="0" fontId="104" fillId="0" borderId="37" xfId="0" applyFont="1" applyBorder="1" applyAlignment="1">
      <alignment horizontal="center" vertical="center"/>
    </xf>
    <xf numFmtId="0" fontId="104" fillId="0" borderId="39" xfId="0" applyFont="1" applyBorder="1" applyAlignment="1">
      <alignment horizontal="center" vertical="center"/>
    </xf>
    <xf numFmtId="0" fontId="104" fillId="0" borderId="80" xfId="0" applyFont="1" applyBorder="1" applyAlignment="1">
      <alignment horizontal="center" vertical="center"/>
    </xf>
    <xf numFmtId="177" fontId="104" fillId="0" borderId="39" xfId="51" applyNumberFormat="1" applyFont="1" applyBorder="1" applyAlignment="1">
      <alignment horizontal="center" vertical="center"/>
    </xf>
    <xf numFmtId="0" fontId="91" fillId="0" borderId="39" xfId="0" applyFont="1" applyBorder="1" applyAlignment="1">
      <alignment horizontal="center" vertical="center"/>
    </xf>
    <xf numFmtId="0" fontId="104" fillId="0" borderId="39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/>
    </xf>
    <xf numFmtId="0" fontId="99" fillId="0" borderId="35" xfId="0" applyFont="1" applyBorder="1" applyAlignment="1">
      <alignment horizontal="center"/>
    </xf>
    <xf numFmtId="0" fontId="99" fillId="0" borderId="37" xfId="0" applyFont="1" applyBorder="1" applyAlignment="1">
      <alignment horizontal="center"/>
    </xf>
    <xf numFmtId="0" fontId="99" fillId="0" borderId="81" xfId="0" applyFont="1" applyBorder="1" applyAlignment="1">
      <alignment horizontal="center" vertical="center" wrapText="1"/>
    </xf>
    <xf numFmtId="0" fontId="99" fillId="0" borderId="82" xfId="0" applyFont="1" applyBorder="1" applyAlignment="1">
      <alignment horizontal="center" vertical="center" wrapText="1"/>
    </xf>
    <xf numFmtId="0" fontId="99" fillId="0" borderId="44" xfId="0" applyFont="1" applyBorder="1" applyAlignment="1">
      <alignment horizontal="center" vertical="center" wrapText="1"/>
    </xf>
    <xf numFmtId="0" fontId="99" fillId="0" borderId="73" xfId="0" applyFont="1" applyBorder="1" applyAlignment="1">
      <alignment horizontal="center" vertical="center" wrapText="1"/>
    </xf>
    <xf numFmtId="0" fontId="99" fillId="0" borderId="83" xfId="0" applyFont="1" applyBorder="1" applyAlignment="1">
      <alignment horizontal="center" vertical="center" wrapText="1"/>
    </xf>
    <xf numFmtId="0" fontId="99" fillId="0" borderId="41" xfId="0" applyFont="1" applyBorder="1" applyAlignment="1">
      <alignment horizontal="center" vertical="center" wrapText="1"/>
    </xf>
    <xf numFmtId="0" fontId="99" fillId="0" borderId="84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9" fillId="0" borderId="42" xfId="0" applyFont="1" applyBorder="1" applyAlignment="1">
      <alignment horizontal="center" vertical="center" wrapText="1"/>
    </xf>
    <xf numFmtId="0" fontId="99" fillId="0" borderId="85" xfId="0" applyFont="1" applyBorder="1" applyAlignment="1">
      <alignment horizontal="center" vertical="center" wrapText="1"/>
    </xf>
    <xf numFmtId="0" fontId="99" fillId="0" borderId="86" xfId="0" applyFont="1" applyBorder="1" applyAlignment="1">
      <alignment horizontal="center" vertical="center" wrapText="1"/>
    </xf>
    <xf numFmtId="0" fontId="99" fillId="0" borderId="43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7" xfId="0" applyFont="1" applyBorder="1" applyAlignment="1">
      <alignment horizontal="center" vertical="center"/>
    </xf>
    <xf numFmtId="0" fontId="99" fillId="0" borderId="47" xfId="0" applyFont="1" applyBorder="1" applyAlignment="1">
      <alignment horizontal="center" wrapText="1"/>
    </xf>
    <xf numFmtId="0" fontId="99" fillId="0" borderId="45" xfId="0" applyFont="1" applyBorder="1" applyAlignment="1">
      <alignment horizontal="center" wrapText="1"/>
    </xf>
    <xf numFmtId="0" fontId="114" fillId="0" borderId="0" xfId="0" applyFont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116" fillId="0" borderId="0" xfId="0" applyFont="1" applyBorder="1" applyAlignment="1">
      <alignment horizontal="center"/>
    </xf>
    <xf numFmtId="0" fontId="81" fillId="0" borderId="0" xfId="48" applyBorder="1" applyAlignment="1" quotePrefix="1">
      <alignment horizontal="center"/>
    </xf>
    <xf numFmtId="0" fontId="81" fillId="0" borderId="0" xfId="48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2 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3" xfId="55"/>
    <cellStyle name="Millares 2" xfId="56"/>
    <cellStyle name="Millares 2 2" xfId="57"/>
    <cellStyle name="Millares 4" xfId="58"/>
    <cellStyle name="Currency" xfId="59"/>
    <cellStyle name="Currency [0]" xfId="60"/>
    <cellStyle name="Neutral" xfId="61"/>
    <cellStyle name="Normal 2" xfId="62"/>
    <cellStyle name="Normal 4" xfId="63"/>
    <cellStyle name="Notas" xfId="64"/>
    <cellStyle name="Percent" xfId="65"/>
    <cellStyle name="Porcentaje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38100</xdr:rowOff>
    </xdr:from>
    <xdr:to>
      <xdr:col>0</xdr:col>
      <xdr:colOff>1276350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83</xdr:row>
      <xdr:rowOff>133350</xdr:rowOff>
    </xdr:from>
    <xdr:to>
      <xdr:col>5</xdr:col>
      <xdr:colOff>600075</xdr:colOff>
      <xdr:row>89</xdr:row>
      <xdr:rowOff>28575</xdr:rowOff>
    </xdr:to>
    <xdr:pic>
      <xdr:nvPicPr>
        <xdr:cNvPr id="1" name="Picture 3" descr="Línea de firma de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228725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77</xdr:row>
      <xdr:rowOff>28575</xdr:rowOff>
    </xdr:from>
    <xdr:to>
      <xdr:col>5</xdr:col>
      <xdr:colOff>676275</xdr:colOff>
      <xdr:row>82</xdr:row>
      <xdr:rowOff>0</xdr:rowOff>
    </xdr:to>
    <xdr:pic>
      <xdr:nvPicPr>
        <xdr:cNvPr id="2" name="Picture 4" descr="Línea de firma de Microsoft Office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11325225"/>
          <a:ext cx="1152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2266950</xdr:colOff>
      <xdr:row>77</xdr:row>
      <xdr:rowOff>95250</xdr:rowOff>
    </xdr:from>
    <xdr:to>
      <xdr:col>6</xdr:col>
      <xdr:colOff>933450</xdr:colOff>
      <xdr:row>82</xdr:row>
      <xdr:rowOff>95250</xdr:rowOff>
    </xdr:to>
    <xdr:pic>
      <xdr:nvPicPr>
        <xdr:cNvPr id="3" name="Picture 5" descr="Línea de firma de Microsoft Office..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139190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2314575</xdr:colOff>
      <xdr:row>84</xdr:row>
      <xdr:rowOff>28575</xdr:rowOff>
    </xdr:from>
    <xdr:to>
      <xdr:col>7</xdr:col>
      <xdr:colOff>114300</xdr:colOff>
      <xdr:row>89</xdr:row>
      <xdr:rowOff>57150</xdr:rowOff>
    </xdr:to>
    <xdr:pic>
      <xdr:nvPicPr>
        <xdr:cNvPr id="4" name="Picture 6" descr="Línea de firma de Microsoft Office..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1232535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positivapy-my.sharepoint.com/C:/Users/ROCIO-INV/Desktop/Informe%201er%20Semestre%2006-2018/Res%20173%20INVESTOR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positivapy-my.sharepoint.com/Users/claudia.davalos/Desktop/Archivos%20Balance%20Investor/Copia%20de%20ResoL.%20INVESTOR%20173%20%2012-2018%20-%20modificado%20por%20SS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istema_Jun_18"/>
      <sheetName val="CR Sistema_Jun_18"/>
      <sheetName val="activo pasivo"/>
      <sheetName val="Flujos de efectivo"/>
      <sheetName val="2018"/>
      <sheetName val="Balance General Resol 950"/>
      <sheetName val="Estado de Resultados Resol 950"/>
      <sheetName val="estado de resultado modificado"/>
      <sheetName val="Estado de Resultados Resol  (2)"/>
      <sheetName val="Balance General Resol 950 (2)"/>
      <sheetName val="Estado variacion PN"/>
      <sheetName val="anexos"/>
    </sheetNames>
    <sheetDataSet>
      <sheetData sheetId="5">
        <row r="18">
          <cell r="C18" t="str">
            <v>Documentos y  Cuentas a Cobrar</v>
          </cell>
        </row>
        <row r="21">
          <cell r="C21" t="str">
            <v>Cuentas por Cobrar a Personas y Emp. Relacionadas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Users\sadypereira\OneDrive%20-%20Inpositiva\Investor%20SA\Contabilidad\Balances%20Impositivos%20Anuales%20y%20DDJJ\BALANCE%20SEMESTRAL%20plantilla.dot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T69"/>
  <sheetViews>
    <sheetView showGridLines="0" zoomScale="150" zoomScaleNormal="150" zoomScalePageLayoutView="0" workbookViewId="0" topLeftCell="B1">
      <selection activeCell="D6" sqref="D6"/>
    </sheetView>
  </sheetViews>
  <sheetFormatPr defaultColWidth="11.28125" defaultRowHeight="15"/>
  <cols>
    <col min="1" max="1" width="21.28125" style="160" bestFit="1" customWidth="1"/>
    <col min="2" max="2" width="10.140625" style="160" bestFit="1" customWidth="1"/>
    <col min="3" max="3" width="43.8515625" style="160" customWidth="1"/>
    <col min="4" max="4" width="32.7109375" style="274" customWidth="1"/>
    <col min="5" max="5" width="49.8515625" style="160" bestFit="1" customWidth="1"/>
    <col min="6" max="6" width="6.7109375" style="160" bestFit="1" customWidth="1"/>
    <col min="7" max="16384" width="11.28125" style="160" customWidth="1"/>
  </cols>
  <sheetData>
    <row r="1" spans="2:4" ht="12.75">
      <c r="B1" s="293"/>
      <c r="C1" s="2" t="s">
        <v>0</v>
      </c>
      <c r="D1" s="160"/>
    </row>
    <row r="2" spans="3:20" ht="12.75">
      <c r="C2" s="2" t="s">
        <v>626</v>
      </c>
      <c r="S2" s="160">
        <v>1</v>
      </c>
      <c r="T2" s="160" t="s">
        <v>498</v>
      </c>
    </row>
    <row r="3" spans="19:20" ht="12.75">
      <c r="S3" s="160">
        <v>2</v>
      </c>
      <c r="T3" s="160" t="s">
        <v>497</v>
      </c>
    </row>
    <row r="4" spans="19:20" ht="12.75">
      <c r="S4" s="160">
        <v>3</v>
      </c>
      <c r="T4" s="160" t="s">
        <v>496</v>
      </c>
    </row>
    <row r="5" spans="19:20" ht="12.75">
      <c r="S5" s="160">
        <v>4</v>
      </c>
      <c r="T5" s="160" t="s">
        <v>495</v>
      </c>
    </row>
    <row r="6" spans="1:20" ht="12.75">
      <c r="A6" s="293" t="s">
        <v>494</v>
      </c>
      <c r="B6" s="292">
        <v>43951</v>
      </c>
      <c r="S6" s="160">
        <v>5</v>
      </c>
      <c r="T6" s="160" t="s">
        <v>493</v>
      </c>
    </row>
    <row r="7" spans="1:20" ht="12.75" customHeight="1" hidden="1">
      <c r="A7" s="291"/>
      <c r="B7" s="291"/>
      <c r="C7" s="291"/>
      <c r="D7" s="290"/>
      <c r="S7" s="160">
        <v>6</v>
      </c>
      <c r="T7" s="160" t="s">
        <v>492</v>
      </c>
    </row>
    <row r="8" spans="1:20" ht="12.75">
      <c r="A8" s="289"/>
      <c r="S8" s="160">
        <v>7</v>
      </c>
      <c r="T8" s="160" t="s">
        <v>491</v>
      </c>
    </row>
    <row r="9" spans="2:20" ht="26.25" customHeight="1">
      <c r="B9" s="288"/>
      <c r="C9" s="287" t="s">
        <v>490</v>
      </c>
      <c r="D9" s="286" t="s">
        <v>489</v>
      </c>
      <c r="S9" s="160">
        <v>8</v>
      </c>
      <c r="T9" s="160" t="s">
        <v>488</v>
      </c>
    </row>
    <row r="10" spans="2:4" ht="26.25" customHeight="1">
      <c r="B10" s="282" t="s">
        <v>662</v>
      </c>
      <c r="C10" s="329"/>
      <c r="D10" s="444" t="s">
        <v>842</v>
      </c>
    </row>
    <row r="11" spans="2:4" ht="26.25" customHeight="1">
      <c r="B11" s="280"/>
      <c r="C11" s="329"/>
      <c r="D11" s="284"/>
    </row>
    <row r="12" spans="2:20" ht="26.25" customHeight="1">
      <c r="B12" s="282" t="s">
        <v>661</v>
      </c>
      <c r="C12" s="285"/>
      <c r="D12" s="284"/>
      <c r="S12" s="160">
        <v>9</v>
      </c>
      <c r="T12" s="160" t="s">
        <v>487</v>
      </c>
    </row>
    <row r="13" spans="1:20" ht="15">
      <c r="A13" s="274"/>
      <c r="B13" s="280"/>
      <c r="C13" s="160" t="s">
        <v>484</v>
      </c>
      <c r="D13" s="281" t="s">
        <v>567</v>
      </c>
      <c r="S13" s="160">
        <v>10</v>
      </c>
      <c r="T13" s="160" t="s">
        <v>486</v>
      </c>
    </row>
    <row r="14" spans="1:20" ht="15">
      <c r="A14" s="274"/>
      <c r="B14" s="280"/>
      <c r="C14" s="160" t="s">
        <v>613</v>
      </c>
      <c r="D14" s="281" t="s">
        <v>607</v>
      </c>
      <c r="S14" s="160">
        <v>11</v>
      </c>
      <c r="T14" s="160" t="s">
        <v>485</v>
      </c>
    </row>
    <row r="15" spans="1:4" ht="15">
      <c r="A15" s="274"/>
      <c r="B15" s="280"/>
      <c r="C15" s="160" t="s">
        <v>614</v>
      </c>
      <c r="D15" s="281" t="s">
        <v>616</v>
      </c>
    </row>
    <row r="16" spans="1:4" ht="15">
      <c r="A16" s="274"/>
      <c r="B16" s="280"/>
      <c r="C16" s="160" t="s">
        <v>615</v>
      </c>
      <c r="D16" s="281" t="s">
        <v>607</v>
      </c>
    </row>
    <row r="17" spans="1:4" ht="15">
      <c r="A17" s="274"/>
      <c r="B17" s="280"/>
      <c r="C17" s="160" t="s">
        <v>617</v>
      </c>
      <c r="D17" s="281" t="s">
        <v>618</v>
      </c>
    </row>
    <row r="18" spans="1:4" ht="15">
      <c r="A18" s="274"/>
      <c r="B18" s="280"/>
      <c r="C18" s="160" t="s">
        <v>619</v>
      </c>
      <c r="D18" s="281" t="s">
        <v>620</v>
      </c>
    </row>
    <row r="19" spans="1:4" ht="15">
      <c r="A19" s="274"/>
      <c r="B19" s="280"/>
      <c r="C19" s="160" t="s">
        <v>621</v>
      </c>
      <c r="D19" s="281" t="s">
        <v>622</v>
      </c>
    </row>
    <row r="20" spans="1:4" ht="15">
      <c r="A20" s="274"/>
      <c r="B20" s="280"/>
      <c r="C20" s="160" t="s">
        <v>623</v>
      </c>
      <c r="D20" s="281"/>
    </row>
    <row r="21" spans="1:4" ht="15">
      <c r="A21" s="274"/>
      <c r="B21" s="280"/>
      <c r="C21" s="160" t="s">
        <v>624</v>
      </c>
      <c r="D21" s="281"/>
    </row>
    <row r="22" spans="1:4" ht="15">
      <c r="A22" s="274"/>
      <c r="B22" s="280"/>
      <c r="C22" s="160" t="s">
        <v>625</v>
      </c>
      <c r="D22" s="281"/>
    </row>
    <row r="23" spans="1:4" ht="15">
      <c r="A23" s="274"/>
      <c r="B23" s="280"/>
      <c r="D23" s="281"/>
    </row>
    <row r="24" spans="1:20" ht="15">
      <c r="A24" s="274"/>
      <c r="B24" s="282" t="s">
        <v>660</v>
      </c>
      <c r="D24" s="279"/>
      <c r="S24" s="160">
        <v>12</v>
      </c>
      <c r="T24" s="160" t="s">
        <v>483</v>
      </c>
    </row>
    <row r="25" spans="1:2" ht="12.75">
      <c r="A25" s="274"/>
      <c r="B25" s="280"/>
    </row>
    <row r="26" spans="1:4" ht="15">
      <c r="A26" s="274"/>
      <c r="B26" s="280"/>
      <c r="C26" s="342" t="s">
        <v>629</v>
      </c>
      <c r="D26" s="281" t="s">
        <v>627</v>
      </c>
    </row>
    <row r="27" spans="1:4" ht="15">
      <c r="A27" s="274"/>
      <c r="B27" s="280"/>
      <c r="C27" s="342" t="s">
        <v>630</v>
      </c>
      <c r="D27" s="281" t="s">
        <v>627</v>
      </c>
    </row>
    <row r="28" spans="1:4" ht="15">
      <c r="A28" s="274"/>
      <c r="B28" s="280"/>
      <c r="C28" s="342" t="s">
        <v>631</v>
      </c>
      <c r="D28" s="281" t="s">
        <v>627</v>
      </c>
    </row>
    <row r="29" spans="1:4" ht="15">
      <c r="A29" s="274"/>
      <c r="B29" s="280"/>
      <c r="C29" s="342" t="s">
        <v>632</v>
      </c>
      <c r="D29" s="281" t="s">
        <v>627</v>
      </c>
    </row>
    <row r="30" spans="1:4" ht="12.75">
      <c r="A30" s="274"/>
      <c r="B30" s="280"/>
      <c r="C30" s="342" t="s">
        <v>633</v>
      </c>
      <c r="D30" s="283"/>
    </row>
    <row r="31" spans="1:4" ht="15">
      <c r="A31" s="274"/>
      <c r="B31" s="280"/>
      <c r="C31" s="160" t="s">
        <v>634</v>
      </c>
      <c r="D31" s="341" t="s">
        <v>628</v>
      </c>
    </row>
    <row r="32" spans="1:4" ht="15">
      <c r="A32" s="274"/>
      <c r="B32" s="280"/>
      <c r="C32" s="160" t="s">
        <v>635</v>
      </c>
      <c r="D32" s="341" t="s">
        <v>628</v>
      </c>
    </row>
    <row r="33" spans="1:4" ht="15">
      <c r="A33" s="274"/>
      <c r="B33" s="280"/>
      <c r="C33" s="160" t="s">
        <v>636</v>
      </c>
      <c r="D33" s="341" t="s">
        <v>628</v>
      </c>
    </row>
    <row r="34" spans="1:4" ht="15">
      <c r="A34" s="274"/>
      <c r="B34" s="280"/>
      <c r="C34" s="160" t="s">
        <v>637</v>
      </c>
      <c r="D34" s="281" t="s">
        <v>672</v>
      </c>
    </row>
    <row r="35" spans="1:4" ht="15">
      <c r="A35" s="274"/>
      <c r="B35" s="280"/>
      <c r="C35" s="160" t="s">
        <v>638</v>
      </c>
      <c r="D35" s="281" t="s">
        <v>673</v>
      </c>
    </row>
    <row r="36" spans="1:4" ht="15">
      <c r="A36" s="274"/>
      <c r="B36" s="280"/>
      <c r="C36" s="160" t="s">
        <v>639</v>
      </c>
      <c r="D36" s="281" t="s">
        <v>674</v>
      </c>
    </row>
    <row r="37" spans="1:4" ht="15">
      <c r="A37" s="274"/>
      <c r="B37" s="280"/>
      <c r="C37" s="160" t="s">
        <v>640</v>
      </c>
      <c r="D37" s="281" t="s">
        <v>675</v>
      </c>
    </row>
    <row r="38" spans="1:4" ht="15">
      <c r="A38" s="274"/>
      <c r="B38" s="280"/>
      <c r="C38" s="160" t="s">
        <v>641</v>
      </c>
      <c r="D38" s="281" t="s">
        <v>676</v>
      </c>
    </row>
    <row r="39" spans="1:4" ht="15">
      <c r="A39" s="274"/>
      <c r="B39" s="280"/>
      <c r="C39" s="160" t="s">
        <v>642</v>
      </c>
      <c r="D39" s="281" t="s">
        <v>677</v>
      </c>
    </row>
    <row r="40" spans="1:4" ht="15">
      <c r="A40" s="274"/>
      <c r="B40" s="280"/>
      <c r="C40" s="160" t="s">
        <v>643</v>
      </c>
      <c r="D40" s="313" t="s">
        <v>678</v>
      </c>
    </row>
    <row r="41" spans="1:4" ht="15">
      <c r="A41" s="274"/>
      <c r="B41" s="280"/>
      <c r="C41" s="160" t="s">
        <v>644</v>
      </c>
      <c r="D41" s="281" t="s">
        <v>679</v>
      </c>
    </row>
    <row r="42" spans="1:4" ht="15">
      <c r="A42" s="274"/>
      <c r="B42" s="280"/>
      <c r="C42" s="160" t="s">
        <v>645</v>
      </c>
      <c r="D42" s="281" t="s">
        <v>680</v>
      </c>
    </row>
    <row r="43" spans="1:4" ht="15">
      <c r="A43" s="274"/>
      <c r="B43" s="280"/>
      <c r="C43" s="160" t="s">
        <v>646</v>
      </c>
      <c r="D43" s="281" t="s">
        <v>681</v>
      </c>
    </row>
    <row r="44" spans="1:4" ht="15">
      <c r="A44" s="274"/>
      <c r="B44" s="280"/>
      <c r="C44" s="160" t="s">
        <v>647</v>
      </c>
      <c r="D44" s="281" t="s">
        <v>681</v>
      </c>
    </row>
    <row r="45" spans="1:4" ht="15">
      <c r="A45" s="274"/>
      <c r="B45" s="280"/>
      <c r="C45" s="160" t="s">
        <v>648</v>
      </c>
      <c r="D45" s="281" t="s">
        <v>681</v>
      </c>
    </row>
    <row r="46" spans="1:4" ht="15">
      <c r="A46" s="274"/>
      <c r="B46" s="280"/>
      <c r="C46" s="160" t="s">
        <v>649</v>
      </c>
      <c r="D46" s="281" t="s">
        <v>681</v>
      </c>
    </row>
    <row r="47" spans="1:4" ht="15">
      <c r="A47" s="274"/>
      <c r="B47" s="280"/>
      <c r="C47" s="160" t="s">
        <v>650</v>
      </c>
      <c r="D47" s="281" t="s">
        <v>681</v>
      </c>
    </row>
    <row r="48" spans="1:4" ht="15">
      <c r="A48" s="274"/>
      <c r="B48" s="280"/>
      <c r="C48" s="160" t="s">
        <v>651</v>
      </c>
      <c r="D48" s="281" t="s">
        <v>682</v>
      </c>
    </row>
    <row r="49" spans="1:4" ht="15">
      <c r="A49" s="274"/>
      <c r="B49" s="280"/>
      <c r="C49" s="160" t="s">
        <v>652</v>
      </c>
      <c r="D49" s="281" t="s">
        <v>683</v>
      </c>
    </row>
    <row r="50" spans="1:4" ht="15">
      <c r="A50" s="274"/>
      <c r="B50" s="280"/>
      <c r="C50" s="160" t="s">
        <v>653</v>
      </c>
      <c r="D50" s="281" t="s">
        <v>684</v>
      </c>
    </row>
    <row r="51" spans="1:4" ht="15">
      <c r="A51" s="274"/>
      <c r="B51" s="280"/>
      <c r="C51" s="160" t="s">
        <v>654</v>
      </c>
      <c r="D51" s="281" t="s">
        <v>684</v>
      </c>
    </row>
    <row r="52" spans="1:4" ht="15">
      <c r="A52" s="274"/>
      <c r="B52" s="280"/>
      <c r="C52" s="160" t="s">
        <v>655</v>
      </c>
      <c r="D52" s="281" t="s">
        <v>685</v>
      </c>
    </row>
    <row r="53" spans="1:4" ht="15">
      <c r="A53" s="274"/>
      <c r="B53" s="282"/>
      <c r="C53" s="160" t="s">
        <v>656</v>
      </c>
      <c r="D53" s="281" t="s">
        <v>686</v>
      </c>
    </row>
    <row r="54" spans="1:4" ht="15">
      <c r="A54" s="274"/>
      <c r="B54" s="280"/>
      <c r="C54" s="160" t="s">
        <v>657</v>
      </c>
      <c r="D54" s="281" t="s">
        <v>687</v>
      </c>
    </row>
    <row r="55" spans="1:4" ht="15">
      <c r="A55" s="274"/>
      <c r="B55" s="280"/>
      <c r="C55" s="160" t="s">
        <v>658</v>
      </c>
      <c r="D55" s="281" t="s">
        <v>688</v>
      </c>
    </row>
    <row r="56" spans="1:4" ht="15">
      <c r="A56" s="274"/>
      <c r="B56" s="280"/>
      <c r="C56" s="160" t="s">
        <v>659</v>
      </c>
      <c r="D56" s="281" t="s">
        <v>689</v>
      </c>
    </row>
    <row r="57" spans="1:4" ht="15">
      <c r="A57" s="274"/>
      <c r="B57" s="280"/>
      <c r="D57" s="281"/>
    </row>
    <row r="58" spans="1:4" ht="15">
      <c r="A58" s="274"/>
      <c r="B58" s="280"/>
      <c r="C58" s="342" t="s">
        <v>663</v>
      </c>
      <c r="D58" s="343" t="s">
        <v>690</v>
      </c>
    </row>
    <row r="59" spans="1:4" ht="15">
      <c r="A59" s="274"/>
      <c r="B59" s="280"/>
      <c r="C59" s="160" t="s">
        <v>664</v>
      </c>
      <c r="D59" s="281"/>
    </row>
    <row r="60" spans="1:4" ht="15">
      <c r="A60" s="274"/>
      <c r="B60" s="280"/>
      <c r="C60" s="160" t="s">
        <v>665</v>
      </c>
      <c r="D60" s="281"/>
    </row>
    <row r="61" spans="1:4" ht="15">
      <c r="A61" s="274"/>
      <c r="B61" s="280"/>
      <c r="C61" s="160" t="s">
        <v>666</v>
      </c>
      <c r="D61" s="281"/>
    </row>
    <row r="62" spans="1:4" ht="15">
      <c r="A62" s="274"/>
      <c r="B62" s="280"/>
      <c r="C62" s="160" t="s">
        <v>667</v>
      </c>
      <c r="D62" s="281"/>
    </row>
    <row r="63" spans="1:4" ht="15">
      <c r="A63" s="274"/>
      <c r="B63" s="280"/>
      <c r="C63" s="160" t="s">
        <v>669</v>
      </c>
      <c r="D63" s="281"/>
    </row>
    <row r="64" spans="1:4" ht="15">
      <c r="A64" s="274"/>
      <c r="B64" s="280"/>
      <c r="C64" s="160" t="s">
        <v>668</v>
      </c>
      <c r="D64" s="281"/>
    </row>
    <row r="65" spans="1:4" ht="15">
      <c r="A65" s="274"/>
      <c r="B65" s="280"/>
      <c r="C65" s="160" t="s">
        <v>670</v>
      </c>
      <c r="D65" s="281"/>
    </row>
    <row r="66" spans="1:4" ht="15">
      <c r="A66" s="274"/>
      <c r="B66" s="280"/>
      <c r="C66" s="160" t="s">
        <v>671</v>
      </c>
      <c r="D66" s="281"/>
    </row>
    <row r="67" spans="1:4" ht="15">
      <c r="A67" s="274"/>
      <c r="B67" s="280"/>
      <c r="D67" s="281"/>
    </row>
    <row r="68" spans="1:4" ht="15">
      <c r="A68" s="274"/>
      <c r="B68" s="278"/>
      <c r="C68" s="277"/>
      <c r="D68" s="276"/>
    </row>
    <row r="69" spans="1:4" ht="21" customHeight="1">
      <c r="A69" s="170"/>
      <c r="D69" s="275"/>
    </row>
  </sheetData>
  <sheetProtection/>
  <hyperlinks>
    <hyperlink ref="D13" location="'Balance Gral. Resol. 1'!A1" display="'Balance Gral. Resol. 1'!A1"/>
    <hyperlink ref="D14" location="'Estado de Resultado Resol. 1'!A1" display="'Estado de Resultado Resol. 1'!A1"/>
    <hyperlink ref="D15" location="'Flujo de Efectivo Resol. 950'!A1" display="'Flujo de Efectivo Resol. 950'!A1"/>
    <hyperlink ref="D16" location="'Estado de Resultado Resol. 1'!A1" display="'Estado de Resultado Resol. 1'!A1"/>
    <hyperlink ref="D17" location="'CALCULO DE IRACIS (2019)'!A1" display="'CALCULO DE IRACIS (2019)'!A1"/>
    <hyperlink ref="D18" location="'Balance Final 15'!A1" display="'Balance Final 15'!A1"/>
    <hyperlink ref="D19" location="'2018 (2)'!A1" display="'2018 (2)'!A1"/>
    <hyperlink ref="D31" location="'NOTA 5 A-C CRITERIOS ESPECIF.'!A1" display="'NOTA 5 A-C CRITERIOS ESPECIF.'!A1"/>
    <hyperlink ref="D32" location="'NOTA 5 A-C CRITERIOS ESPECIF.'!A1" display="'NOTA 5 A-C CRITERIOS ESPECIF.'!A1"/>
    <hyperlink ref="D33" location="'NOTA 5 A-C CRITERIOS ESPECIF.'!A1" display="'NOTA 5 A-C CRITERIOS ESPECIF.'!A1"/>
    <hyperlink ref="D34" location="'NOTA D - DISPONIBILIDADES'!A1" display="'NOTA D - DISPONIBILIDADES'!A1"/>
    <hyperlink ref="D35" location="'NOTA E - INVERSIONES'!A1" display="'NOTA E - INVERSIONES'!A1"/>
    <hyperlink ref="D36" location="'NOTA F - CREDITOS'!A1" display="'NOTA F - CREDITOS'!A1"/>
    <hyperlink ref="D37" location="'NOTA G BIENES DE USO'!A1" display="'NOTA G BIENES DE USO'!A1"/>
    <hyperlink ref="D38" location="'NOTA H CARGOS DIFERIDOS'!A1" display="'NOTA H CARGOS DIFERIDOS'!A1"/>
    <hyperlink ref="D39" location="' NOTA I INTANGIBLES'!A1" display="' NOTA I INTANGIBLES'!A1"/>
    <hyperlink ref="D40" location="'NOTA J OTROS ACTIVOS CTES Y NO '!A1" display="'NOTA J OTROS ACTIVOS CTES Y NO '!A1"/>
    <hyperlink ref="D41" location="'NOTA K PRESTAMOS'!A1" display="'NOTA K PRESTAMOS'!A1"/>
    <hyperlink ref="D42" location="'NOTA L DOCUMENTOS Y CTAS A PAGA'!A1" display="'NOTA L DOCUMENTOS Y CTAS A PAGA'!A1"/>
    <hyperlink ref="D43" location="'NOTAS M-Q ACREEDORES CTO PLAZO'!A1" display="'NOTAS M-Q ACREEDORES CTO PLAZO'!A1"/>
    <hyperlink ref="D44" location="'NOTAS M-Q ACREEDORES CTO PLAZO'!A1" display="'NOTAS M-Q ACREEDORES CTO PLAZO'!A1"/>
    <hyperlink ref="D45" location="'NOTAS M-Q ACREEDORES CTO PLAZO'!A1" display="'NOTAS M-Q ACREEDORES CTO PLAZO'!A1"/>
    <hyperlink ref="D46" location="'NOTAS M-Q ACREEDORES CTO PLAZO'!A1" display="'NOTAS M-Q ACREEDORES CTO PLAZO'!A1"/>
    <hyperlink ref="D47" location="'NOTAS M-Q ACREEDORES CTO PLAZO'!A1" display="'NOTAS M-Q ACREEDORES CTO PLAZO'!A1"/>
    <hyperlink ref="D48" location="'NOTA R SALDOS Y TRANSACCIONES '!A1" display="'NOTA R SALDOS Y TRANSACCIONES '!A1"/>
    <hyperlink ref="D49" location="'NOTA S RESULTADOS CON PERSONAS'!A1" display="'NOTA S RESULTADOS CON PERSONAS'!A1"/>
    <hyperlink ref="D50" location="' NOTA T PATRIMONIO'!A1" display="' NOTA T PATRIMONIO'!A1"/>
    <hyperlink ref="D51" location="' NOTA T PATRIMONIO'!A1" display="' NOTA T PATRIMONIO'!A1"/>
    <hyperlink ref="D52" location="'NOTA V INGRESOS OPERATIVOS'!A1" display="'NOTA V INGRESOS OPERATIVOS'!A1"/>
    <hyperlink ref="D53" location="'NOTA W OTROS GASTOS OPERATIVOS'!A1" display="'NOTA W OTROS GASTOS OPERATIVOS'!A1"/>
    <hyperlink ref="D54" location="'NOTA X OTROS INGRESOS Y EGRESOS'!A1" display="'NOTA X OTROS INGRESOS Y EGRESOS'!A1"/>
    <hyperlink ref="D55" location="'NOTA Y RESULTADOS FINANCIEROS'!A1" display="'NOTA Y RESULTADOS FINANCIEROS'!A1"/>
    <hyperlink ref="D56" location="'NOTA Z RESULT EXTRAORD'!A1" display="'NOTA Z RESULT EXTRAORD'!A1"/>
    <hyperlink ref="D58" location="'NOTA 6 INFORMACION REFERENTE'!A1" display="'NOTA 6 INFORMACION REFERENTE'!A1"/>
    <hyperlink ref="D26" location="'NOTA A LOS ESTADOS CONTA. 1-4'!A1" display="'NOTA A LOS ESTADOS CONTA. 1-4'!A1"/>
    <hyperlink ref="D27:D29" location="'NOTA A LOS ESTADOS CONTA. 1-4'!A1" display="'NOTA A LOS ESTADOS CONTA. 1-4'!A1"/>
    <hyperlink ref="D10" r:id="rId1" display="Infome en Word.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52"/>
  <sheetViews>
    <sheetView showGridLines="0" zoomScalePageLayoutView="0" workbookViewId="0" topLeftCell="A31">
      <selection activeCell="B25" sqref="B25:D35"/>
    </sheetView>
  </sheetViews>
  <sheetFormatPr defaultColWidth="11.421875" defaultRowHeight="15"/>
  <cols>
    <col min="2" max="2" width="67.421875" style="0" customWidth="1"/>
    <col min="3" max="3" width="14.421875" style="0" bestFit="1" customWidth="1"/>
    <col min="4" max="4" width="22.8515625" style="0" bestFit="1" customWidth="1"/>
    <col min="6" max="6" width="13.28125" style="0" bestFit="1" customWidth="1"/>
    <col min="7" max="7" width="14.140625" style="0" customWidth="1"/>
  </cols>
  <sheetData>
    <row r="3" ht="15">
      <c r="B3" s="104" t="s">
        <v>479</v>
      </c>
    </row>
    <row r="4" ht="15">
      <c r="B4" s="102"/>
    </row>
    <row r="5" ht="25.5">
      <c r="B5" s="102" t="s">
        <v>561</v>
      </c>
    </row>
    <row r="8" spans="2:6" ht="15">
      <c r="B8" s="454" t="s">
        <v>299</v>
      </c>
      <c r="C8" s="454"/>
      <c r="D8" s="454"/>
      <c r="E8" s="160"/>
      <c r="F8" s="160"/>
    </row>
    <row r="9" spans="2:6" ht="15">
      <c r="B9" s="464" t="s">
        <v>300</v>
      </c>
      <c r="C9" s="465"/>
      <c r="D9" s="466"/>
      <c r="E9" s="160"/>
      <c r="F9" s="160"/>
    </row>
    <row r="10" spans="2:8" ht="25.5">
      <c r="B10" s="109" t="s">
        <v>246</v>
      </c>
      <c r="C10" s="109" t="s">
        <v>301</v>
      </c>
      <c r="D10" s="109" t="s">
        <v>302</v>
      </c>
      <c r="E10" s="161"/>
      <c r="F10" s="161"/>
      <c r="G10" s="162"/>
      <c r="H10" s="162"/>
    </row>
    <row r="11" spans="2:6" ht="15">
      <c r="B11" s="163" t="s">
        <v>303</v>
      </c>
      <c r="C11" s="110">
        <v>470034084.22019994</v>
      </c>
      <c r="D11" s="164">
        <v>0</v>
      </c>
      <c r="E11" s="160"/>
      <c r="F11" s="160"/>
    </row>
    <row r="12" spans="2:6" ht="15">
      <c r="B12" s="163" t="s">
        <v>304</v>
      </c>
      <c r="C12" s="110">
        <v>749117492</v>
      </c>
      <c r="D12" s="164">
        <v>0</v>
      </c>
      <c r="E12" s="160"/>
      <c r="F12" s="160"/>
    </row>
    <row r="13" spans="2:6" ht="15">
      <c r="B13" s="165" t="s">
        <v>557</v>
      </c>
      <c r="C13" s="112">
        <f>+C11+C12</f>
        <v>1219151576.2202</v>
      </c>
      <c r="D13" s="164">
        <v>0</v>
      </c>
      <c r="E13" s="166"/>
      <c r="F13" s="167"/>
    </row>
    <row r="14" spans="2:6" ht="15">
      <c r="B14" s="165" t="s">
        <v>556</v>
      </c>
      <c r="C14" s="112">
        <v>1426072361</v>
      </c>
      <c r="D14" s="304">
        <v>0</v>
      </c>
      <c r="E14" s="160"/>
      <c r="F14" s="160"/>
    </row>
    <row r="15" spans="2:6" ht="15">
      <c r="B15" s="168"/>
      <c r="C15" s="169"/>
      <c r="D15" s="170"/>
      <c r="E15" s="160"/>
      <c r="F15" s="167"/>
    </row>
    <row r="16" spans="2:4" ht="15">
      <c r="B16" s="454" t="str">
        <f>+'[2]Balance General Resol 950'!$C$18</f>
        <v>Documentos y  Cuentas a Cobrar</v>
      </c>
      <c r="C16" s="454"/>
      <c r="D16" s="454"/>
    </row>
    <row r="17" spans="2:4" ht="15">
      <c r="B17" s="464" t="s">
        <v>300</v>
      </c>
      <c r="C17" s="465"/>
      <c r="D17" s="466"/>
    </row>
    <row r="18" spans="2:4" ht="25.5">
      <c r="B18" s="109" t="s">
        <v>246</v>
      </c>
      <c r="C18" s="109" t="s">
        <v>301</v>
      </c>
      <c r="D18" s="109" t="s">
        <v>302</v>
      </c>
    </row>
    <row r="19" spans="2:4" ht="15">
      <c r="B19" s="163" t="s">
        <v>305</v>
      </c>
      <c r="C19" s="110">
        <v>1170677185</v>
      </c>
      <c r="D19" s="164">
        <v>0</v>
      </c>
    </row>
    <row r="20" spans="2:4" ht="15">
      <c r="B20" s="163" t="s">
        <v>306</v>
      </c>
      <c r="C20" s="305">
        <v>0</v>
      </c>
      <c r="D20" s="164">
        <v>0</v>
      </c>
    </row>
    <row r="21" spans="2:4" ht="15">
      <c r="B21" s="163" t="s">
        <v>240</v>
      </c>
      <c r="C21" s="110">
        <f>252286046+9808850</f>
        <v>262094896</v>
      </c>
      <c r="D21" s="164">
        <v>0</v>
      </c>
    </row>
    <row r="22" spans="2:7" ht="15">
      <c r="B22" s="165" t="s">
        <v>557</v>
      </c>
      <c r="C22" s="112">
        <f>SUM(C19:C21)</f>
        <v>1432772081</v>
      </c>
      <c r="D22" s="164">
        <v>0</v>
      </c>
      <c r="F22" s="235"/>
      <c r="G22" s="235"/>
    </row>
    <row r="23" spans="2:4" ht="15">
      <c r="B23" s="165" t="s">
        <v>556</v>
      </c>
      <c r="C23" s="112">
        <v>1338571715</v>
      </c>
      <c r="D23" s="164">
        <v>0</v>
      </c>
    </row>
    <row r="24" spans="2:4" ht="15">
      <c r="B24" s="171"/>
      <c r="C24" s="172"/>
      <c r="D24" s="172"/>
    </row>
    <row r="25" spans="2:4" ht="15">
      <c r="B25" s="454" t="str">
        <f>+'[2]Balance General Resol 950'!$C$21</f>
        <v>Cuentas por Cobrar a Personas y Emp. Relacionadas</v>
      </c>
      <c r="C25" s="454"/>
      <c r="D25" s="454"/>
    </row>
    <row r="26" spans="2:4" ht="15">
      <c r="B26" s="464" t="s">
        <v>300</v>
      </c>
      <c r="C26" s="465"/>
      <c r="D26" s="466"/>
    </row>
    <row r="27" spans="2:4" ht="25.5">
      <c r="B27" s="109" t="s">
        <v>246</v>
      </c>
      <c r="C27" s="109" t="s">
        <v>301</v>
      </c>
      <c r="D27" s="109" t="s">
        <v>302</v>
      </c>
    </row>
    <row r="28" spans="2:5" ht="15">
      <c r="B28" s="163" t="s">
        <v>307</v>
      </c>
      <c r="C28" s="110">
        <v>0</v>
      </c>
      <c r="D28" s="164">
        <v>0</v>
      </c>
      <c r="E28" s="173"/>
    </row>
    <row r="29" spans="2:4" ht="15">
      <c r="B29" s="163" t="s">
        <v>308</v>
      </c>
      <c r="C29" s="306">
        <v>1396573129.5684001</v>
      </c>
      <c r="D29" s="164">
        <v>0</v>
      </c>
    </row>
    <row r="30" spans="2:4" ht="15">
      <c r="B30" s="163" t="s">
        <v>309</v>
      </c>
      <c r="C30" s="306">
        <v>0</v>
      </c>
      <c r="D30" s="164">
        <v>0</v>
      </c>
    </row>
    <row r="31" spans="2:4" ht="15">
      <c r="B31" s="163" t="s">
        <v>310</v>
      </c>
      <c r="C31" s="307">
        <v>0</v>
      </c>
      <c r="D31" s="164">
        <v>0</v>
      </c>
    </row>
    <row r="32" spans="2:4" ht="15">
      <c r="B32" s="163" t="s">
        <v>311</v>
      </c>
      <c r="C32" s="307">
        <v>0</v>
      </c>
      <c r="D32" s="164">
        <v>0</v>
      </c>
    </row>
    <row r="33" spans="2:4" ht="15">
      <c r="B33" s="163" t="s">
        <v>312</v>
      </c>
      <c r="C33" s="306">
        <v>0</v>
      </c>
      <c r="D33" s="164">
        <v>0</v>
      </c>
    </row>
    <row r="34" spans="2:6" ht="15">
      <c r="B34" s="165" t="s">
        <v>557</v>
      </c>
      <c r="C34" s="112">
        <f>SUM(C28:C33)</f>
        <v>1396573129.5684001</v>
      </c>
      <c r="D34" s="164">
        <v>0</v>
      </c>
      <c r="F34" t="s">
        <v>313</v>
      </c>
    </row>
    <row r="35" spans="2:4" ht="15">
      <c r="B35" s="165" t="s">
        <v>556</v>
      </c>
      <c r="C35" s="112">
        <v>640897966</v>
      </c>
      <c r="D35" s="164">
        <v>0</v>
      </c>
    </row>
    <row r="36" spans="2:4" ht="15">
      <c r="B36" s="171"/>
      <c r="C36" s="174"/>
      <c r="D36" s="172"/>
    </row>
    <row r="37" spans="2:4" ht="15">
      <c r="B37" s="454" t="s">
        <v>39</v>
      </c>
      <c r="C37" s="454"/>
      <c r="D37" s="454"/>
    </row>
    <row r="38" spans="2:4" ht="15">
      <c r="B38" s="464" t="s">
        <v>300</v>
      </c>
      <c r="C38" s="465"/>
      <c r="D38" s="466"/>
    </row>
    <row r="39" spans="2:4" ht="25.5">
      <c r="B39" s="109" t="s">
        <v>246</v>
      </c>
      <c r="C39" s="109" t="s">
        <v>301</v>
      </c>
      <c r="D39" s="109" t="s">
        <v>302</v>
      </c>
    </row>
    <row r="40" spans="2:4" ht="15">
      <c r="B40" s="163" t="s">
        <v>243</v>
      </c>
      <c r="C40" s="110">
        <v>10849315</v>
      </c>
      <c r="D40" s="164">
        <v>0</v>
      </c>
    </row>
    <row r="41" spans="2:4" ht="15">
      <c r="B41" s="165" t="s">
        <v>557</v>
      </c>
      <c r="C41" s="304">
        <f>SUM(C39:C40)</f>
        <v>10849315</v>
      </c>
      <c r="D41" s="164">
        <v>0</v>
      </c>
    </row>
    <row r="42" spans="2:4" ht="15">
      <c r="B42" s="165" t="s">
        <v>556</v>
      </c>
      <c r="C42" s="308">
        <v>384112303</v>
      </c>
      <c r="D42" s="309">
        <v>2536240599</v>
      </c>
    </row>
    <row r="43" ht="15">
      <c r="B43" s="175"/>
    </row>
    <row r="44" ht="15">
      <c r="B44" s="175"/>
    </row>
    <row r="45" ht="15">
      <c r="B45" s="175"/>
    </row>
    <row r="46" ht="15.75" thickBot="1">
      <c r="B46" s="175" t="s">
        <v>314</v>
      </c>
    </row>
    <row r="47" spans="2:8" ht="15">
      <c r="B47" s="467" t="s">
        <v>259</v>
      </c>
      <c r="C47" s="467" t="s">
        <v>315</v>
      </c>
      <c r="D47" s="467" t="s">
        <v>316</v>
      </c>
      <c r="E47" s="176" t="s">
        <v>256</v>
      </c>
      <c r="F47" s="176" t="s">
        <v>317</v>
      </c>
      <c r="G47" s="467" t="s">
        <v>318</v>
      </c>
      <c r="H47" s="467"/>
    </row>
    <row r="48" spans="2:8" ht="25.5">
      <c r="B48" s="468"/>
      <c r="C48" s="468"/>
      <c r="D48" s="468"/>
      <c r="E48" s="177" t="s">
        <v>319</v>
      </c>
      <c r="F48" s="177" t="s">
        <v>320</v>
      </c>
      <c r="G48" s="468"/>
      <c r="H48" s="468"/>
    </row>
    <row r="49" spans="2:8" ht="26.25" thickBot="1">
      <c r="B49" s="469"/>
      <c r="C49" s="469"/>
      <c r="D49" s="469"/>
      <c r="E49" s="178"/>
      <c r="F49" s="179" t="s">
        <v>321</v>
      </c>
      <c r="G49" s="469"/>
      <c r="H49" s="469"/>
    </row>
    <row r="50" spans="2:8" ht="15.75" thickBot="1">
      <c r="B50" s="180"/>
      <c r="C50" s="470" t="s">
        <v>322</v>
      </c>
      <c r="D50" s="471"/>
      <c r="E50" s="471"/>
      <c r="F50" s="471"/>
      <c r="G50" s="472"/>
      <c r="H50" s="177"/>
    </row>
    <row r="51" spans="2:8" ht="15.75" thickBot="1">
      <c r="B51" s="180" t="s">
        <v>323</v>
      </c>
      <c r="C51" s="473"/>
      <c r="D51" s="474"/>
      <c r="E51" s="474"/>
      <c r="F51" s="474"/>
      <c r="G51" s="475"/>
      <c r="H51" s="181"/>
    </row>
    <row r="52" spans="2:8" ht="15.75" thickBot="1">
      <c r="B52" s="180" t="s">
        <v>324</v>
      </c>
      <c r="C52" s="476"/>
      <c r="D52" s="477"/>
      <c r="E52" s="477"/>
      <c r="F52" s="477"/>
      <c r="G52" s="478"/>
      <c r="H52" s="182"/>
    </row>
  </sheetData>
  <sheetProtection/>
  <mergeCells count="14">
    <mergeCell ref="G47:G49"/>
    <mergeCell ref="H47:H49"/>
    <mergeCell ref="C50:G52"/>
    <mergeCell ref="B37:D37"/>
    <mergeCell ref="B38:D38"/>
    <mergeCell ref="B47:B49"/>
    <mergeCell ref="C47:C49"/>
    <mergeCell ref="D47:D49"/>
    <mergeCell ref="B26:D26"/>
    <mergeCell ref="B8:D8"/>
    <mergeCell ref="B9:D9"/>
    <mergeCell ref="B16:D16"/>
    <mergeCell ref="B17:D17"/>
    <mergeCell ref="B25:D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24"/>
  <sheetViews>
    <sheetView showGridLines="0" zoomScalePageLayoutView="0" workbookViewId="0" topLeftCell="A1">
      <selection activeCell="E17" sqref="E17"/>
    </sheetView>
  </sheetViews>
  <sheetFormatPr defaultColWidth="11.421875" defaultRowHeight="15"/>
  <cols>
    <col min="1" max="1" width="2.421875" style="0" customWidth="1"/>
    <col min="2" max="2" width="32.7109375" style="0" bestFit="1" customWidth="1"/>
    <col min="3" max="3" width="14.7109375" style="0" bestFit="1" customWidth="1"/>
    <col min="4" max="4" width="17.00390625" style="0" bestFit="1" customWidth="1"/>
    <col min="5" max="5" width="17.140625" style="0" bestFit="1" customWidth="1"/>
    <col min="6" max="6" width="10.28125" style="0" bestFit="1" customWidth="1"/>
    <col min="7" max="7" width="13.8515625" style="0" bestFit="1" customWidth="1"/>
    <col min="8" max="8" width="13.421875" style="0" customWidth="1"/>
    <col min="9" max="9" width="11.421875" style="0" bestFit="1" customWidth="1"/>
    <col min="10" max="10" width="14.00390625" style="0" bestFit="1" customWidth="1"/>
    <col min="11" max="11" width="9.140625" style="0" bestFit="1" customWidth="1"/>
    <col min="12" max="12" width="14.28125" style="0" customWidth="1"/>
    <col min="13" max="13" width="13.8515625" style="0" bestFit="1" customWidth="1"/>
    <col min="14" max="14" width="13.7109375" style="0" bestFit="1" customWidth="1"/>
  </cols>
  <sheetData>
    <row r="2" ht="15">
      <c r="C2" s="107"/>
    </row>
    <row r="3" ht="15">
      <c r="C3" s="192" t="s">
        <v>480</v>
      </c>
    </row>
    <row r="4" spans="2:13" s="99" customFormat="1" ht="20.25" customHeight="1">
      <c r="B4" s="183"/>
      <c r="C4" s="479" t="s">
        <v>325</v>
      </c>
      <c r="D4" s="480"/>
      <c r="E4" s="480"/>
      <c r="F4" s="480"/>
      <c r="G4" s="480"/>
      <c r="H4" s="479" t="s">
        <v>326</v>
      </c>
      <c r="I4" s="480"/>
      <c r="J4" s="480"/>
      <c r="K4" s="480"/>
      <c r="L4" s="480"/>
      <c r="M4" s="481"/>
    </row>
    <row r="5" spans="2:13" ht="38.25">
      <c r="B5" s="109" t="s">
        <v>238</v>
      </c>
      <c r="C5" s="184" t="s">
        <v>327</v>
      </c>
      <c r="D5" s="109" t="s">
        <v>328</v>
      </c>
      <c r="E5" s="109" t="s">
        <v>329</v>
      </c>
      <c r="F5" s="109" t="s">
        <v>330</v>
      </c>
      <c r="G5" s="109" t="s">
        <v>331</v>
      </c>
      <c r="H5" s="109" t="s">
        <v>332</v>
      </c>
      <c r="I5" s="109" t="s">
        <v>328</v>
      </c>
      <c r="J5" s="109" t="s">
        <v>329</v>
      </c>
      <c r="K5" s="109" t="s">
        <v>330</v>
      </c>
      <c r="L5" s="109" t="s">
        <v>333</v>
      </c>
      <c r="M5" s="109" t="s">
        <v>334</v>
      </c>
    </row>
    <row r="6" spans="2:15" ht="15">
      <c r="B6" s="185" t="s">
        <v>335</v>
      </c>
      <c r="C6" s="305">
        <v>338715736</v>
      </c>
      <c r="D6" s="305">
        <v>114153570</v>
      </c>
      <c r="E6" s="305">
        <v>0</v>
      </c>
      <c r="F6" s="305">
        <v>0</v>
      </c>
      <c r="G6" s="305">
        <f>+C6+D6-E6+F6</f>
        <v>452869306</v>
      </c>
      <c r="H6" s="305">
        <v>56617586.030777</v>
      </c>
      <c r="I6" s="187">
        <v>35476324.07635446</v>
      </c>
      <c r="J6" s="187">
        <v>0</v>
      </c>
      <c r="K6" s="187">
        <v>0</v>
      </c>
      <c r="L6" s="305">
        <v>92093910.10713145</v>
      </c>
      <c r="M6" s="305">
        <f>+G6-L6</f>
        <v>360775395.8928685</v>
      </c>
      <c r="N6" s="188"/>
      <c r="O6" s="188"/>
    </row>
    <row r="7" spans="2:13" ht="15">
      <c r="B7" s="116" t="s">
        <v>336</v>
      </c>
      <c r="C7" s="305">
        <v>94787071</v>
      </c>
      <c r="D7" s="305">
        <v>116170139</v>
      </c>
      <c r="E7" s="305">
        <v>0</v>
      </c>
      <c r="F7" s="305">
        <v>0</v>
      </c>
      <c r="G7" s="305">
        <f aca="true" t="shared" si="0" ref="G7:G14">+C7+D7-E7+F7</f>
        <v>210957210</v>
      </c>
      <c r="H7" s="187">
        <v>0</v>
      </c>
      <c r="I7" s="187">
        <v>19490136.496434197</v>
      </c>
      <c r="J7" s="187">
        <v>0</v>
      </c>
      <c r="K7" s="187">
        <v>0</v>
      </c>
      <c r="L7" s="187">
        <v>19490136.496434197</v>
      </c>
      <c r="M7" s="305">
        <f aca="true" t="shared" si="1" ref="M7:M14">+G7-L7</f>
        <v>191467073.5035658</v>
      </c>
    </row>
    <row r="8" spans="2:13" ht="15">
      <c r="B8" s="116" t="s">
        <v>337</v>
      </c>
      <c r="C8" s="305">
        <v>7034525</v>
      </c>
      <c r="D8" s="305">
        <v>23906</v>
      </c>
      <c r="E8" s="305">
        <v>0</v>
      </c>
      <c r="F8" s="305">
        <v>0</v>
      </c>
      <c r="G8" s="305">
        <f t="shared" si="0"/>
        <v>7058431</v>
      </c>
      <c r="H8" s="305">
        <v>3067377.174916555</v>
      </c>
      <c r="I8" s="187">
        <v>663860.6834326593</v>
      </c>
      <c r="J8" s="187">
        <v>0</v>
      </c>
      <c r="K8" s="187">
        <v>0</v>
      </c>
      <c r="L8" s="305">
        <v>3731237.8583492143</v>
      </c>
      <c r="M8" s="305">
        <f t="shared" si="1"/>
        <v>3327193.1416507857</v>
      </c>
    </row>
    <row r="9" spans="2:14" ht="15">
      <c r="B9" s="116" t="s">
        <v>338</v>
      </c>
      <c r="C9" s="305">
        <v>12499292</v>
      </c>
      <c r="D9" s="305">
        <v>18659281</v>
      </c>
      <c r="E9" s="305">
        <v>0</v>
      </c>
      <c r="F9" s="305">
        <v>0</v>
      </c>
      <c r="G9" s="305">
        <f t="shared" si="0"/>
        <v>31158573</v>
      </c>
      <c r="H9" s="305">
        <v>7283978.440792741</v>
      </c>
      <c r="I9" s="187">
        <v>1351828.8679584581</v>
      </c>
      <c r="J9" s="187">
        <v>0</v>
      </c>
      <c r="K9" s="187">
        <v>0</v>
      </c>
      <c r="L9" s="305">
        <v>8635807.3087512</v>
      </c>
      <c r="M9" s="305">
        <f t="shared" si="1"/>
        <v>22522765.6912488</v>
      </c>
      <c r="N9" s="188"/>
    </row>
    <row r="10" spans="2:13" ht="15">
      <c r="B10" s="116" t="s">
        <v>339</v>
      </c>
      <c r="C10" s="305">
        <v>246577076</v>
      </c>
      <c r="D10" s="305">
        <v>11062805</v>
      </c>
      <c r="E10" s="305"/>
      <c r="F10" s="305">
        <v>0</v>
      </c>
      <c r="G10" s="305">
        <f t="shared" si="0"/>
        <v>257639881</v>
      </c>
      <c r="H10" s="305">
        <v>129277485.81295182</v>
      </c>
      <c r="I10" s="187">
        <v>37705463.42394258</v>
      </c>
      <c r="J10" s="187">
        <v>0</v>
      </c>
      <c r="K10" s="187">
        <v>0</v>
      </c>
      <c r="L10" s="305">
        <v>166982949.2368944</v>
      </c>
      <c r="M10" s="305">
        <f t="shared" si="1"/>
        <v>90656931.7631056</v>
      </c>
    </row>
    <row r="11" spans="2:13" ht="15">
      <c r="B11" s="116" t="s">
        <v>563</v>
      </c>
      <c r="C11" s="305">
        <v>10660520979</v>
      </c>
      <c r="D11" s="305">
        <v>0</v>
      </c>
      <c r="E11" s="187">
        <v>8707129079</v>
      </c>
      <c r="F11" s="187">
        <v>0</v>
      </c>
      <c r="G11" s="305">
        <f t="shared" si="0"/>
        <v>1953391900</v>
      </c>
      <c r="H11" s="187">
        <v>31867918</v>
      </c>
      <c r="I11" s="187">
        <v>0</v>
      </c>
      <c r="J11" s="187">
        <v>0</v>
      </c>
      <c r="K11" s="187">
        <v>0</v>
      </c>
      <c r="L11" s="305">
        <v>31867918</v>
      </c>
      <c r="M11" s="305">
        <f t="shared" si="1"/>
        <v>1921523982</v>
      </c>
    </row>
    <row r="12" spans="2:13" ht="15">
      <c r="B12" s="116" t="s">
        <v>562</v>
      </c>
      <c r="C12" s="305"/>
      <c r="D12" s="305">
        <v>9804433363</v>
      </c>
      <c r="E12" s="187"/>
      <c r="F12" s="187"/>
      <c r="G12" s="305">
        <f t="shared" si="0"/>
        <v>9804433363</v>
      </c>
      <c r="H12" s="187"/>
      <c r="I12" s="187">
        <v>0</v>
      </c>
      <c r="J12" s="187">
        <v>0</v>
      </c>
      <c r="K12" s="187">
        <v>0</v>
      </c>
      <c r="L12" s="305">
        <v>0</v>
      </c>
      <c r="M12" s="305">
        <f>+G12+L12</f>
        <v>9804433363</v>
      </c>
    </row>
    <row r="13" spans="2:13" ht="15">
      <c r="B13" s="116" t="s">
        <v>340</v>
      </c>
      <c r="C13" s="305">
        <v>138617860</v>
      </c>
      <c r="D13" s="187">
        <v>0</v>
      </c>
      <c r="E13" s="187">
        <v>138617860</v>
      </c>
      <c r="F13" s="187">
        <v>0</v>
      </c>
      <c r="G13" s="305">
        <f t="shared" si="0"/>
        <v>0</v>
      </c>
      <c r="H13" s="305">
        <v>73461779</v>
      </c>
      <c r="I13" s="187">
        <v>0</v>
      </c>
      <c r="J13" s="187">
        <f>+H13</f>
        <v>73461779</v>
      </c>
      <c r="K13" s="187">
        <v>0</v>
      </c>
      <c r="L13" s="187">
        <v>0</v>
      </c>
      <c r="M13" s="305">
        <f>+G13+L13</f>
        <v>0</v>
      </c>
    </row>
    <row r="14" spans="2:13" ht="15">
      <c r="B14" s="116" t="s">
        <v>341</v>
      </c>
      <c r="C14" s="311"/>
      <c r="D14" s="110">
        <v>3492819</v>
      </c>
      <c r="E14" s="310"/>
      <c r="F14" s="310"/>
      <c r="G14" s="110">
        <f t="shared" si="0"/>
        <v>3492819</v>
      </c>
      <c r="H14" s="187">
        <v>0</v>
      </c>
      <c r="I14" s="187">
        <v>0</v>
      </c>
      <c r="J14" s="186">
        <v>0</v>
      </c>
      <c r="K14" s="186">
        <v>0</v>
      </c>
      <c r="L14" s="187">
        <f>+H14+I14</f>
        <v>0</v>
      </c>
      <c r="M14" s="110">
        <f t="shared" si="1"/>
        <v>3492819</v>
      </c>
    </row>
    <row r="15" spans="2:15" ht="15">
      <c r="B15" s="165" t="s">
        <v>557</v>
      </c>
      <c r="C15" s="112">
        <f>SUM(C6:C14)</f>
        <v>11498752539</v>
      </c>
      <c r="D15" s="112">
        <f>SUM(D6:D14)</f>
        <v>10067995883</v>
      </c>
      <c r="E15" s="186">
        <v>0</v>
      </c>
      <c r="F15" s="186">
        <v>0</v>
      </c>
      <c r="G15" s="112">
        <f>SUM(G6:G14)</f>
        <v>12721001483</v>
      </c>
      <c r="H15" s="112">
        <f>SUM(H6:H14)</f>
        <v>301576124.4594381</v>
      </c>
      <c r="I15" s="112">
        <f>SUM(I6:I14)</f>
        <v>94687613.54812235</v>
      </c>
      <c r="J15" s="186">
        <v>0</v>
      </c>
      <c r="K15" s="186">
        <v>0</v>
      </c>
      <c r="L15" s="112">
        <f>SUM(L6:L14)</f>
        <v>322801959.0075605</v>
      </c>
      <c r="M15" s="112">
        <f>SUM(M6:M14)</f>
        <v>12398199523.99244</v>
      </c>
      <c r="N15" s="188"/>
      <c r="O15" s="188"/>
    </row>
    <row r="16" spans="2:14" ht="15">
      <c r="B16" s="165" t="s">
        <v>556</v>
      </c>
      <c r="C16" s="112">
        <v>3638073173</v>
      </c>
      <c r="D16" s="112">
        <v>7860679366</v>
      </c>
      <c r="E16" s="310">
        <v>0</v>
      </c>
      <c r="F16" s="112">
        <v>0</v>
      </c>
      <c r="G16" s="112">
        <v>11498752539</v>
      </c>
      <c r="H16" s="112">
        <v>212000132</v>
      </c>
      <c r="I16" s="112">
        <v>89575992.86277086</v>
      </c>
      <c r="J16" s="310">
        <v>0</v>
      </c>
      <c r="K16" s="310">
        <v>0</v>
      </c>
      <c r="L16" s="112">
        <v>301576124.86277086</v>
      </c>
      <c r="M16" s="112">
        <v>11197176414.137228</v>
      </c>
      <c r="N16" s="188"/>
    </row>
    <row r="17" ht="15">
      <c r="G17" s="188"/>
    </row>
    <row r="18" spans="5:7" ht="15">
      <c r="E18" s="188"/>
      <c r="G18" s="188"/>
    </row>
    <row r="21" spans="4:7" ht="15">
      <c r="D21" s="190"/>
      <c r="F21" s="188"/>
      <c r="G21" s="188"/>
    </row>
    <row r="22" spans="4:7" ht="15">
      <c r="D22" s="190"/>
      <c r="E22" s="188"/>
      <c r="G22" s="188"/>
    </row>
    <row r="23" ht="15">
      <c r="D23" s="191"/>
    </row>
    <row r="24" ht="15">
      <c r="D24" s="188"/>
    </row>
  </sheetData>
  <sheetProtection/>
  <mergeCells count="2">
    <mergeCell ref="C4:G4"/>
    <mergeCell ref="H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9"/>
  <sheetViews>
    <sheetView showGridLines="0" zoomScalePageLayoutView="0" workbookViewId="0" topLeftCell="A1">
      <selection activeCell="B5" sqref="B5:F9"/>
    </sheetView>
  </sheetViews>
  <sheetFormatPr defaultColWidth="11.421875" defaultRowHeight="15"/>
  <cols>
    <col min="1" max="1" width="6.421875" style="0" customWidth="1"/>
    <col min="2" max="2" width="20.421875" style="0" bestFit="1" customWidth="1"/>
    <col min="3" max="4" width="15.00390625" style="0" customWidth="1"/>
    <col min="5" max="5" width="17.7109375" style="0" bestFit="1" customWidth="1"/>
    <col min="6" max="6" width="19.140625" style="0" bestFit="1" customWidth="1"/>
    <col min="7" max="7" width="15.421875" style="0" bestFit="1" customWidth="1"/>
  </cols>
  <sheetData>
    <row r="2" ht="15">
      <c r="B2" s="196" t="s">
        <v>346</v>
      </c>
    </row>
    <row r="5" spans="2:6" ht="15">
      <c r="B5" s="193" t="s">
        <v>246</v>
      </c>
      <c r="C5" s="193" t="s">
        <v>342</v>
      </c>
      <c r="D5" s="193" t="s">
        <v>343</v>
      </c>
      <c r="E5" s="193" t="s">
        <v>344</v>
      </c>
      <c r="F5" s="193" t="s">
        <v>345</v>
      </c>
    </row>
    <row r="6" spans="2:8" ht="15">
      <c r="B6" s="116" t="s">
        <v>242</v>
      </c>
      <c r="C6" s="110">
        <v>6822872</v>
      </c>
      <c r="D6" s="110">
        <v>0</v>
      </c>
      <c r="E6" s="189">
        <v>555026.6897086753</v>
      </c>
      <c r="F6" s="110">
        <f>+C6+D6-E6</f>
        <v>6267845.310291325</v>
      </c>
      <c r="H6" s="188"/>
    </row>
    <row r="7" spans="2:8" ht="15">
      <c r="B7" s="116" t="s">
        <v>241</v>
      </c>
      <c r="C7" s="110">
        <v>250545251</v>
      </c>
      <c r="D7" s="110">
        <v>0</v>
      </c>
      <c r="E7" s="186">
        <v>12531295.620317876</v>
      </c>
      <c r="F7" s="110">
        <f>+C7+D7-E7</f>
        <v>238013955.37968212</v>
      </c>
      <c r="G7" s="194"/>
      <c r="H7" s="191"/>
    </row>
    <row r="8" spans="2:8" ht="15">
      <c r="B8" s="165" t="s">
        <v>557</v>
      </c>
      <c r="C8" s="112">
        <f>SUM(C6:C7)</f>
        <v>257368123</v>
      </c>
      <c r="D8" s="112">
        <f>SUM(D6:D7)</f>
        <v>0</v>
      </c>
      <c r="E8" s="195">
        <f>SUM(E6:E7)</f>
        <v>13086322.310026553</v>
      </c>
      <c r="F8" s="112">
        <f>SUM(F6:F7)</f>
        <v>244281800.68997344</v>
      </c>
      <c r="G8" s="188">
        <f>F8-'Balance Gral. Resol. 6'!D35</f>
        <v>-0.3100265562534332</v>
      </c>
      <c r="H8" s="188"/>
    </row>
    <row r="9" spans="2:7" ht="15">
      <c r="B9" s="165" t="s">
        <v>556</v>
      </c>
      <c r="C9" s="112">
        <v>113118999</v>
      </c>
      <c r="D9" s="112">
        <v>144249124</v>
      </c>
      <c r="E9" s="112">
        <v>0</v>
      </c>
      <c r="F9" s="112">
        <v>257368123</v>
      </c>
      <c r="G9" s="188">
        <f>+F9-'Balance Gral. Resol. 6'!E35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F12"/>
  <sheetViews>
    <sheetView showGridLines="0" zoomScalePageLayoutView="0" workbookViewId="0" topLeftCell="A1">
      <selection activeCell="B5" sqref="B5:D12"/>
    </sheetView>
  </sheetViews>
  <sheetFormatPr defaultColWidth="11.421875" defaultRowHeight="15"/>
  <cols>
    <col min="1" max="1" width="6.28125" style="0" customWidth="1"/>
    <col min="2" max="2" width="23.00390625" style="0" bestFit="1" customWidth="1"/>
    <col min="3" max="3" width="27.421875" style="0" bestFit="1" customWidth="1"/>
    <col min="4" max="4" width="15.140625" style="0" customWidth="1"/>
    <col min="6" max="6" width="13.421875" style="0" bestFit="1" customWidth="1"/>
  </cols>
  <sheetData>
    <row r="3" ht="15">
      <c r="B3" s="201" t="s">
        <v>355</v>
      </c>
    </row>
    <row r="5" spans="2:4" ht="26.25">
      <c r="B5" s="109" t="s">
        <v>347</v>
      </c>
      <c r="C5" s="109" t="s">
        <v>246</v>
      </c>
      <c r="D5" s="197" t="s">
        <v>564</v>
      </c>
    </row>
    <row r="6" spans="2:4" ht="15">
      <c r="B6" s="198" t="s">
        <v>348</v>
      </c>
      <c r="C6" s="198" t="s">
        <v>349</v>
      </c>
      <c r="D6" s="186">
        <v>0</v>
      </c>
    </row>
    <row r="7" spans="2:4" ht="15">
      <c r="B7" s="198" t="s">
        <v>350</v>
      </c>
      <c r="C7" s="198" t="s">
        <v>351</v>
      </c>
      <c r="D7" s="199">
        <v>30289760</v>
      </c>
    </row>
    <row r="8" spans="2:4" ht="15">
      <c r="B8" s="198" t="s">
        <v>352</v>
      </c>
      <c r="C8" s="198" t="s">
        <v>353</v>
      </c>
      <c r="D8" s="199">
        <v>424357500</v>
      </c>
    </row>
    <row r="9" spans="2:4" ht="15">
      <c r="B9" s="198" t="s">
        <v>106</v>
      </c>
      <c r="C9" s="198" t="s">
        <v>106</v>
      </c>
      <c r="D9" s="199">
        <v>9923055</v>
      </c>
    </row>
    <row r="10" spans="2:4" ht="15">
      <c r="B10" s="198" t="s">
        <v>354</v>
      </c>
      <c r="C10" s="198" t="s">
        <v>354</v>
      </c>
      <c r="D10" s="199">
        <v>48280383</v>
      </c>
    </row>
    <row r="11" spans="2:6" ht="15">
      <c r="B11" s="165" t="s">
        <v>557</v>
      </c>
      <c r="C11" s="165"/>
      <c r="D11" s="200">
        <f>SUM(D6:D10)</f>
        <v>512850698</v>
      </c>
      <c r="E11" s="188">
        <f>+D11-'Balance Gral. Resol. 6'!D67</f>
        <v>0</v>
      </c>
      <c r="F11" s="188"/>
    </row>
    <row r="12" spans="2:5" ht="15">
      <c r="B12" s="165" t="s">
        <v>556</v>
      </c>
      <c r="C12" s="165"/>
      <c r="D12" s="200">
        <v>379373728</v>
      </c>
      <c r="E12" s="188">
        <f>+D12-'Balance Gral. Resol. 6'!E67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0"/>
  <sheetViews>
    <sheetView showGridLines="0" zoomScalePageLayoutView="0" workbookViewId="0" topLeftCell="A1">
      <selection activeCell="E32" sqref="E32"/>
    </sheetView>
  </sheetViews>
  <sheetFormatPr defaultColWidth="11.421875" defaultRowHeight="15"/>
  <cols>
    <col min="1" max="1" width="6.421875" style="0" customWidth="1"/>
    <col min="2" max="2" width="30.28125" style="0" customWidth="1"/>
    <col min="3" max="4" width="15.00390625" style="0" customWidth="1"/>
    <col min="5" max="5" width="17.7109375" style="0" bestFit="1" customWidth="1"/>
    <col min="6" max="6" width="19.140625" style="0" bestFit="1" customWidth="1"/>
    <col min="7" max="7" width="11.140625" style="0" bestFit="1" customWidth="1"/>
  </cols>
  <sheetData>
    <row r="1" ht="15">
      <c r="B1" s="196" t="s">
        <v>481</v>
      </c>
    </row>
    <row r="3" spans="2:6" ht="15">
      <c r="B3" s="193" t="s">
        <v>246</v>
      </c>
      <c r="C3" s="193" t="s">
        <v>342</v>
      </c>
      <c r="D3" s="193" t="s">
        <v>343</v>
      </c>
      <c r="E3" s="193" t="s">
        <v>344</v>
      </c>
      <c r="F3" s="193" t="s">
        <v>345</v>
      </c>
    </row>
    <row r="4" spans="2:6" ht="15">
      <c r="B4" s="116" t="s">
        <v>244</v>
      </c>
      <c r="C4" s="110">
        <v>12232788</v>
      </c>
      <c r="D4" s="204">
        <f>+E4-C4</f>
        <v>6000000</v>
      </c>
      <c r="E4" s="204">
        <v>18232788</v>
      </c>
      <c r="F4" s="203">
        <f>+C4+D4-E4</f>
        <v>0</v>
      </c>
    </row>
    <row r="5" spans="2:6" ht="15">
      <c r="B5" s="116" t="s">
        <v>359</v>
      </c>
      <c r="C5" s="203">
        <v>0</v>
      </c>
      <c r="D5" s="203">
        <v>0</v>
      </c>
      <c r="E5" s="203">
        <v>0</v>
      </c>
      <c r="F5" s="203">
        <f aca="true" t="shared" si="0" ref="F5:F10">+C5+D5-E5</f>
        <v>0</v>
      </c>
    </row>
    <row r="6" spans="2:6" ht="15">
      <c r="B6" s="116" t="s">
        <v>358</v>
      </c>
      <c r="C6" s="203">
        <v>0</v>
      </c>
      <c r="D6" s="203">
        <v>0</v>
      </c>
      <c r="E6" s="203">
        <v>0</v>
      </c>
      <c r="F6" s="203">
        <f t="shared" si="0"/>
        <v>0</v>
      </c>
    </row>
    <row r="7" spans="2:6" ht="15">
      <c r="B7" s="116" t="s">
        <v>357</v>
      </c>
      <c r="C7" s="203">
        <v>0</v>
      </c>
      <c r="D7" s="203">
        <v>0</v>
      </c>
      <c r="E7" s="203">
        <v>0</v>
      </c>
      <c r="F7" s="203">
        <f t="shared" si="0"/>
        <v>0</v>
      </c>
    </row>
    <row r="8" spans="2:6" ht="15">
      <c r="B8" s="116" t="s">
        <v>356</v>
      </c>
      <c r="C8" s="203">
        <v>0</v>
      </c>
      <c r="D8" s="203">
        <v>0</v>
      </c>
      <c r="E8" s="203">
        <v>0</v>
      </c>
      <c r="F8" s="203">
        <f t="shared" si="0"/>
        <v>0</v>
      </c>
    </row>
    <row r="9" spans="2:7" ht="15">
      <c r="B9" s="165" t="s">
        <v>557</v>
      </c>
      <c r="C9" s="112">
        <f>SUM(C4:C8)</f>
        <v>12232788</v>
      </c>
      <c r="D9" s="112">
        <f>SUM(D4:D8)</f>
        <v>6000000</v>
      </c>
      <c r="E9" s="112">
        <f>SUM(E4:E8)</f>
        <v>18232788</v>
      </c>
      <c r="F9" s="304">
        <f t="shared" si="0"/>
        <v>0</v>
      </c>
      <c r="G9" s="312">
        <f>+F9-'Balance Gral. Resol. 6'!D73</f>
        <v>0</v>
      </c>
    </row>
    <row r="10" spans="2:7" ht="15">
      <c r="B10" s="165" t="s">
        <v>556</v>
      </c>
      <c r="C10" s="112">
        <v>13285272</v>
      </c>
      <c r="D10" s="202">
        <f>4947516-600</f>
        <v>4946916</v>
      </c>
      <c r="E10" s="202">
        <v>0</v>
      </c>
      <c r="F10" s="304">
        <f t="shared" si="0"/>
        <v>18232188</v>
      </c>
      <c r="G10" s="312">
        <f>+F10-'Balance Gral. Resol. 6'!E73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E11"/>
  <sheetViews>
    <sheetView showGridLines="0" zoomScale="125" zoomScaleNormal="125" zoomScalePageLayoutView="0" workbookViewId="0" topLeftCell="A1">
      <selection activeCell="C30" sqref="C30"/>
    </sheetView>
  </sheetViews>
  <sheetFormatPr defaultColWidth="11.421875" defaultRowHeight="15"/>
  <cols>
    <col min="2" max="2" width="23.8515625" style="0" customWidth="1"/>
    <col min="3" max="4" width="18.28125" style="0" bestFit="1" customWidth="1"/>
    <col min="5" max="5" width="12.28125" style="0" bestFit="1" customWidth="1"/>
  </cols>
  <sheetData>
    <row r="3" ht="15">
      <c r="B3" s="196" t="s">
        <v>366</v>
      </c>
    </row>
    <row r="5" spans="2:4" ht="15">
      <c r="B5" s="108" t="s">
        <v>360</v>
      </c>
      <c r="C5" s="108" t="s">
        <v>361</v>
      </c>
      <c r="D5" s="108" t="s">
        <v>362</v>
      </c>
    </row>
    <row r="6" spans="2:4" ht="15">
      <c r="B6" s="116" t="s">
        <v>363</v>
      </c>
      <c r="C6" s="110">
        <v>4320000000</v>
      </c>
      <c r="D6" s="186">
        <v>0</v>
      </c>
    </row>
    <row r="7" spans="2:4" ht="15">
      <c r="B7" s="116" t="s">
        <v>364</v>
      </c>
      <c r="C7" s="110">
        <f>2500000000+1770000000</f>
        <v>4270000000</v>
      </c>
      <c r="D7" s="186">
        <v>0</v>
      </c>
    </row>
    <row r="8" spans="2:4" ht="15">
      <c r="B8" s="116" t="s">
        <v>365</v>
      </c>
      <c r="C8" s="110">
        <v>0</v>
      </c>
      <c r="D8" s="186">
        <v>0</v>
      </c>
    </row>
    <row r="9" spans="2:4" ht="15">
      <c r="B9" s="116" t="s">
        <v>30</v>
      </c>
      <c r="C9" s="110">
        <v>295334920</v>
      </c>
      <c r="D9" s="186">
        <v>0</v>
      </c>
    </row>
    <row r="10" spans="2:5" ht="15">
      <c r="B10" s="165" t="s">
        <v>557</v>
      </c>
      <c r="C10" s="112">
        <f>SUM(C6:C9)</f>
        <v>8885334920</v>
      </c>
      <c r="D10" s="186">
        <v>0</v>
      </c>
      <c r="E10" s="235">
        <f>+C10-'Balance Gral. Resol. 6'!G19</f>
        <v>0</v>
      </c>
    </row>
    <row r="11" spans="2:5" ht="15">
      <c r="B11" s="165" t="s">
        <v>556</v>
      </c>
      <c r="C11" s="112">
        <v>8092543110</v>
      </c>
      <c r="D11" s="186">
        <v>0</v>
      </c>
      <c r="E11" s="235">
        <f>+C11-'Balance Gral. Resol. 6'!H19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1:I10"/>
  <sheetViews>
    <sheetView showGridLines="0" zoomScale="180" zoomScaleNormal="180" zoomScalePageLayoutView="0" workbookViewId="0" topLeftCell="B1">
      <selection activeCell="C4" sqref="C4:E9"/>
    </sheetView>
  </sheetViews>
  <sheetFormatPr defaultColWidth="11.421875" defaultRowHeight="15"/>
  <cols>
    <col min="2" max="2" width="6.140625" style="0" customWidth="1"/>
    <col min="3" max="3" width="28.00390625" style="0" bestFit="1" customWidth="1"/>
    <col min="4" max="5" width="15.00390625" style="0" customWidth="1"/>
    <col min="6" max="6" width="13.421875" style="0" customWidth="1"/>
    <col min="7" max="7" width="14.00390625" style="0" customWidth="1"/>
    <col min="8" max="8" width="23.28125" style="0" customWidth="1"/>
    <col min="9" max="10" width="14.28125" style="0" customWidth="1"/>
  </cols>
  <sheetData>
    <row r="1" ht="15">
      <c r="D1" s="313" t="s">
        <v>567</v>
      </c>
    </row>
    <row r="2" ht="15">
      <c r="C2" s="196" t="s">
        <v>367</v>
      </c>
    </row>
    <row r="4" spans="3:5" ht="34.5" customHeight="1">
      <c r="C4" s="108" t="s">
        <v>246</v>
      </c>
      <c r="D4" s="208" t="s">
        <v>361</v>
      </c>
      <c r="E4" s="208" t="s">
        <v>362</v>
      </c>
    </row>
    <row r="5" spans="3:9" ht="15">
      <c r="C5" s="207" t="s">
        <v>565</v>
      </c>
      <c r="D5" s="110">
        <v>136291363</v>
      </c>
      <c r="E5" s="203"/>
      <c r="I5" s="206"/>
    </row>
    <row r="6" spans="3:9" ht="15">
      <c r="C6" s="207" t="s">
        <v>566</v>
      </c>
      <c r="D6" s="110">
        <v>8558252</v>
      </c>
      <c r="E6" s="203">
        <v>0</v>
      </c>
      <c r="I6" s="206"/>
    </row>
    <row r="7" spans="3:9" ht="15">
      <c r="C7" s="207" t="s">
        <v>569</v>
      </c>
      <c r="D7" s="110">
        <v>1250000</v>
      </c>
      <c r="E7" s="203"/>
      <c r="I7" s="206"/>
    </row>
    <row r="8" spans="3:6" ht="15">
      <c r="C8" s="165" t="s">
        <v>557</v>
      </c>
      <c r="D8" s="112">
        <f>SUM(D5:D7)</f>
        <v>146099615</v>
      </c>
      <c r="E8" s="203">
        <v>0</v>
      </c>
      <c r="F8" s="235">
        <f>+D8-'Balance Gral. Resol. 6'!G10</f>
        <v>9</v>
      </c>
    </row>
    <row r="9" spans="3:6" ht="15">
      <c r="C9" s="165" t="s">
        <v>556</v>
      </c>
      <c r="D9" s="304">
        <v>686961207</v>
      </c>
      <c r="E9" s="304">
        <v>0</v>
      </c>
      <c r="F9" s="235">
        <f>+D9-'Balance Gral. Resol. 6'!H10</f>
        <v>0</v>
      </c>
    </row>
    <row r="10" spans="4:5" ht="15">
      <c r="D10" s="205"/>
      <c r="E10" s="205"/>
    </row>
  </sheetData>
  <sheetProtection/>
  <hyperlinks>
    <hyperlink ref="D1" location="'Balance Gral. Resol. 1'!A1" display="'Balance Gral. Resol. 1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D29"/>
  <sheetViews>
    <sheetView showGridLines="0" zoomScale="158" zoomScaleNormal="158" zoomScalePageLayoutView="0" workbookViewId="0" topLeftCell="A1">
      <selection activeCell="A1" sqref="A1"/>
    </sheetView>
  </sheetViews>
  <sheetFormatPr defaultColWidth="11.421875" defaultRowHeight="15"/>
  <cols>
    <col min="2" max="2" width="38.7109375" style="0" customWidth="1"/>
    <col min="3" max="3" width="23.421875" style="0" bestFit="1" customWidth="1"/>
    <col min="4" max="4" width="17.421875" style="0" bestFit="1" customWidth="1"/>
  </cols>
  <sheetData>
    <row r="1" ht="15">
      <c r="C1" s="313" t="s">
        <v>567</v>
      </c>
    </row>
    <row r="2" ht="15">
      <c r="B2" s="196" t="s">
        <v>371</v>
      </c>
    </row>
    <row r="4" spans="2:4" ht="15">
      <c r="B4" s="193" t="s">
        <v>246</v>
      </c>
      <c r="C4" s="193" t="s">
        <v>368</v>
      </c>
      <c r="D4" s="193" t="s">
        <v>369</v>
      </c>
    </row>
    <row r="5" spans="2:4" ht="15">
      <c r="B5" s="198" t="s">
        <v>370</v>
      </c>
      <c r="C5" s="314">
        <v>6268600423</v>
      </c>
      <c r="D5" s="203">
        <v>0</v>
      </c>
    </row>
    <row r="6" spans="2:4" ht="15">
      <c r="B6" s="165" t="s">
        <v>557</v>
      </c>
      <c r="C6" s="112">
        <f>SUM(C5:C5)</f>
        <v>6268600423</v>
      </c>
      <c r="D6" s="203">
        <v>0</v>
      </c>
    </row>
    <row r="7" spans="2:4" ht="15">
      <c r="B7" s="165" t="s">
        <v>556</v>
      </c>
      <c r="C7" s="202">
        <v>6542735620</v>
      </c>
      <c r="D7" s="203">
        <v>0</v>
      </c>
    </row>
    <row r="9" ht="15">
      <c r="B9" s="196" t="s">
        <v>374</v>
      </c>
    </row>
    <row r="10" ht="15">
      <c r="B10" s="209" t="s">
        <v>372</v>
      </c>
    </row>
    <row r="11" ht="15">
      <c r="B11" s="209"/>
    </row>
    <row r="12" ht="15">
      <c r="B12" s="196" t="s">
        <v>375</v>
      </c>
    </row>
    <row r="13" ht="15">
      <c r="B13" s="196"/>
    </row>
    <row r="14" spans="2:4" ht="15">
      <c r="B14" s="294" t="s">
        <v>246</v>
      </c>
      <c r="C14" s="294" t="s">
        <v>368</v>
      </c>
      <c r="D14" s="294" t="s">
        <v>369</v>
      </c>
    </row>
    <row r="15" spans="2:4" ht="15">
      <c r="B15" s="198" t="s">
        <v>568</v>
      </c>
      <c r="C15" s="314">
        <v>167483137</v>
      </c>
      <c r="D15" s="203">
        <v>0</v>
      </c>
    </row>
    <row r="16" spans="2:4" ht="15">
      <c r="B16" s="165" t="s">
        <v>557</v>
      </c>
      <c r="C16" s="112">
        <f>SUM(C15:C15)</f>
        <v>167483137</v>
      </c>
      <c r="D16" s="203">
        <v>0</v>
      </c>
    </row>
    <row r="17" spans="2:4" ht="15">
      <c r="B17" s="165" t="s">
        <v>556</v>
      </c>
      <c r="C17" s="202">
        <v>0</v>
      </c>
      <c r="D17" s="203">
        <v>0</v>
      </c>
    </row>
    <row r="18" spans="2:4" ht="15">
      <c r="B18" s="315"/>
      <c r="C18" s="316"/>
      <c r="D18" s="317"/>
    </row>
    <row r="19" ht="15">
      <c r="B19" s="196" t="s">
        <v>376</v>
      </c>
    </row>
    <row r="20" ht="15">
      <c r="B20" s="209" t="s">
        <v>373</v>
      </c>
    </row>
    <row r="22" ht="15">
      <c r="B22" s="196" t="s">
        <v>381</v>
      </c>
    </row>
    <row r="24" spans="2:4" ht="15">
      <c r="B24" s="108" t="s">
        <v>246</v>
      </c>
      <c r="C24" s="208" t="s">
        <v>377</v>
      </c>
      <c r="D24" s="208" t="s">
        <v>378</v>
      </c>
    </row>
    <row r="25" spans="2:4" ht="15">
      <c r="B25" s="207" t="s">
        <v>379</v>
      </c>
      <c r="C25" s="110">
        <v>35863738</v>
      </c>
      <c r="D25" s="186">
        <v>0</v>
      </c>
    </row>
    <row r="26" spans="2:4" ht="15">
      <c r="B26" s="207" t="s">
        <v>380</v>
      </c>
      <c r="C26" s="305">
        <v>0</v>
      </c>
      <c r="D26" s="186">
        <v>0</v>
      </c>
    </row>
    <row r="27" spans="2:4" ht="15">
      <c r="B27" s="207" t="s">
        <v>245</v>
      </c>
      <c r="C27" s="307">
        <v>177672551</v>
      </c>
      <c r="D27" s="186">
        <v>0</v>
      </c>
    </row>
    <row r="28" spans="2:4" ht="15">
      <c r="B28" s="165" t="s">
        <v>557</v>
      </c>
      <c r="C28" s="112">
        <f>SUM(C25:C27)</f>
        <v>213536289</v>
      </c>
      <c r="D28" s="186">
        <v>0</v>
      </c>
    </row>
    <row r="29" spans="2:4" ht="15">
      <c r="B29" s="165" t="s">
        <v>556</v>
      </c>
      <c r="C29" s="318">
        <v>91966913</v>
      </c>
      <c r="D29" s="186">
        <v>0</v>
      </c>
    </row>
  </sheetData>
  <sheetProtection/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38"/>
  <sheetViews>
    <sheetView showGridLines="0" zoomScale="125" zoomScaleNormal="125" zoomScalePageLayoutView="0" workbookViewId="0" topLeftCell="A1">
      <selection activeCell="D10" sqref="D10"/>
    </sheetView>
  </sheetViews>
  <sheetFormatPr defaultColWidth="11.421875" defaultRowHeight="15"/>
  <cols>
    <col min="2" max="2" width="37.7109375" style="0" customWidth="1"/>
    <col min="3" max="3" width="27.00390625" style="0" bestFit="1" customWidth="1"/>
    <col min="4" max="4" width="23.28125" style="0" bestFit="1" customWidth="1"/>
    <col min="5" max="5" width="15.28125" style="210" bestFit="1" customWidth="1"/>
    <col min="6" max="6" width="14.00390625" style="210" bestFit="1" customWidth="1"/>
    <col min="8" max="8" width="11.8515625" style="0" bestFit="1" customWidth="1"/>
  </cols>
  <sheetData>
    <row r="1" ht="15">
      <c r="C1" s="313" t="s">
        <v>567</v>
      </c>
    </row>
    <row r="4" ht="15">
      <c r="B4" s="221" t="s">
        <v>390</v>
      </c>
    </row>
    <row r="5" ht="15.75" thickBot="1"/>
    <row r="6" spans="2:6" ht="35.25" customHeight="1" thickBot="1">
      <c r="B6" s="220"/>
      <c r="C6" s="219"/>
      <c r="D6" s="218"/>
      <c r="E6" s="482" t="s">
        <v>389</v>
      </c>
      <c r="F6" s="483"/>
    </row>
    <row r="7" spans="2:6" ht="25.5">
      <c r="B7" s="217" t="s">
        <v>384</v>
      </c>
      <c r="C7" s="217" t="s">
        <v>383</v>
      </c>
      <c r="D7" s="217" t="s">
        <v>382</v>
      </c>
      <c r="E7" s="216" t="s">
        <v>564</v>
      </c>
      <c r="F7" s="216" t="s">
        <v>570</v>
      </c>
    </row>
    <row r="8" spans="2:6" ht="15">
      <c r="B8" s="214" t="s">
        <v>571</v>
      </c>
      <c r="C8" s="214" t="s">
        <v>843</v>
      </c>
      <c r="D8" s="214" t="s">
        <v>385</v>
      </c>
      <c r="E8" s="319">
        <v>140686646</v>
      </c>
      <c r="F8" s="319">
        <v>140686646</v>
      </c>
    </row>
    <row r="9" spans="2:6" ht="15">
      <c r="B9" s="214" t="s">
        <v>572</v>
      </c>
      <c r="C9" s="214" t="s">
        <v>386</v>
      </c>
      <c r="D9" s="214" t="s">
        <v>385</v>
      </c>
      <c r="E9" s="319">
        <v>111599400</v>
      </c>
      <c r="F9" s="319">
        <v>111599400</v>
      </c>
    </row>
    <row r="10" spans="2:6" ht="15">
      <c r="B10" s="214" t="s">
        <v>573</v>
      </c>
      <c r="C10" s="214" t="s">
        <v>387</v>
      </c>
      <c r="D10" s="214" t="s">
        <v>385</v>
      </c>
      <c r="E10" s="319">
        <v>188927769.57999998</v>
      </c>
      <c r="F10" s="319">
        <v>40333333</v>
      </c>
    </row>
    <row r="11" spans="2:6" ht="15">
      <c r="B11" s="214" t="s">
        <v>574</v>
      </c>
      <c r="C11" s="214" t="s">
        <v>575</v>
      </c>
      <c r="D11" s="214" t="s">
        <v>576</v>
      </c>
      <c r="E11" s="319">
        <v>46185063.769999996</v>
      </c>
      <c r="F11" s="319">
        <v>0</v>
      </c>
    </row>
    <row r="12" spans="2:6" ht="15">
      <c r="B12" s="214" t="s">
        <v>577</v>
      </c>
      <c r="C12" s="214" t="s">
        <v>575</v>
      </c>
      <c r="D12" s="214" t="s">
        <v>385</v>
      </c>
      <c r="E12" s="319">
        <v>1600000</v>
      </c>
      <c r="F12" s="319">
        <v>0</v>
      </c>
    </row>
    <row r="13" spans="2:6" ht="15">
      <c r="B13" s="214" t="s">
        <v>578</v>
      </c>
      <c r="C13" s="214" t="s">
        <v>579</v>
      </c>
      <c r="D13" s="214" t="s">
        <v>385</v>
      </c>
      <c r="E13" s="319">
        <v>8208850</v>
      </c>
      <c r="F13" s="319">
        <v>0</v>
      </c>
    </row>
    <row r="14" spans="2:6" ht="15">
      <c r="B14" s="214" t="s">
        <v>580</v>
      </c>
      <c r="C14" s="214" t="s">
        <v>386</v>
      </c>
      <c r="D14" s="214" t="s">
        <v>385</v>
      </c>
      <c r="E14" s="319">
        <v>250496652.89700004</v>
      </c>
      <c r="F14" s="319">
        <v>0</v>
      </c>
    </row>
    <row r="15" spans="2:6" ht="15">
      <c r="B15" s="214" t="s">
        <v>581</v>
      </c>
      <c r="C15" s="214" t="s">
        <v>388</v>
      </c>
      <c r="D15" s="214" t="s">
        <v>385</v>
      </c>
      <c r="E15" s="319">
        <v>0</v>
      </c>
      <c r="F15" s="319">
        <v>3500001</v>
      </c>
    </row>
    <row r="16" spans="2:6" ht="15">
      <c r="B16" s="214" t="s">
        <v>582</v>
      </c>
      <c r="C16" s="214" t="s">
        <v>388</v>
      </c>
      <c r="D16" s="214" t="s">
        <v>385</v>
      </c>
      <c r="E16" s="319">
        <v>0</v>
      </c>
      <c r="F16" s="319">
        <v>4472768</v>
      </c>
    </row>
    <row r="17" spans="2:6" ht="15">
      <c r="B17" s="214" t="s">
        <v>583</v>
      </c>
      <c r="C17" s="214" t="s">
        <v>387</v>
      </c>
      <c r="D17" s="214" t="s">
        <v>385</v>
      </c>
      <c r="E17" s="319">
        <v>228309732.87</v>
      </c>
      <c r="F17" s="319">
        <v>10000000</v>
      </c>
    </row>
    <row r="18" spans="2:6" ht="15">
      <c r="B18" s="214" t="s">
        <v>584</v>
      </c>
      <c r="C18" s="214" t="s">
        <v>585</v>
      </c>
      <c r="D18" s="214" t="s">
        <v>385</v>
      </c>
      <c r="E18" s="319">
        <v>10905378.964</v>
      </c>
      <c r="F18" s="319">
        <v>3000000</v>
      </c>
    </row>
    <row r="19" spans="2:6" ht="15">
      <c r="B19" s="214" t="s">
        <v>586</v>
      </c>
      <c r="C19" s="214" t="s">
        <v>587</v>
      </c>
      <c r="D19" s="214" t="s">
        <v>385</v>
      </c>
      <c r="E19" s="319">
        <v>0</v>
      </c>
      <c r="F19" s="319">
        <v>15000400</v>
      </c>
    </row>
    <row r="20" spans="2:6" ht="15">
      <c r="B20" s="214" t="s">
        <v>588</v>
      </c>
      <c r="C20" s="214" t="s">
        <v>386</v>
      </c>
      <c r="D20" s="214" t="s">
        <v>385</v>
      </c>
      <c r="E20" s="319">
        <v>59860685</v>
      </c>
      <c r="F20" s="319">
        <v>59860685</v>
      </c>
    </row>
    <row r="21" spans="2:6" ht="15">
      <c r="B21" s="214" t="s">
        <v>589</v>
      </c>
      <c r="C21" s="214" t="s">
        <v>386</v>
      </c>
      <c r="D21" s="214" t="s">
        <v>385</v>
      </c>
      <c r="E21" s="319">
        <v>0</v>
      </c>
      <c r="F21" s="319">
        <v>27720000</v>
      </c>
    </row>
    <row r="22" spans="2:6" ht="15">
      <c r="B22" s="214" t="s">
        <v>590</v>
      </c>
      <c r="C22" s="214" t="s">
        <v>388</v>
      </c>
      <c r="D22" s="214" t="s">
        <v>591</v>
      </c>
      <c r="E22" s="319">
        <v>0</v>
      </c>
      <c r="F22" s="319">
        <v>1200000</v>
      </c>
    </row>
    <row r="23" spans="2:6" ht="15">
      <c r="B23" s="214" t="s">
        <v>592</v>
      </c>
      <c r="C23" s="214" t="s">
        <v>386</v>
      </c>
      <c r="D23" s="214" t="s">
        <v>385</v>
      </c>
      <c r="E23" s="319">
        <v>293607407.22139996</v>
      </c>
      <c r="F23" s="319">
        <f>32958876+56937512+68381945</f>
        <v>158278333</v>
      </c>
    </row>
    <row r="24" spans="2:6" ht="15">
      <c r="B24" s="214" t="s">
        <v>593</v>
      </c>
      <c r="C24" s="214" t="s">
        <v>387</v>
      </c>
      <c r="D24" s="214" t="s">
        <v>385</v>
      </c>
      <c r="E24" s="319">
        <v>5326230</v>
      </c>
      <c r="F24" s="319">
        <v>0</v>
      </c>
    </row>
    <row r="25" spans="2:6" ht="15">
      <c r="B25" s="214" t="s">
        <v>594</v>
      </c>
      <c r="C25" s="214" t="s">
        <v>386</v>
      </c>
      <c r="D25" s="214" t="s">
        <v>595</v>
      </c>
      <c r="E25" s="319">
        <v>0</v>
      </c>
      <c r="F25" s="319">
        <v>49892400</v>
      </c>
    </row>
    <row r="26" spans="2:6" ht="15">
      <c r="B26" s="214" t="s">
        <v>596</v>
      </c>
      <c r="C26" s="214" t="s">
        <v>386</v>
      </c>
      <c r="D26" s="214" t="s">
        <v>595</v>
      </c>
      <c r="E26" s="319">
        <v>0</v>
      </c>
      <c r="F26" s="319">
        <v>15354000</v>
      </c>
    </row>
    <row r="27" spans="2:6" ht="15">
      <c r="B27" s="207" t="s">
        <v>597</v>
      </c>
      <c r="C27" s="214" t="s">
        <v>387</v>
      </c>
      <c r="D27" s="214" t="s">
        <v>385</v>
      </c>
      <c r="E27" s="319">
        <v>200000000</v>
      </c>
      <c r="F27" s="319">
        <v>0</v>
      </c>
    </row>
    <row r="28" spans="2:6" ht="15">
      <c r="B28" s="207" t="s">
        <v>598</v>
      </c>
      <c r="C28" s="207" t="s">
        <v>575</v>
      </c>
      <c r="D28" s="214" t="s">
        <v>385</v>
      </c>
      <c r="E28" s="319">
        <v>10939076.34</v>
      </c>
      <c r="F28" s="319">
        <v>0</v>
      </c>
    </row>
    <row r="29" spans="2:6" ht="15">
      <c r="B29" s="207" t="s">
        <v>599</v>
      </c>
      <c r="C29" s="207" t="s">
        <v>386</v>
      </c>
      <c r="D29" s="214" t="s">
        <v>385</v>
      </c>
      <c r="E29" s="319">
        <v>102015132.92599998</v>
      </c>
      <c r="F29" s="319">
        <v>0</v>
      </c>
    </row>
    <row r="30" spans="2:6" ht="15">
      <c r="B30" s="215"/>
      <c r="C30" s="116"/>
      <c r="D30" s="214"/>
      <c r="E30" s="319"/>
      <c r="F30" s="319"/>
    </row>
    <row r="31" spans="2:6" ht="15">
      <c r="B31" s="165" t="s">
        <v>557</v>
      </c>
      <c r="C31" s="213"/>
      <c r="D31" s="213"/>
      <c r="E31" s="211">
        <f>SUM(E8:E30)</f>
        <v>1658668025.5683997</v>
      </c>
      <c r="F31" s="211">
        <v>0</v>
      </c>
    </row>
    <row r="32" spans="2:6" ht="15">
      <c r="B32" s="165" t="s">
        <v>556</v>
      </c>
      <c r="C32" s="213"/>
      <c r="D32" s="213"/>
      <c r="E32" s="211">
        <v>0</v>
      </c>
      <c r="F32" s="211">
        <f>SUM(F8:F31)</f>
        <v>640897966</v>
      </c>
    </row>
    <row r="35" spans="2:8" ht="38.25">
      <c r="B35" s="108" t="s">
        <v>384</v>
      </c>
      <c r="C35" s="208" t="s">
        <v>383</v>
      </c>
      <c r="D35" s="208" t="s">
        <v>382</v>
      </c>
      <c r="E35" s="208" t="s">
        <v>600</v>
      </c>
      <c r="F35" s="208" t="s">
        <v>320</v>
      </c>
      <c r="G35" s="208" t="s">
        <v>601</v>
      </c>
      <c r="H35" s="208" t="s">
        <v>602</v>
      </c>
    </row>
    <row r="36" spans="2:8" ht="15">
      <c r="B36" s="207" t="s">
        <v>603</v>
      </c>
      <c r="C36" s="320" t="s">
        <v>604</v>
      </c>
      <c r="D36" s="320" t="s">
        <v>605</v>
      </c>
      <c r="E36" s="203">
        <v>0</v>
      </c>
      <c r="F36" s="321">
        <v>43467</v>
      </c>
      <c r="G36" s="110">
        <v>98330696.32666667</v>
      </c>
      <c r="H36" s="203">
        <v>0</v>
      </c>
    </row>
    <row r="37" spans="2:8" ht="15">
      <c r="B37" s="165" t="s">
        <v>557</v>
      </c>
      <c r="C37" s="203">
        <v>0</v>
      </c>
      <c r="D37" s="203">
        <v>0</v>
      </c>
      <c r="E37" s="203">
        <v>0</v>
      </c>
      <c r="F37" s="203">
        <v>0</v>
      </c>
      <c r="G37" s="112">
        <v>98330696.32666667</v>
      </c>
      <c r="H37" s="203">
        <v>0</v>
      </c>
    </row>
    <row r="38" spans="2:8" ht="15">
      <c r="B38" s="165" t="s">
        <v>556</v>
      </c>
      <c r="C38" s="203">
        <v>0</v>
      </c>
      <c r="D38" s="203">
        <v>0</v>
      </c>
      <c r="E38" s="203">
        <v>0</v>
      </c>
      <c r="F38" s="203">
        <v>0</v>
      </c>
      <c r="G38" s="203">
        <v>0</v>
      </c>
      <c r="H38" s="203">
        <v>0</v>
      </c>
    </row>
  </sheetData>
  <sheetProtection/>
  <mergeCells count="1">
    <mergeCell ref="E6:F6"/>
  </mergeCells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B4" sqref="B4:D13"/>
    </sheetView>
  </sheetViews>
  <sheetFormatPr defaultColWidth="11.421875" defaultRowHeight="15"/>
  <cols>
    <col min="2" max="2" width="36.421875" style="0" customWidth="1"/>
    <col min="3" max="3" width="20.00390625" style="235" customWidth="1"/>
    <col min="4" max="4" width="16.421875" style="0" bestFit="1" customWidth="1"/>
    <col min="9" max="9" width="12.421875" style="0" bestFit="1" customWidth="1"/>
  </cols>
  <sheetData>
    <row r="1" ht="15">
      <c r="B1" s="313" t="s">
        <v>567</v>
      </c>
    </row>
    <row r="2" ht="15">
      <c r="B2" s="97"/>
    </row>
    <row r="3" ht="15">
      <c r="B3" s="196" t="s">
        <v>400</v>
      </c>
    </row>
    <row r="4" spans="2:4" ht="15">
      <c r="B4" s="141" t="s">
        <v>391</v>
      </c>
      <c r="C4" s="222" t="s">
        <v>392</v>
      </c>
      <c r="D4" s="223" t="s">
        <v>393</v>
      </c>
    </row>
    <row r="5" spans="2:4" ht="15">
      <c r="B5" s="224" t="s">
        <v>394</v>
      </c>
      <c r="C5" s="225">
        <v>71640453.63636363</v>
      </c>
      <c r="D5" s="226">
        <v>457992424.54</v>
      </c>
    </row>
    <row r="6" spans="2:4" ht="15">
      <c r="B6" s="224" t="s">
        <v>395</v>
      </c>
      <c r="C6" s="225">
        <v>136528085.45454544</v>
      </c>
      <c r="D6" s="226">
        <v>145083332.72</v>
      </c>
    </row>
    <row r="7" spans="2:4" ht="15">
      <c r="B7" s="224" t="s">
        <v>396</v>
      </c>
      <c r="C7" s="225"/>
      <c r="D7" s="187">
        <v>245166666.36</v>
      </c>
    </row>
    <row r="8" spans="2:4" ht="15">
      <c r="B8" s="224" t="s">
        <v>606</v>
      </c>
      <c r="C8" s="187"/>
      <c r="D8" s="187">
        <v>1200000</v>
      </c>
    </row>
    <row r="9" spans="2:4" ht="15">
      <c r="B9" s="224" t="s">
        <v>397</v>
      </c>
      <c r="C9" s="187">
        <v>13745638.18181818</v>
      </c>
      <c r="D9" s="226"/>
    </row>
    <row r="10" spans="2:6" ht="15">
      <c r="B10" s="224" t="s">
        <v>398</v>
      </c>
      <c r="C10" s="187">
        <v>23810181.818181816</v>
      </c>
      <c r="D10" s="187"/>
      <c r="F10" s="227"/>
    </row>
    <row r="11" spans="2:4" ht="15">
      <c r="B11" s="224" t="s">
        <v>399</v>
      </c>
      <c r="C11" s="187">
        <v>4968817.2727272725</v>
      </c>
      <c r="D11" s="226">
        <v>25200000</v>
      </c>
    </row>
    <row r="12" spans="2:4" ht="15">
      <c r="B12" s="165" t="s">
        <v>557</v>
      </c>
      <c r="C12" s="228">
        <f>SUM(C5:C11)</f>
        <v>250693176.36363634</v>
      </c>
      <c r="D12" s="228">
        <f>SUM(D5:D11)</f>
        <v>874642423.62</v>
      </c>
    </row>
    <row r="13" spans="2:4" ht="15">
      <c r="B13" s="165" t="s">
        <v>556</v>
      </c>
      <c r="C13" s="229">
        <v>796828866</v>
      </c>
      <c r="D13" s="228">
        <v>2494800781</v>
      </c>
    </row>
    <row r="16" spans="11:15" ht="15">
      <c r="K16" s="230"/>
      <c r="L16" s="231"/>
      <c r="M16" s="232"/>
      <c r="N16" s="231"/>
      <c r="O16" s="232"/>
    </row>
    <row r="17" spans="11:15" ht="15">
      <c r="K17" s="230"/>
      <c r="L17" s="231"/>
      <c r="M17" s="232"/>
      <c r="N17" s="231"/>
      <c r="O17" s="232"/>
    </row>
    <row r="18" spans="11:15" ht="15">
      <c r="K18" s="230"/>
      <c r="L18" s="231"/>
      <c r="M18" s="232"/>
      <c r="N18" s="231"/>
      <c r="O18" s="233"/>
    </row>
    <row r="19" spans="11:15" ht="15">
      <c r="K19" s="231"/>
      <c r="L19" s="231"/>
      <c r="M19" s="231"/>
      <c r="N19" s="231"/>
      <c r="O19" s="231"/>
    </row>
    <row r="23" ht="15">
      <c r="G23" s="234"/>
    </row>
  </sheetData>
  <sheetProtection/>
  <hyperlinks>
    <hyperlink ref="B1" location="'Balance Gral. Resol. 1'!A1" display="'Balance Gral. Resol. 1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8"/>
  <sheetViews>
    <sheetView showGridLines="0" tabSelected="1" zoomScale="192" zoomScaleNormal="192" zoomScalePageLayoutView="0" workbookViewId="0" topLeftCell="D74">
      <selection activeCell="F84" sqref="F84"/>
    </sheetView>
  </sheetViews>
  <sheetFormatPr defaultColWidth="11.421875" defaultRowHeight="15"/>
  <cols>
    <col min="1" max="1" width="3.8515625" style="1" customWidth="1"/>
    <col min="2" max="2" width="20.8515625" style="1" hidden="1" customWidth="1"/>
    <col min="3" max="3" width="40.8515625" style="1" customWidth="1"/>
    <col min="4" max="4" width="13.8515625" style="1" customWidth="1"/>
    <col min="5" max="5" width="13.421875" style="1" customWidth="1"/>
    <col min="6" max="6" width="40.8515625" style="1" customWidth="1"/>
    <col min="7" max="7" width="14.28125" style="1" customWidth="1"/>
    <col min="8" max="8" width="13.140625" style="1" customWidth="1"/>
    <col min="9" max="16384" width="11.421875" style="1" customWidth="1"/>
  </cols>
  <sheetData>
    <row r="2" ht="12">
      <c r="E2" s="2" t="s">
        <v>0</v>
      </c>
    </row>
    <row r="3" ht="12">
      <c r="E3" s="2" t="s">
        <v>1</v>
      </c>
    </row>
    <row r="4" ht="12">
      <c r="E4" s="2" t="s">
        <v>482</v>
      </c>
    </row>
    <row r="5" spans="4:6" ht="11.25" customHeight="1">
      <c r="D5" s="3"/>
      <c r="E5" s="4" t="s">
        <v>2</v>
      </c>
      <c r="F5" s="3"/>
    </row>
    <row r="6" spans="2:8" ht="30" customHeight="1">
      <c r="B6" s="5">
        <v>1</v>
      </c>
      <c r="C6" s="6" t="s">
        <v>3</v>
      </c>
      <c r="D6" s="7" t="s">
        <v>4</v>
      </c>
      <c r="E6" s="8" t="s">
        <v>5</v>
      </c>
      <c r="F6" s="9" t="s">
        <v>6</v>
      </c>
      <c r="G6" s="10" t="s">
        <v>4</v>
      </c>
      <c r="H6" s="8" t="s">
        <v>5</v>
      </c>
    </row>
    <row r="7" spans="3:8" ht="11.25" customHeight="1">
      <c r="C7" s="11" t="s">
        <v>7</v>
      </c>
      <c r="D7" s="12"/>
      <c r="E7" s="13"/>
      <c r="F7" s="9" t="s">
        <v>8</v>
      </c>
      <c r="G7" s="14"/>
      <c r="H7" s="15"/>
    </row>
    <row r="8" spans="2:8" ht="11.25" customHeight="1">
      <c r="B8" s="16" t="s">
        <v>9</v>
      </c>
      <c r="C8" s="11" t="s">
        <v>10</v>
      </c>
      <c r="D8" s="17"/>
      <c r="E8" s="15"/>
      <c r="F8" s="9" t="s">
        <v>11</v>
      </c>
      <c r="G8" s="14"/>
      <c r="H8" s="15"/>
    </row>
    <row r="9" spans="2:8" ht="11.25" customHeight="1">
      <c r="B9" s="18" t="s">
        <v>12</v>
      </c>
      <c r="C9" s="19" t="s">
        <v>13</v>
      </c>
      <c r="D9" s="17">
        <v>0</v>
      </c>
      <c r="E9" s="15">
        <v>0</v>
      </c>
      <c r="F9" s="20" t="s">
        <v>14</v>
      </c>
      <c r="G9" s="98">
        <v>6268600423</v>
      </c>
      <c r="H9" s="15">
        <v>6542735620</v>
      </c>
    </row>
    <row r="10" spans="2:8" ht="11.25" customHeight="1">
      <c r="B10" s="18"/>
      <c r="C10" s="19" t="s">
        <v>15</v>
      </c>
      <c r="D10" s="17">
        <v>346576922</v>
      </c>
      <c r="E10" s="15">
        <v>276060000</v>
      </c>
      <c r="F10" s="20" t="s">
        <v>16</v>
      </c>
      <c r="G10" s="14">
        <f>6582183165-G9-G11+1</f>
        <v>146099606</v>
      </c>
      <c r="H10" s="15">
        <v>686961207</v>
      </c>
    </row>
    <row r="11" spans="2:8" ht="11.25" customHeight="1">
      <c r="B11" s="18" t="s">
        <v>17</v>
      </c>
      <c r="C11" s="19" t="s">
        <v>18</v>
      </c>
      <c r="D11" s="17">
        <f>1324460741</f>
        <v>1324460741</v>
      </c>
      <c r="E11" s="15">
        <v>1530393323</v>
      </c>
      <c r="F11" s="20" t="s">
        <v>19</v>
      </c>
      <c r="G11" s="15">
        <v>167483137</v>
      </c>
      <c r="H11" s="21">
        <v>98330697</v>
      </c>
    </row>
    <row r="12" spans="2:8" ht="11.25" customHeight="1">
      <c r="B12" s="18" t="s">
        <v>20</v>
      </c>
      <c r="C12" s="22"/>
      <c r="D12" s="24">
        <f>SUM(D9:D11)</f>
        <v>1671037663</v>
      </c>
      <c r="E12" s="24">
        <f>SUM(E9:E11)</f>
        <v>1806453323</v>
      </c>
      <c r="F12" s="20" t="s">
        <v>21</v>
      </c>
      <c r="G12" s="14">
        <v>0</v>
      </c>
      <c r="H12" s="15">
        <v>0</v>
      </c>
    </row>
    <row r="13" spans="2:8" ht="11.25" customHeight="1">
      <c r="B13" s="18"/>
      <c r="C13" s="22"/>
      <c r="D13" s="17"/>
      <c r="E13" s="15"/>
      <c r="F13" s="20" t="s">
        <v>22</v>
      </c>
      <c r="G13" s="14">
        <v>0</v>
      </c>
      <c r="H13" s="15">
        <v>0</v>
      </c>
    </row>
    <row r="14" spans="2:8" ht="11.25" customHeight="1">
      <c r="B14" s="18"/>
      <c r="C14" s="22"/>
      <c r="D14" s="17"/>
      <c r="E14" s="15"/>
      <c r="F14" s="9"/>
      <c r="G14" s="24">
        <f>SUM(G9:G13)</f>
        <v>6582183166</v>
      </c>
      <c r="H14" s="24">
        <f>SUM(H9:H13)</f>
        <v>7328027524</v>
      </c>
    </row>
    <row r="15" spans="2:8" ht="11.25" customHeight="1">
      <c r="B15" s="18"/>
      <c r="C15" s="11" t="s">
        <v>23</v>
      </c>
      <c r="D15" s="17">
        <v>0</v>
      </c>
      <c r="E15" s="15">
        <v>0</v>
      </c>
      <c r="F15" s="9" t="s">
        <v>24</v>
      </c>
      <c r="G15" s="14"/>
      <c r="H15" s="15"/>
    </row>
    <row r="16" spans="2:8" ht="11.25" customHeight="1">
      <c r="B16" s="18"/>
      <c r="C16" s="22" t="s">
        <v>25</v>
      </c>
      <c r="D16" s="17">
        <v>0</v>
      </c>
      <c r="E16" s="15">
        <v>0</v>
      </c>
      <c r="F16" s="20" t="s">
        <v>26</v>
      </c>
      <c r="G16" s="14">
        <v>0</v>
      </c>
      <c r="H16" s="15">
        <v>0</v>
      </c>
    </row>
    <row r="17" spans="2:8" ht="11.25" customHeight="1">
      <c r="B17" s="18"/>
      <c r="C17" s="22" t="s">
        <v>27</v>
      </c>
      <c r="D17" s="17">
        <v>0</v>
      </c>
      <c r="E17" s="15">
        <v>0</v>
      </c>
      <c r="F17" s="20" t="s">
        <v>28</v>
      </c>
      <c r="G17" s="14">
        <v>8590000000</v>
      </c>
      <c r="H17" s="15">
        <v>7820000000</v>
      </c>
    </row>
    <row r="18" spans="2:8" ht="11.25" customHeight="1">
      <c r="B18" s="18"/>
      <c r="C18" s="25" t="s">
        <v>29</v>
      </c>
      <c r="D18" s="17">
        <v>0</v>
      </c>
      <c r="E18" s="15">
        <v>0</v>
      </c>
      <c r="F18" s="20" t="s">
        <v>30</v>
      </c>
      <c r="G18" s="26">
        <f>284485605+10849315</f>
        <v>295334920</v>
      </c>
      <c r="H18" s="27">
        <v>272543110</v>
      </c>
    </row>
    <row r="19" spans="2:8" ht="11.25" customHeight="1">
      <c r="B19" s="18" t="s">
        <v>31</v>
      </c>
      <c r="C19" s="22"/>
      <c r="D19" s="23">
        <v>0</v>
      </c>
      <c r="E19" s="24">
        <v>0</v>
      </c>
      <c r="F19" s="28"/>
      <c r="G19" s="30">
        <f>SUM(G16:G18)</f>
        <v>8885334920</v>
      </c>
      <c r="H19" s="30">
        <f>SUM(H16:H18)</f>
        <v>8092543110</v>
      </c>
    </row>
    <row r="20" spans="2:8" ht="11.25" customHeight="1">
      <c r="B20" s="18" t="s">
        <v>32</v>
      </c>
      <c r="C20" s="11" t="s">
        <v>33</v>
      </c>
      <c r="D20" s="17"/>
      <c r="E20" s="15"/>
      <c r="F20" s="9" t="s">
        <v>34</v>
      </c>
      <c r="G20" s="14"/>
      <c r="H20" s="15"/>
    </row>
    <row r="21" spans="2:8" ht="11.25" customHeight="1">
      <c r="B21" s="18"/>
      <c r="C21" s="19" t="s">
        <v>35</v>
      </c>
      <c r="D21" s="17">
        <v>1219151576</v>
      </c>
      <c r="E21" s="21">
        <v>1426072361</v>
      </c>
      <c r="F21" s="20" t="s">
        <v>36</v>
      </c>
      <c r="G21" s="14">
        <v>177672551</v>
      </c>
      <c r="H21" s="15">
        <v>0</v>
      </c>
    </row>
    <row r="22" spans="2:8" ht="11.25" customHeight="1">
      <c r="B22" s="18"/>
      <c r="C22" s="19" t="s">
        <v>37</v>
      </c>
      <c r="D22" s="17">
        <f>3188280760-D25-358935549</f>
        <v>1432772081</v>
      </c>
      <c r="E22" s="15">
        <v>1338571715</v>
      </c>
      <c r="F22" s="20" t="s">
        <v>38</v>
      </c>
      <c r="G22" s="14">
        <v>0</v>
      </c>
      <c r="H22" s="15">
        <v>0</v>
      </c>
    </row>
    <row r="23" spans="2:8" ht="11.25" customHeight="1">
      <c r="B23" s="18"/>
      <c r="C23" s="19" t="s">
        <v>39</v>
      </c>
      <c r="D23" s="17">
        <v>0</v>
      </c>
      <c r="E23" s="15">
        <v>0</v>
      </c>
      <c r="F23" s="20" t="s">
        <v>40</v>
      </c>
      <c r="G23" s="14">
        <v>0</v>
      </c>
      <c r="H23" s="15">
        <v>0</v>
      </c>
    </row>
    <row r="24" spans="2:8" ht="11.25" customHeight="1">
      <c r="B24" s="18"/>
      <c r="C24" s="25" t="s">
        <v>41</v>
      </c>
      <c r="D24" s="17">
        <v>0</v>
      </c>
      <c r="E24" s="15">
        <v>0</v>
      </c>
      <c r="F24" s="20" t="s">
        <v>42</v>
      </c>
      <c r="G24" s="14">
        <v>35863738</v>
      </c>
      <c r="H24" s="15">
        <v>52464220</v>
      </c>
    </row>
    <row r="25" spans="2:8" ht="11.25" customHeight="1">
      <c r="B25" s="18"/>
      <c r="C25" s="19" t="s">
        <v>43</v>
      </c>
      <c r="D25" s="17">
        <v>1396573130</v>
      </c>
      <c r="E25" s="15">
        <v>640897966</v>
      </c>
      <c r="F25" s="20" t="s">
        <v>44</v>
      </c>
      <c r="G25" s="26">
        <v>0</v>
      </c>
      <c r="H25" s="27">
        <v>0</v>
      </c>
    </row>
    <row r="26" spans="2:8" ht="11.25" customHeight="1">
      <c r="B26" s="18"/>
      <c r="C26" s="25" t="s">
        <v>45</v>
      </c>
      <c r="D26" s="17">
        <v>0</v>
      </c>
      <c r="E26" s="15">
        <v>0</v>
      </c>
      <c r="F26" s="20"/>
      <c r="G26" s="30">
        <f>SUM(G21:G25)</f>
        <v>213536289</v>
      </c>
      <c r="H26" s="30">
        <f>SUM(H21:H25)</f>
        <v>52464220</v>
      </c>
    </row>
    <row r="27" spans="2:8" ht="13.5" customHeight="1">
      <c r="B27" s="18"/>
      <c r="C27" s="19" t="s">
        <v>46</v>
      </c>
      <c r="D27" s="17">
        <v>0</v>
      </c>
      <c r="E27" s="15">
        <v>0</v>
      </c>
      <c r="F27" s="20"/>
      <c r="G27" s="14"/>
      <c r="H27" s="15"/>
    </row>
    <row r="28" spans="2:8" ht="11.25" customHeight="1">
      <c r="B28" s="18"/>
      <c r="C28" s="19"/>
      <c r="D28" s="24">
        <f>SUM(D21:D27)</f>
        <v>4048496787</v>
      </c>
      <c r="E28" s="24">
        <f>SUM(E21:E27)</f>
        <v>3405542042</v>
      </c>
      <c r="F28" s="20"/>
      <c r="G28" s="14"/>
      <c r="H28" s="15"/>
    </row>
    <row r="29" spans="2:8" ht="11.25" customHeight="1">
      <c r="B29" s="18"/>
      <c r="C29" s="11" t="s">
        <v>47</v>
      </c>
      <c r="D29" s="17"/>
      <c r="E29" s="15"/>
      <c r="F29" s="9" t="s">
        <v>48</v>
      </c>
      <c r="G29" s="14"/>
      <c r="H29" s="15"/>
    </row>
    <row r="30" spans="2:8" ht="11.25" customHeight="1">
      <c r="B30" s="18" t="s">
        <v>49</v>
      </c>
      <c r="C30" s="31" t="s">
        <v>50</v>
      </c>
      <c r="D30" s="12"/>
      <c r="E30" s="13"/>
      <c r="F30" s="32"/>
      <c r="G30" s="33"/>
      <c r="H30" s="13"/>
    </row>
    <row r="31" spans="2:8" ht="11.25" customHeight="1">
      <c r="B31" s="18" t="s">
        <v>51</v>
      </c>
      <c r="C31" s="19" t="s">
        <v>52</v>
      </c>
      <c r="D31" s="17">
        <v>238013955</v>
      </c>
      <c r="E31" s="15">
        <v>250545251</v>
      </c>
      <c r="F31" s="20" t="s">
        <v>53</v>
      </c>
      <c r="G31" s="14">
        <v>0</v>
      </c>
      <c r="H31" s="15">
        <v>0</v>
      </c>
    </row>
    <row r="32" spans="2:8" ht="11.25" customHeight="1">
      <c r="B32" s="18" t="s">
        <v>54</v>
      </c>
      <c r="C32" s="19" t="s">
        <v>55</v>
      </c>
      <c r="D32" s="17">
        <v>6267846</v>
      </c>
      <c r="E32" s="15">
        <v>6822872</v>
      </c>
      <c r="F32" s="20" t="s">
        <v>56</v>
      </c>
      <c r="G32" s="14">
        <v>0</v>
      </c>
      <c r="H32" s="15">
        <v>0</v>
      </c>
    </row>
    <row r="33" spans="2:10" ht="11.25" customHeight="1">
      <c r="B33" s="18"/>
      <c r="C33" s="19"/>
      <c r="D33" s="17"/>
      <c r="E33" s="15"/>
      <c r="F33" s="20" t="s">
        <v>57</v>
      </c>
      <c r="G33" s="14">
        <v>0</v>
      </c>
      <c r="H33" s="15">
        <v>39502693</v>
      </c>
      <c r="J33" s="39"/>
    </row>
    <row r="34" spans="2:8" ht="11.25" customHeight="1">
      <c r="B34" s="18" t="s">
        <v>58</v>
      </c>
      <c r="C34" s="19"/>
      <c r="D34" s="17"/>
      <c r="E34" s="15"/>
      <c r="F34" s="20"/>
      <c r="G34" s="14"/>
      <c r="H34" s="27"/>
    </row>
    <row r="35" spans="2:8" ht="11.25" customHeight="1">
      <c r="B35" s="18" t="s">
        <v>59</v>
      </c>
      <c r="C35" s="11"/>
      <c r="D35" s="24">
        <f>SUM(D31:D34)</f>
        <v>244281801</v>
      </c>
      <c r="E35" s="24">
        <f>SUM(E31:E34)</f>
        <v>257368123</v>
      </c>
      <c r="F35" s="20"/>
      <c r="G35" s="30">
        <f>SUM(G31:G34)</f>
        <v>0</v>
      </c>
      <c r="H35" s="30">
        <f>SUM(H31:H34)</f>
        <v>39502693</v>
      </c>
    </row>
    <row r="36" spans="2:9" ht="11.25" customHeight="1" thickBot="1">
      <c r="B36" s="18" t="s">
        <v>60</v>
      </c>
      <c r="C36" s="34" t="s">
        <v>61</v>
      </c>
      <c r="D36" s="36">
        <f>+D12+D19+D28+D35</f>
        <v>5963816251</v>
      </c>
      <c r="E36" s="36">
        <f>+E12+E19+E28+E35</f>
        <v>5469363488</v>
      </c>
      <c r="F36" s="37" t="s">
        <v>62</v>
      </c>
      <c r="G36" s="35">
        <f>+G14+G19+G26+G35</f>
        <v>15681054375</v>
      </c>
      <c r="H36" s="35">
        <f>+H14+H19+H26+H35</f>
        <v>15512537547</v>
      </c>
      <c r="I36" s="39">
        <v>0</v>
      </c>
    </row>
    <row r="37" spans="2:8" ht="11.25" customHeight="1" thickTop="1">
      <c r="B37" s="18" t="s">
        <v>63</v>
      </c>
      <c r="C37" s="19"/>
      <c r="D37" s="40"/>
      <c r="E37" s="15"/>
      <c r="F37" s="28"/>
      <c r="G37" s="14"/>
      <c r="H37" s="15"/>
    </row>
    <row r="38" spans="2:8" ht="11.25" customHeight="1">
      <c r="B38" s="18"/>
      <c r="C38" s="11" t="s">
        <v>64</v>
      </c>
      <c r="D38" s="17"/>
      <c r="E38" s="15"/>
      <c r="F38" s="9" t="s">
        <v>65</v>
      </c>
      <c r="G38" s="14"/>
      <c r="H38" s="15"/>
    </row>
    <row r="39" spans="2:8" ht="11.25" customHeight="1">
      <c r="B39" s="18"/>
      <c r="C39" s="11" t="s">
        <v>66</v>
      </c>
      <c r="D39" s="17"/>
      <c r="E39" s="15"/>
      <c r="F39" s="9" t="s">
        <v>67</v>
      </c>
      <c r="G39" s="14"/>
      <c r="H39" s="15"/>
    </row>
    <row r="40" spans="2:8" ht="11.25" customHeight="1">
      <c r="B40" s="18" t="s">
        <v>68</v>
      </c>
      <c r="C40" s="19" t="s">
        <v>25</v>
      </c>
      <c r="D40" s="17">
        <f>2291120000+2800000000+2495451703+251000000</f>
        <v>7837571703</v>
      </c>
      <c r="E40" s="15">
        <v>9269376864</v>
      </c>
      <c r="F40" s="20" t="s">
        <v>69</v>
      </c>
      <c r="G40" s="14">
        <v>0</v>
      </c>
      <c r="H40" s="15">
        <v>0</v>
      </c>
    </row>
    <row r="41" spans="2:8" ht="11.25" customHeight="1">
      <c r="B41" s="18"/>
      <c r="C41" s="19" t="s">
        <v>70</v>
      </c>
      <c r="D41" s="17">
        <f>7698750000+5382239000</f>
        <v>13080989000</v>
      </c>
      <c r="E41" s="15">
        <v>6735769572</v>
      </c>
      <c r="F41" s="20" t="s">
        <v>30</v>
      </c>
      <c r="G41" s="14">
        <v>0</v>
      </c>
      <c r="H41" s="15">
        <v>0</v>
      </c>
    </row>
    <row r="42" spans="2:8" ht="11.25" customHeight="1">
      <c r="B42" s="18" t="s">
        <v>71</v>
      </c>
      <c r="C42" s="19" t="s">
        <v>72</v>
      </c>
      <c r="D42" s="17">
        <v>750000000</v>
      </c>
      <c r="E42" s="15">
        <v>314326465</v>
      </c>
      <c r="F42" s="28"/>
      <c r="G42" s="24">
        <v>0</v>
      </c>
      <c r="H42" s="23">
        <v>0</v>
      </c>
    </row>
    <row r="43" spans="2:8" ht="11.25" customHeight="1">
      <c r="B43" s="18" t="s">
        <v>73</v>
      </c>
      <c r="C43" s="19" t="s">
        <v>74</v>
      </c>
      <c r="D43" s="17">
        <v>903163697</v>
      </c>
      <c r="E43" s="15">
        <v>919238960</v>
      </c>
      <c r="F43" s="9" t="s">
        <v>75</v>
      </c>
      <c r="G43" s="14"/>
      <c r="H43" s="15"/>
    </row>
    <row r="44" spans="2:8" ht="11.25" customHeight="1">
      <c r="B44" s="18"/>
      <c r="C44" s="19" t="s">
        <v>76</v>
      </c>
      <c r="D44" s="17">
        <v>594805500</v>
      </c>
      <c r="E44" s="15">
        <v>0</v>
      </c>
      <c r="F44" s="9"/>
      <c r="G44" s="14"/>
      <c r="H44" s="15"/>
    </row>
    <row r="45" spans="2:8" ht="11.25" customHeight="1">
      <c r="B45" s="18"/>
      <c r="C45" s="25" t="s">
        <v>41</v>
      </c>
      <c r="D45" s="17">
        <v>0</v>
      </c>
      <c r="E45" s="15">
        <v>0</v>
      </c>
      <c r="F45" s="20" t="s">
        <v>77</v>
      </c>
      <c r="G45" s="14">
        <v>0</v>
      </c>
      <c r="H45" s="15">
        <v>0</v>
      </c>
    </row>
    <row r="46" spans="2:8" ht="11.25" customHeight="1">
      <c r="B46" s="18"/>
      <c r="C46" s="22"/>
      <c r="D46" s="24">
        <f>SUM(D40:D45)</f>
        <v>23166529900</v>
      </c>
      <c r="E46" s="24">
        <f>SUM(E40:E45)</f>
        <v>17238711861</v>
      </c>
      <c r="F46" s="20" t="s">
        <v>78</v>
      </c>
      <c r="G46" s="14">
        <v>0</v>
      </c>
      <c r="H46" s="15">
        <v>0</v>
      </c>
    </row>
    <row r="47" spans="2:8" ht="11.25" customHeight="1">
      <c r="B47" s="18"/>
      <c r="C47" s="11" t="s">
        <v>79</v>
      </c>
      <c r="D47" s="17"/>
      <c r="E47" s="15"/>
      <c r="F47" s="20" t="s">
        <v>80</v>
      </c>
      <c r="G47" s="14"/>
      <c r="H47" s="15"/>
    </row>
    <row r="48" spans="2:8" ht="11.25" customHeight="1">
      <c r="B48" s="41" t="s">
        <v>81</v>
      </c>
      <c r="C48" s="19" t="s">
        <v>35</v>
      </c>
      <c r="D48" s="17"/>
      <c r="E48" s="15"/>
      <c r="F48" s="28"/>
      <c r="G48" s="14">
        <v>0</v>
      </c>
      <c r="H48" s="15">
        <v>0</v>
      </c>
    </row>
    <row r="49" spans="2:8" ht="11.25" customHeight="1">
      <c r="B49" s="18" t="s">
        <v>82</v>
      </c>
      <c r="C49" s="19" t="s">
        <v>39</v>
      </c>
      <c r="D49" s="17">
        <v>10849315</v>
      </c>
      <c r="E49" s="15">
        <v>384112303</v>
      </c>
      <c r="F49" s="28"/>
      <c r="G49" s="33"/>
      <c r="H49" s="13"/>
    </row>
    <row r="50" spans="2:8" ht="11.25" customHeight="1" thickBot="1">
      <c r="B50" s="18" t="s">
        <v>83</v>
      </c>
      <c r="C50" s="19" t="s">
        <v>84</v>
      </c>
      <c r="D50" s="17"/>
      <c r="E50" s="15"/>
      <c r="F50" s="37" t="s">
        <v>85</v>
      </c>
      <c r="G50" s="36">
        <v>0</v>
      </c>
      <c r="H50" s="36">
        <v>0</v>
      </c>
    </row>
    <row r="51" spans="2:8" ht="11.25" customHeight="1" thickTop="1">
      <c r="B51" s="18"/>
      <c r="C51" s="25" t="s">
        <v>41</v>
      </c>
      <c r="D51" s="17"/>
      <c r="E51" s="15"/>
      <c r="F51" s="42" t="s">
        <v>86</v>
      </c>
      <c r="G51" s="43">
        <f>+G50+G36</f>
        <v>15681054375</v>
      </c>
      <c r="H51" s="43">
        <f>+H50+H36</f>
        <v>15512537547</v>
      </c>
    </row>
    <row r="52" spans="2:8" ht="11.25" customHeight="1">
      <c r="B52" s="18"/>
      <c r="C52" s="19" t="s">
        <v>43</v>
      </c>
      <c r="D52" s="17"/>
      <c r="E52" s="15"/>
      <c r="F52" s="9" t="s">
        <v>87</v>
      </c>
      <c r="G52" s="14"/>
      <c r="H52" s="15"/>
    </row>
    <row r="53" spans="2:8" ht="11.25" customHeight="1">
      <c r="B53" s="18" t="s">
        <v>88</v>
      </c>
      <c r="C53" s="25" t="s">
        <v>45</v>
      </c>
      <c r="D53" s="17"/>
      <c r="E53" s="15"/>
      <c r="F53" s="9" t="s">
        <v>89</v>
      </c>
      <c r="G53" s="14"/>
      <c r="H53" s="15"/>
    </row>
    <row r="54" spans="2:8" ht="11.25" customHeight="1">
      <c r="B54" s="18" t="s">
        <v>90</v>
      </c>
      <c r="C54" s="19" t="s">
        <v>46</v>
      </c>
      <c r="D54" s="17"/>
      <c r="E54" s="15"/>
      <c r="F54" s="20" t="s">
        <v>91</v>
      </c>
      <c r="G54" s="14">
        <v>18400000001</v>
      </c>
      <c r="H54" s="15">
        <v>14080000000</v>
      </c>
    </row>
    <row r="55" spans="2:8" ht="11.25" customHeight="1">
      <c r="B55" s="18" t="s">
        <v>92</v>
      </c>
      <c r="C55" s="19"/>
      <c r="D55" s="17"/>
      <c r="E55" s="15"/>
      <c r="F55" s="20" t="s">
        <v>93</v>
      </c>
      <c r="G55" s="26">
        <v>960000091</v>
      </c>
      <c r="H55" s="27">
        <v>1000000000</v>
      </c>
    </row>
    <row r="56" spans="2:8" ht="11.25" customHeight="1">
      <c r="B56" s="18" t="s">
        <v>94</v>
      </c>
      <c r="C56" s="22"/>
      <c r="D56" s="24">
        <f>SUM(D48:D55)</f>
        <v>10849315</v>
      </c>
      <c r="E56" s="24">
        <f>SUM(E48:E55)</f>
        <v>384112303</v>
      </c>
      <c r="F56" s="28"/>
      <c r="G56" s="24">
        <f>SUM(G54:G55)</f>
        <v>19360000092</v>
      </c>
      <c r="H56" s="24">
        <f>SUM(H54:H55)</f>
        <v>15080000000</v>
      </c>
    </row>
    <row r="57" spans="2:8" ht="11.25" customHeight="1">
      <c r="B57" s="18"/>
      <c r="C57" s="11" t="s">
        <v>95</v>
      </c>
      <c r="D57" s="17"/>
      <c r="E57" s="15"/>
      <c r="F57" s="9" t="s">
        <v>96</v>
      </c>
      <c r="G57" s="14"/>
      <c r="H57" s="15"/>
    </row>
    <row r="58" spans="2:8" ht="11.25" customHeight="1">
      <c r="B58" s="18"/>
      <c r="C58" s="19" t="s">
        <v>97</v>
      </c>
      <c r="D58" s="17">
        <v>12721001483</v>
      </c>
      <c r="E58" s="15">
        <v>11498752539</v>
      </c>
      <c r="F58" s="20" t="s">
        <v>98</v>
      </c>
      <c r="G58" s="14">
        <f>838780147+283464405</f>
        <v>1122244552</v>
      </c>
      <c r="H58" s="15">
        <v>838780147</v>
      </c>
    </row>
    <row r="59" spans="2:8" ht="11.25" customHeight="1">
      <c r="B59" s="18"/>
      <c r="C59" s="19" t="s">
        <v>99</v>
      </c>
      <c r="D59" s="17">
        <v>-322801958</v>
      </c>
      <c r="E59" s="15">
        <v>-301576124</v>
      </c>
      <c r="F59" s="20" t="s">
        <v>100</v>
      </c>
      <c r="G59" s="14">
        <v>67449446</v>
      </c>
      <c r="H59" s="17">
        <v>106934871</v>
      </c>
    </row>
    <row r="60" spans="2:8" ht="11.25" customHeight="1">
      <c r="B60" s="18" t="s">
        <v>101</v>
      </c>
      <c r="C60" s="19"/>
      <c r="D60" s="24">
        <f>SUM(D58:D59)</f>
        <v>12398199525</v>
      </c>
      <c r="E60" s="24">
        <f>SUM(E58:E59)</f>
        <v>11197176415</v>
      </c>
      <c r="F60" s="20" t="s">
        <v>102</v>
      </c>
      <c r="G60" s="14">
        <v>435673535</v>
      </c>
      <c r="H60" s="15">
        <v>46972758</v>
      </c>
    </row>
    <row r="61" spans="2:8" ht="11.25" customHeight="1">
      <c r="B61" s="18"/>
      <c r="C61" s="11" t="s">
        <v>103</v>
      </c>
      <c r="D61" s="17"/>
      <c r="E61" s="15"/>
      <c r="F61" s="20"/>
      <c r="G61" s="14"/>
      <c r="H61" s="15"/>
    </row>
    <row r="62" spans="2:8" ht="11.25" customHeight="1">
      <c r="B62" s="18"/>
      <c r="C62" s="19" t="s">
        <v>104</v>
      </c>
      <c r="D62" s="17">
        <v>157353207</v>
      </c>
      <c r="E62" s="15">
        <v>93239988</v>
      </c>
      <c r="F62" s="20"/>
      <c r="G62" s="24">
        <f>SUM(G58:G61)</f>
        <v>1625367533</v>
      </c>
      <c r="H62" s="24">
        <f>SUM(H58:H61)</f>
        <v>992687776</v>
      </c>
    </row>
    <row r="63" spans="2:8" ht="11.25" customHeight="1">
      <c r="B63" s="18"/>
      <c r="C63" s="44" t="s">
        <v>105</v>
      </c>
      <c r="D63" s="17">
        <v>900000</v>
      </c>
      <c r="E63" s="15">
        <v>900000</v>
      </c>
      <c r="F63" s="20"/>
      <c r="G63" s="33"/>
      <c r="H63" s="33"/>
    </row>
    <row r="64" spans="2:8" ht="11.25" customHeight="1">
      <c r="B64" s="18"/>
      <c r="C64" s="19" t="s">
        <v>106</v>
      </c>
      <c r="D64" s="17">
        <v>27866433</v>
      </c>
      <c r="E64" s="15">
        <v>27866433</v>
      </c>
      <c r="F64" s="9" t="s">
        <v>107</v>
      </c>
      <c r="G64" s="33"/>
      <c r="H64" s="13"/>
    </row>
    <row r="65" spans="2:8" ht="11.25" customHeight="1">
      <c r="B65" s="18"/>
      <c r="C65" s="19" t="s">
        <v>108</v>
      </c>
      <c r="D65" s="17">
        <v>1207087008</v>
      </c>
      <c r="E65" s="15">
        <v>862863674</v>
      </c>
      <c r="F65" s="28" t="s">
        <v>109</v>
      </c>
      <c r="G65" s="14">
        <v>0</v>
      </c>
      <c r="H65" s="15">
        <v>0</v>
      </c>
    </row>
    <row r="66" spans="2:8" ht="11.25" customHeight="1">
      <c r="B66" s="18"/>
      <c r="C66" s="19" t="s">
        <v>110</v>
      </c>
      <c r="D66" s="45">
        <v>-880355950</v>
      </c>
      <c r="E66" s="27">
        <v>-605496367</v>
      </c>
      <c r="F66" s="28" t="s">
        <v>111</v>
      </c>
      <c r="G66" s="98">
        <v>5385823689</v>
      </c>
      <c r="H66" s="46">
        <v>3101744660</v>
      </c>
    </row>
    <row r="67" spans="2:8" ht="11.25" customHeight="1">
      <c r="B67" s="18"/>
      <c r="C67" s="22"/>
      <c r="D67" s="24">
        <f>SUM(D62:D66)</f>
        <v>512850698</v>
      </c>
      <c r="E67" s="24">
        <f>SUM(E62:E66)</f>
        <v>379373728</v>
      </c>
      <c r="F67" s="28"/>
      <c r="G67" s="29">
        <f>SUM(G65:G66)</f>
        <v>5385823689</v>
      </c>
      <c r="H67" s="29">
        <f>SUM(H65:H66)</f>
        <v>3101744660</v>
      </c>
    </row>
    <row r="68" spans="2:8" ht="11.25" customHeight="1">
      <c r="B68" s="18"/>
      <c r="C68" s="11" t="s">
        <v>47</v>
      </c>
      <c r="D68" s="17"/>
      <c r="E68" s="15"/>
      <c r="F68" s="47" t="s">
        <v>112</v>
      </c>
      <c r="G68" s="38">
        <f>+G56+G62+G67</f>
        <v>26371191314</v>
      </c>
      <c r="H68" s="38">
        <f>+H56+H62+H67</f>
        <v>19174432436</v>
      </c>
    </row>
    <row r="69" spans="2:8" ht="11.25" customHeight="1">
      <c r="B69" s="18"/>
      <c r="C69" s="11" t="s">
        <v>50</v>
      </c>
      <c r="D69" s="17"/>
      <c r="E69" s="15"/>
      <c r="F69" s="47" t="s">
        <v>113</v>
      </c>
      <c r="G69" s="48">
        <f>+G68+G51</f>
        <v>42052245689</v>
      </c>
      <c r="H69" s="48">
        <f>+H68+H51</f>
        <v>34686969983</v>
      </c>
    </row>
    <row r="70" spans="2:8" ht="11.25" customHeight="1">
      <c r="B70" s="18"/>
      <c r="C70" s="19" t="s">
        <v>114</v>
      </c>
      <c r="D70" s="17">
        <v>0</v>
      </c>
      <c r="E70" s="15">
        <v>18232188</v>
      </c>
      <c r="G70" s="49"/>
      <c r="H70" s="50"/>
    </row>
    <row r="71" spans="2:8" ht="11.25" customHeight="1">
      <c r="B71" s="18"/>
      <c r="C71" s="19" t="s">
        <v>115</v>
      </c>
      <c r="D71" s="17">
        <v>0</v>
      </c>
      <c r="E71" s="15">
        <v>0</v>
      </c>
      <c r="H71" s="51"/>
    </row>
    <row r="72" spans="2:8" ht="11.25" customHeight="1">
      <c r="B72" s="18" t="s">
        <v>116</v>
      </c>
      <c r="C72" s="19" t="s">
        <v>117</v>
      </c>
      <c r="D72" s="17">
        <v>0</v>
      </c>
      <c r="E72" s="15">
        <v>0</v>
      </c>
      <c r="H72" s="51"/>
    </row>
    <row r="73" spans="2:8" ht="11.25" customHeight="1">
      <c r="B73" s="18" t="s">
        <v>118</v>
      </c>
      <c r="C73" s="22"/>
      <c r="D73" s="52">
        <f>SUM(D70:D72)</f>
        <v>0</v>
      </c>
      <c r="E73" s="52">
        <f>SUM(E70:E72)</f>
        <v>18232188</v>
      </c>
      <c r="H73" s="51"/>
    </row>
    <row r="74" spans="2:8" ht="11.25" customHeight="1">
      <c r="B74" s="18"/>
      <c r="C74" s="53" t="s">
        <v>119</v>
      </c>
      <c r="D74" s="38">
        <f>+D73+D67+D60+D56+D46</f>
        <v>36088429438</v>
      </c>
      <c r="E74" s="38">
        <f>+E73+E67+E60+E56+E46</f>
        <v>29217606495</v>
      </c>
      <c r="H74" s="51"/>
    </row>
    <row r="75" spans="2:8" ht="11.25" customHeight="1">
      <c r="B75" s="18" t="s">
        <v>120</v>
      </c>
      <c r="C75" s="53" t="s">
        <v>121</v>
      </c>
      <c r="D75" s="48">
        <f>+D74+D36</f>
        <v>42052245689</v>
      </c>
      <c r="E75" s="48">
        <f>+E74+E36</f>
        <v>34686969983</v>
      </c>
      <c r="F75" s="54"/>
      <c r="G75" s="54"/>
      <c r="H75" s="55"/>
    </row>
    <row r="76" spans="2:5" ht="11.25" customHeight="1">
      <c r="B76" s="18" t="s">
        <v>122</v>
      </c>
      <c r="D76" s="39">
        <f>+D75-G69</f>
        <v>0</v>
      </c>
      <c r="E76" s="39">
        <f>+E75-H69</f>
        <v>0</v>
      </c>
    </row>
    <row r="77" ht="11.25" customHeight="1">
      <c r="B77" s="18" t="s">
        <v>123</v>
      </c>
    </row>
    <row r="78" spans="2:4" ht="11.25" customHeight="1">
      <c r="B78" s="18" t="s">
        <v>124</v>
      </c>
      <c r="D78" s="39"/>
    </row>
    <row r="79" ht="11.25" customHeight="1">
      <c r="B79" s="18" t="s">
        <v>125</v>
      </c>
    </row>
    <row r="80" ht="11.25" customHeight="1">
      <c r="B80" s="18"/>
    </row>
    <row r="81" ht="11.25" customHeight="1">
      <c r="B81" s="18" t="s">
        <v>126</v>
      </c>
    </row>
    <row r="82" ht="11.25" customHeight="1">
      <c r="B82" s="18" t="s">
        <v>127</v>
      </c>
    </row>
    <row r="83" ht="11.25" customHeight="1">
      <c r="B83" s="18" t="s">
        <v>128</v>
      </c>
    </row>
    <row r="84" ht="11.25" customHeight="1">
      <c r="B84" s="18"/>
    </row>
    <row r="85" ht="11.25" customHeight="1">
      <c r="B85" s="18" t="s">
        <v>129</v>
      </c>
    </row>
    <row r="86" ht="11.25" customHeight="1">
      <c r="B86" s="18"/>
    </row>
    <row r="87" ht="11.25" customHeight="1">
      <c r="B87" s="18"/>
    </row>
    <row r="88" ht="11.25" customHeight="1">
      <c r="B88" s="18"/>
    </row>
    <row r="89" ht="11.25" customHeight="1">
      <c r="B89" s="18"/>
    </row>
    <row r="90" spans="1:2" ht="11.25" customHeight="1">
      <c r="A90" s="56"/>
      <c r="B90" s="5">
        <v>2</v>
      </c>
    </row>
    <row r="91" spans="2:8" ht="11.25" customHeight="1">
      <c r="B91" s="57" t="s">
        <v>130</v>
      </c>
      <c r="C91" s="58"/>
      <c r="D91" s="59"/>
      <c r="E91" s="59"/>
      <c r="F91" s="60"/>
      <c r="G91" s="61"/>
      <c r="H91" s="60"/>
    </row>
    <row r="92" ht="11.25" customHeight="1">
      <c r="B92" s="18" t="s">
        <v>131</v>
      </c>
    </row>
    <row r="93" ht="11.25" customHeight="1">
      <c r="B93" s="18" t="s">
        <v>132</v>
      </c>
    </row>
    <row r="94" ht="11.25" customHeight="1">
      <c r="B94" s="18" t="s">
        <v>133</v>
      </c>
    </row>
    <row r="95" ht="11.25" customHeight="1">
      <c r="B95" s="18"/>
    </row>
    <row r="96" ht="11.25" customHeight="1">
      <c r="B96" s="18" t="s">
        <v>134</v>
      </c>
    </row>
    <row r="97" ht="11.25" customHeight="1">
      <c r="B97" s="18" t="s">
        <v>135</v>
      </c>
    </row>
    <row r="98" ht="11.25" customHeight="1">
      <c r="B98" s="18" t="s">
        <v>136</v>
      </c>
    </row>
    <row r="99" ht="11.25" customHeight="1">
      <c r="B99" s="18" t="s">
        <v>137</v>
      </c>
    </row>
    <row r="100" ht="11.25" customHeight="1">
      <c r="B100" s="18"/>
    </row>
    <row r="101" ht="11.25" customHeight="1">
      <c r="B101" s="18" t="s">
        <v>138</v>
      </c>
    </row>
    <row r="102" ht="11.25" customHeight="1">
      <c r="B102" s="18" t="s">
        <v>139</v>
      </c>
    </row>
    <row r="103" ht="11.25" customHeight="1">
      <c r="B103" s="18" t="s">
        <v>140</v>
      </c>
    </row>
    <row r="104" ht="11.25" customHeight="1">
      <c r="B104" s="18" t="s">
        <v>141</v>
      </c>
    </row>
    <row r="105" ht="11.25" customHeight="1">
      <c r="B105" s="18"/>
    </row>
    <row r="106" ht="11.25" customHeight="1">
      <c r="B106" s="18" t="s">
        <v>142</v>
      </c>
    </row>
    <row r="107" ht="11.25" customHeight="1">
      <c r="B107" s="18" t="s">
        <v>143</v>
      </c>
    </row>
    <row r="108" ht="11.25" customHeight="1">
      <c r="B108" s="18"/>
    </row>
    <row r="109" ht="11.25" customHeight="1">
      <c r="B109" s="18"/>
    </row>
    <row r="110" ht="11.25" customHeight="1">
      <c r="B110" s="18"/>
    </row>
    <row r="111" ht="11.25" customHeight="1">
      <c r="B111" s="18" t="s">
        <v>144</v>
      </c>
    </row>
    <row r="112" ht="11.25" customHeight="1">
      <c r="B112" s="18"/>
    </row>
    <row r="113" ht="11.25" customHeight="1">
      <c r="B113" s="18" t="s">
        <v>145</v>
      </c>
    </row>
    <row r="114" ht="11.25" customHeight="1">
      <c r="B114" s="18" t="s">
        <v>146</v>
      </c>
    </row>
    <row r="115" ht="11.25" customHeight="1">
      <c r="B115" s="18" t="s">
        <v>147</v>
      </c>
    </row>
    <row r="116" ht="11.25" customHeight="1">
      <c r="B116" s="18"/>
    </row>
    <row r="117" ht="11.25" customHeight="1">
      <c r="B117" s="18" t="s">
        <v>148</v>
      </c>
    </row>
    <row r="118" ht="11.25" customHeight="1">
      <c r="B118" s="18" t="s">
        <v>149</v>
      </c>
    </row>
    <row r="119" ht="11.25" customHeight="1">
      <c r="B119" s="18" t="s">
        <v>150</v>
      </c>
    </row>
    <row r="120" ht="11.25" customHeight="1">
      <c r="B120" s="18"/>
    </row>
    <row r="121" ht="11.25" customHeight="1">
      <c r="B121" s="18"/>
    </row>
    <row r="122" ht="11.25" customHeight="1">
      <c r="B122" s="18"/>
    </row>
    <row r="123" ht="11.25" customHeight="1">
      <c r="B123" s="18"/>
    </row>
    <row r="124" ht="11.25" customHeight="1">
      <c r="B124" s="18"/>
    </row>
    <row r="125" ht="11.25" customHeight="1">
      <c r="B125" s="18" t="s">
        <v>151</v>
      </c>
    </row>
    <row r="126" ht="11.25" customHeight="1">
      <c r="B126" s="18" t="s">
        <v>152</v>
      </c>
    </row>
    <row r="127" ht="11.25" customHeight="1">
      <c r="B127" s="18" t="s">
        <v>153</v>
      </c>
    </row>
    <row r="128" ht="11.25" customHeight="1">
      <c r="B128" s="18" t="s">
        <v>154</v>
      </c>
    </row>
    <row r="129" ht="11.25" customHeight="1">
      <c r="B129" s="18"/>
    </row>
    <row r="130" ht="11.25" customHeight="1">
      <c r="B130" s="18" t="s">
        <v>155</v>
      </c>
    </row>
    <row r="131" ht="11.25" customHeight="1">
      <c r="B131" s="18" t="s">
        <v>156</v>
      </c>
    </row>
    <row r="132" ht="11.25" customHeight="1">
      <c r="B132" s="18" t="s">
        <v>157</v>
      </c>
    </row>
    <row r="133" ht="11.25" customHeight="1">
      <c r="B133" s="18" t="s">
        <v>158</v>
      </c>
    </row>
    <row r="134" ht="11.25" customHeight="1">
      <c r="B134" s="18" t="s">
        <v>159</v>
      </c>
    </row>
    <row r="135" ht="11.25" customHeight="1">
      <c r="B135" s="18"/>
    </row>
    <row r="136" ht="11.25" customHeight="1">
      <c r="B136" s="18" t="s">
        <v>160</v>
      </c>
    </row>
    <row r="137" ht="11.25" customHeight="1">
      <c r="B137" s="18" t="s">
        <v>161</v>
      </c>
    </row>
    <row r="138" ht="11.25" customHeight="1">
      <c r="B138" s="18" t="s">
        <v>162</v>
      </c>
    </row>
    <row r="139" ht="11.25" customHeight="1">
      <c r="B139" s="18"/>
    </row>
    <row r="140" ht="11.25" customHeight="1">
      <c r="B140" s="18"/>
    </row>
    <row r="141" ht="11.25" customHeight="1">
      <c r="B141" s="18"/>
    </row>
    <row r="144" spans="4:5" ht="11.25" customHeight="1">
      <c r="D144" s="62"/>
      <c r="E144" s="62"/>
    </row>
    <row r="145" spans="4:5" ht="11.25" customHeight="1">
      <c r="D145" s="63">
        <v>0</v>
      </c>
      <c r="E145" s="62">
        <v>0</v>
      </c>
    </row>
    <row r="148" ht="11.25" customHeight="1">
      <c r="D148" s="64"/>
    </row>
  </sheetData>
  <sheetProtection/>
  <printOptions/>
  <pageMargins left="0.25" right="0.25" top="0.75" bottom="0.75" header="0.3" footer="0.3"/>
  <pageSetup fitToHeight="1" fitToWidth="1" orientation="portrait" paperSize="9" scale="6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15"/>
  <sheetViews>
    <sheetView showGridLines="0" zoomScale="150" zoomScaleNormal="150" zoomScalePageLayoutView="0" workbookViewId="0" topLeftCell="A2">
      <selection activeCell="B4" sqref="B4:F11"/>
    </sheetView>
  </sheetViews>
  <sheetFormatPr defaultColWidth="11.421875" defaultRowHeight="15"/>
  <cols>
    <col min="1" max="1" width="11.421875" style="100" customWidth="1"/>
    <col min="2" max="2" width="21.7109375" style="100" bestFit="1" customWidth="1"/>
    <col min="3" max="3" width="13.7109375" style="100" bestFit="1" customWidth="1"/>
    <col min="4" max="4" width="16.421875" style="100" bestFit="1" customWidth="1"/>
    <col min="5" max="5" width="14.421875" style="100" bestFit="1" customWidth="1"/>
    <col min="6" max="6" width="13.7109375" style="100" bestFit="1" customWidth="1"/>
    <col min="7" max="7" width="11.421875" style="100" customWidth="1"/>
    <col min="8" max="9" width="12.140625" style="100" bestFit="1" customWidth="1"/>
    <col min="10" max="16384" width="11.421875" style="100" customWidth="1"/>
  </cols>
  <sheetData>
    <row r="1" ht="15">
      <c r="C1" s="322" t="s">
        <v>567</v>
      </c>
    </row>
    <row r="2" ht="15">
      <c r="B2" s="103" t="s">
        <v>405</v>
      </c>
    </row>
    <row r="4" spans="2:6" ht="38.25">
      <c r="B4" s="109" t="s">
        <v>246</v>
      </c>
      <c r="C4" s="109" t="s">
        <v>401</v>
      </c>
      <c r="D4" s="109" t="s">
        <v>343</v>
      </c>
      <c r="E4" s="109" t="s">
        <v>402</v>
      </c>
      <c r="F4" s="109" t="s">
        <v>239</v>
      </c>
    </row>
    <row r="5" spans="2:6" ht="15">
      <c r="B5" s="236" t="s">
        <v>403</v>
      </c>
      <c r="C5" s="117">
        <v>14080000000</v>
      </c>
      <c r="D5" s="237">
        <v>4320000000</v>
      </c>
      <c r="E5" s="237">
        <v>0</v>
      </c>
      <c r="F5" s="117">
        <f>SUM(C5:E5)</f>
        <v>18400000000</v>
      </c>
    </row>
    <row r="6" spans="2:6" ht="15">
      <c r="B6" s="236" t="s">
        <v>404</v>
      </c>
      <c r="C6" s="238">
        <v>1000000000</v>
      </c>
      <c r="D6" s="237">
        <v>960000091</v>
      </c>
      <c r="E6" s="237">
        <v>-1000000000</v>
      </c>
      <c r="F6" s="117">
        <f>SUM(C6:E6)</f>
        <v>960000091</v>
      </c>
    </row>
    <row r="7" spans="2:8" ht="15">
      <c r="B7" s="236" t="s">
        <v>96</v>
      </c>
      <c r="C7" s="117">
        <f>838780147+46972758+106934871</f>
        <v>992687776</v>
      </c>
      <c r="D7" s="239">
        <f>435673535+71859+283464405+67449446</f>
        <v>786659245</v>
      </c>
      <c r="E7" s="237">
        <f>-46972758-106934871-71859</f>
        <v>-153979488</v>
      </c>
      <c r="F7" s="117">
        <f>SUM(C7:E7)</f>
        <v>1625367533</v>
      </c>
      <c r="H7" s="240"/>
    </row>
    <row r="8" spans="2:6" ht="15">
      <c r="B8" s="236" t="s">
        <v>109</v>
      </c>
      <c r="C8" s="238">
        <v>0</v>
      </c>
      <c r="D8" s="237">
        <v>0</v>
      </c>
      <c r="E8" s="237">
        <v>0</v>
      </c>
      <c r="F8" s="237">
        <f>SUM(C8:E8)</f>
        <v>0</v>
      </c>
    </row>
    <row r="9" spans="2:6" ht="15">
      <c r="B9" s="236" t="s">
        <v>111</v>
      </c>
      <c r="C9" s="117">
        <v>3101744660</v>
      </c>
      <c r="D9" s="237" t="e">
        <f>+#REF!</f>
        <v>#REF!</v>
      </c>
      <c r="E9" s="237">
        <f>-C9</f>
        <v>-3101744660</v>
      </c>
      <c r="F9" s="117" t="e">
        <f>+C9+D9+E9</f>
        <v>#REF!</v>
      </c>
    </row>
    <row r="10" spans="2:6" ht="15">
      <c r="B10" s="165" t="s">
        <v>557</v>
      </c>
      <c r="C10" s="241">
        <f>SUM(C5:C9)</f>
        <v>19174432436</v>
      </c>
      <c r="D10" s="241" t="e">
        <f>SUM(D5:D9)</f>
        <v>#REF!</v>
      </c>
      <c r="E10" s="241">
        <f>SUM(E5:E9)</f>
        <v>-4255724148</v>
      </c>
      <c r="F10" s="241" t="e">
        <f>SUM(F5:F9)</f>
        <v>#REF!</v>
      </c>
    </row>
    <row r="11" spans="2:6" ht="15">
      <c r="B11" s="165" t="s">
        <v>556</v>
      </c>
      <c r="C11" s="241">
        <v>14775641185</v>
      </c>
      <c r="D11" s="241">
        <v>4898411462</v>
      </c>
      <c r="E11" s="242">
        <v>2499620211</v>
      </c>
      <c r="F11" s="241">
        <v>19174432436</v>
      </c>
    </row>
    <row r="12" ht="15">
      <c r="D12" s="240"/>
    </row>
    <row r="13" spans="4:5" ht="15">
      <c r="D13" s="240"/>
      <c r="E13" s="243"/>
    </row>
    <row r="14" spans="2:5" ht="15">
      <c r="B14" s="196" t="s">
        <v>407</v>
      </c>
      <c r="E14" s="240"/>
    </row>
    <row r="15" spans="2:5" ht="15">
      <c r="B15" s="209" t="s">
        <v>406</v>
      </c>
      <c r="E15" s="243"/>
    </row>
  </sheetData>
  <sheetProtection/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22"/>
  <sheetViews>
    <sheetView showGridLines="0" zoomScale="134" zoomScaleNormal="134" zoomScalePageLayoutView="0" workbookViewId="0" topLeftCell="A1">
      <selection activeCell="B16" sqref="B16:D20"/>
    </sheetView>
  </sheetViews>
  <sheetFormatPr defaultColWidth="11.421875" defaultRowHeight="15"/>
  <cols>
    <col min="2" max="2" width="37.140625" style="0" bestFit="1" customWidth="1"/>
    <col min="3" max="4" width="15.7109375" style="0" bestFit="1" customWidth="1"/>
  </cols>
  <sheetData>
    <row r="1" ht="15">
      <c r="B1" s="313" t="s">
        <v>607</v>
      </c>
    </row>
    <row r="3" ht="15">
      <c r="B3" s="196" t="s">
        <v>419</v>
      </c>
    </row>
    <row r="6" spans="2:4" ht="15">
      <c r="B6" s="244" t="s">
        <v>408</v>
      </c>
      <c r="C6" s="160"/>
      <c r="D6" s="160"/>
    </row>
    <row r="7" spans="2:4" ht="15">
      <c r="B7" s="193" t="s">
        <v>246</v>
      </c>
      <c r="C7" s="193" t="s">
        <v>611</v>
      </c>
      <c r="D7" s="193" t="s">
        <v>612</v>
      </c>
    </row>
    <row r="8" spans="2:4" ht="15">
      <c r="B8" s="116" t="s">
        <v>409</v>
      </c>
      <c r="C8" s="307">
        <v>16752830</v>
      </c>
      <c r="D8" s="307">
        <v>0</v>
      </c>
    </row>
    <row r="9" spans="2:4" ht="15">
      <c r="B9" s="116" t="s">
        <v>410</v>
      </c>
      <c r="C9" s="323">
        <v>1465735201</v>
      </c>
      <c r="D9" s="323">
        <v>520576231</v>
      </c>
    </row>
    <row r="10" spans="2:4" ht="15">
      <c r="B10" s="116" t="s">
        <v>411</v>
      </c>
      <c r="C10" s="323">
        <v>3606589895</v>
      </c>
      <c r="D10" s="323">
        <v>3375122232</v>
      </c>
    </row>
    <row r="11" spans="2:4" ht="15">
      <c r="B11" s="116" t="s">
        <v>412</v>
      </c>
      <c r="C11" s="323">
        <f>6880362421+10</f>
        <v>6880362431</v>
      </c>
      <c r="D11" s="307">
        <v>1095591900</v>
      </c>
    </row>
    <row r="12" spans="2:4" ht="15">
      <c r="B12" s="116" t="s">
        <v>413</v>
      </c>
      <c r="C12" s="323">
        <v>1158461143</v>
      </c>
      <c r="D12" s="307">
        <v>0</v>
      </c>
    </row>
    <row r="13" spans="2:4" ht="15">
      <c r="B13" s="111" t="s">
        <v>414</v>
      </c>
      <c r="C13" s="324">
        <f>SUM(C8:C12)</f>
        <v>13127901500</v>
      </c>
      <c r="D13" s="324">
        <f>SUM(D8:D12)</f>
        <v>4991290363</v>
      </c>
    </row>
    <row r="14" spans="2:4" ht="15">
      <c r="B14" s="245"/>
      <c r="C14" s="245"/>
      <c r="D14" s="245"/>
    </row>
    <row r="15" spans="2:4" ht="15">
      <c r="B15" s="244" t="s">
        <v>183</v>
      </c>
      <c r="C15" s="245"/>
      <c r="D15" s="245"/>
    </row>
    <row r="16" spans="2:4" ht="15">
      <c r="B16" s="193" t="s">
        <v>246</v>
      </c>
      <c r="C16" s="294" t="s">
        <v>611</v>
      </c>
      <c r="D16" s="294" t="s">
        <v>612</v>
      </c>
    </row>
    <row r="17" spans="2:4" ht="15">
      <c r="B17" s="116" t="s">
        <v>415</v>
      </c>
      <c r="C17" s="187">
        <v>0</v>
      </c>
      <c r="D17" s="110">
        <v>10291679821</v>
      </c>
    </row>
    <row r="18" spans="2:4" ht="15">
      <c r="B18" s="116" t="s">
        <v>416</v>
      </c>
      <c r="C18" s="110">
        <v>264901551</v>
      </c>
      <c r="D18" s="187">
        <v>66446400</v>
      </c>
    </row>
    <row r="19" spans="2:4" ht="15">
      <c r="B19" s="116" t="s">
        <v>417</v>
      </c>
      <c r="C19" s="110">
        <v>879439879</v>
      </c>
      <c r="D19" s="187">
        <v>114521052</v>
      </c>
    </row>
    <row r="20" spans="2:4" ht="15">
      <c r="B20" s="111" t="s">
        <v>418</v>
      </c>
      <c r="C20" s="112">
        <f>SUM(C17:C19)</f>
        <v>1144341430</v>
      </c>
      <c r="D20" s="112">
        <f>SUM(D17:D19)</f>
        <v>10472647273</v>
      </c>
    </row>
    <row r="22" spans="3:4" ht="15">
      <c r="C22" s="188"/>
      <c r="D22" s="188"/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="144" zoomScaleNormal="144" zoomScalePageLayoutView="0" workbookViewId="0" topLeftCell="L1">
      <selection activeCell="M6" sqref="M6:O39"/>
    </sheetView>
  </sheetViews>
  <sheetFormatPr defaultColWidth="11.421875" defaultRowHeight="15"/>
  <cols>
    <col min="1" max="1" width="32.140625" style="0" hidden="1" customWidth="1"/>
    <col min="2" max="3" width="13.140625" style="0" hidden="1" customWidth="1"/>
    <col min="4" max="4" width="2.00390625" style="248" hidden="1" customWidth="1"/>
    <col min="5" max="5" width="32.140625" style="0" hidden="1" customWidth="1"/>
    <col min="6" max="6" width="13.140625" style="190" hidden="1" customWidth="1"/>
    <col min="7" max="7" width="13.140625" style="0" hidden="1" customWidth="1"/>
    <col min="8" max="8" width="2.00390625" style="0" hidden="1" customWidth="1"/>
    <col min="9" max="9" width="32.140625" style="0" hidden="1" customWidth="1"/>
    <col min="10" max="11" width="13.140625" style="0" hidden="1" customWidth="1"/>
    <col min="13" max="13" width="37.421875" style="0" customWidth="1"/>
    <col min="14" max="14" width="17.28125" style="0" bestFit="1" customWidth="1"/>
    <col min="15" max="15" width="16.28125" style="0" bestFit="1" customWidth="1"/>
    <col min="16" max="16" width="15.140625" style="0" bestFit="1" customWidth="1"/>
  </cols>
  <sheetData>
    <row r="1" spans="1:15" s="263" customFormat="1" ht="15">
      <c r="A1" s="484" t="s">
        <v>420</v>
      </c>
      <c r="B1" s="484"/>
      <c r="C1" s="484"/>
      <c r="D1" s="262"/>
      <c r="E1" s="485" t="s">
        <v>421</v>
      </c>
      <c r="F1" s="485"/>
      <c r="G1" s="485"/>
      <c r="I1" s="486" t="s">
        <v>422</v>
      </c>
      <c r="J1" s="486"/>
      <c r="K1" s="486"/>
      <c r="M1" s="487" t="s">
        <v>608</v>
      </c>
      <c r="N1" s="488"/>
      <c r="O1" s="488"/>
    </row>
    <row r="2" spans="1:15" s="263" customFormat="1" ht="15">
      <c r="A2" s="264"/>
      <c r="B2" s="264"/>
      <c r="C2" s="264"/>
      <c r="D2" s="262"/>
      <c r="E2" s="265"/>
      <c r="F2" s="265"/>
      <c r="G2" s="265"/>
      <c r="I2" s="266"/>
      <c r="J2" s="266"/>
      <c r="K2" s="266"/>
      <c r="M2" s="267"/>
      <c r="N2" s="267"/>
      <c r="O2" s="267"/>
    </row>
    <row r="3" spans="1:15" s="263" customFormat="1" ht="15">
      <c r="A3" s="264"/>
      <c r="B3" s="264"/>
      <c r="C3" s="264"/>
      <c r="D3" s="262"/>
      <c r="E3" s="265"/>
      <c r="F3" s="265"/>
      <c r="G3" s="265"/>
      <c r="I3" s="266"/>
      <c r="J3" s="266"/>
      <c r="K3" s="266"/>
      <c r="M3" s="103" t="s">
        <v>451</v>
      </c>
      <c r="N3" s="267"/>
      <c r="O3" s="267"/>
    </row>
    <row r="4" spans="1:15" s="263" customFormat="1" ht="15">
      <c r="A4" s="264"/>
      <c r="B4" s="264"/>
      <c r="C4" s="264"/>
      <c r="D4" s="262"/>
      <c r="E4" s="265"/>
      <c r="F4" s="265"/>
      <c r="G4" s="265"/>
      <c r="I4" s="266"/>
      <c r="J4" s="266"/>
      <c r="K4" s="266"/>
      <c r="M4" s="267"/>
      <c r="N4" s="267"/>
      <c r="O4" s="267"/>
    </row>
    <row r="5" spans="1:15" ht="15">
      <c r="A5" s="249"/>
      <c r="B5" s="249"/>
      <c r="C5" s="249"/>
      <c r="E5" s="250"/>
      <c r="F5" s="250"/>
      <c r="G5" s="250"/>
      <c r="I5" s="251"/>
      <c r="J5" s="251"/>
      <c r="K5" s="251"/>
      <c r="M5" s="252"/>
      <c r="N5" s="252"/>
      <c r="O5" s="252"/>
    </row>
    <row r="6" spans="1:15" ht="15">
      <c r="A6" s="193" t="s">
        <v>246</v>
      </c>
      <c r="B6" s="193" t="s">
        <v>423</v>
      </c>
      <c r="C6" s="193" t="s">
        <v>424</v>
      </c>
      <c r="E6" s="193" t="s">
        <v>246</v>
      </c>
      <c r="F6" s="193" t="s">
        <v>423</v>
      </c>
      <c r="G6" s="193" t="s">
        <v>424</v>
      </c>
      <c r="H6" s="248"/>
      <c r="I6" s="193" t="s">
        <v>246</v>
      </c>
      <c r="J6" s="193" t="s">
        <v>423</v>
      </c>
      <c r="K6" s="193" t="s">
        <v>424</v>
      </c>
      <c r="M6" s="193" t="s">
        <v>246</v>
      </c>
      <c r="N6" s="193" t="s">
        <v>609</v>
      </c>
      <c r="O6" s="193" t="s">
        <v>610</v>
      </c>
    </row>
    <row r="7" spans="1:15" ht="15">
      <c r="A7" s="111" t="s">
        <v>425</v>
      </c>
      <c r="B7" s="246"/>
      <c r="C7" s="246"/>
      <c r="E7" s="111" t="s">
        <v>425</v>
      </c>
      <c r="F7" s="246"/>
      <c r="G7" s="246"/>
      <c r="H7" s="248"/>
      <c r="I7" s="111" t="s">
        <v>425</v>
      </c>
      <c r="J7" s="246"/>
      <c r="K7" s="246"/>
      <c r="M7" s="111" t="s">
        <v>425</v>
      </c>
      <c r="N7" s="253">
        <f>SUM(N8:N11)</f>
        <v>1612885706</v>
      </c>
      <c r="O7" s="253">
        <f>SUM(O8:O11)</f>
        <v>6868471493</v>
      </c>
    </row>
    <row r="8" spans="1:15" ht="15">
      <c r="A8" s="116" t="s">
        <v>426</v>
      </c>
      <c r="B8" s="246">
        <v>1304116</v>
      </c>
      <c r="C8" s="246">
        <v>3834483</v>
      </c>
      <c r="D8" s="248">
        <v>1</v>
      </c>
      <c r="E8" s="116" t="s">
        <v>426</v>
      </c>
      <c r="F8" s="246">
        <v>0</v>
      </c>
      <c r="G8" s="246">
        <v>3834483</v>
      </c>
      <c r="H8" s="248">
        <v>1</v>
      </c>
      <c r="I8" s="116" t="s">
        <v>426</v>
      </c>
      <c r="J8" s="246">
        <f>+B8+F8</f>
        <v>1304116</v>
      </c>
      <c r="K8" s="246">
        <v>3834483</v>
      </c>
      <c r="M8" s="116" t="s">
        <v>188</v>
      </c>
      <c r="N8" s="254">
        <v>717577745</v>
      </c>
      <c r="O8" s="212">
        <v>181695716</v>
      </c>
    </row>
    <row r="9" spans="1:15" ht="15">
      <c r="A9" s="116" t="s">
        <v>427</v>
      </c>
      <c r="B9" s="246">
        <f>10055005+3727833</f>
        <v>13782838</v>
      </c>
      <c r="C9" s="246">
        <v>32784404</v>
      </c>
      <c r="D9" s="248">
        <v>2</v>
      </c>
      <c r="E9" s="116" t="s">
        <v>427</v>
      </c>
      <c r="F9" s="246">
        <f>6917265+3714900</f>
        <v>10632165</v>
      </c>
      <c r="G9" s="246">
        <v>32784404</v>
      </c>
      <c r="H9" s="248">
        <v>2</v>
      </c>
      <c r="I9" s="116" t="s">
        <v>427</v>
      </c>
      <c r="J9" s="246">
        <f>+B9+F9</f>
        <v>24415003</v>
      </c>
      <c r="K9" s="246">
        <v>32784404</v>
      </c>
      <c r="M9" s="116" t="s">
        <v>189</v>
      </c>
      <c r="N9" s="254">
        <v>532387997</v>
      </c>
      <c r="O9" s="212">
        <v>296401418</v>
      </c>
    </row>
    <row r="10" spans="1:15" ht="15">
      <c r="A10" s="116"/>
      <c r="B10" s="246"/>
      <c r="C10" s="246"/>
      <c r="E10" s="116"/>
      <c r="F10" s="246"/>
      <c r="G10" s="246"/>
      <c r="H10" s="248"/>
      <c r="I10" s="116"/>
      <c r="J10" s="246"/>
      <c r="K10" s="246"/>
      <c r="M10" s="116" t="s">
        <v>428</v>
      </c>
      <c r="N10" s="254">
        <v>362919964</v>
      </c>
      <c r="O10" s="212">
        <v>6358386243</v>
      </c>
    </row>
    <row r="11" spans="1:15" ht="15">
      <c r="A11" s="116" t="s">
        <v>429</v>
      </c>
      <c r="B11" s="246">
        <f>2081449</f>
        <v>2081449</v>
      </c>
      <c r="C11" s="246">
        <v>23502676</v>
      </c>
      <c r="D11" s="248">
        <v>3</v>
      </c>
      <c r="E11" s="116" t="s">
        <v>429</v>
      </c>
      <c r="F11" s="246">
        <f>1578053+2600000</f>
        <v>4178053</v>
      </c>
      <c r="G11" s="246">
        <v>23502676</v>
      </c>
      <c r="H11" s="248">
        <v>3</v>
      </c>
      <c r="I11" s="116" t="s">
        <v>429</v>
      </c>
      <c r="J11" s="246">
        <f>+B11+F11</f>
        <v>6259502</v>
      </c>
      <c r="K11" s="246">
        <v>23502676</v>
      </c>
      <c r="M11" s="255" t="s">
        <v>425</v>
      </c>
      <c r="N11" s="256">
        <v>0</v>
      </c>
      <c r="O11" s="212">
        <v>31988116</v>
      </c>
    </row>
    <row r="12" spans="1:15" ht="15">
      <c r="A12" s="111" t="s">
        <v>418</v>
      </c>
      <c r="B12" s="247">
        <f>SUM(B8:B11)</f>
        <v>17168403</v>
      </c>
      <c r="C12" s="247">
        <f>SUM(C8:C11)</f>
        <v>60121563</v>
      </c>
      <c r="E12" s="111" t="s">
        <v>418</v>
      </c>
      <c r="F12" s="247">
        <f>SUM(F8:F11)</f>
        <v>14810218</v>
      </c>
      <c r="G12" s="247">
        <f>SUM(G8:G11)</f>
        <v>60121563</v>
      </c>
      <c r="H12" s="248"/>
      <c r="I12" s="111" t="s">
        <v>418</v>
      </c>
      <c r="J12" s="247">
        <f>SUM(J8:J11)</f>
        <v>31978621</v>
      </c>
      <c r="K12" s="247">
        <f>SUM(K8:K11)</f>
        <v>60121563</v>
      </c>
      <c r="M12" s="111"/>
      <c r="N12" s="257"/>
      <c r="O12" s="212"/>
    </row>
    <row r="13" spans="1:15" ht="15">
      <c r="A13" s="111" t="s">
        <v>430</v>
      </c>
      <c r="B13" s="246"/>
      <c r="C13" s="246"/>
      <c r="E13" s="111" t="s">
        <v>430</v>
      </c>
      <c r="F13" s="246"/>
      <c r="G13" s="246"/>
      <c r="H13" s="248"/>
      <c r="I13" s="111" t="s">
        <v>430</v>
      </c>
      <c r="J13" s="246"/>
      <c r="K13" s="246"/>
      <c r="M13" s="111" t="s">
        <v>192</v>
      </c>
      <c r="N13" s="258">
        <f>SUM(N14:N16)</f>
        <v>52003311</v>
      </c>
      <c r="O13" s="258">
        <f>SUM(O14:O16)</f>
        <v>50093928</v>
      </c>
    </row>
    <row r="14" spans="1:15" ht="15">
      <c r="A14" s="116" t="s">
        <v>431</v>
      </c>
      <c r="B14" s="246">
        <v>30130273</v>
      </c>
      <c r="C14" s="246">
        <v>9325455</v>
      </c>
      <c r="E14" s="116" t="s">
        <v>431</v>
      </c>
      <c r="F14" s="246">
        <v>0</v>
      </c>
      <c r="G14" s="246">
        <v>9325455</v>
      </c>
      <c r="H14" s="248"/>
      <c r="I14" s="116" t="s">
        <v>431</v>
      </c>
      <c r="J14" s="246">
        <v>118735091</v>
      </c>
      <c r="K14" s="246">
        <v>9325455</v>
      </c>
      <c r="M14" s="116" t="s">
        <v>193</v>
      </c>
      <c r="N14" s="254">
        <v>52003311</v>
      </c>
      <c r="O14" s="212">
        <v>50093928</v>
      </c>
    </row>
    <row r="15" spans="1:15" ht="15">
      <c r="A15" s="116" t="s">
        <v>432</v>
      </c>
      <c r="B15" s="246">
        <v>3202315</v>
      </c>
      <c r="C15" s="246">
        <v>12225897</v>
      </c>
      <c r="E15" s="116" t="s">
        <v>432</v>
      </c>
      <c r="F15" s="246">
        <v>4373014</v>
      </c>
      <c r="G15" s="246">
        <v>12225897</v>
      </c>
      <c r="H15" s="248"/>
      <c r="I15" s="116" t="s">
        <v>432</v>
      </c>
      <c r="J15" s="246">
        <v>17074877</v>
      </c>
      <c r="K15" s="246">
        <v>12225897</v>
      </c>
      <c r="M15" s="116" t="s">
        <v>194</v>
      </c>
      <c r="N15" s="254">
        <v>0</v>
      </c>
      <c r="O15" s="212">
        <v>0</v>
      </c>
    </row>
    <row r="16" spans="1:15" ht="15">
      <c r="A16" s="116" t="s">
        <v>433</v>
      </c>
      <c r="B16" s="246">
        <f>2963306+847400</f>
        <v>3810706</v>
      </c>
      <c r="C16" s="246">
        <v>2196794</v>
      </c>
      <c r="D16" s="248">
        <v>4</v>
      </c>
      <c r="E16" s="116" t="s">
        <v>433</v>
      </c>
      <c r="F16" s="246">
        <f>1057700+462235</f>
        <v>1519935</v>
      </c>
      <c r="G16" s="246">
        <v>2196794</v>
      </c>
      <c r="H16" s="248">
        <v>4</v>
      </c>
      <c r="I16" s="116" t="s">
        <v>433</v>
      </c>
      <c r="J16" s="246">
        <f>+B16+F16</f>
        <v>5330641</v>
      </c>
      <c r="K16" s="246">
        <v>2196794</v>
      </c>
      <c r="M16" s="116" t="s">
        <v>195</v>
      </c>
      <c r="N16" s="254">
        <v>0</v>
      </c>
      <c r="O16" s="212">
        <v>0</v>
      </c>
    </row>
    <row r="17" spans="1:15" ht="15">
      <c r="A17" s="111" t="s">
        <v>418</v>
      </c>
      <c r="B17" s="247">
        <f>SUM(B14:B16)</f>
        <v>37143294</v>
      </c>
      <c r="C17" s="247">
        <f>SUM(C14:C16)</f>
        <v>23748146</v>
      </c>
      <c r="E17" s="111" t="s">
        <v>418</v>
      </c>
      <c r="F17" s="247">
        <f>SUM(F14:F16)</f>
        <v>5892949</v>
      </c>
      <c r="G17" s="247">
        <f>SUM(G14:G16)</f>
        <v>23748146</v>
      </c>
      <c r="H17" s="248"/>
      <c r="I17" s="111" t="s">
        <v>418</v>
      </c>
      <c r="J17" s="247">
        <f>SUM(J14:J16)</f>
        <v>141140609</v>
      </c>
      <c r="K17" s="247">
        <f>SUM(K14:K16)</f>
        <v>23748146</v>
      </c>
      <c r="M17" s="111"/>
      <c r="N17" s="257"/>
      <c r="O17" s="212"/>
    </row>
    <row r="18" spans="1:15" ht="15">
      <c r="A18" s="111" t="s">
        <v>208</v>
      </c>
      <c r="B18" s="246"/>
      <c r="C18" s="246"/>
      <c r="E18" s="111" t="s">
        <v>208</v>
      </c>
      <c r="F18" s="246"/>
      <c r="G18" s="246"/>
      <c r="H18" s="248"/>
      <c r="I18" s="111" t="s">
        <v>208</v>
      </c>
      <c r="J18" s="246"/>
      <c r="K18" s="246"/>
      <c r="M18" s="111" t="s">
        <v>196</v>
      </c>
      <c r="N18" s="258">
        <f>SUM(N19:N39)</f>
        <v>4599489055</v>
      </c>
      <c r="O18" s="258">
        <f>SUM(O19:O39)</f>
        <v>4026990865</v>
      </c>
    </row>
    <row r="19" spans="1:15" ht="15">
      <c r="A19" s="116" t="s">
        <v>434</v>
      </c>
      <c r="B19" s="246">
        <v>42111493</v>
      </c>
      <c r="C19" s="246">
        <v>176537423</v>
      </c>
      <c r="E19" s="116" t="s">
        <v>434</v>
      </c>
      <c r="F19" s="246">
        <v>54072165</v>
      </c>
      <c r="G19" s="246">
        <v>176537423</v>
      </c>
      <c r="H19" s="248"/>
      <c r="I19" s="116" t="s">
        <v>434</v>
      </c>
      <c r="J19" s="246">
        <f>+B19+F19</f>
        <v>96183658</v>
      </c>
      <c r="K19" s="246">
        <v>176537423</v>
      </c>
      <c r="M19" s="116" t="s">
        <v>197</v>
      </c>
      <c r="N19" s="254">
        <v>1377641322</v>
      </c>
      <c r="O19" s="212">
        <v>911275502</v>
      </c>
    </row>
    <row r="20" spans="1:15" ht="15">
      <c r="A20" s="116" t="s">
        <v>435</v>
      </c>
      <c r="B20" s="246">
        <v>6948396</v>
      </c>
      <c r="C20" s="246">
        <v>29805924</v>
      </c>
      <c r="E20" s="116" t="s">
        <v>435</v>
      </c>
      <c r="F20" s="246">
        <v>8921907</v>
      </c>
      <c r="G20" s="246">
        <v>29805924</v>
      </c>
      <c r="H20" s="248"/>
      <c r="I20" s="116" t="s">
        <v>435</v>
      </c>
      <c r="J20" s="246">
        <f aca="true" t="shared" si="0" ref="J20:J37">+B20+F20</f>
        <v>15870303</v>
      </c>
      <c r="K20" s="246">
        <v>29805924</v>
      </c>
      <c r="M20" s="116" t="s">
        <v>198</v>
      </c>
      <c r="N20" s="254">
        <v>240157146</v>
      </c>
      <c r="O20" s="212">
        <v>150360457</v>
      </c>
    </row>
    <row r="21" spans="1:15" ht="15">
      <c r="A21" s="116"/>
      <c r="B21" s="246"/>
      <c r="C21" s="246"/>
      <c r="E21" s="116"/>
      <c r="F21" s="246"/>
      <c r="G21" s="246"/>
      <c r="H21" s="248"/>
      <c r="I21" s="116"/>
      <c r="J21" s="246"/>
      <c r="K21" s="246"/>
      <c r="M21" s="116" t="s">
        <v>436</v>
      </c>
      <c r="N21" s="254">
        <v>124545370</v>
      </c>
      <c r="O21" s="212">
        <v>69983324</v>
      </c>
    </row>
    <row r="22" spans="1:15" ht="15">
      <c r="A22" s="116" t="s">
        <v>437</v>
      </c>
      <c r="B22" s="246">
        <v>2180000</v>
      </c>
      <c r="C22" s="246">
        <v>13977537</v>
      </c>
      <c r="E22" s="116" t="s">
        <v>437</v>
      </c>
      <c r="F22" s="246">
        <v>0</v>
      </c>
      <c r="G22" s="246">
        <v>13977537</v>
      </c>
      <c r="H22" s="248"/>
      <c r="I22" s="116" t="s">
        <v>437</v>
      </c>
      <c r="J22" s="246">
        <f t="shared" si="0"/>
        <v>2180000</v>
      </c>
      <c r="K22" s="246">
        <v>13977537</v>
      </c>
      <c r="M22" s="116" t="s">
        <v>200</v>
      </c>
      <c r="N22" s="254">
        <v>7347279</v>
      </c>
      <c r="O22" s="212">
        <v>4515804</v>
      </c>
    </row>
    <row r="23" spans="1:15" ht="15">
      <c r="A23" s="116" t="s">
        <v>438</v>
      </c>
      <c r="B23" s="246">
        <v>37329636</v>
      </c>
      <c r="C23" s="246">
        <v>153231429</v>
      </c>
      <c r="E23" s="116" t="s">
        <v>438</v>
      </c>
      <c r="F23" s="246">
        <v>37184415</v>
      </c>
      <c r="G23" s="246">
        <v>153231429</v>
      </c>
      <c r="H23" s="248"/>
      <c r="I23" s="116" t="s">
        <v>438</v>
      </c>
      <c r="J23" s="246">
        <f t="shared" si="0"/>
        <v>74514051</v>
      </c>
      <c r="K23" s="246">
        <v>153231429</v>
      </c>
      <c r="M23" s="116" t="s">
        <v>201</v>
      </c>
      <c r="N23" s="254">
        <v>3130000</v>
      </c>
      <c r="O23" s="212">
        <v>2666667</v>
      </c>
    </row>
    <row r="24" spans="1:15" ht="15">
      <c r="A24" s="116"/>
      <c r="B24" s="246"/>
      <c r="C24" s="246"/>
      <c r="E24" s="116"/>
      <c r="F24" s="246"/>
      <c r="G24" s="246"/>
      <c r="H24" s="248"/>
      <c r="I24" s="116"/>
      <c r="J24" s="246"/>
      <c r="K24" s="246"/>
      <c r="M24" s="116" t="s">
        <v>202</v>
      </c>
      <c r="N24" s="254">
        <v>3550000</v>
      </c>
      <c r="O24" s="212"/>
    </row>
    <row r="25" spans="1:15" ht="15">
      <c r="A25" s="116" t="s">
        <v>439</v>
      </c>
      <c r="B25" s="246"/>
      <c r="C25" s="246">
        <v>57608294</v>
      </c>
      <c r="E25" s="116" t="s">
        <v>439</v>
      </c>
      <c r="F25" s="246"/>
      <c r="G25" s="246">
        <v>57608294</v>
      </c>
      <c r="H25" s="248"/>
      <c r="I25" s="116" t="s">
        <v>439</v>
      </c>
      <c r="J25" s="246">
        <f t="shared" si="0"/>
        <v>0</v>
      </c>
      <c r="K25" s="246">
        <v>57608294</v>
      </c>
      <c r="M25" s="116" t="s">
        <v>203</v>
      </c>
      <c r="N25" s="254">
        <v>271024831</v>
      </c>
      <c r="O25" s="212">
        <v>0</v>
      </c>
    </row>
    <row r="26" spans="1:15" ht="15">
      <c r="A26" s="116" t="s">
        <v>440</v>
      </c>
      <c r="B26" s="246">
        <v>5034443</v>
      </c>
      <c r="C26" s="246">
        <v>9660910</v>
      </c>
      <c r="E26" s="116" t="s">
        <v>440</v>
      </c>
      <c r="F26" s="246">
        <v>0</v>
      </c>
      <c r="G26" s="246">
        <v>9660910</v>
      </c>
      <c r="H26" s="248"/>
      <c r="I26" s="116" t="s">
        <v>440</v>
      </c>
      <c r="J26" s="246">
        <f t="shared" si="0"/>
        <v>5034443</v>
      </c>
      <c r="K26" s="246">
        <v>9660910</v>
      </c>
      <c r="M26" s="116" t="s">
        <v>204</v>
      </c>
      <c r="N26" s="254">
        <v>0</v>
      </c>
      <c r="O26" s="212">
        <v>216378518</v>
      </c>
    </row>
    <row r="27" spans="1:15" ht="15">
      <c r="A27" s="116" t="s">
        <v>441</v>
      </c>
      <c r="B27" s="246">
        <v>183846</v>
      </c>
      <c r="C27" s="246">
        <v>5328452</v>
      </c>
      <c r="E27" s="116" t="s">
        <v>441</v>
      </c>
      <c r="F27" s="246">
        <v>11830139</v>
      </c>
      <c r="G27" s="246">
        <v>5328452</v>
      </c>
      <c r="H27" s="248"/>
      <c r="I27" s="116" t="s">
        <v>441</v>
      </c>
      <c r="J27" s="246">
        <v>18126480</v>
      </c>
      <c r="K27" s="246">
        <v>5328452</v>
      </c>
      <c r="M27" s="116" t="s">
        <v>205</v>
      </c>
      <c r="N27" s="259">
        <v>4539965</v>
      </c>
      <c r="O27" s="212">
        <v>92340768</v>
      </c>
    </row>
    <row r="28" spans="1:15" ht="15">
      <c r="A28" s="116" t="s">
        <v>442</v>
      </c>
      <c r="B28" s="246">
        <v>2631100</v>
      </c>
      <c r="C28" s="246">
        <v>4946956</v>
      </c>
      <c r="E28" s="116" t="s">
        <v>442</v>
      </c>
      <c r="F28" s="246">
        <v>0</v>
      </c>
      <c r="G28" s="246">
        <v>4946956</v>
      </c>
      <c r="H28" s="248"/>
      <c r="I28" s="116" t="s">
        <v>442</v>
      </c>
      <c r="J28" s="246">
        <f t="shared" si="0"/>
        <v>2631100</v>
      </c>
      <c r="K28" s="246">
        <v>4946956</v>
      </c>
      <c r="M28" s="116" t="s">
        <v>206</v>
      </c>
      <c r="N28" s="254">
        <v>29548890</v>
      </c>
      <c r="O28" s="212">
        <v>20648847</v>
      </c>
    </row>
    <row r="29" spans="1:15" ht="15">
      <c r="A29" s="116" t="s">
        <v>443</v>
      </c>
      <c r="B29" s="246">
        <f>2557240+5144442+6537619+8994085+420000+4551013+18126480+3723731+4016787+11605205+3051734</f>
        <v>68728336</v>
      </c>
      <c r="C29" s="246">
        <v>178982976</v>
      </c>
      <c r="D29" s="248">
        <v>5</v>
      </c>
      <c r="E29" s="116" t="s">
        <v>443</v>
      </c>
      <c r="F29" s="246">
        <f>2979582+21944658+520173+866500+6899046+689091+551636+24801036+2545205+1257988+71000+11801324+145+1045455+4629798+363636</f>
        <v>80966273</v>
      </c>
      <c r="G29" s="246">
        <v>178982976</v>
      </c>
      <c r="H29" s="248">
        <v>5</v>
      </c>
      <c r="I29" s="116" t="s">
        <v>443</v>
      </c>
      <c r="J29" s="246">
        <v>112381988</v>
      </c>
      <c r="K29" s="246">
        <v>178982976</v>
      </c>
      <c r="M29" s="116" t="s">
        <v>207</v>
      </c>
      <c r="N29" s="254">
        <v>19743940</v>
      </c>
      <c r="O29" s="212">
        <v>12425240</v>
      </c>
    </row>
    <row r="30" spans="1:15" ht="15">
      <c r="A30" s="116" t="s">
        <v>444</v>
      </c>
      <c r="B30" s="246">
        <v>45865609</v>
      </c>
      <c r="C30" s="246">
        <v>226442873</v>
      </c>
      <c r="E30" s="116" t="s">
        <v>444</v>
      </c>
      <c r="F30" s="246">
        <v>29976971</v>
      </c>
      <c r="G30" s="246">
        <v>226442873</v>
      </c>
      <c r="H30" s="248"/>
      <c r="I30" s="116" t="s">
        <v>444</v>
      </c>
      <c r="J30" s="246">
        <v>79266320</v>
      </c>
      <c r="K30" s="246">
        <v>226442873</v>
      </c>
      <c r="M30" s="116" t="s">
        <v>208</v>
      </c>
      <c r="N30" s="259">
        <v>1025586311</v>
      </c>
      <c r="O30" s="212">
        <v>1047424885</v>
      </c>
    </row>
    <row r="31" spans="1:15" ht="15">
      <c r="A31" s="116" t="s">
        <v>445</v>
      </c>
      <c r="B31" s="246">
        <v>120000000</v>
      </c>
      <c r="C31" s="246">
        <v>395433334</v>
      </c>
      <c r="E31" s="116" t="s">
        <v>445</v>
      </c>
      <c r="F31" s="246">
        <v>120000000</v>
      </c>
      <c r="G31" s="246">
        <v>395433334</v>
      </c>
      <c r="H31" s="248"/>
      <c r="I31" s="116" t="s">
        <v>445</v>
      </c>
      <c r="J31" s="246">
        <f t="shared" si="0"/>
        <v>240000000</v>
      </c>
      <c r="K31" s="246">
        <v>395433334</v>
      </c>
      <c r="M31" s="116" t="s">
        <v>446</v>
      </c>
      <c r="N31" s="254">
        <v>34002770</v>
      </c>
      <c r="O31" s="212">
        <v>121729583</v>
      </c>
    </row>
    <row r="32" spans="1:15" ht="15">
      <c r="A32" s="116" t="s">
        <v>447</v>
      </c>
      <c r="B32" s="246">
        <v>48727274</v>
      </c>
      <c r="C32" s="246">
        <v>123333334</v>
      </c>
      <c r="E32" s="116" t="s">
        <v>447</v>
      </c>
      <c r="F32" s="246">
        <v>19636364</v>
      </c>
      <c r="G32" s="246">
        <v>123333334</v>
      </c>
      <c r="H32" s="248"/>
      <c r="I32" s="116" t="s">
        <v>447</v>
      </c>
      <c r="J32" s="246">
        <f t="shared" si="0"/>
        <v>68363638</v>
      </c>
      <c r="K32" s="246">
        <v>123333334</v>
      </c>
      <c r="M32" s="116" t="s">
        <v>210</v>
      </c>
      <c r="N32" s="254">
        <v>434393938</v>
      </c>
      <c r="O32" s="212">
        <v>340757576</v>
      </c>
    </row>
    <row r="33" spans="1:15" ht="15">
      <c r="A33" s="116" t="s">
        <v>448</v>
      </c>
      <c r="B33" s="246">
        <v>5788050</v>
      </c>
      <c r="C33" s="246">
        <v>1154545</v>
      </c>
      <c r="E33" s="116" t="s">
        <v>448</v>
      </c>
      <c r="F33" s="246">
        <v>172727</v>
      </c>
      <c r="G33" s="246">
        <v>1154545</v>
      </c>
      <c r="H33" s="248"/>
      <c r="I33" s="116" t="s">
        <v>448</v>
      </c>
      <c r="J33" s="246">
        <f t="shared" si="0"/>
        <v>5960777</v>
      </c>
      <c r="K33" s="246">
        <v>1154545</v>
      </c>
      <c r="M33" s="116" t="s">
        <v>211</v>
      </c>
      <c r="N33" s="254">
        <v>0</v>
      </c>
      <c r="O33" s="212">
        <v>731504716</v>
      </c>
    </row>
    <row r="34" spans="1:15" ht="15">
      <c r="A34" s="116" t="s">
        <v>449</v>
      </c>
      <c r="B34" s="246">
        <v>1747200</v>
      </c>
      <c r="C34" s="246">
        <v>1234487</v>
      </c>
      <c r="E34" s="116" t="s">
        <v>449</v>
      </c>
      <c r="F34" s="246">
        <v>0</v>
      </c>
      <c r="G34" s="246">
        <v>1234487</v>
      </c>
      <c r="H34" s="248"/>
      <c r="I34" s="116" t="s">
        <v>449</v>
      </c>
      <c r="J34" s="246">
        <f t="shared" si="0"/>
        <v>1747200</v>
      </c>
      <c r="K34" s="246">
        <v>1234487</v>
      </c>
      <c r="M34" s="116" t="s">
        <v>212</v>
      </c>
      <c r="N34" s="254">
        <v>12288908</v>
      </c>
      <c r="O34" s="212">
        <v>19553847</v>
      </c>
    </row>
    <row r="35" spans="1:15" ht="15">
      <c r="A35" s="116"/>
      <c r="B35" s="246"/>
      <c r="C35" s="246"/>
      <c r="E35" s="116"/>
      <c r="F35" s="246"/>
      <c r="G35" s="246"/>
      <c r="H35" s="248"/>
      <c r="I35" s="116"/>
      <c r="J35" s="246"/>
      <c r="K35" s="246"/>
      <c r="M35" s="116" t="s">
        <v>213</v>
      </c>
      <c r="N35" s="254">
        <v>369100045</v>
      </c>
      <c r="O35" s="212">
        <v>83505457</v>
      </c>
    </row>
    <row r="36" spans="1:15" ht="15">
      <c r="A36" s="116"/>
      <c r="B36" s="246"/>
      <c r="C36" s="246"/>
      <c r="E36" s="116"/>
      <c r="F36" s="246"/>
      <c r="G36" s="246"/>
      <c r="H36" s="248"/>
      <c r="I36" s="116"/>
      <c r="J36" s="246"/>
      <c r="K36" s="246"/>
      <c r="M36" s="116" t="s">
        <v>214</v>
      </c>
      <c r="N36" s="254">
        <v>273341144</v>
      </c>
      <c r="O36" s="212">
        <v>103593682</v>
      </c>
    </row>
    <row r="37" spans="1:15" ht="15">
      <c r="A37" s="116" t="s">
        <v>450</v>
      </c>
      <c r="B37" s="246"/>
      <c r="C37" s="246">
        <v>1000000</v>
      </c>
      <c r="E37" s="116" t="s">
        <v>450</v>
      </c>
      <c r="F37" s="246">
        <v>0</v>
      </c>
      <c r="G37" s="246">
        <v>1000000</v>
      </c>
      <c r="H37" s="248"/>
      <c r="I37" s="116" t="s">
        <v>450</v>
      </c>
      <c r="J37" s="246">
        <f t="shared" si="0"/>
        <v>0</v>
      </c>
      <c r="K37" s="246">
        <v>1000000</v>
      </c>
      <c r="M37" s="116" t="s">
        <v>215</v>
      </c>
      <c r="N37" s="254">
        <v>0</v>
      </c>
      <c r="O37" s="212">
        <v>8750000</v>
      </c>
    </row>
    <row r="38" spans="1:15" ht="15">
      <c r="A38" s="116"/>
      <c r="B38" s="246"/>
      <c r="C38" s="246"/>
      <c r="E38" s="116"/>
      <c r="F38" s="246"/>
      <c r="G38" s="246"/>
      <c r="H38" s="248"/>
      <c r="I38" s="116"/>
      <c r="J38" s="246"/>
      <c r="K38" s="246"/>
      <c r="M38" s="116" t="s">
        <v>216</v>
      </c>
      <c r="N38" s="254">
        <v>0</v>
      </c>
      <c r="O38" s="212">
        <v>0</v>
      </c>
    </row>
    <row r="39" spans="1:15" ht="15">
      <c r="A39" s="111" t="s">
        <v>418</v>
      </c>
      <c r="B39" s="247">
        <f>SUM(B19:B37)</f>
        <v>387275383</v>
      </c>
      <c r="C39" s="247">
        <f>SUM(C19:C37)</f>
        <v>1378678474</v>
      </c>
      <c r="E39" s="111" t="s">
        <v>418</v>
      </c>
      <c r="F39" s="247">
        <f>SUM(F19:F37)</f>
        <v>362760961</v>
      </c>
      <c r="G39" s="247">
        <f>SUM(G19:G37)</f>
        <v>1378678474</v>
      </c>
      <c r="H39" s="248"/>
      <c r="I39" s="111" t="s">
        <v>418</v>
      </c>
      <c r="J39" s="247">
        <f>SUM(J19:J37)</f>
        <v>722259958</v>
      </c>
      <c r="K39" s="247">
        <f>SUM(K19:K37)</f>
        <v>1378678474</v>
      </c>
      <c r="M39" s="116" t="s">
        <v>217</v>
      </c>
      <c r="N39" s="254">
        <v>369547196</v>
      </c>
      <c r="O39" s="260">
        <v>89575992</v>
      </c>
    </row>
    <row r="41" ht="15">
      <c r="N41" s="261"/>
    </row>
    <row r="42" ht="15">
      <c r="N42" s="190"/>
    </row>
    <row r="43" ht="15">
      <c r="N43" s="261"/>
    </row>
  </sheetData>
  <sheetProtection/>
  <mergeCells count="4">
    <mergeCell ref="A1:C1"/>
    <mergeCell ref="E1:G1"/>
    <mergeCell ref="I1:K1"/>
    <mergeCell ref="M1:O1"/>
  </mergeCells>
  <hyperlinks>
    <hyperlink ref="M1:O1" location="'Balance 14 04'!A1" display="'Balance 14 04'!A1"/>
  </hyperlink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D8"/>
  <sheetViews>
    <sheetView showGridLines="0" zoomScale="125" zoomScaleNormal="125" zoomScalePageLayoutView="0" workbookViewId="0" topLeftCell="A1">
      <selection activeCell="B5" sqref="B5:D8"/>
    </sheetView>
  </sheetViews>
  <sheetFormatPr defaultColWidth="11.421875" defaultRowHeight="15"/>
  <cols>
    <col min="2" max="2" width="37.7109375" style="0" bestFit="1" customWidth="1"/>
    <col min="3" max="3" width="13.7109375" style="0" bestFit="1" customWidth="1"/>
    <col min="4" max="4" width="13.28125" style="0" bestFit="1" customWidth="1"/>
  </cols>
  <sheetData>
    <row r="1" ht="15">
      <c r="B1" s="313" t="s">
        <v>607</v>
      </c>
    </row>
    <row r="2" ht="15">
      <c r="B2" s="196" t="s">
        <v>452</v>
      </c>
    </row>
    <row r="5" spans="2:4" ht="15">
      <c r="B5" s="193" t="s">
        <v>246</v>
      </c>
      <c r="C5" s="294" t="s">
        <v>609</v>
      </c>
      <c r="D5" s="294" t="s">
        <v>610</v>
      </c>
    </row>
    <row r="6" spans="2:4" ht="15">
      <c r="B6" s="111" t="s">
        <v>221</v>
      </c>
      <c r="C6" s="246"/>
      <c r="D6" s="110"/>
    </row>
    <row r="7" spans="2:4" ht="15">
      <c r="B7" s="116" t="s">
        <v>221</v>
      </c>
      <c r="C7" s="268">
        <v>0</v>
      </c>
      <c r="D7" s="305">
        <v>0</v>
      </c>
    </row>
    <row r="8" spans="2:4" ht="15">
      <c r="B8" s="111" t="s">
        <v>418</v>
      </c>
      <c r="C8" s="269">
        <f>SUM(C7)</f>
        <v>0</v>
      </c>
      <c r="D8" s="304">
        <f>+D7</f>
        <v>0</v>
      </c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D13"/>
  <sheetViews>
    <sheetView showGridLines="0" zoomScale="150" zoomScaleNormal="150" zoomScalePageLayoutView="0" workbookViewId="0" topLeftCell="A1">
      <selection activeCell="B5" sqref="B5:D13"/>
    </sheetView>
  </sheetViews>
  <sheetFormatPr defaultColWidth="11.421875" defaultRowHeight="15"/>
  <cols>
    <col min="2" max="2" width="37.7109375" style="0" bestFit="1" customWidth="1"/>
    <col min="3" max="3" width="13.7109375" style="0" bestFit="1" customWidth="1"/>
    <col min="4" max="4" width="13.28125" style="0" bestFit="1" customWidth="1"/>
  </cols>
  <sheetData>
    <row r="1" ht="15">
      <c r="B1" s="313" t="s">
        <v>607</v>
      </c>
    </row>
    <row r="3" ht="15">
      <c r="B3" s="196" t="s">
        <v>457</v>
      </c>
    </row>
    <row r="5" spans="2:4" ht="15">
      <c r="B5" s="193" t="s">
        <v>246</v>
      </c>
      <c r="C5" s="294" t="s">
        <v>609</v>
      </c>
      <c r="D5" s="294" t="s">
        <v>610</v>
      </c>
    </row>
    <row r="6" spans="2:4" ht="15">
      <c r="B6" s="111" t="s">
        <v>453</v>
      </c>
      <c r="C6" s="110"/>
      <c r="D6" s="110"/>
    </row>
    <row r="7" spans="2:4" ht="15">
      <c r="B7" s="116" t="s">
        <v>454</v>
      </c>
      <c r="C7" s="110">
        <v>0</v>
      </c>
      <c r="D7" s="110">
        <v>145243</v>
      </c>
    </row>
    <row r="8" spans="2:4" ht="15">
      <c r="B8" s="116" t="s">
        <v>225</v>
      </c>
      <c r="C8" s="110">
        <v>1054886896</v>
      </c>
      <c r="D8" s="187">
        <v>285104047</v>
      </c>
    </row>
    <row r="9" spans="2:4" ht="15">
      <c r="B9" s="111" t="s">
        <v>418</v>
      </c>
      <c r="C9" s="112">
        <f>SUM(C7:C8)</f>
        <v>1054886896</v>
      </c>
      <c r="D9" s="112">
        <f>SUM(D7:D8)</f>
        <v>285249290</v>
      </c>
    </row>
    <row r="10" spans="2:4" ht="15">
      <c r="B10" s="111" t="s">
        <v>455</v>
      </c>
      <c r="C10" s="110"/>
      <c r="D10" s="110"/>
    </row>
    <row r="11" spans="2:4" ht="15">
      <c r="B11" s="116" t="s">
        <v>456</v>
      </c>
      <c r="C11" s="187">
        <v>2441227091</v>
      </c>
      <c r="D11" s="110">
        <v>366394233</v>
      </c>
    </row>
    <row r="12" spans="2:4" ht="15">
      <c r="B12" s="116" t="s">
        <v>225</v>
      </c>
      <c r="C12" s="187">
        <v>415628469</v>
      </c>
      <c r="D12" s="187">
        <v>834523052</v>
      </c>
    </row>
    <row r="13" spans="2:4" ht="15">
      <c r="B13" s="111" t="s">
        <v>418</v>
      </c>
      <c r="C13" s="257">
        <f>SUM(C11:C12)</f>
        <v>2856855560</v>
      </c>
      <c r="D13" s="112">
        <f>SUM(D11:D12)</f>
        <v>1200917285</v>
      </c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D11"/>
  <sheetViews>
    <sheetView showGridLines="0" zoomScale="125" zoomScaleNormal="125" zoomScalePageLayoutView="0" workbookViewId="0" topLeftCell="A1">
      <selection activeCell="B24" sqref="B24"/>
    </sheetView>
  </sheetViews>
  <sheetFormatPr defaultColWidth="11.421875" defaultRowHeight="15"/>
  <cols>
    <col min="2" max="2" width="37.7109375" style="0" bestFit="1" customWidth="1"/>
    <col min="3" max="3" width="13.7109375" style="0" bestFit="1" customWidth="1"/>
    <col min="4" max="4" width="13.28125" style="0" bestFit="1" customWidth="1"/>
  </cols>
  <sheetData>
    <row r="1" ht="15">
      <c r="B1" s="313" t="s">
        <v>607</v>
      </c>
    </row>
    <row r="3" ht="15">
      <c r="B3" t="s">
        <v>462</v>
      </c>
    </row>
    <row r="5" spans="2:4" ht="15">
      <c r="B5" s="193" t="s">
        <v>246</v>
      </c>
      <c r="C5" s="111" t="s">
        <v>609</v>
      </c>
      <c r="D5" s="193" t="s">
        <v>610</v>
      </c>
    </row>
    <row r="6" spans="2:4" ht="15">
      <c r="B6" s="111" t="s">
        <v>458</v>
      </c>
      <c r="C6" s="111"/>
      <c r="D6" s="111"/>
    </row>
    <row r="7" spans="2:4" ht="15">
      <c r="B7" s="116" t="s">
        <v>459</v>
      </c>
      <c r="C7" s="326">
        <v>0</v>
      </c>
      <c r="D7" s="268">
        <v>12781720</v>
      </c>
    </row>
    <row r="8" spans="2:4" ht="15">
      <c r="B8" s="111" t="s">
        <v>418</v>
      </c>
      <c r="C8" s="325">
        <f>SUM(C7)</f>
        <v>0</v>
      </c>
      <c r="D8" s="325">
        <f>SUM(D7)</f>
        <v>12781720</v>
      </c>
    </row>
    <row r="9" spans="2:4" ht="15">
      <c r="B9" s="111" t="s">
        <v>460</v>
      </c>
      <c r="C9" s="111"/>
      <c r="D9" s="111"/>
    </row>
    <row r="10" spans="2:4" ht="15">
      <c r="B10" s="116" t="s">
        <v>461</v>
      </c>
      <c r="C10" s="326">
        <v>0</v>
      </c>
      <c r="D10" s="326">
        <v>0</v>
      </c>
    </row>
    <row r="11" spans="2:4" ht="15">
      <c r="B11" s="111" t="s">
        <v>418</v>
      </c>
      <c r="C11" s="325">
        <f>SUM(C10)</f>
        <v>0</v>
      </c>
      <c r="D11" s="325">
        <f>SUM(D10)</f>
        <v>0</v>
      </c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/>
  </sheetPr>
  <dimension ref="C1:C20"/>
  <sheetViews>
    <sheetView showGridLines="0" zoomScale="138" zoomScaleNormal="138" zoomScalePageLayoutView="0" workbookViewId="0" topLeftCell="A7">
      <selection activeCell="C9" sqref="C9"/>
    </sheetView>
  </sheetViews>
  <sheetFormatPr defaultColWidth="11.421875" defaultRowHeight="15"/>
  <cols>
    <col min="3" max="3" width="93.140625" style="270" customWidth="1"/>
  </cols>
  <sheetData>
    <row r="1" ht="15">
      <c r="C1" s="327" t="s">
        <v>567</v>
      </c>
    </row>
    <row r="3" ht="15">
      <c r="C3" s="105" t="s">
        <v>463</v>
      </c>
    </row>
    <row r="4" ht="15">
      <c r="C4" s="101" t="s">
        <v>464</v>
      </c>
    </row>
    <row r="5" ht="15">
      <c r="C5" s="106" t="s">
        <v>465</v>
      </c>
    </row>
    <row r="6" ht="15">
      <c r="C6" s="101" t="s">
        <v>466</v>
      </c>
    </row>
    <row r="7" ht="15">
      <c r="C7" s="106" t="s">
        <v>465</v>
      </c>
    </row>
    <row r="8" ht="15">
      <c r="C8" s="101" t="s">
        <v>467</v>
      </c>
    </row>
    <row r="9" ht="54.75" customHeight="1">
      <c r="C9" s="271" t="s">
        <v>468</v>
      </c>
    </row>
    <row r="10" ht="15">
      <c r="C10" s="101" t="s">
        <v>469</v>
      </c>
    </row>
    <row r="11" ht="15">
      <c r="C11" s="106" t="s">
        <v>470</v>
      </c>
    </row>
    <row r="12" ht="15">
      <c r="C12" s="101" t="s">
        <v>471</v>
      </c>
    </row>
    <row r="13" ht="15">
      <c r="C13" s="106" t="s">
        <v>472</v>
      </c>
    </row>
    <row r="14" ht="15">
      <c r="C14" s="101" t="s">
        <v>473</v>
      </c>
    </row>
    <row r="15" ht="15">
      <c r="C15" s="106" t="s">
        <v>472</v>
      </c>
    </row>
    <row r="16" ht="15">
      <c r="C16" s="101" t="s">
        <v>474</v>
      </c>
    </row>
    <row r="17" ht="15">
      <c r="C17" s="106" t="s">
        <v>472</v>
      </c>
    </row>
    <row r="18" ht="15">
      <c r="C18" s="106"/>
    </row>
    <row r="19" ht="15">
      <c r="C19" s="101" t="s">
        <v>475</v>
      </c>
    </row>
    <row r="20" ht="15">
      <c r="C20" s="106" t="s">
        <v>476</v>
      </c>
    </row>
  </sheetData>
  <sheetProtection/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J103"/>
  <sheetViews>
    <sheetView showGridLines="0" zoomScale="181" zoomScaleNormal="181" zoomScalePageLayoutView="0" workbookViewId="0" topLeftCell="C2">
      <selection activeCell="C35" sqref="C35"/>
    </sheetView>
  </sheetViews>
  <sheetFormatPr defaultColWidth="11.421875" defaultRowHeight="15"/>
  <cols>
    <col min="1" max="2" width="11.421875" style="65" customWidth="1"/>
    <col min="3" max="3" width="44.8515625" style="65" customWidth="1"/>
    <col min="4" max="4" width="0.2890625" style="65" customWidth="1"/>
    <col min="5" max="6" width="11.8515625" style="65" customWidth="1"/>
    <col min="7" max="7" width="14.28125" style="65" bestFit="1" customWidth="1"/>
    <col min="8" max="8" width="13.8515625" style="66" bestFit="1" customWidth="1"/>
    <col min="9" max="9" width="12.28125" style="65" bestFit="1" customWidth="1"/>
    <col min="10" max="16384" width="11.421875" style="65" customWidth="1"/>
  </cols>
  <sheetData>
    <row r="3" ht="12">
      <c r="E3" s="2" t="s">
        <v>0</v>
      </c>
    </row>
    <row r="4" ht="12">
      <c r="E4" s="2" t="s">
        <v>163</v>
      </c>
    </row>
    <row r="5" ht="12">
      <c r="E5" s="2" t="s">
        <v>482</v>
      </c>
    </row>
    <row r="6" ht="12">
      <c r="E6" s="67"/>
    </row>
    <row r="7" ht="12">
      <c r="E7" s="4" t="s">
        <v>164</v>
      </c>
    </row>
    <row r="9" spans="3:6" ht="9.75" customHeight="1">
      <c r="C9" s="68"/>
      <c r="D9" s="69"/>
      <c r="E9" s="70">
        <v>2019</v>
      </c>
      <c r="F9" s="70">
        <v>2018</v>
      </c>
    </row>
    <row r="10" spans="3:6" ht="9.75" customHeight="1">
      <c r="C10" s="71" t="s">
        <v>165</v>
      </c>
      <c r="D10" s="72"/>
      <c r="E10" s="73"/>
      <c r="F10" s="73"/>
    </row>
    <row r="11" spans="3:6" ht="9.75" customHeight="1">
      <c r="C11" s="71" t="s">
        <v>166</v>
      </c>
      <c r="D11" s="72"/>
      <c r="E11" s="74">
        <f>SUM(E12:E13)</f>
        <v>1482488031</v>
      </c>
      <c r="F11" s="74">
        <f>SUM(F12:F13)</f>
        <v>520576231</v>
      </c>
    </row>
    <row r="12" spans="3:6" ht="9.75" customHeight="1">
      <c r="C12" s="65" t="s">
        <v>167</v>
      </c>
      <c r="D12" s="72"/>
      <c r="E12" s="73">
        <v>16752830</v>
      </c>
      <c r="F12" s="74"/>
    </row>
    <row r="13" spans="3:6" ht="9.75" customHeight="1">
      <c r="C13" s="65" t="s">
        <v>168</v>
      </c>
      <c r="D13" s="72"/>
      <c r="E13" s="73">
        <v>1465735201</v>
      </c>
      <c r="F13" s="73">
        <v>520576231</v>
      </c>
    </row>
    <row r="14" spans="4:6" ht="9.75" customHeight="1">
      <c r="D14" s="72"/>
      <c r="E14" s="73"/>
      <c r="F14" s="73"/>
    </row>
    <row r="15" spans="3:6" ht="9.75" customHeight="1">
      <c r="C15" s="71" t="s">
        <v>169</v>
      </c>
      <c r="D15" s="72"/>
      <c r="E15" s="73"/>
      <c r="F15" s="73"/>
    </row>
    <row r="16" spans="3:6" ht="9.75" customHeight="1">
      <c r="C16" s="65" t="s">
        <v>170</v>
      </c>
      <c r="D16" s="72"/>
      <c r="E16" s="73">
        <v>0</v>
      </c>
      <c r="F16" s="73">
        <v>0</v>
      </c>
    </row>
    <row r="17" spans="3:6" ht="9.75" customHeight="1">
      <c r="C17" s="65" t="s">
        <v>171</v>
      </c>
      <c r="D17" s="72"/>
      <c r="E17" s="73">
        <v>0</v>
      </c>
      <c r="F17" s="73">
        <v>0</v>
      </c>
    </row>
    <row r="18" spans="4:6" ht="9.75" customHeight="1">
      <c r="D18" s="72"/>
      <c r="E18" s="73"/>
      <c r="F18" s="73"/>
    </row>
    <row r="19" spans="3:6" ht="9.75" customHeight="1">
      <c r="C19" s="71" t="s">
        <v>172</v>
      </c>
      <c r="D19" s="72"/>
      <c r="E19" s="73"/>
      <c r="F19" s="73"/>
    </row>
    <row r="20" spans="3:6" ht="9.75" customHeight="1">
      <c r="C20" s="65" t="s">
        <v>173</v>
      </c>
      <c r="D20" s="72"/>
      <c r="E20" s="73">
        <v>0</v>
      </c>
      <c r="F20" s="73">
        <v>0</v>
      </c>
    </row>
    <row r="21" spans="3:6" ht="9.75" customHeight="1">
      <c r="C21" s="65" t="s">
        <v>174</v>
      </c>
      <c r="D21" s="72"/>
      <c r="E21" s="73">
        <v>0</v>
      </c>
      <c r="F21" s="73">
        <v>0</v>
      </c>
    </row>
    <row r="22" spans="4:6" ht="9.75" customHeight="1">
      <c r="D22" s="72"/>
      <c r="E22" s="73"/>
      <c r="F22" s="73"/>
    </row>
    <row r="23" spans="3:6" ht="9.75" customHeight="1">
      <c r="C23" s="71" t="s">
        <v>175</v>
      </c>
      <c r="D23" s="72"/>
      <c r="E23" s="73">
        <v>0</v>
      </c>
      <c r="F23" s="73">
        <v>0</v>
      </c>
    </row>
    <row r="24" spans="3:6" ht="9.75" customHeight="1">
      <c r="C24" s="71" t="s">
        <v>176</v>
      </c>
      <c r="D24" s="72"/>
      <c r="E24" s="73">
        <v>0</v>
      </c>
      <c r="F24" s="73">
        <v>0</v>
      </c>
    </row>
    <row r="25" spans="3:6" ht="9.75" customHeight="1">
      <c r="C25" s="71" t="s">
        <v>177</v>
      </c>
      <c r="D25" s="72"/>
      <c r="E25" s="74">
        <v>3606589895</v>
      </c>
      <c r="F25" s="74">
        <v>3375122232</v>
      </c>
    </row>
    <row r="26" spans="3:6" ht="9.75" customHeight="1">
      <c r="C26" s="71" t="s">
        <v>178</v>
      </c>
      <c r="D26" s="72"/>
      <c r="E26" s="74">
        <v>1158461143</v>
      </c>
      <c r="F26" s="74">
        <v>1095591900</v>
      </c>
    </row>
    <row r="27" spans="3:6" ht="9.75" customHeight="1">
      <c r="C27" s="71" t="s">
        <v>179</v>
      </c>
      <c r="D27" s="72"/>
      <c r="E27" s="74">
        <f>6880362421+10</f>
        <v>6880362431</v>
      </c>
      <c r="F27" s="73">
        <v>0</v>
      </c>
    </row>
    <row r="28" spans="3:6" ht="9.75" customHeight="1">
      <c r="C28" s="71" t="s">
        <v>180</v>
      </c>
      <c r="D28" s="72"/>
      <c r="E28" s="73">
        <v>0</v>
      </c>
      <c r="F28" s="73">
        <v>0</v>
      </c>
    </row>
    <row r="29" spans="3:6" ht="9.75" customHeight="1">
      <c r="C29" s="71" t="s">
        <v>181</v>
      </c>
      <c r="D29" s="72"/>
      <c r="E29" s="73">
        <v>0</v>
      </c>
      <c r="F29" s="73">
        <v>0</v>
      </c>
    </row>
    <row r="30" spans="5:6" ht="9.75" customHeight="1">
      <c r="E30" s="73"/>
      <c r="F30" s="73"/>
    </row>
    <row r="31" spans="3:6" ht="9.75" customHeight="1">
      <c r="C31" s="71" t="s">
        <v>182</v>
      </c>
      <c r="D31" s="72"/>
      <c r="E31" s="73">
        <v>0</v>
      </c>
      <c r="F31" s="73">
        <v>0</v>
      </c>
    </row>
    <row r="32" spans="3:6" ht="9.75" customHeight="1">
      <c r="C32" s="71"/>
      <c r="D32" s="72"/>
      <c r="E32" s="73"/>
      <c r="F32" s="73"/>
    </row>
    <row r="33" spans="3:9" ht="9.75" customHeight="1">
      <c r="C33" s="71" t="s">
        <v>183</v>
      </c>
      <c r="D33" s="72"/>
      <c r="E33" s="74">
        <f>SUM(E34:E36)</f>
        <v>1144341430</v>
      </c>
      <c r="F33" s="74">
        <f>SUM(F34:F36)</f>
        <v>10472647273</v>
      </c>
      <c r="G33" s="75"/>
      <c r="I33" s="75"/>
    </row>
    <row r="34" spans="3:6" ht="9.75" customHeight="1">
      <c r="C34" s="65" t="s">
        <v>184</v>
      </c>
      <c r="D34" s="72"/>
      <c r="E34" s="74">
        <v>0</v>
      </c>
      <c r="F34" s="73">
        <v>10291679821</v>
      </c>
    </row>
    <row r="35" spans="3:6" ht="9.75" customHeight="1">
      <c r="C35" s="76" t="s">
        <v>185</v>
      </c>
      <c r="D35" s="77"/>
      <c r="E35" s="73">
        <v>264901551</v>
      </c>
      <c r="F35" s="73">
        <v>66446400</v>
      </c>
    </row>
    <row r="36" spans="3:7" ht="9.75" customHeight="1">
      <c r="C36" s="76" t="s">
        <v>186</v>
      </c>
      <c r="D36" s="77"/>
      <c r="E36" s="73">
        <v>879439879</v>
      </c>
      <c r="F36" s="73">
        <v>114521052</v>
      </c>
      <c r="G36" s="66"/>
    </row>
    <row r="37" spans="4:6" ht="9.75" customHeight="1">
      <c r="D37" s="77"/>
      <c r="E37" s="73"/>
      <c r="F37" s="73"/>
    </row>
    <row r="38" spans="3:6" ht="9.75" customHeight="1">
      <c r="C38" s="71" t="s">
        <v>187</v>
      </c>
      <c r="D38" s="77"/>
      <c r="E38" s="74">
        <f>SUM(E39:E41)</f>
        <v>1612885706</v>
      </c>
      <c r="F38" s="74">
        <f>SUM(F39:F41)</f>
        <v>6836483377</v>
      </c>
    </row>
    <row r="39" spans="3:6" ht="9.75" customHeight="1">
      <c r="C39" s="65" t="s">
        <v>188</v>
      </c>
      <c r="D39" s="77"/>
      <c r="E39" s="73">
        <v>717577745</v>
      </c>
      <c r="F39" s="73">
        <v>181695716</v>
      </c>
    </row>
    <row r="40" spans="3:6" ht="9.75" customHeight="1">
      <c r="C40" s="65" t="s">
        <v>189</v>
      </c>
      <c r="D40" s="77"/>
      <c r="E40" s="73">
        <v>532387997</v>
      </c>
      <c r="F40" s="73">
        <v>296401418</v>
      </c>
    </row>
    <row r="41" spans="3:6" ht="9.75" customHeight="1">
      <c r="C41" s="65" t="s">
        <v>190</v>
      </c>
      <c r="D41" s="77"/>
      <c r="E41" s="73">
        <f>362919964</f>
        <v>362919964</v>
      </c>
      <c r="F41" s="73">
        <v>6358386243</v>
      </c>
    </row>
    <row r="42" spans="3:6" ht="9.75" customHeight="1">
      <c r="C42" s="78"/>
      <c r="D42" s="79"/>
      <c r="E42" s="80"/>
      <c r="F42" s="80"/>
    </row>
    <row r="43" spans="3:6" ht="15.75" customHeight="1">
      <c r="C43" s="81" t="s">
        <v>191</v>
      </c>
      <c r="D43" s="82"/>
      <c r="E43" s="83">
        <f>+E11+E25+E26+E33-E38+E27</f>
        <v>12659357224</v>
      </c>
      <c r="F43" s="83">
        <f>+F11+F25+F26+F33-F38</f>
        <v>8627454259</v>
      </c>
    </row>
    <row r="44" spans="4:6" ht="9.75" customHeight="1">
      <c r="D44" s="77"/>
      <c r="E44" s="73"/>
      <c r="F44" s="73"/>
    </row>
    <row r="45" spans="3:6" ht="9.75" customHeight="1">
      <c r="C45" s="84" t="s">
        <v>192</v>
      </c>
      <c r="D45" s="72"/>
      <c r="E45" s="74">
        <f>SUM(E46:E48)</f>
        <v>52003311</v>
      </c>
      <c r="F45" s="74">
        <f>SUM(F46:F48)</f>
        <v>50093928</v>
      </c>
    </row>
    <row r="46" spans="3:6" ht="9.75" customHeight="1">
      <c r="C46" s="76" t="s">
        <v>193</v>
      </c>
      <c r="D46" s="72"/>
      <c r="E46" s="73">
        <v>52003311</v>
      </c>
      <c r="F46" s="73">
        <v>50093928</v>
      </c>
    </row>
    <row r="47" spans="3:6" ht="9.75" customHeight="1">
      <c r="C47" s="76" t="s">
        <v>194</v>
      </c>
      <c r="D47" s="72"/>
      <c r="E47" s="73">
        <v>0</v>
      </c>
      <c r="F47" s="73">
        <v>0</v>
      </c>
    </row>
    <row r="48" spans="3:6" ht="9.75" customHeight="1">
      <c r="C48" s="76" t="s">
        <v>195</v>
      </c>
      <c r="D48" s="72"/>
      <c r="E48" s="73">
        <v>0</v>
      </c>
      <c r="F48" s="73">
        <v>0</v>
      </c>
    </row>
    <row r="49" spans="3:6" ht="9.75" customHeight="1">
      <c r="C49" s="76"/>
      <c r="D49" s="77"/>
      <c r="E49" s="73"/>
      <c r="F49" s="73"/>
    </row>
    <row r="50" spans="3:10" ht="9.75" customHeight="1">
      <c r="C50" s="84" t="s">
        <v>196</v>
      </c>
      <c r="D50" s="77"/>
      <c r="E50" s="74">
        <f>SUM(E51:E71)</f>
        <v>4599489055</v>
      </c>
      <c r="F50" s="74">
        <f>SUM(F51:F71)</f>
        <v>4026990865</v>
      </c>
      <c r="G50" s="77"/>
      <c r="I50" s="75"/>
      <c r="J50" s="85"/>
    </row>
    <row r="51" spans="3:7" ht="9.75" customHeight="1">
      <c r="C51" s="76" t="s">
        <v>197</v>
      </c>
      <c r="D51" s="77"/>
      <c r="E51" s="73">
        <v>1377641322</v>
      </c>
      <c r="F51" s="272">
        <v>911275502</v>
      </c>
      <c r="G51" s="75"/>
    </row>
    <row r="52" spans="3:7" ht="9.75" customHeight="1">
      <c r="C52" s="76" t="s">
        <v>198</v>
      </c>
      <c r="D52" s="77"/>
      <c r="E52" s="73">
        <v>240157146</v>
      </c>
      <c r="F52" s="272">
        <v>150360457</v>
      </c>
      <c r="G52" s="75"/>
    </row>
    <row r="53" spans="3:7" ht="9.75" customHeight="1">
      <c r="C53" s="76" t="s">
        <v>199</v>
      </c>
      <c r="D53" s="77"/>
      <c r="E53" s="73">
        <v>124545370</v>
      </c>
      <c r="F53" s="272">
        <v>69983324</v>
      </c>
      <c r="G53" s="75"/>
    </row>
    <row r="54" spans="3:7" ht="9.75" customHeight="1">
      <c r="C54" s="76" t="s">
        <v>200</v>
      </c>
      <c r="D54" s="77"/>
      <c r="E54" s="73">
        <v>7347279</v>
      </c>
      <c r="F54" s="272">
        <v>4515804</v>
      </c>
      <c r="G54" s="75"/>
    </row>
    <row r="55" spans="3:7" ht="9.75" customHeight="1">
      <c r="C55" s="76" t="s">
        <v>201</v>
      </c>
      <c r="D55" s="77"/>
      <c r="E55" s="73">
        <v>3130000</v>
      </c>
      <c r="F55" s="272">
        <v>2666667</v>
      </c>
      <c r="G55" s="75"/>
    </row>
    <row r="56" spans="3:7" ht="9.75" customHeight="1">
      <c r="C56" s="76" t="s">
        <v>202</v>
      </c>
      <c r="D56" s="77"/>
      <c r="E56" s="73">
        <v>3550000</v>
      </c>
      <c r="F56" s="73">
        <v>0</v>
      </c>
      <c r="G56" s="77"/>
    </row>
    <row r="57" spans="3:7" ht="9.75" customHeight="1">
      <c r="C57" s="76" t="s">
        <v>203</v>
      </c>
      <c r="D57" s="77"/>
      <c r="E57" s="73">
        <v>271024831</v>
      </c>
      <c r="F57" s="73">
        <v>0</v>
      </c>
      <c r="G57" s="77"/>
    </row>
    <row r="58" spans="3:7" ht="9.75" customHeight="1">
      <c r="C58" s="76" t="s">
        <v>204</v>
      </c>
      <c r="D58" s="77"/>
      <c r="E58" s="73">
        <v>0</v>
      </c>
      <c r="F58" s="73">
        <v>216378518</v>
      </c>
      <c r="G58" s="77"/>
    </row>
    <row r="59" spans="3:7" ht="9.75" customHeight="1">
      <c r="C59" s="76" t="s">
        <v>205</v>
      </c>
      <c r="D59" s="77"/>
      <c r="E59" s="73">
        <v>4539965</v>
      </c>
      <c r="F59" s="73">
        <v>92340768</v>
      </c>
      <c r="G59" s="77"/>
    </row>
    <row r="60" spans="3:7" ht="9.75" customHeight="1">
      <c r="C60" s="76" t="s">
        <v>206</v>
      </c>
      <c r="D60" s="77"/>
      <c r="E60" s="73">
        <v>29548890</v>
      </c>
      <c r="F60" s="73">
        <v>20648847</v>
      </c>
      <c r="G60" s="77"/>
    </row>
    <row r="61" spans="3:7" ht="9.75" customHeight="1">
      <c r="C61" s="76" t="s">
        <v>207</v>
      </c>
      <c r="D61" s="77"/>
      <c r="E61" s="73">
        <v>19743940</v>
      </c>
      <c r="F61" s="73">
        <v>12425240</v>
      </c>
      <c r="G61" s="77"/>
    </row>
    <row r="62" spans="3:7" ht="9.75" customHeight="1">
      <c r="C62" s="76" t="s">
        <v>208</v>
      </c>
      <c r="D62" s="77"/>
      <c r="E62" s="73">
        <f>1025151371+434940</f>
        <v>1025586311</v>
      </c>
      <c r="F62" s="73">
        <v>1047424885</v>
      </c>
      <c r="G62" s="77"/>
    </row>
    <row r="63" spans="3:7" ht="9.75" customHeight="1">
      <c r="C63" s="76" t="s">
        <v>209</v>
      </c>
      <c r="D63" s="77"/>
      <c r="E63" s="73">
        <v>34002770</v>
      </c>
      <c r="F63" s="73">
        <v>121729583</v>
      </c>
      <c r="G63" s="77"/>
    </row>
    <row r="64" spans="3:7" ht="9.75" customHeight="1">
      <c r="C64" s="76" t="s">
        <v>210</v>
      </c>
      <c r="D64" s="77"/>
      <c r="E64" s="73">
        <v>434393938</v>
      </c>
      <c r="F64" s="73">
        <v>340757576</v>
      </c>
      <c r="G64" s="77"/>
    </row>
    <row r="65" spans="3:7" ht="9.75" customHeight="1">
      <c r="C65" s="76" t="s">
        <v>211</v>
      </c>
      <c r="D65" s="77"/>
      <c r="E65" s="73">
        <v>0</v>
      </c>
      <c r="F65" s="73">
        <v>731504716</v>
      </c>
      <c r="G65" s="77"/>
    </row>
    <row r="66" spans="3:7" ht="9.75" customHeight="1">
      <c r="C66" s="76" t="s">
        <v>212</v>
      </c>
      <c r="D66" s="77"/>
      <c r="E66" s="73">
        <v>12288908</v>
      </c>
      <c r="F66" s="73">
        <v>19553847</v>
      </c>
      <c r="G66" s="77"/>
    </row>
    <row r="67" spans="3:7" ht="9.75" customHeight="1">
      <c r="C67" s="76" t="s">
        <v>213</v>
      </c>
      <c r="D67" s="77"/>
      <c r="E67" s="73">
        <v>369100045</v>
      </c>
      <c r="F67" s="73">
        <v>83505457</v>
      </c>
      <c r="G67" s="77"/>
    </row>
    <row r="68" spans="3:7" ht="9.75" customHeight="1">
      <c r="C68" s="76" t="s">
        <v>214</v>
      </c>
      <c r="D68" s="77"/>
      <c r="E68" s="73">
        <v>273341144</v>
      </c>
      <c r="F68" s="73">
        <v>103593682</v>
      </c>
      <c r="G68" s="77"/>
    </row>
    <row r="69" spans="3:7" ht="9.75" customHeight="1">
      <c r="C69" s="76" t="s">
        <v>215</v>
      </c>
      <c r="D69" s="77"/>
      <c r="E69" s="73">
        <v>0</v>
      </c>
      <c r="F69" s="73">
        <v>8750000</v>
      </c>
      <c r="G69" s="77"/>
    </row>
    <row r="70" spans="3:7" ht="9.75" customHeight="1">
      <c r="C70" s="76" t="s">
        <v>216</v>
      </c>
      <c r="D70" s="77"/>
      <c r="E70" s="73">
        <v>0</v>
      </c>
      <c r="F70" s="73">
        <v>0</v>
      </c>
      <c r="G70" s="77"/>
    </row>
    <row r="71" spans="3:7" ht="9.75" customHeight="1">
      <c r="C71" s="86" t="s">
        <v>217</v>
      </c>
      <c r="D71" s="79"/>
      <c r="E71" s="80">
        <v>369547196</v>
      </c>
      <c r="F71" s="80">
        <v>89575992</v>
      </c>
      <c r="G71" s="77"/>
    </row>
    <row r="72" spans="3:7" ht="15" customHeight="1">
      <c r="C72" s="81" t="s">
        <v>218</v>
      </c>
      <c r="D72" s="82"/>
      <c r="E72" s="83">
        <f>+E43-E45-E50</f>
        <v>8007864858</v>
      </c>
      <c r="F72" s="83">
        <f>+F43-F45-F50</f>
        <v>4550369466</v>
      </c>
      <c r="G72" s="77"/>
    </row>
    <row r="73" spans="3:7" ht="9.75" customHeight="1">
      <c r="C73" s="76"/>
      <c r="D73" s="77"/>
      <c r="E73" s="73"/>
      <c r="F73" s="73"/>
      <c r="G73" s="77"/>
    </row>
    <row r="74" spans="3:7" ht="9.75" customHeight="1">
      <c r="C74" s="84" t="s">
        <v>219</v>
      </c>
      <c r="D74" s="72"/>
      <c r="E74" s="74">
        <v>0</v>
      </c>
      <c r="F74" s="74">
        <f>SUM(F75:F76)*-1</f>
        <v>0</v>
      </c>
      <c r="G74" s="72"/>
    </row>
    <row r="75" spans="3:7" ht="9.75" customHeight="1">
      <c r="C75" s="76" t="s">
        <v>220</v>
      </c>
      <c r="D75" s="72"/>
      <c r="E75" s="74">
        <v>0</v>
      </c>
      <c r="F75" s="74">
        <v>0</v>
      </c>
      <c r="G75" s="72"/>
    </row>
    <row r="76" spans="3:7" ht="9.75" customHeight="1">
      <c r="C76" s="76" t="s">
        <v>221</v>
      </c>
      <c r="D76" s="77"/>
      <c r="E76" s="87">
        <v>0</v>
      </c>
      <c r="F76" s="87">
        <v>0</v>
      </c>
      <c r="G76" s="72"/>
    </row>
    <row r="77" spans="3:6" ht="9.75" customHeight="1">
      <c r="C77" s="84"/>
      <c r="D77" s="77"/>
      <c r="E77" s="73"/>
      <c r="F77" s="73"/>
    </row>
    <row r="78" spans="3:6" ht="9.75" customHeight="1">
      <c r="C78" s="84" t="s">
        <v>222</v>
      </c>
      <c r="D78" s="77"/>
      <c r="E78" s="74">
        <f>+E80+E83</f>
        <v>-1801968664</v>
      </c>
      <c r="F78" s="74">
        <f>+F80+F83</f>
        <v>-915667995</v>
      </c>
    </row>
    <row r="79" spans="3:6" ht="9.75" customHeight="1">
      <c r="C79" s="84"/>
      <c r="D79" s="77"/>
      <c r="E79" s="74"/>
      <c r="F79" s="74"/>
    </row>
    <row r="80" spans="3:6" ht="9.75" customHeight="1">
      <c r="C80" s="84" t="s">
        <v>223</v>
      </c>
      <c r="D80" s="77"/>
      <c r="E80" s="74">
        <f>SUM(E81:E82)</f>
        <v>1054886896</v>
      </c>
      <c r="F80" s="74">
        <f>SUM(F81:F82)</f>
        <v>285249290</v>
      </c>
    </row>
    <row r="81" spans="3:6" ht="9.75" customHeight="1">
      <c r="C81" s="76" t="s">
        <v>224</v>
      </c>
      <c r="D81" s="77"/>
      <c r="E81" s="73">
        <v>0</v>
      </c>
      <c r="F81" s="73">
        <v>145243</v>
      </c>
    </row>
    <row r="82" spans="3:6" ht="9.75" customHeight="1">
      <c r="C82" s="76" t="s">
        <v>225</v>
      </c>
      <c r="D82" s="77"/>
      <c r="E82" s="73">
        <v>1054886896</v>
      </c>
      <c r="F82" s="73">
        <v>285104047</v>
      </c>
    </row>
    <row r="83" spans="3:6" ht="9.75" customHeight="1">
      <c r="C83" s="84" t="s">
        <v>226</v>
      </c>
      <c r="D83" s="77"/>
      <c r="E83" s="74">
        <f>SUM(E84:E85)*-1</f>
        <v>-2856855560</v>
      </c>
      <c r="F83" s="74">
        <f>SUM(F84:F85)*-1</f>
        <v>-1200917285</v>
      </c>
    </row>
    <row r="84" spans="3:9" ht="9.75" customHeight="1">
      <c r="C84" s="76" t="s">
        <v>227</v>
      </c>
      <c r="D84" s="77"/>
      <c r="E84" s="73">
        <v>2441227091</v>
      </c>
      <c r="F84" s="73">
        <v>366394233</v>
      </c>
      <c r="G84" s="88"/>
      <c r="H84" s="89"/>
      <c r="I84" s="89"/>
    </row>
    <row r="85" spans="3:6" ht="9.75" customHeight="1">
      <c r="C85" s="76" t="s">
        <v>225</v>
      </c>
      <c r="D85" s="77"/>
      <c r="E85" s="73">
        <v>415628469</v>
      </c>
      <c r="F85" s="73">
        <v>834523052</v>
      </c>
    </row>
    <row r="86" spans="3:7" ht="9.75" customHeight="1">
      <c r="C86" s="76"/>
      <c r="D86" s="77"/>
      <c r="E86" s="73"/>
      <c r="F86" s="73"/>
      <c r="G86" s="75"/>
    </row>
    <row r="87" spans="3:7" ht="9.75" customHeight="1">
      <c r="C87" s="71" t="s">
        <v>228</v>
      </c>
      <c r="D87" s="72"/>
      <c r="E87" s="74">
        <f>+E88-E89</f>
        <v>0</v>
      </c>
      <c r="F87" s="74">
        <f>+F88-F89</f>
        <v>12781720</v>
      </c>
      <c r="G87" s="75"/>
    </row>
    <row r="88" spans="3:7" ht="9.75" customHeight="1">
      <c r="C88" s="65" t="s">
        <v>229</v>
      </c>
      <c r="D88" s="77"/>
      <c r="E88" s="73">
        <v>0</v>
      </c>
      <c r="F88" s="73">
        <v>12781720</v>
      </c>
      <c r="G88" s="75"/>
    </row>
    <row r="89" spans="3:6" ht="9.75" customHeight="1">
      <c r="C89" s="65" t="s">
        <v>230</v>
      </c>
      <c r="D89" s="77"/>
      <c r="E89" s="73">
        <v>0</v>
      </c>
      <c r="F89" s="73">
        <v>0</v>
      </c>
    </row>
    <row r="90" spans="4:6" ht="9.75" customHeight="1">
      <c r="D90" s="77"/>
      <c r="E90" s="90"/>
      <c r="F90" s="90"/>
    </row>
    <row r="91" spans="3:6" ht="9.75" customHeight="1">
      <c r="C91" s="71" t="s">
        <v>231</v>
      </c>
      <c r="D91" s="72"/>
      <c r="E91" s="74">
        <v>0</v>
      </c>
      <c r="F91" s="74">
        <v>0</v>
      </c>
    </row>
    <row r="92" spans="3:6" ht="9.75" customHeight="1">
      <c r="C92" s="65" t="s">
        <v>232</v>
      </c>
      <c r="D92" s="77"/>
      <c r="E92" s="73">
        <v>0</v>
      </c>
      <c r="F92" s="73">
        <v>0</v>
      </c>
    </row>
    <row r="93" spans="3:6" ht="9.75" customHeight="1">
      <c r="C93" s="65" t="s">
        <v>233</v>
      </c>
      <c r="D93" s="77"/>
      <c r="E93" s="73"/>
      <c r="F93" s="73"/>
    </row>
    <row r="94" spans="4:6" ht="9.75" customHeight="1">
      <c r="D94" s="77"/>
      <c r="E94" s="73"/>
      <c r="F94" s="73"/>
    </row>
    <row r="95" spans="3:7" ht="9">
      <c r="C95" s="91" t="s">
        <v>234</v>
      </c>
      <c r="D95" s="92"/>
      <c r="E95" s="93">
        <f>+E72+E78+E87+E91</f>
        <v>6205896194</v>
      </c>
      <c r="F95" s="93">
        <f>+F72+F78+F87+F91</f>
        <v>3647483191</v>
      </c>
      <c r="G95" s="75"/>
    </row>
    <row r="96" spans="4:6" ht="9">
      <c r="D96" s="77"/>
      <c r="E96" s="73"/>
      <c r="F96" s="73"/>
    </row>
    <row r="97" spans="3:6" ht="9">
      <c r="C97" s="71" t="s">
        <v>235</v>
      </c>
      <c r="D97" s="72"/>
      <c r="E97" s="73">
        <v>536608100</v>
      </c>
      <c r="F97" s="73">
        <v>395580187</v>
      </c>
    </row>
    <row r="98" spans="3:7" ht="9">
      <c r="C98" s="71" t="s">
        <v>98</v>
      </c>
      <c r="D98" s="77"/>
      <c r="E98" s="73">
        <v>283464405</v>
      </c>
      <c r="F98" s="73">
        <v>150158344</v>
      </c>
      <c r="G98" s="75"/>
    </row>
    <row r="99" spans="3:7" ht="10.5" customHeight="1" thickBot="1">
      <c r="C99" s="71" t="s">
        <v>236</v>
      </c>
      <c r="D99" s="72"/>
      <c r="E99" s="94">
        <f>+E95-E97-E98</f>
        <v>5385823689</v>
      </c>
      <c r="F99" s="94">
        <f>+F95-F97-F98</f>
        <v>3101744660</v>
      </c>
      <c r="G99" s="77"/>
    </row>
    <row r="100" spans="5:6" ht="9.75" customHeight="1" thickTop="1">
      <c r="E100" s="273">
        <f>+'Balance Gral. Resol. 6'!G66-E99</f>
        <v>0</v>
      </c>
      <c r="F100" s="273">
        <f>+F99-'Balance Gral. Resol. 6'!H67</f>
        <v>0</v>
      </c>
    </row>
    <row r="101" spans="5:6" ht="9.75" customHeight="1">
      <c r="E101" s="95"/>
      <c r="F101" s="95"/>
    </row>
    <row r="103" ht="9.75" customHeight="1">
      <c r="E103" s="96"/>
    </row>
  </sheetData>
  <sheetProtection/>
  <printOptions/>
  <pageMargins left="0.25" right="0.25" top="0.75" bottom="0.75" header="0.3" footer="0.3"/>
  <pageSetup fitToHeight="1" fitToWidth="1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E1:H62"/>
  <sheetViews>
    <sheetView showGridLines="0" zoomScalePageLayoutView="0" workbookViewId="0" topLeftCell="E21">
      <selection activeCell="H66" sqref="H66"/>
    </sheetView>
  </sheetViews>
  <sheetFormatPr defaultColWidth="11.421875" defaultRowHeight="15"/>
  <cols>
    <col min="1" max="1" width="11.421875" style="1" customWidth="1"/>
    <col min="2" max="4" width="8.140625" style="1" customWidth="1"/>
    <col min="5" max="5" width="77.7109375" style="1" bestFit="1" customWidth="1"/>
    <col min="6" max="6" width="16.8515625" style="1" customWidth="1"/>
    <col min="7" max="7" width="18.8515625" style="1" customWidth="1"/>
    <col min="8" max="8" width="14.28125" style="1" bestFit="1" customWidth="1"/>
    <col min="9" max="16384" width="11.421875" style="1" customWidth="1"/>
  </cols>
  <sheetData>
    <row r="1" ht="14.25">
      <c r="E1" s="344" t="s">
        <v>0</v>
      </c>
    </row>
    <row r="2" ht="14.25">
      <c r="E2" s="344" t="s">
        <v>691</v>
      </c>
    </row>
    <row r="3" ht="14.25">
      <c r="E3" s="344" t="s">
        <v>692</v>
      </c>
    </row>
    <row r="4" ht="12.75">
      <c r="E4" s="97" t="s">
        <v>2</v>
      </c>
    </row>
    <row r="8" spans="5:7" ht="38.25">
      <c r="E8" s="345"/>
      <c r="F8" s="346" t="s">
        <v>693</v>
      </c>
      <c r="G8" s="346" t="s">
        <v>694</v>
      </c>
    </row>
    <row r="9" spans="5:7" ht="12.75">
      <c r="E9" s="347" t="s">
        <v>695</v>
      </c>
      <c r="F9" s="348"/>
      <c r="G9" s="349"/>
    </row>
    <row r="10" spans="5:7" ht="12.75">
      <c r="E10" s="350"/>
      <c r="F10" s="351"/>
      <c r="G10" s="352"/>
    </row>
    <row r="11" spans="5:7" ht="12.75">
      <c r="E11" s="350" t="s">
        <v>696</v>
      </c>
      <c r="F11" s="352">
        <v>17307488114</v>
      </c>
      <c r="G11" s="353">
        <v>7079292788</v>
      </c>
    </row>
    <row r="12" spans="5:7" ht="12.75">
      <c r="E12" s="350" t="s">
        <v>697</v>
      </c>
      <c r="F12" s="352">
        <v>-1756371117</v>
      </c>
      <c r="G12" s="353">
        <v>-1222970409</v>
      </c>
    </row>
    <row r="13" spans="5:8" ht="12.75">
      <c r="E13" s="350" t="s">
        <v>698</v>
      </c>
      <c r="F13" s="352">
        <v>-10085793119</v>
      </c>
      <c r="G13" s="353">
        <v>2232312487</v>
      </c>
      <c r="H13" s="64"/>
    </row>
    <row r="14" spans="5:8" ht="12.75">
      <c r="E14" s="350"/>
      <c r="F14" s="352"/>
      <c r="G14" s="353"/>
      <c r="H14" s="64"/>
    </row>
    <row r="15" spans="5:7" ht="12" customHeight="1">
      <c r="E15" s="354" t="s">
        <v>699</v>
      </c>
      <c r="F15" s="355"/>
      <c r="G15" s="356"/>
    </row>
    <row r="16" spans="5:7" ht="12.75">
      <c r="E16" s="354" t="s">
        <v>700</v>
      </c>
      <c r="F16" s="357">
        <f>SUM(F11:F14)</f>
        <v>5465323878</v>
      </c>
      <c r="G16" s="358">
        <v>8088634866</v>
      </c>
    </row>
    <row r="17" spans="5:7" ht="12.75">
      <c r="E17" s="359"/>
      <c r="F17" s="355"/>
      <c r="G17" s="356"/>
    </row>
    <row r="18" spans="5:7" ht="12.75">
      <c r="E18" s="354" t="s">
        <v>701</v>
      </c>
      <c r="F18" s="355"/>
      <c r="G18" s="356"/>
    </row>
    <row r="19" spans="5:7" ht="12.75">
      <c r="E19" s="359"/>
      <c r="F19" s="355"/>
      <c r="G19" s="356"/>
    </row>
    <row r="20" spans="5:7" ht="12.75">
      <c r="E20" s="359" t="s">
        <v>702</v>
      </c>
      <c r="F20" s="355">
        <v>0</v>
      </c>
      <c r="G20" s="356">
        <v>0</v>
      </c>
    </row>
    <row r="21" spans="5:7" ht="12.75">
      <c r="E21" s="359"/>
      <c r="F21" s="357">
        <f>SUM(F19:F20)</f>
        <v>0</v>
      </c>
      <c r="G21" s="358">
        <v>0</v>
      </c>
    </row>
    <row r="22" spans="5:7" ht="12.75">
      <c r="E22" s="354" t="s">
        <v>703</v>
      </c>
      <c r="F22" s="355"/>
      <c r="G22" s="356"/>
    </row>
    <row r="23" spans="5:7" ht="12.75">
      <c r="E23" s="359" t="s">
        <v>704</v>
      </c>
      <c r="F23" s="355">
        <v>0</v>
      </c>
      <c r="G23" s="356">
        <v>0</v>
      </c>
    </row>
    <row r="24" spans="5:7" ht="12.75">
      <c r="E24" s="359"/>
      <c r="F24" s="355"/>
      <c r="G24" s="356"/>
    </row>
    <row r="25" spans="5:7" ht="12.75">
      <c r="E25" s="354" t="s">
        <v>705</v>
      </c>
      <c r="F25" s="357">
        <f>F16+F21+F23</f>
        <v>5465323878</v>
      </c>
      <c r="G25" s="358">
        <v>8088634866</v>
      </c>
    </row>
    <row r="26" spans="5:7" ht="12.75">
      <c r="E26" s="359"/>
      <c r="F26" s="355"/>
      <c r="G26" s="356"/>
    </row>
    <row r="27" spans="5:7" ht="12.75">
      <c r="E27" s="359" t="s">
        <v>235</v>
      </c>
      <c r="F27" s="355">
        <v>-288548944</v>
      </c>
      <c r="G27" s="356">
        <v>-467822101</v>
      </c>
    </row>
    <row r="28" spans="5:7" ht="12.75">
      <c r="E28" s="359"/>
      <c r="F28" s="355"/>
      <c r="G28" s="356"/>
    </row>
    <row r="29" spans="5:7" ht="12.75">
      <c r="E29" s="354" t="s">
        <v>706</v>
      </c>
      <c r="F29" s="357">
        <f>+F25+F27</f>
        <v>5176774934</v>
      </c>
      <c r="G29" s="358">
        <v>7620812765</v>
      </c>
    </row>
    <row r="30" spans="5:7" ht="12.75">
      <c r="E30" s="354"/>
      <c r="F30" s="360"/>
      <c r="G30" s="361"/>
    </row>
    <row r="31" spans="5:7" ht="12.75">
      <c r="E31" s="354" t="s">
        <v>707</v>
      </c>
      <c r="F31" s="355"/>
      <c r="G31" s="356"/>
    </row>
    <row r="32" spans="5:7" ht="12.75">
      <c r="E32" s="354"/>
      <c r="F32" s="355"/>
      <c r="G32" s="356"/>
    </row>
    <row r="33" spans="5:7" ht="12.75">
      <c r="E33" s="359" t="s">
        <v>708</v>
      </c>
      <c r="F33" s="355">
        <v>3786685000</v>
      </c>
      <c r="G33" s="356">
        <v>-1536878777</v>
      </c>
    </row>
    <row r="34" spans="5:7" ht="12.75">
      <c r="E34" s="359" t="s">
        <v>23</v>
      </c>
      <c r="F34" s="355">
        <v>0</v>
      </c>
      <c r="G34" s="356">
        <v>0</v>
      </c>
    </row>
    <row r="35" spans="5:7" ht="12.75">
      <c r="E35" s="359" t="s">
        <v>709</v>
      </c>
      <c r="F35" s="355">
        <v>0</v>
      </c>
      <c r="G35" s="356">
        <v>0</v>
      </c>
    </row>
    <row r="36" spans="5:7" ht="12.75">
      <c r="E36" s="359" t="s">
        <v>710</v>
      </c>
      <c r="F36" s="355">
        <v>-1636597830</v>
      </c>
      <c r="G36" s="356">
        <v>-8201525660</v>
      </c>
    </row>
    <row r="37" spans="5:7" ht="12.75">
      <c r="E37" s="359" t="s">
        <v>711</v>
      </c>
      <c r="F37" s="355">
        <v>-9215069665</v>
      </c>
      <c r="G37" s="356">
        <v>-5188059784</v>
      </c>
    </row>
    <row r="38" spans="5:7" ht="12.75">
      <c r="E38" s="359" t="s">
        <v>712</v>
      </c>
      <c r="F38" s="355">
        <v>0</v>
      </c>
      <c r="G38" s="356">
        <v>1095591900</v>
      </c>
    </row>
    <row r="39" spans="5:7" ht="12.75">
      <c r="E39" s="359" t="s">
        <v>713</v>
      </c>
      <c r="F39" s="355">
        <v>0</v>
      </c>
      <c r="G39" s="356">
        <v>66446400</v>
      </c>
    </row>
    <row r="40" spans="5:7" ht="12.75">
      <c r="E40" s="359"/>
      <c r="F40" s="355"/>
      <c r="G40" s="356"/>
    </row>
    <row r="41" spans="5:7" ht="12.75">
      <c r="E41" s="354" t="s">
        <v>714</v>
      </c>
      <c r="F41" s="357">
        <f>SUM(F33:F39)</f>
        <v>-7064982495</v>
      </c>
      <c r="G41" s="358">
        <v>-13764425921</v>
      </c>
    </row>
    <row r="42" spans="5:7" ht="12.75">
      <c r="E42" s="354"/>
      <c r="F42" s="360"/>
      <c r="G42" s="361"/>
    </row>
    <row r="43" spans="5:7" ht="12.75">
      <c r="E43" s="354" t="s">
        <v>715</v>
      </c>
      <c r="F43" s="355"/>
      <c r="G43" s="356"/>
    </row>
    <row r="44" spans="5:7" ht="12.75">
      <c r="E44" s="354"/>
      <c r="F44" s="355"/>
      <c r="G44" s="356"/>
    </row>
    <row r="45" spans="5:7" ht="12.75">
      <c r="E45" s="359" t="s">
        <v>716</v>
      </c>
      <c r="F45" s="355">
        <v>960000091</v>
      </c>
      <c r="G45" s="356">
        <v>1000000000</v>
      </c>
    </row>
    <row r="46" spans="5:7" ht="12.75">
      <c r="E46" s="359" t="s">
        <v>717</v>
      </c>
      <c r="F46" s="355">
        <v>792791810</v>
      </c>
      <c r="G46" s="356">
        <v>1023366927</v>
      </c>
    </row>
    <row r="47" spans="5:7" ht="12.75">
      <c r="E47" s="359" t="s">
        <v>718</v>
      </c>
      <c r="F47" s="355">
        <v>0</v>
      </c>
      <c r="G47" s="356"/>
    </row>
    <row r="48" spans="5:7" ht="12.75">
      <c r="E48" s="359" t="s">
        <v>227</v>
      </c>
      <c r="F48" s="355">
        <v>0</v>
      </c>
      <c r="G48" s="356">
        <v>0</v>
      </c>
    </row>
    <row r="49" spans="5:7" ht="12.75">
      <c r="E49" s="359"/>
      <c r="F49" s="355"/>
      <c r="G49" s="356"/>
    </row>
    <row r="50" spans="5:7" ht="12.75">
      <c r="E50" s="354" t="s">
        <v>719</v>
      </c>
      <c r="F50" s="357">
        <f>SUM(F45:F49)</f>
        <v>1752791901</v>
      </c>
      <c r="G50" s="358">
        <v>2023366927</v>
      </c>
    </row>
    <row r="51" spans="5:7" ht="12.75" customHeight="1">
      <c r="E51" s="359"/>
      <c r="F51" s="355"/>
      <c r="G51" s="356"/>
    </row>
    <row r="52" spans="5:7" ht="12.75" customHeight="1">
      <c r="E52" s="354" t="s">
        <v>720</v>
      </c>
      <c r="F52" s="355"/>
      <c r="G52" s="356"/>
    </row>
    <row r="53" spans="5:7" ht="12.75" customHeight="1">
      <c r="E53" s="354"/>
      <c r="F53" s="355"/>
      <c r="G53" s="356"/>
    </row>
    <row r="54" spans="5:7" ht="12.75">
      <c r="E54" s="359" t="s">
        <v>721</v>
      </c>
      <c r="F54" s="362">
        <f>+F25+F27+F41+F50</f>
        <v>-135415660</v>
      </c>
      <c r="G54" s="361">
        <v>-4120246229</v>
      </c>
    </row>
    <row r="55" spans="5:7" ht="12.75">
      <c r="E55" s="363" t="s">
        <v>722</v>
      </c>
      <c r="F55" s="364">
        <v>1806453323</v>
      </c>
      <c r="G55" s="365">
        <v>5926699552</v>
      </c>
    </row>
    <row r="56" spans="5:7" ht="13.5" thickBot="1">
      <c r="E56" s="366" t="s">
        <v>723</v>
      </c>
      <c r="F56" s="367">
        <f>F54+F55</f>
        <v>1671037663</v>
      </c>
      <c r="G56" s="368">
        <v>1806453323</v>
      </c>
    </row>
    <row r="57" spans="5:8" ht="16.5" customHeight="1" thickTop="1">
      <c r="E57" s="369"/>
      <c r="F57" s="370"/>
      <c r="G57" s="371"/>
      <c r="H57" s="372"/>
    </row>
    <row r="58" spans="5:7" ht="12.75">
      <c r="E58" s="373"/>
      <c r="F58" s="374">
        <v>0</v>
      </c>
      <c r="G58" s="375">
        <v>0</v>
      </c>
    </row>
    <row r="59" spans="5:7" ht="12.75">
      <c r="E59" s="373"/>
      <c r="F59" s="376"/>
      <c r="G59" s="373"/>
    </row>
    <row r="60" spans="5:7" ht="12.75">
      <c r="E60" s="373"/>
      <c r="F60" s="373"/>
      <c r="G60" s="373"/>
    </row>
    <row r="61" spans="5:7" ht="12.75">
      <c r="E61" s="373"/>
      <c r="F61" s="373"/>
      <c r="G61" s="373"/>
    </row>
    <row r="62" spans="5:7" ht="12.75">
      <c r="E62" s="373"/>
      <c r="F62" s="373"/>
      <c r="G62" s="37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0"/>
  <sheetViews>
    <sheetView showGridLines="0" zoomScalePageLayoutView="0" workbookViewId="0" topLeftCell="D1">
      <selection activeCell="B7" sqref="B7:K28"/>
    </sheetView>
  </sheetViews>
  <sheetFormatPr defaultColWidth="11.421875" defaultRowHeight="15"/>
  <cols>
    <col min="2" max="2" width="26.00390625" style="0" customWidth="1"/>
    <col min="3" max="3" width="16.7109375" style="0" customWidth="1"/>
    <col min="4" max="4" width="18.00390625" style="0" customWidth="1"/>
    <col min="5" max="5" width="15.00390625" style="0" customWidth="1"/>
    <col min="6" max="6" width="14.421875" style="0" customWidth="1"/>
    <col min="7" max="7" width="13.00390625" style="0" customWidth="1"/>
    <col min="8" max="8" width="16.28125" style="0" customWidth="1"/>
    <col min="9" max="9" width="14.421875" style="0" customWidth="1"/>
    <col min="10" max="10" width="15.00390625" style="0" customWidth="1"/>
    <col min="11" max="11" width="16.7109375" style="0" customWidth="1"/>
  </cols>
  <sheetData>
    <row r="2" ht="15">
      <c r="G2" s="344" t="s">
        <v>0</v>
      </c>
    </row>
    <row r="3" ht="15">
      <c r="G3" s="344" t="s">
        <v>724</v>
      </c>
    </row>
    <row r="4" ht="15">
      <c r="G4" s="344" t="s">
        <v>725</v>
      </c>
    </row>
    <row r="5" ht="15">
      <c r="G5" s="97" t="s">
        <v>2</v>
      </c>
    </row>
    <row r="6" spans="2:3" ht="15.75" thickBot="1">
      <c r="B6" s="377"/>
      <c r="C6" s="377"/>
    </row>
    <row r="7" spans="2:11" ht="15.75" thickBot="1">
      <c r="B7" s="378"/>
      <c r="C7" s="449" t="s">
        <v>237</v>
      </c>
      <c r="D7" s="450"/>
      <c r="E7" s="451" t="s">
        <v>726</v>
      </c>
      <c r="F7" s="449"/>
      <c r="G7" s="452"/>
      <c r="H7" s="453" t="s">
        <v>727</v>
      </c>
      <c r="I7" s="452"/>
      <c r="J7" s="453" t="s">
        <v>728</v>
      </c>
      <c r="K7" s="452"/>
    </row>
    <row r="8" spans="2:11" ht="15.75" thickBot="1">
      <c r="B8" s="378"/>
      <c r="C8" s="379"/>
      <c r="D8" s="380"/>
      <c r="E8" s="381"/>
      <c r="F8" s="379"/>
      <c r="G8" s="382"/>
      <c r="H8" s="381"/>
      <c r="I8" s="382"/>
      <c r="J8" s="381"/>
      <c r="K8" s="382"/>
    </row>
    <row r="9" spans="2:11" ht="27" thickBot="1">
      <c r="B9" s="383" t="s">
        <v>238</v>
      </c>
      <c r="C9" s="384" t="s">
        <v>729</v>
      </c>
      <c r="D9" s="385" t="s">
        <v>730</v>
      </c>
      <c r="E9" s="386" t="s">
        <v>731</v>
      </c>
      <c r="F9" s="386" t="s">
        <v>732</v>
      </c>
      <c r="G9" s="385" t="s">
        <v>733</v>
      </c>
      <c r="H9" s="386" t="s">
        <v>734</v>
      </c>
      <c r="I9" s="387" t="s">
        <v>735</v>
      </c>
      <c r="J9" s="384" t="s">
        <v>736</v>
      </c>
      <c r="K9" s="384" t="s">
        <v>737</v>
      </c>
    </row>
    <row r="10" spans="2:11" ht="15">
      <c r="B10" s="388"/>
      <c r="C10" s="389"/>
      <c r="D10" s="390"/>
      <c r="E10" s="389"/>
      <c r="F10" s="389"/>
      <c r="G10" s="390"/>
      <c r="H10" s="389"/>
      <c r="I10" s="390"/>
      <c r="J10" s="389"/>
      <c r="K10" s="389"/>
    </row>
    <row r="11" spans="2:11" ht="15">
      <c r="B11" s="388" t="s">
        <v>738</v>
      </c>
      <c r="C11" s="391" t="s">
        <v>739</v>
      </c>
      <c r="D11" s="392">
        <v>14080000000</v>
      </c>
      <c r="E11" s="391">
        <v>838780147</v>
      </c>
      <c r="F11" s="391">
        <v>46972758</v>
      </c>
      <c r="G11" s="392">
        <v>106934871</v>
      </c>
      <c r="H11" s="393" t="s">
        <v>739</v>
      </c>
      <c r="I11" s="392">
        <v>3101744660</v>
      </c>
      <c r="J11" s="394">
        <v>19174432436</v>
      </c>
      <c r="K11" s="394">
        <v>14775641185</v>
      </c>
    </row>
    <row r="12" spans="2:11" ht="15">
      <c r="B12" s="388"/>
      <c r="C12" s="391"/>
      <c r="D12" s="392"/>
      <c r="E12" s="391"/>
      <c r="F12" s="391"/>
      <c r="G12" s="392"/>
      <c r="H12" s="393"/>
      <c r="I12" s="392"/>
      <c r="J12" s="395">
        <f>SUM(C12:I12)</f>
        <v>0</v>
      </c>
      <c r="K12" s="394"/>
    </row>
    <row r="13" spans="2:11" ht="15">
      <c r="B13" s="396" t="s">
        <v>740</v>
      </c>
      <c r="C13" s="391"/>
      <c r="D13" s="392"/>
      <c r="E13" s="391"/>
      <c r="F13" s="393"/>
      <c r="G13" s="397"/>
      <c r="H13" s="393"/>
      <c r="I13" s="392"/>
      <c r="J13" s="395">
        <f>SUM(C13:I13)</f>
        <v>0</v>
      </c>
      <c r="K13" s="394"/>
    </row>
    <row r="14" spans="2:11" ht="15">
      <c r="B14" s="388"/>
      <c r="C14" s="391"/>
      <c r="D14" s="392"/>
      <c r="E14" s="391"/>
      <c r="F14" s="393"/>
      <c r="G14" s="397"/>
      <c r="H14" s="393"/>
      <c r="I14" s="392"/>
      <c r="J14" s="395">
        <f>SUM(C14:I14)</f>
        <v>0</v>
      </c>
      <c r="K14" s="394"/>
    </row>
    <row r="15" spans="2:11" ht="15">
      <c r="B15" s="388" t="s">
        <v>741</v>
      </c>
      <c r="C15" s="391" t="s">
        <v>739</v>
      </c>
      <c r="D15" s="392" t="s">
        <v>739</v>
      </c>
      <c r="E15" s="398">
        <f>+E27-E11</f>
        <v>283464405</v>
      </c>
      <c r="F15" s="393">
        <f>+F27-F11-F25</f>
        <v>435673535</v>
      </c>
      <c r="G15" s="397" t="s">
        <v>739</v>
      </c>
      <c r="H15" s="393" t="s">
        <v>739</v>
      </c>
      <c r="I15" s="392" t="s">
        <v>739</v>
      </c>
      <c r="J15" s="394">
        <f>SUM(C15:I15)</f>
        <v>719137940</v>
      </c>
      <c r="K15" s="394">
        <v>304065973</v>
      </c>
    </row>
    <row r="16" spans="2:11" ht="15">
      <c r="B16" s="388"/>
      <c r="C16" s="391"/>
      <c r="D16" s="392"/>
      <c r="E16" s="398"/>
      <c r="F16" s="393"/>
      <c r="G16" s="397"/>
      <c r="H16" s="399"/>
      <c r="I16" s="392"/>
      <c r="J16" s="395">
        <f aca="true" t="shared" si="0" ref="J16:J26">SUM(C16:I16)</f>
        <v>0</v>
      </c>
      <c r="K16" s="394"/>
    </row>
    <row r="17" spans="2:11" ht="15">
      <c r="B17" s="388" t="s">
        <v>742</v>
      </c>
      <c r="C17" s="391" t="s">
        <v>739</v>
      </c>
      <c r="D17" s="392" t="s">
        <v>739</v>
      </c>
      <c r="E17" s="398" t="s">
        <v>739</v>
      </c>
      <c r="F17" s="399" t="s">
        <v>739</v>
      </c>
      <c r="G17" s="397">
        <f>+G27-G11-G25</f>
        <v>67449446</v>
      </c>
      <c r="H17" s="393" t="s">
        <v>739</v>
      </c>
      <c r="I17" s="392" t="s">
        <v>739</v>
      </c>
      <c r="J17" s="395">
        <f t="shared" si="0"/>
        <v>67449446</v>
      </c>
      <c r="K17" s="400">
        <v>0</v>
      </c>
    </row>
    <row r="18" spans="2:11" ht="15">
      <c r="B18" s="388"/>
      <c r="C18" s="391"/>
      <c r="D18" s="392"/>
      <c r="E18" s="398"/>
      <c r="F18" s="393"/>
      <c r="G18" s="397"/>
      <c r="H18" s="399"/>
      <c r="I18" s="392"/>
      <c r="J18" s="395">
        <f t="shared" si="0"/>
        <v>0</v>
      </c>
      <c r="K18" s="394"/>
    </row>
    <row r="19" spans="2:11" ht="15">
      <c r="B19" s="388" t="s">
        <v>109</v>
      </c>
      <c r="C19" s="391" t="s">
        <v>739</v>
      </c>
      <c r="D19" s="392" t="s">
        <v>739</v>
      </c>
      <c r="E19" s="398" t="s">
        <v>739</v>
      </c>
      <c r="F19" s="399" t="s">
        <v>739</v>
      </c>
      <c r="G19" s="397" t="s">
        <v>739</v>
      </c>
      <c r="H19" s="393" t="s">
        <v>739</v>
      </c>
      <c r="I19" s="392" t="s">
        <v>739</v>
      </c>
      <c r="J19" s="395">
        <f t="shared" si="0"/>
        <v>0</v>
      </c>
      <c r="K19" s="394" t="s">
        <v>739</v>
      </c>
    </row>
    <row r="20" spans="2:11" ht="15">
      <c r="B20" s="388"/>
      <c r="C20" s="391"/>
      <c r="D20" s="392"/>
      <c r="E20" s="398"/>
      <c r="F20" s="399"/>
      <c r="G20" s="397"/>
      <c r="H20" s="399"/>
      <c r="I20" s="392"/>
      <c r="J20" s="395">
        <f t="shared" si="0"/>
        <v>0</v>
      </c>
      <c r="K20" s="394"/>
    </row>
    <row r="21" spans="2:11" ht="15">
      <c r="B21" s="388" t="s">
        <v>743</v>
      </c>
      <c r="C21" s="391">
        <f>+C27</f>
        <v>960000091</v>
      </c>
      <c r="D21" s="392" t="s">
        <v>739</v>
      </c>
      <c r="E21" s="401">
        <v>0</v>
      </c>
      <c r="F21" s="399" t="s">
        <v>739</v>
      </c>
      <c r="G21" s="397" t="s">
        <v>739</v>
      </c>
      <c r="H21" s="393" t="s">
        <v>739</v>
      </c>
      <c r="I21" s="392" t="s">
        <v>739</v>
      </c>
      <c r="J21" s="395">
        <f t="shared" si="0"/>
        <v>960000091</v>
      </c>
      <c r="K21" s="394">
        <v>1000000000</v>
      </c>
    </row>
    <row r="22" spans="2:11" ht="15">
      <c r="B22" s="388"/>
      <c r="C22" s="391"/>
      <c r="D22" s="392"/>
      <c r="E22" s="398"/>
      <c r="F22" s="399"/>
      <c r="G22" s="397"/>
      <c r="H22" s="399"/>
      <c r="I22" s="392"/>
      <c r="J22" s="395">
        <f t="shared" si="0"/>
        <v>0</v>
      </c>
      <c r="K22" s="394"/>
    </row>
    <row r="23" spans="2:11" ht="15">
      <c r="B23" s="388" t="s">
        <v>744</v>
      </c>
      <c r="C23" s="391" t="s">
        <v>739</v>
      </c>
      <c r="D23" s="392" t="s">
        <v>739</v>
      </c>
      <c r="E23" s="398" t="s">
        <v>739</v>
      </c>
      <c r="F23" s="399" t="s">
        <v>739</v>
      </c>
      <c r="G23" s="397" t="s">
        <v>739</v>
      </c>
      <c r="H23" s="393" t="s">
        <v>739</v>
      </c>
      <c r="I23" s="392" t="s">
        <v>739</v>
      </c>
      <c r="J23" s="395">
        <f t="shared" si="0"/>
        <v>0</v>
      </c>
      <c r="K23" s="394" t="s">
        <v>739</v>
      </c>
    </row>
    <row r="24" spans="2:11" ht="15">
      <c r="B24" s="388"/>
      <c r="C24" s="391"/>
      <c r="D24" s="392"/>
      <c r="E24" s="398"/>
      <c r="F24" s="393"/>
      <c r="G24" s="397"/>
      <c r="H24" s="393"/>
      <c r="I24" s="392"/>
      <c r="J24" s="395">
        <f t="shared" si="0"/>
        <v>0</v>
      </c>
      <c r="K24" s="394"/>
    </row>
    <row r="25" spans="2:11" ht="15">
      <c r="B25" s="388" t="s">
        <v>745</v>
      </c>
      <c r="C25" s="391">
        <v>-1000000000</v>
      </c>
      <c r="D25" s="392">
        <f>+D27-D11</f>
        <v>4320000001</v>
      </c>
      <c r="E25" s="401">
        <v>0</v>
      </c>
      <c r="F25" s="399">
        <v>-46972758</v>
      </c>
      <c r="G25" s="397">
        <v>-106934871</v>
      </c>
      <c r="H25" s="399" t="s">
        <v>739</v>
      </c>
      <c r="I25" s="392">
        <v>-3101744660</v>
      </c>
      <c r="J25" s="395">
        <f>SUM(C25:I25)</f>
        <v>64347712</v>
      </c>
      <c r="K25" s="394">
        <v>-7019382</v>
      </c>
    </row>
    <row r="26" spans="2:11" ht="15.75" thickBot="1">
      <c r="B26" s="402" t="s">
        <v>111</v>
      </c>
      <c r="C26" s="403" t="s">
        <v>739</v>
      </c>
      <c r="D26" s="404" t="s">
        <v>739</v>
      </c>
      <c r="E26" s="405" t="s">
        <v>739</v>
      </c>
      <c r="F26" s="406" t="s">
        <v>739</v>
      </c>
      <c r="G26" s="404" t="s">
        <v>739</v>
      </c>
      <c r="H26" s="399"/>
      <c r="I26" s="404">
        <f>+I27</f>
        <v>5385823689</v>
      </c>
      <c r="J26" s="395">
        <f t="shared" si="0"/>
        <v>5385823689</v>
      </c>
      <c r="K26" s="394">
        <v>3101744660</v>
      </c>
    </row>
    <row r="27" spans="2:11" ht="15.75" thickBot="1">
      <c r="B27" s="407" t="s">
        <v>746</v>
      </c>
      <c r="C27" s="408">
        <v>960000091</v>
      </c>
      <c r="D27" s="408">
        <v>18400000001</v>
      </c>
      <c r="E27" s="409">
        <v>1122244552</v>
      </c>
      <c r="F27" s="409">
        <v>435673535</v>
      </c>
      <c r="G27" s="408">
        <v>67449446</v>
      </c>
      <c r="H27" s="409">
        <v>0</v>
      </c>
      <c r="I27" s="408">
        <v>5385823689</v>
      </c>
      <c r="J27" s="410">
        <f>SUM(J11:J26)</f>
        <v>26371191314</v>
      </c>
      <c r="K27" s="410" t="s">
        <v>739</v>
      </c>
    </row>
    <row r="28" spans="2:11" ht="15.75" thickBot="1">
      <c r="B28" s="407" t="s">
        <v>747</v>
      </c>
      <c r="C28" s="411">
        <v>0</v>
      </c>
      <c r="D28" s="411">
        <v>14080000000</v>
      </c>
      <c r="E28" s="412">
        <v>688621803</v>
      </c>
      <c r="F28" s="411">
        <v>29281846</v>
      </c>
      <c r="G28" s="411">
        <v>5340162</v>
      </c>
      <c r="H28" s="412">
        <v>0</v>
      </c>
      <c r="I28" s="411">
        <v>2560887213</v>
      </c>
      <c r="J28" s="411">
        <v>0</v>
      </c>
      <c r="K28" s="412">
        <v>19174432436</v>
      </c>
    </row>
    <row r="30" spans="10:11" ht="15">
      <c r="J30" s="261">
        <v>0</v>
      </c>
      <c r="K30" s="261">
        <v>0</v>
      </c>
    </row>
  </sheetData>
  <sheetProtection/>
  <mergeCells count="4">
    <mergeCell ref="C7:D7"/>
    <mergeCell ref="E7:G7"/>
    <mergeCell ref="H7:I7"/>
    <mergeCell ref="J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B1:E61"/>
  <sheetViews>
    <sheetView showGridLines="0" zoomScale="143" zoomScaleNormal="143" zoomScalePageLayoutView="0" workbookViewId="0" topLeftCell="A1">
      <selection activeCell="A1" sqref="A1"/>
    </sheetView>
  </sheetViews>
  <sheetFormatPr defaultColWidth="11.421875" defaultRowHeight="15"/>
  <cols>
    <col min="3" max="3" width="74.421875" style="0" customWidth="1"/>
  </cols>
  <sheetData>
    <row r="1" ht="15">
      <c r="C1" s="413" t="s">
        <v>748</v>
      </c>
    </row>
    <row r="2" spans="2:3" ht="15">
      <c r="B2" s="413"/>
      <c r="C2" s="101"/>
    </row>
    <row r="3" spans="2:5" ht="15">
      <c r="B3" s="101"/>
      <c r="C3" s="101" t="s">
        <v>749</v>
      </c>
      <c r="D3" s="101"/>
      <c r="E3" s="101"/>
    </row>
    <row r="4" spans="2:3" ht="15">
      <c r="B4" s="101"/>
      <c r="C4" s="101"/>
    </row>
    <row r="5" spans="2:3" ht="51">
      <c r="B5" s="101"/>
      <c r="C5" s="102" t="s">
        <v>750</v>
      </c>
    </row>
    <row r="6" spans="2:3" ht="15">
      <c r="B6" s="102"/>
      <c r="C6" s="102"/>
    </row>
    <row r="7" spans="2:5" ht="15">
      <c r="B7" s="102"/>
      <c r="C7" s="101" t="s">
        <v>751</v>
      </c>
      <c r="D7" s="101"/>
      <c r="E7" s="101"/>
    </row>
    <row r="8" spans="2:3" ht="15">
      <c r="B8" s="101"/>
      <c r="C8" s="102"/>
    </row>
    <row r="9" spans="2:3" ht="15">
      <c r="B9" s="102"/>
      <c r="C9" s="104" t="s">
        <v>752</v>
      </c>
    </row>
    <row r="10" spans="2:3" ht="15">
      <c r="B10" s="104"/>
      <c r="C10" s="104"/>
    </row>
    <row r="11" spans="2:3" ht="76.5">
      <c r="B11" s="104"/>
      <c r="C11" s="104" t="s">
        <v>753</v>
      </c>
    </row>
    <row r="12" spans="2:3" ht="15">
      <c r="B12" s="104"/>
      <c r="C12" s="102"/>
    </row>
    <row r="13" spans="2:3" ht="38.25">
      <c r="B13" s="102"/>
      <c r="C13" s="102" t="s">
        <v>754</v>
      </c>
    </row>
    <row r="14" spans="2:3" ht="15">
      <c r="B14" s="102"/>
      <c r="C14" s="102"/>
    </row>
    <row r="15" spans="2:5" ht="15">
      <c r="B15" s="102"/>
      <c r="C15" s="102" t="s">
        <v>755</v>
      </c>
      <c r="E15" s="102"/>
    </row>
    <row r="16" ht="25.5">
      <c r="C16" s="102" t="s">
        <v>756</v>
      </c>
    </row>
    <row r="17" spans="2:3" ht="25.5">
      <c r="B17" s="102"/>
      <c r="C17" s="102" t="s">
        <v>757</v>
      </c>
    </row>
    <row r="18" spans="2:3" ht="25.5">
      <c r="B18" s="102"/>
      <c r="C18" s="102" t="s">
        <v>758</v>
      </c>
    </row>
    <row r="19" spans="2:3" ht="25.5">
      <c r="B19" s="102"/>
      <c r="C19" s="102" t="s">
        <v>759</v>
      </c>
    </row>
    <row r="20" spans="2:3" ht="15">
      <c r="B20" s="102"/>
      <c r="C20" s="102" t="s">
        <v>760</v>
      </c>
    </row>
    <row r="21" spans="2:3" ht="15">
      <c r="B21" s="102"/>
      <c r="C21" s="102" t="s">
        <v>761</v>
      </c>
    </row>
    <row r="22" spans="2:3" ht="38.25">
      <c r="B22" s="102"/>
      <c r="C22" s="102" t="s">
        <v>762</v>
      </c>
    </row>
    <row r="23" spans="2:3" ht="38.25">
      <c r="B23" s="102"/>
      <c r="C23" s="102" t="s">
        <v>763</v>
      </c>
    </row>
    <row r="24" spans="2:3" ht="25.5">
      <c r="B24" s="102"/>
      <c r="C24" s="102" t="s">
        <v>764</v>
      </c>
    </row>
    <row r="25" spans="2:3" ht="38.25">
      <c r="B25" s="102"/>
      <c r="C25" s="102" t="s">
        <v>765</v>
      </c>
    </row>
    <row r="26" spans="2:3" ht="15">
      <c r="B26" s="102"/>
      <c r="C26" s="104"/>
    </row>
    <row r="27" spans="2:3" ht="15">
      <c r="B27" s="104"/>
      <c r="C27" s="104" t="s">
        <v>766</v>
      </c>
    </row>
    <row r="28" spans="2:3" ht="15">
      <c r="B28" s="104"/>
      <c r="C28" s="414"/>
    </row>
    <row r="29" spans="2:3" ht="38.25">
      <c r="B29" s="414"/>
      <c r="C29" s="102" t="s">
        <v>767</v>
      </c>
    </row>
    <row r="30" spans="2:3" ht="15">
      <c r="B30" s="102"/>
      <c r="C30" s="102"/>
    </row>
    <row r="31" spans="2:3" ht="38.25">
      <c r="B31" s="102"/>
      <c r="C31" s="102" t="s">
        <v>768</v>
      </c>
    </row>
    <row r="32" spans="2:3" ht="15">
      <c r="B32" s="102"/>
      <c r="C32" s="102"/>
    </row>
    <row r="33" spans="2:3" ht="38.25">
      <c r="B33" s="102"/>
      <c r="C33" s="102" t="s">
        <v>769</v>
      </c>
    </row>
    <row r="34" spans="2:3" ht="15">
      <c r="B34" s="102"/>
      <c r="C34" s="102"/>
    </row>
    <row r="35" spans="2:3" ht="15">
      <c r="B35" s="102"/>
      <c r="C35" s="102"/>
    </row>
    <row r="36" spans="2:3" ht="15">
      <c r="B36" s="102"/>
      <c r="C36" s="102"/>
    </row>
    <row r="37" spans="2:3" ht="15">
      <c r="B37" s="102"/>
      <c r="C37" s="102"/>
    </row>
    <row r="38" spans="2:5" ht="15">
      <c r="B38" s="102"/>
      <c r="C38" s="101" t="s">
        <v>770</v>
      </c>
      <c r="D38" s="101"/>
      <c r="E38" s="101"/>
    </row>
    <row r="39" spans="2:3" ht="15">
      <c r="B39" s="101"/>
      <c r="C39" s="102"/>
    </row>
    <row r="40" spans="2:3" ht="15">
      <c r="B40" s="102"/>
      <c r="C40" s="104" t="s">
        <v>771</v>
      </c>
    </row>
    <row r="41" spans="2:3" ht="25.5">
      <c r="B41" s="104"/>
      <c r="C41" s="102" t="s">
        <v>772</v>
      </c>
    </row>
    <row r="42" spans="2:3" ht="15">
      <c r="B42" s="102"/>
      <c r="C42" s="102"/>
    </row>
    <row r="43" spans="2:3" ht="15">
      <c r="B43" s="102"/>
      <c r="C43" s="104" t="s">
        <v>773</v>
      </c>
    </row>
    <row r="44" spans="2:3" ht="38.25">
      <c r="B44" s="104"/>
      <c r="C44" s="102" t="s">
        <v>774</v>
      </c>
    </row>
    <row r="45" spans="2:3" ht="15">
      <c r="B45" s="102"/>
      <c r="C45" s="102"/>
    </row>
    <row r="46" spans="2:3" ht="15">
      <c r="B46" s="102"/>
      <c r="C46" s="104" t="s">
        <v>775</v>
      </c>
    </row>
    <row r="47" spans="2:3" ht="15">
      <c r="B47" s="104"/>
      <c r="C47" s="102" t="s">
        <v>776</v>
      </c>
    </row>
    <row r="48" spans="2:3" ht="15">
      <c r="B48" s="102"/>
      <c r="C48" s="104"/>
    </row>
    <row r="49" spans="2:3" ht="15">
      <c r="B49" s="104"/>
      <c r="C49" s="104" t="s">
        <v>777</v>
      </c>
    </row>
    <row r="50" spans="2:3" ht="25.5">
      <c r="B50" s="104"/>
      <c r="C50" s="102" t="s">
        <v>778</v>
      </c>
    </row>
    <row r="51" spans="2:3" ht="25.5">
      <c r="B51" s="102"/>
      <c r="C51" s="102" t="s">
        <v>779</v>
      </c>
    </row>
    <row r="52" spans="2:3" ht="15">
      <c r="B52" s="102"/>
      <c r="C52" s="102"/>
    </row>
    <row r="53" spans="2:3" ht="15">
      <c r="B53" s="102"/>
      <c r="C53" s="104" t="s">
        <v>780</v>
      </c>
    </row>
    <row r="54" spans="2:3" ht="38.25">
      <c r="B54" s="104"/>
      <c r="C54" s="102" t="s">
        <v>781</v>
      </c>
    </row>
    <row r="55" spans="2:3" ht="15">
      <c r="B55" s="102"/>
      <c r="C55" s="102"/>
    </row>
    <row r="56" spans="2:3" ht="15">
      <c r="B56" s="102"/>
      <c r="C56" s="104" t="s">
        <v>782</v>
      </c>
    </row>
    <row r="57" spans="2:3" ht="38.25">
      <c r="B57" s="104"/>
      <c r="C57" s="102" t="s">
        <v>783</v>
      </c>
    </row>
    <row r="58" spans="2:3" ht="15">
      <c r="B58" s="102"/>
      <c r="C58" s="105"/>
    </row>
    <row r="59" spans="2:5" ht="15">
      <c r="B59" s="105"/>
      <c r="C59" s="105" t="s">
        <v>784</v>
      </c>
      <c r="D59" s="105"/>
      <c r="E59" s="105"/>
    </row>
    <row r="60" spans="2:3" ht="15">
      <c r="B60" s="105"/>
      <c r="C60" s="106" t="s">
        <v>785</v>
      </c>
    </row>
    <row r="61" ht="15">
      <c r="B61" s="10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C1:I95"/>
  <sheetViews>
    <sheetView showGridLines="0" zoomScale="134" zoomScaleNormal="134" zoomScalePageLayoutView="0" workbookViewId="0" topLeftCell="A1">
      <selection activeCell="C16" sqref="C16"/>
    </sheetView>
  </sheetViews>
  <sheetFormatPr defaultColWidth="11.421875" defaultRowHeight="15"/>
  <cols>
    <col min="3" max="3" width="50.7109375" style="0" customWidth="1"/>
    <col min="5" max="5" width="17.00390625" style="0" customWidth="1"/>
    <col min="7" max="7" width="12.7109375" style="0" bestFit="1" customWidth="1"/>
    <col min="8" max="8" width="12.8515625" style="0" bestFit="1" customWidth="1"/>
  </cols>
  <sheetData>
    <row r="1" ht="15">
      <c r="C1" s="313" t="s">
        <v>567</v>
      </c>
    </row>
    <row r="3" spans="3:4" ht="15">
      <c r="C3" s="105" t="s">
        <v>786</v>
      </c>
      <c r="D3" s="105"/>
    </row>
    <row r="4" ht="18.75" customHeight="1">
      <c r="C4" s="415" t="s">
        <v>787</v>
      </c>
    </row>
    <row r="5" ht="15">
      <c r="C5" s="416"/>
    </row>
    <row r="6" spans="3:5" ht="15">
      <c r="C6" s="417" t="s">
        <v>788</v>
      </c>
      <c r="D6" s="418" t="s">
        <v>789</v>
      </c>
      <c r="E6" s="418" t="s">
        <v>790</v>
      </c>
    </row>
    <row r="7" spans="3:5" ht="15">
      <c r="C7" s="419" t="s">
        <v>791</v>
      </c>
      <c r="D7" s="420">
        <f>+F24</f>
        <v>6442.33</v>
      </c>
      <c r="E7" s="420">
        <v>5960.94</v>
      </c>
    </row>
    <row r="8" spans="3:5" ht="15">
      <c r="C8" s="213" t="s">
        <v>792</v>
      </c>
      <c r="D8" s="420">
        <f>+F63</f>
        <v>6463.95</v>
      </c>
      <c r="E8" s="420">
        <f>+I63</f>
        <v>5960.94</v>
      </c>
    </row>
    <row r="9" ht="15">
      <c r="C9" s="107"/>
    </row>
    <row r="15" ht="15">
      <c r="C15" s="104" t="s">
        <v>793</v>
      </c>
    </row>
    <row r="16" ht="15">
      <c r="C16" s="104"/>
    </row>
    <row r="17" ht="15">
      <c r="C17" s="421" t="s">
        <v>794</v>
      </c>
    </row>
    <row r="20" spans="3:9" ht="60">
      <c r="C20" s="108" t="s">
        <v>795</v>
      </c>
      <c r="D20" s="422" t="s">
        <v>796</v>
      </c>
      <c r="E20" s="422" t="s">
        <v>797</v>
      </c>
      <c r="F20" s="422" t="s">
        <v>798</v>
      </c>
      <c r="G20" s="422" t="s">
        <v>796</v>
      </c>
      <c r="H20" s="422" t="s">
        <v>797</v>
      </c>
      <c r="I20" s="422" t="s">
        <v>799</v>
      </c>
    </row>
    <row r="21" spans="3:9" ht="15">
      <c r="C21" s="423" t="s">
        <v>3</v>
      </c>
      <c r="D21" s="424"/>
      <c r="E21" s="424"/>
      <c r="F21" s="424"/>
      <c r="G21" s="424"/>
      <c r="H21" s="424"/>
      <c r="I21" s="424"/>
    </row>
    <row r="22" spans="3:9" ht="15">
      <c r="C22" s="423" t="s">
        <v>800</v>
      </c>
      <c r="D22" s="424"/>
      <c r="E22" s="424"/>
      <c r="F22" s="424"/>
      <c r="G22" s="424"/>
      <c r="H22" s="424"/>
      <c r="I22" s="424"/>
    </row>
    <row r="23" spans="3:9" ht="15">
      <c r="C23" s="423" t="s">
        <v>801</v>
      </c>
      <c r="D23" s="424"/>
      <c r="E23" s="425"/>
      <c r="F23" s="424"/>
      <c r="G23" s="424"/>
      <c r="H23" s="425"/>
      <c r="I23" s="424"/>
    </row>
    <row r="24" spans="3:9" ht="15">
      <c r="C24" s="424" t="s">
        <v>13</v>
      </c>
      <c r="D24" s="426" t="s">
        <v>802</v>
      </c>
      <c r="E24" s="427">
        <v>0</v>
      </c>
      <c r="F24" s="427">
        <v>6442.33</v>
      </c>
      <c r="G24" s="426" t="s">
        <v>802</v>
      </c>
      <c r="H24" s="427">
        <v>0</v>
      </c>
      <c r="I24" s="427">
        <v>5960.14</v>
      </c>
    </row>
    <row r="25" spans="3:9" ht="15">
      <c r="C25" s="424" t="s">
        <v>18</v>
      </c>
      <c r="D25" s="426" t="s">
        <v>802</v>
      </c>
      <c r="E25" s="427">
        <v>179305.8899497542</v>
      </c>
      <c r="F25" s="427">
        <v>6442.33</v>
      </c>
      <c r="G25" s="426" t="s">
        <v>802</v>
      </c>
      <c r="H25" s="427">
        <v>282650.5060283819</v>
      </c>
      <c r="I25" s="427">
        <v>5960.14</v>
      </c>
    </row>
    <row r="26" spans="3:9" ht="15">
      <c r="C26" s="423" t="s">
        <v>79</v>
      </c>
      <c r="D26" s="424"/>
      <c r="E26" s="425"/>
      <c r="F26" s="428"/>
      <c r="G26" s="424"/>
      <c r="H26" s="425"/>
      <c r="I26" s="424"/>
    </row>
    <row r="27" spans="3:9" ht="15">
      <c r="C27" s="424" t="s">
        <v>35</v>
      </c>
      <c r="D27" s="426" t="s">
        <v>802</v>
      </c>
      <c r="E27" s="427">
        <v>81121.81</v>
      </c>
      <c r="F27" s="427">
        <v>6442.33</v>
      </c>
      <c r="G27" s="426" t="s">
        <v>802</v>
      </c>
      <c r="H27" s="427">
        <v>0</v>
      </c>
      <c r="I27" s="427">
        <v>5960.14</v>
      </c>
    </row>
    <row r="28" spans="3:9" ht="15">
      <c r="C28" s="424" t="s">
        <v>803</v>
      </c>
      <c r="D28" s="426" t="s">
        <v>802</v>
      </c>
      <c r="E28" s="427">
        <v>140331.65</v>
      </c>
      <c r="F28" s="427">
        <v>6442.33</v>
      </c>
      <c r="G28" s="426" t="s">
        <v>802</v>
      </c>
      <c r="H28" s="427">
        <v>212777.73844238557</v>
      </c>
      <c r="I28" s="427">
        <v>5960.14</v>
      </c>
    </row>
    <row r="29" spans="3:9" ht="15">
      <c r="C29" s="424" t="s">
        <v>804</v>
      </c>
      <c r="D29" s="426" t="s">
        <v>802</v>
      </c>
      <c r="E29" s="427">
        <v>0</v>
      </c>
      <c r="F29" s="427">
        <v>6442.33</v>
      </c>
      <c r="G29" s="426" t="s">
        <v>802</v>
      </c>
      <c r="H29" s="427">
        <v>0</v>
      </c>
      <c r="I29" s="427">
        <v>5960.14</v>
      </c>
    </row>
    <row r="30" spans="3:9" ht="15">
      <c r="C30" s="424" t="s">
        <v>805</v>
      </c>
      <c r="D30" s="426" t="s">
        <v>802</v>
      </c>
      <c r="E30" s="427">
        <v>0</v>
      </c>
      <c r="F30" s="427">
        <v>6442.33</v>
      </c>
      <c r="G30" s="426" t="s">
        <v>802</v>
      </c>
      <c r="H30" s="427">
        <v>0</v>
      </c>
      <c r="I30" s="427">
        <v>5960.14</v>
      </c>
    </row>
    <row r="31" spans="3:9" ht="15">
      <c r="C31" s="424" t="s">
        <v>806</v>
      </c>
      <c r="D31" s="426" t="s">
        <v>802</v>
      </c>
      <c r="E31" s="427">
        <v>0</v>
      </c>
      <c r="F31" s="427">
        <v>6442.33</v>
      </c>
      <c r="G31" s="426" t="s">
        <v>802</v>
      </c>
      <c r="H31" s="427">
        <v>0</v>
      </c>
      <c r="I31" s="427">
        <v>5960.14</v>
      </c>
    </row>
    <row r="32" spans="3:9" ht="15">
      <c r="C32" s="423" t="s">
        <v>807</v>
      </c>
      <c r="D32" s="424"/>
      <c r="E32" s="429"/>
      <c r="F32" s="428"/>
      <c r="G32" s="424"/>
      <c r="H32" s="425"/>
      <c r="I32" s="424"/>
    </row>
    <row r="33" spans="3:9" ht="15">
      <c r="C33" s="424" t="s">
        <v>240</v>
      </c>
      <c r="D33" s="426" t="s">
        <v>802</v>
      </c>
      <c r="E33" s="427">
        <v>0</v>
      </c>
      <c r="F33" s="427">
        <v>6442.33</v>
      </c>
      <c r="G33" s="426" t="s">
        <v>802</v>
      </c>
      <c r="H33" s="427">
        <v>0</v>
      </c>
      <c r="I33" s="427">
        <v>5960.14</v>
      </c>
    </row>
    <row r="34" spans="3:9" ht="15">
      <c r="C34" s="424" t="s">
        <v>808</v>
      </c>
      <c r="D34" s="426" t="s">
        <v>802</v>
      </c>
      <c r="E34" s="427">
        <v>0</v>
      </c>
      <c r="F34" s="427">
        <v>6442.33</v>
      </c>
      <c r="G34" s="426" t="s">
        <v>802</v>
      </c>
      <c r="H34" s="427">
        <v>0</v>
      </c>
      <c r="I34" s="427">
        <v>5960.14</v>
      </c>
    </row>
    <row r="35" spans="3:9" ht="15">
      <c r="C35" s="423" t="s">
        <v>47</v>
      </c>
      <c r="D35" s="424"/>
      <c r="E35" s="429"/>
      <c r="F35" s="428"/>
      <c r="G35" s="424"/>
      <c r="H35" s="425"/>
      <c r="I35" s="424"/>
    </row>
    <row r="36" spans="3:9" ht="15">
      <c r="C36" s="424" t="s">
        <v>241</v>
      </c>
      <c r="D36" s="426" t="s">
        <v>802</v>
      </c>
      <c r="E36" s="427">
        <v>0</v>
      </c>
      <c r="F36" s="427">
        <v>6442.33</v>
      </c>
      <c r="G36" s="426" t="s">
        <v>802</v>
      </c>
      <c r="H36" s="427">
        <v>0</v>
      </c>
      <c r="I36" s="427">
        <v>5960.14</v>
      </c>
    </row>
    <row r="37" spans="3:9" ht="15">
      <c r="C37" s="424" t="s">
        <v>242</v>
      </c>
      <c r="D37" s="426" t="s">
        <v>802</v>
      </c>
      <c r="E37" s="427">
        <v>0</v>
      </c>
      <c r="F37" s="427">
        <v>6442.33</v>
      </c>
      <c r="G37" s="426" t="s">
        <v>802</v>
      </c>
      <c r="H37" s="427">
        <v>0</v>
      </c>
      <c r="I37" s="427">
        <v>5960.14</v>
      </c>
    </row>
    <row r="38" spans="3:9" ht="15">
      <c r="C38" s="430" t="s">
        <v>64</v>
      </c>
      <c r="D38" s="426"/>
      <c r="E38" s="427"/>
      <c r="F38" s="427"/>
      <c r="G38" s="426"/>
      <c r="H38" s="427"/>
      <c r="I38" s="427"/>
    </row>
    <row r="39" spans="3:9" ht="15">
      <c r="C39" s="431" t="s">
        <v>79</v>
      </c>
      <c r="D39" s="432"/>
      <c r="E39" s="429"/>
      <c r="F39" s="428"/>
      <c r="G39" s="432"/>
      <c r="H39" s="433"/>
      <c r="I39" s="432"/>
    </row>
    <row r="40" spans="3:9" ht="15">
      <c r="C40" s="432" t="s">
        <v>243</v>
      </c>
      <c r="D40" s="434" t="s">
        <v>802</v>
      </c>
      <c r="E40" s="427">
        <v>0</v>
      </c>
      <c r="F40" s="427">
        <v>6442.33</v>
      </c>
      <c r="G40" s="434" t="s">
        <v>802</v>
      </c>
      <c r="H40" s="435">
        <v>34972.03</v>
      </c>
      <c r="I40" s="427">
        <v>5960.14</v>
      </c>
    </row>
    <row r="41" spans="3:9" ht="15">
      <c r="C41" s="431" t="s">
        <v>809</v>
      </c>
      <c r="D41" s="432"/>
      <c r="E41" s="429"/>
      <c r="F41" s="428"/>
      <c r="G41" s="432"/>
      <c r="H41" s="433"/>
      <c r="I41" s="432"/>
    </row>
    <row r="42" spans="3:9" ht="15">
      <c r="C42" s="432" t="s">
        <v>810</v>
      </c>
      <c r="D42" s="434" t="s">
        <v>802</v>
      </c>
      <c r="E42" s="427">
        <v>0</v>
      </c>
      <c r="F42" s="427">
        <v>6442.33</v>
      </c>
      <c r="G42" s="434" t="s">
        <v>802</v>
      </c>
      <c r="H42" s="435">
        <v>0</v>
      </c>
      <c r="I42" s="427">
        <v>5960.14</v>
      </c>
    </row>
    <row r="43" spans="3:9" ht="15">
      <c r="C43" s="432" t="s">
        <v>811</v>
      </c>
      <c r="D43" s="434" t="s">
        <v>802</v>
      </c>
      <c r="E43" s="435">
        <v>693672.15</v>
      </c>
      <c r="F43" s="427">
        <v>6442.33</v>
      </c>
      <c r="G43" s="434" t="s">
        <v>802</v>
      </c>
      <c r="H43" s="435">
        <v>430553.7</v>
      </c>
      <c r="I43" s="427">
        <v>5960.14</v>
      </c>
    </row>
    <row r="44" spans="3:9" ht="15">
      <c r="C44" s="432" t="s">
        <v>812</v>
      </c>
      <c r="D44" s="434" t="s">
        <v>802</v>
      </c>
      <c r="E44" s="427">
        <v>0</v>
      </c>
      <c r="F44" s="427">
        <v>6442.33</v>
      </c>
      <c r="G44" s="434" t="s">
        <v>802</v>
      </c>
      <c r="H44" s="435">
        <v>0</v>
      </c>
      <c r="I44" s="427">
        <v>5960.14</v>
      </c>
    </row>
    <row r="45" spans="3:9" ht="15">
      <c r="C45" s="431" t="s">
        <v>813</v>
      </c>
      <c r="D45" s="432"/>
      <c r="E45" s="429"/>
      <c r="F45" s="428"/>
      <c r="G45" s="432"/>
      <c r="H45" s="433"/>
      <c r="I45" s="428"/>
    </row>
    <row r="46" spans="3:9" ht="15">
      <c r="C46" s="432" t="s">
        <v>814</v>
      </c>
      <c r="D46" s="434" t="s">
        <v>802</v>
      </c>
      <c r="E46" s="427">
        <v>0</v>
      </c>
      <c r="F46" s="427">
        <v>6442.33</v>
      </c>
      <c r="G46" s="434" t="s">
        <v>802</v>
      </c>
      <c r="H46" s="435">
        <v>0</v>
      </c>
      <c r="I46" s="427">
        <v>5960.14</v>
      </c>
    </row>
    <row r="47" spans="3:9" ht="15">
      <c r="C47" s="432" t="s">
        <v>815</v>
      </c>
      <c r="D47" s="434" t="s">
        <v>802</v>
      </c>
      <c r="E47" s="427">
        <v>0</v>
      </c>
      <c r="F47" s="427">
        <v>6442.33</v>
      </c>
      <c r="G47" s="434" t="s">
        <v>802</v>
      </c>
      <c r="H47" s="435">
        <v>0</v>
      </c>
      <c r="I47" s="427">
        <v>5960.14</v>
      </c>
    </row>
    <row r="48" spans="3:9" ht="15">
      <c r="C48" s="431" t="s">
        <v>816</v>
      </c>
      <c r="D48" s="432"/>
      <c r="E48" s="429"/>
      <c r="F48" s="428"/>
      <c r="G48" s="432"/>
      <c r="H48" s="433"/>
      <c r="I48" s="428"/>
    </row>
    <row r="49" spans="3:9" ht="15">
      <c r="C49" s="432" t="s">
        <v>104</v>
      </c>
      <c r="D49" s="434" t="s">
        <v>802</v>
      </c>
      <c r="E49" s="427">
        <v>0</v>
      </c>
      <c r="F49" s="427">
        <v>6442.33</v>
      </c>
      <c r="G49" s="434" t="s">
        <v>802</v>
      </c>
      <c r="H49" s="435">
        <v>0</v>
      </c>
      <c r="I49" s="427">
        <v>5960.14</v>
      </c>
    </row>
    <row r="50" spans="3:9" ht="15">
      <c r="C50" s="432" t="s">
        <v>105</v>
      </c>
      <c r="D50" s="434" t="s">
        <v>802</v>
      </c>
      <c r="E50" s="427">
        <v>0</v>
      </c>
      <c r="F50" s="427">
        <v>6442.33</v>
      </c>
      <c r="G50" s="434" t="s">
        <v>802</v>
      </c>
      <c r="H50" s="435">
        <v>0</v>
      </c>
      <c r="I50" s="427">
        <v>5960.14</v>
      </c>
    </row>
    <row r="51" spans="3:9" ht="15">
      <c r="C51" s="432" t="s">
        <v>108</v>
      </c>
      <c r="D51" s="434" t="s">
        <v>802</v>
      </c>
      <c r="E51" s="427">
        <v>0</v>
      </c>
      <c r="F51" s="427">
        <v>6442.33</v>
      </c>
      <c r="G51" s="434" t="s">
        <v>802</v>
      </c>
      <c r="H51" s="435">
        <v>0</v>
      </c>
      <c r="I51" s="427">
        <v>5960.14</v>
      </c>
    </row>
    <row r="52" spans="3:9" ht="15">
      <c r="C52" s="432" t="s">
        <v>817</v>
      </c>
      <c r="D52" s="434" t="s">
        <v>802</v>
      </c>
      <c r="E52" s="427">
        <v>0</v>
      </c>
      <c r="F52" s="427">
        <v>6442.33</v>
      </c>
      <c r="G52" s="434"/>
      <c r="H52" s="435">
        <v>0</v>
      </c>
      <c r="I52" s="427">
        <v>5960.14</v>
      </c>
    </row>
    <row r="53" spans="3:9" ht="15">
      <c r="C53" s="432" t="s">
        <v>110</v>
      </c>
      <c r="D53" s="434" t="s">
        <v>802</v>
      </c>
      <c r="E53" s="427">
        <v>0</v>
      </c>
      <c r="F53" s="427">
        <v>6442.33</v>
      </c>
      <c r="G53" s="434" t="s">
        <v>802</v>
      </c>
      <c r="H53" s="435">
        <v>0</v>
      </c>
      <c r="I53" s="427">
        <v>5960.14</v>
      </c>
    </row>
    <row r="54" spans="3:9" ht="15">
      <c r="C54" s="430" t="s">
        <v>47</v>
      </c>
      <c r="D54" s="436"/>
      <c r="E54" s="437"/>
      <c r="F54" s="437"/>
      <c r="G54" s="436"/>
      <c r="H54" s="436"/>
      <c r="I54" s="437"/>
    </row>
    <row r="55" spans="3:9" ht="15">
      <c r="C55" s="432" t="s">
        <v>244</v>
      </c>
      <c r="D55" s="434" t="s">
        <v>802</v>
      </c>
      <c r="E55" s="435">
        <v>0</v>
      </c>
      <c r="F55" s="427">
        <v>6442.33</v>
      </c>
      <c r="G55" s="434" t="s">
        <v>802</v>
      </c>
      <c r="H55" s="435">
        <v>830</v>
      </c>
      <c r="I55" s="427">
        <v>5960.14</v>
      </c>
    </row>
    <row r="59" spans="3:9" ht="48">
      <c r="C59" s="108" t="s">
        <v>795</v>
      </c>
      <c r="D59" s="422" t="s">
        <v>796</v>
      </c>
      <c r="E59" s="422" t="s">
        <v>797</v>
      </c>
      <c r="F59" s="422" t="s">
        <v>818</v>
      </c>
      <c r="G59" s="422" t="s">
        <v>796</v>
      </c>
      <c r="H59" s="422" t="s">
        <v>797</v>
      </c>
      <c r="I59" s="422" t="s">
        <v>819</v>
      </c>
    </row>
    <row r="60" spans="3:9" ht="15">
      <c r="C60" s="430" t="s">
        <v>6</v>
      </c>
      <c r="D60" s="436"/>
      <c r="E60" s="436"/>
      <c r="F60" s="436"/>
      <c r="G60" s="436"/>
      <c r="H60" s="436"/>
      <c r="I60" s="436"/>
    </row>
    <row r="61" spans="3:9" ht="15">
      <c r="C61" s="430" t="s">
        <v>8</v>
      </c>
      <c r="D61" s="436"/>
      <c r="E61" s="436"/>
      <c r="F61" s="436"/>
      <c r="G61" s="436"/>
      <c r="H61" s="436"/>
      <c r="I61" s="436"/>
    </row>
    <row r="62" spans="3:9" ht="15">
      <c r="C62" s="423" t="s">
        <v>820</v>
      </c>
      <c r="D62" s="424"/>
      <c r="E62" s="425"/>
      <c r="F62" s="438"/>
      <c r="G62" s="424"/>
      <c r="H62" s="425"/>
      <c r="I62" s="424"/>
    </row>
    <row r="63" spans="3:9" ht="15">
      <c r="C63" s="424" t="s">
        <v>821</v>
      </c>
      <c r="D63" s="426" t="s">
        <v>802</v>
      </c>
      <c r="E63" s="427">
        <v>3961.62</v>
      </c>
      <c r="F63" s="427">
        <v>6463.95</v>
      </c>
      <c r="G63" s="426" t="s">
        <v>802</v>
      </c>
      <c r="H63" s="427">
        <v>26924.600803229023</v>
      </c>
      <c r="I63" s="427">
        <v>5960.94</v>
      </c>
    </row>
    <row r="64" spans="3:9" ht="15">
      <c r="C64" s="424" t="s">
        <v>822</v>
      </c>
      <c r="D64" s="426" t="s">
        <v>802</v>
      </c>
      <c r="E64" s="427">
        <v>853873.85</v>
      </c>
      <c r="F64" s="427">
        <v>6463.95</v>
      </c>
      <c r="G64" s="426" t="s">
        <v>802</v>
      </c>
      <c r="H64" s="427">
        <v>1009156.9058790061</v>
      </c>
      <c r="I64" s="427">
        <v>5960.94</v>
      </c>
    </row>
    <row r="65" spans="3:9" ht="15">
      <c r="C65" s="424" t="s">
        <v>823</v>
      </c>
      <c r="D65" s="426" t="s">
        <v>802</v>
      </c>
      <c r="E65" s="427"/>
      <c r="F65" s="427">
        <v>6463.95</v>
      </c>
      <c r="G65" s="426" t="s">
        <v>802</v>
      </c>
      <c r="H65" s="427"/>
      <c r="I65" s="427">
        <v>5960.94</v>
      </c>
    </row>
    <row r="66" spans="3:9" ht="15">
      <c r="C66" s="424" t="s">
        <v>824</v>
      </c>
      <c r="D66" s="426" t="s">
        <v>802</v>
      </c>
      <c r="E66" s="427">
        <v>0</v>
      </c>
      <c r="F66" s="427">
        <v>6463.95</v>
      </c>
      <c r="G66" s="426" t="s">
        <v>802</v>
      </c>
      <c r="H66" s="427">
        <v>4949.335675245851</v>
      </c>
      <c r="I66" s="427">
        <v>5960.94</v>
      </c>
    </row>
    <row r="67" spans="3:9" ht="15">
      <c r="C67" s="423" t="s">
        <v>67</v>
      </c>
      <c r="D67" s="424"/>
      <c r="E67" s="438"/>
      <c r="F67" s="438"/>
      <c r="G67" s="424"/>
      <c r="H67" s="425"/>
      <c r="I67" s="438"/>
    </row>
    <row r="68" spans="3:9" ht="15">
      <c r="C68" s="424" t="s">
        <v>825</v>
      </c>
      <c r="D68" s="426" t="s">
        <v>802</v>
      </c>
      <c r="E68" s="438">
        <v>0</v>
      </c>
      <c r="F68" s="427">
        <v>6463.95</v>
      </c>
      <c r="G68" s="426" t="s">
        <v>802</v>
      </c>
      <c r="H68" s="438">
        <v>0</v>
      </c>
      <c r="I68" s="427">
        <v>5960.94</v>
      </c>
    </row>
    <row r="69" spans="3:9" ht="15">
      <c r="C69" s="424" t="s">
        <v>826</v>
      </c>
      <c r="D69" s="426" t="s">
        <v>802</v>
      </c>
      <c r="E69" s="438">
        <v>0</v>
      </c>
      <c r="F69" s="427">
        <v>6463.95</v>
      </c>
      <c r="G69" s="426" t="s">
        <v>802</v>
      </c>
      <c r="H69" s="438">
        <v>0</v>
      </c>
      <c r="I69" s="427">
        <v>5960.94</v>
      </c>
    </row>
    <row r="70" spans="3:9" ht="15">
      <c r="C70" s="424" t="s">
        <v>26</v>
      </c>
      <c r="D70" s="426" t="s">
        <v>802</v>
      </c>
      <c r="E70" s="438">
        <v>0</v>
      </c>
      <c r="F70" s="427">
        <v>6463.95</v>
      </c>
      <c r="G70" s="426" t="s">
        <v>802</v>
      </c>
      <c r="H70" s="438"/>
      <c r="I70" s="427">
        <v>5960.94</v>
      </c>
    </row>
    <row r="71" spans="3:9" ht="15">
      <c r="C71" s="423" t="s">
        <v>34</v>
      </c>
      <c r="D71" s="424"/>
      <c r="E71" s="438"/>
      <c r="F71" s="438"/>
      <c r="G71" s="424"/>
      <c r="H71" s="425"/>
      <c r="I71" s="438"/>
    </row>
    <row r="72" spans="3:9" ht="15">
      <c r="C72" s="424" t="s">
        <v>245</v>
      </c>
      <c r="D72" s="426" t="s">
        <v>802</v>
      </c>
      <c r="E72" s="438">
        <v>0</v>
      </c>
      <c r="F72" s="427">
        <v>6463.95</v>
      </c>
      <c r="G72" s="426" t="s">
        <v>802</v>
      </c>
      <c r="H72" s="438">
        <v>0</v>
      </c>
      <c r="I72" s="427">
        <v>5960.94</v>
      </c>
    </row>
    <row r="73" spans="3:9" ht="15">
      <c r="C73" s="424" t="s">
        <v>827</v>
      </c>
      <c r="D73" s="426" t="s">
        <v>802</v>
      </c>
      <c r="E73" s="438">
        <v>0</v>
      </c>
      <c r="F73" s="427">
        <v>6463.95</v>
      </c>
      <c r="G73" s="426" t="s">
        <v>802</v>
      </c>
      <c r="H73" s="438">
        <v>0</v>
      </c>
      <c r="I73" s="427">
        <v>5960.94</v>
      </c>
    </row>
    <row r="74" spans="3:9" ht="15">
      <c r="C74" s="424" t="s">
        <v>42</v>
      </c>
      <c r="D74" s="426" t="s">
        <v>802</v>
      </c>
      <c r="E74" s="438">
        <v>0</v>
      </c>
      <c r="F74" s="427">
        <v>6463.95</v>
      </c>
      <c r="G74" s="426" t="s">
        <v>802</v>
      </c>
      <c r="H74" s="438">
        <v>0</v>
      </c>
      <c r="I74" s="427">
        <v>5960.94</v>
      </c>
    </row>
    <row r="75" spans="3:9" ht="15">
      <c r="C75" s="424" t="s">
        <v>56</v>
      </c>
      <c r="D75" s="426" t="s">
        <v>802</v>
      </c>
      <c r="E75" s="438">
        <v>0</v>
      </c>
      <c r="F75" s="427">
        <v>6463.95</v>
      </c>
      <c r="G75" s="426"/>
      <c r="H75" s="438">
        <v>0</v>
      </c>
      <c r="I75" s="427">
        <v>5960.94</v>
      </c>
    </row>
    <row r="76" spans="3:9" ht="15">
      <c r="C76" s="424" t="s">
        <v>828</v>
      </c>
      <c r="D76" s="426" t="s">
        <v>802</v>
      </c>
      <c r="E76" s="438">
        <v>0</v>
      </c>
      <c r="F76" s="438">
        <v>6384.71</v>
      </c>
      <c r="G76" s="426"/>
      <c r="H76" s="438"/>
      <c r="I76" s="438"/>
    </row>
    <row r="77" spans="3:9" ht="15">
      <c r="C77" s="430" t="s">
        <v>829</v>
      </c>
      <c r="D77" s="436"/>
      <c r="E77" s="438"/>
      <c r="F77" s="438"/>
      <c r="G77" s="436"/>
      <c r="H77" s="436"/>
      <c r="I77" s="438"/>
    </row>
    <row r="78" spans="3:9" ht="15">
      <c r="C78" s="423" t="s">
        <v>67</v>
      </c>
      <c r="D78" s="424"/>
      <c r="E78" s="438"/>
      <c r="F78" s="438"/>
      <c r="G78" s="424"/>
      <c r="H78" s="425"/>
      <c r="I78" s="438"/>
    </row>
    <row r="79" spans="3:9" ht="15">
      <c r="C79" s="424" t="s">
        <v>825</v>
      </c>
      <c r="D79" s="426" t="s">
        <v>802</v>
      </c>
      <c r="E79" s="438">
        <v>0</v>
      </c>
      <c r="F79" s="427">
        <v>6463.95</v>
      </c>
      <c r="G79" s="426" t="s">
        <v>802</v>
      </c>
      <c r="H79" s="438">
        <v>0</v>
      </c>
      <c r="I79" s="427">
        <v>5960.94</v>
      </c>
    </row>
    <row r="80" spans="3:9" ht="15">
      <c r="C80" s="424" t="s">
        <v>826</v>
      </c>
      <c r="D80" s="426" t="s">
        <v>802</v>
      </c>
      <c r="E80" s="438">
        <v>0</v>
      </c>
      <c r="F80" s="427">
        <v>6463.95</v>
      </c>
      <c r="G80" s="426" t="s">
        <v>802</v>
      </c>
      <c r="H80" s="438">
        <v>0</v>
      </c>
      <c r="I80" s="427">
        <v>5960.94</v>
      </c>
    </row>
    <row r="81" spans="3:9" ht="15">
      <c r="C81" s="423" t="s">
        <v>48</v>
      </c>
      <c r="D81" s="424"/>
      <c r="E81" s="438"/>
      <c r="F81" s="438"/>
      <c r="G81" s="424"/>
      <c r="H81" s="425"/>
      <c r="I81" s="438"/>
    </row>
    <row r="82" spans="3:9" ht="15">
      <c r="C82" s="424" t="s">
        <v>30</v>
      </c>
      <c r="D82" s="426" t="s">
        <v>802</v>
      </c>
      <c r="E82" s="438">
        <v>0</v>
      </c>
      <c r="F82" s="427">
        <v>6463.95</v>
      </c>
      <c r="G82" s="426" t="s">
        <v>802</v>
      </c>
      <c r="H82" s="438">
        <v>0</v>
      </c>
      <c r="I82" s="427">
        <v>5960.94</v>
      </c>
    </row>
    <row r="83" spans="3:9" ht="15">
      <c r="C83" s="424" t="s">
        <v>830</v>
      </c>
      <c r="D83" s="426" t="s">
        <v>802</v>
      </c>
      <c r="E83" s="438">
        <v>0</v>
      </c>
      <c r="F83" s="427">
        <v>6463.95</v>
      </c>
      <c r="G83" s="426" t="s">
        <v>802</v>
      </c>
      <c r="H83" s="438">
        <v>0</v>
      </c>
      <c r="I83" s="427">
        <v>5960.94</v>
      </c>
    </row>
    <row r="84" spans="3:9" ht="15">
      <c r="C84" s="424" t="s">
        <v>831</v>
      </c>
      <c r="D84" s="426" t="s">
        <v>802</v>
      </c>
      <c r="E84" s="438">
        <v>0</v>
      </c>
      <c r="F84" s="427">
        <v>6463.95</v>
      </c>
      <c r="G84" s="426" t="s">
        <v>802</v>
      </c>
      <c r="H84" s="438">
        <v>0</v>
      </c>
      <c r="I84" s="427">
        <v>5960.94</v>
      </c>
    </row>
    <row r="87" ht="15">
      <c r="C87" s="415" t="s">
        <v>832</v>
      </c>
    </row>
    <row r="88" ht="15.75" thickBot="1"/>
    <row r="89" spans="3:7" ht="15">
      <c r="C89" s="439"/>
      <c r="D89" s="454">
        <v>2019</v>
      </c>
      <c r="E89" s="454"/>
      <c r="F89" s="454">
        <v>2018</v>
      </c>
      <c r="G89" s="454"/>
    </row>
    <row r="90" spans="3:7" ht="51.75">
      <c r="C90" s="109" t="s">
        <v>246</v>
      </c>
      <c r="D90" s="440" t="s">
        <v>833</v>
      </c>
      <c r="E90" s="440" t="s">
        <v>834</v>
      </c>
      <c r="F90" s="440" t="s">
        <v>835</v>
      </c>
      <c r="G90" s="440" t="s">
        <v>836</v>
      </c>
    </row>
    <row r="91" spans="3:7" ht="15">
      <c r="C91" s="441" t="s">
        <v>837</v>
      </c>
      <c r="D91" s="442">
        <f>+D7</f>
        <v>6442.33</v>
      </c>
      <c r="E91" s="110">
        <v>5341026561</v>
      </c>
      <c r="F91" s="443">
        <v>5960.14</v>
      </c>
      <c r="G91" s="110">
        <v>263909450</v>
      </c>
    </row>
    <row r="92" spans="3:7" ht="15">
      <c r="C92" s="441" t="s">
        <v>838</v>
      </c>
      <c r="D92" s="442">
        <f>+D8</f>
        <v>6463.95</v>
      </c>
      <c r="E92" s="110">
        <v>362669330</v>
      </c>
      <c r="F92" s="443">
        <v>5960.94</v>
      </c>
      <c r="G92" s="110">
        <v>21194597</v>
      </c>
    </row>
    <row r="93" spans="3:7" ht="15">
      <c r="C93" s="441" t="s">
        <v>839</v>
      </c>
      <c r="D93" s="442">
        <f>+D91</f>
        <v>6442.33</v>
      </c>
      <c r="E93" s="110">
        <v>4286139665</v>
      </c>
      <c r="F93" s="443">
        <v>5960.14</v>
      </c>
      <c r="G93" s="110">
        <v>552960908</v>
      </c>
    </row>
    <row r="94" spans="3:7" ht="15">
      <c r="C94" s="441" t="s">
        <v>840</v>
      </c>
      <c r="D94" s="442">
        <f>+D92</f>
        <v>6463.95</v>
      </c>
      <c r="E94" s="110">
        <v>778297799</v>
      </c>
      <c r="F94" s="443">
        <v>5960.94</v>
      </c>
      <c r="G94" s="110">
        <v>281562144</v>
      </c>
    </row>
    <row r="95" spans="3:7" ht="15">
      <c r="C95" s="111" t="s">
        <v>841</v>
      </c>
      <c r="D95" s="112"/>
      <c r="E95" s="112">
        <f>+E91+E92-E93-E94</f>
        <v>639258427</v>
      </c>
      <c r="F95" s="112"/>
      <c r="G95" s="112">
        <f>+G91+G92-G93-G94</f>
        <v>-549419005</v>
      </c>
    </row>
  </sheetData>
  <sheetProtection/>
  <mergeCells count="2">
    <mergeCell ref="D89:E89"/>
    <mergeCell ref="F89:G89"/>
  </mergeCells>
  <hyperlinks>
    <hyperlink ref="C1" location="'Estado de Resultado Resol. 1'!A1" display="Balance Gral. Resol. 1'!A1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54"/>
  <sheetViews>
    <sheetView showGridLines="0" zoomScale="125" zoomScaleNormal="125" zoomScalePageLayoutView="0" workbookViewId="0" topLeftCell="A1">
      <selection activeCell="B8" sqref="B8:D53"/>
    </sheetView>
  </sheetViews>
  <sheetFormatPr defaultColWidth="11.421875" defaultRowHeight="15"/>
  <cols>
    <col min="2" max="2" width="59.00390625" style="0" customWidth="1"/>
    <col min="3" max="3" width="14.28125" style="0" bestFit="1" customWidth="1"/>
    <col min="4" max="4" width="13.7109375" style="0" bestFit="1" customWidth="1"/>
  </cols>
  <sheetData>
    <row r="1" ht="15">
      <c r="B1" s="313" t="s">
        <v>567</v>
      </c>
    </row>
    <row r="4" ht="15">
      <c r="B4" s="104" t="s">
        <v>477</v>
      </c>
    </row>
    <row r="5" ht="25.5">
      <c r="B5" s="102" t="s">
        <v>499</v>
      </c>
    </row>
    <row r="8" spans="2:4" ht="15">
      <c r="B8" s="294" t="s">
        <v>247</v>
      </c>
      <c r="C8" s="328">
        <v>43830</v>
      </c>
      <c r="D8" s="113">
        <v>43465</v>
      </c>
    </row>
    <row r="9" spans="2:4" ht="15">
      <c r="B9" s="111" t="s">
        <v>248</v>
      </c>
      <c r="C9" s="114"/>
      <c r="D9" s="115"/>
    </row>
    <row r="10" spans="2:4" ht="15">
      <c r="B10" s="298" t="s">
        <v>500</v>
      </c>
      <c r="C10" s="296">
        <v>0</v>
      </c>
      <c r="D10" s="296">
        <v>0</v>
      </c>
    </row>
    <row r="11" spans="2:4" ht="15">
      <c r="B11" s="298" t="s">
        <v>501</v>
      </c>
      <c r="C11" s="296">
        <v>346576922</v>
      </c>
      <c r="D11" s="296">
        <v>276060000</v>
      </c>
    </row>
    <row r="12" spans="2:4" ht="15">
      <c r="B12" s="298" t="s">
        <v>502</v>
      </c>
      <c r="C12" s="296">
        <v>0</v>
      </c>
      <c r="D12" s="296">
        <v>0</v>
      </c>
    </row>
    <row r="13" spans="2:4" ht="15">
      <c r="B13" s="298" t="s">
        <v>503</v>
      </c>
      <c r="C13" s="297">
        <v>-5760269</v>
      </c>
      <c r="D13" s="297">
        <v>1705913</v>
      </c>
    </row>
    <row r="14" spans="2:4" ht="15">
      <c r="B14" s="298" t="s">
        <v>504</v>
      </c>
      <c r="C14" s="297">
        <v>652286</v>
      </c>
      <c r="D14" s="297">
        <v>69155028</v>
      </c>
    </row>
    <row r="15" spans="2:4" ht="15">
      <c r="B15" s="298" t="s">
        <v>505</v>
      </c>
      <c r="C15" s="297">
        <v>100000</v>
      </c>
      <c r="D15" s="297">
        <v>925200</v>
      </c>
    </row>
    <row r="16" spans="2:4" ht="15">
      <c r="B16" s="298" t="s">
        <v>506</v>
      </c>
      <c r="C16" s="297">
        <v>-1136427</v>
      </c>
      <c r="D16" s="297">
        <v>1192147</v>
      </c>
    </row>
    <row r="17" spans="2:4" ht="15">
      <c r="B17" s="298" t="s">
        <v>507</v>
      </c>
      <c r="C17" s="297">
        <v>5657243</v>
      </c>
      <c r="D17" s="297">
        <v>-12382381</v>
      </c>
    </row>
    <row r="18" spans="2:4" ht="15">
      <c r="B18" s="298" t="s">
        <v>508</v>
      </c>
      <c r="C18" s="297">
        <v>40302765</v>
      </c>
      <c r="D18" s="297">
        <v>25451347</v>
      </c>
    </row>
    <row r="19" spans="2:4" ht="15">
      <c r="B19" s="298" t="s">
        <v>509</v>
      </c>
      <c r="C19" s="297">
        <v>644233</v>
      </c>
      <c r="D19" s="297">
        <v>596014</v>
      </c>
    </row>
    <row r="20" spans="2:4" ht="15">
      <c r="B20" s="298" t="s">
        <v>510</v>
      </c>
      <c r="C20" s="297">
        <v>-1663987</v>
      </c>
      <c r="D20" s="297">
        <v>-155330052</v>
      </c>
    </row>
    <row r="21" spans="2:4" ht="15">
      <c r="B21" s="298" t="s">
        <v>511</v>
      </c>
      <c r="C21" s="297">
        <v>96348137</v>
      </c>
      <c r="D21" s="297">
        <v>1507235726</v>
      </c>
    </row>
    <row r="22" spans="2:4" ht="15">
      <c r="B22" s="298" t="s">
        <v>512</v>
      </c>
      <c r="C22" s="297">
        <v>4276153</v>
      </c>
      <c r="D22" s="297">
        <v>4000000</v>
      </c>
    </row>
    <row r="23" spans="2:4" ht="15">
      <c r="B23" s="298" t="s">
        <v>513</v>
      </c>
      <c r="C23" s="297">
        <v>25769320</v>
      </c>
      <c r="D23" s="297">
        <v>27961206</v>
      </c>
    </row>
    <row r="24" spans="2:4" ht="15">
      <c r="B24" s="298" t="s">
        <v>514</v>
      </c>
      <c r="C24" s="297">
        <v>0</v>
      </c>
      <c r="D24" s="296">
        <v>0</v>
      </c>
    </row>
    <row r="25" spans="2:4" ht="15">
      <c r="B25" s="298" t="s">
        <v>515</v>
      </c>
      <c r="C25" s="297">
        <v>0</v>
      </c>
      <c r="D25" s="296">
        <v>0</v>
      </c>
    </row>
    <row r="26" spans="2:4" ht="15">
      <c r="B26" s="298" t="s">
        <v>516</v>
      </c>
      <c r="C26" s="297">
        <v>200000</v>
      </c>
      <c r="D26" s="297">
        <v>449200</v>
      </c>
    </row>
    <row r="27" spans="2:4" ht="15">
      <c r="B27" s="298" t="s">
        <v>517</v>
      </c>
      <c r="C27" s="297">
        <v>644233</v>
      </c>
      <c r="D27" s="297">
        <v>2980070</v>
      </c>
    </row>
    <row r="28" spans="2:4" ht="15">
      <c r="B28" s="298" t="s">
        <v>518</v>
      </c>
      <c r="C28" s="297">
        <v>644233</v>
      </c>
      <c r="D28" s="297">
        <v>7347363</v>
      </c>
    </row>
    <row r="29" spans="2:4" ht="15">
      <c r="B29" s="298" t="s">
        <v>519</v>
      </c>
      <c r="C29" s="297">
        <v>2927781</v>
      </c>
      <c r="D29" s="297">
        <v>5958590</v>
      </c>
    </row>
    <row r="30" spans="2:4" ht="15">
      <c r="B30" s="298" t="s">
        <v>520</v>
      </c>
      <c r="C30" s="297">
        <v>331950</v>
      </c>
      <c r="D30" s="297">
        <v>999999</v>
      </c>
    </row>
    <row r="31" spans="2:4" ht="15">
      <c r="B31" s="298" t="s">
        <v>521</v>
      </c>
      <c r="C31" s="297">
        <v>159142052</v>
      </c>
      <c r="D31" s="297">
        <v>2109653</v>
      </c>
    </row>
    <row r="32" spans="2:4" ht="15">
      <c r="B32" s="298" t="s">
        <v>522</v>
      </c>
      <c r="C32" s="297">
        <v>2847510</v>
      </c>
      <c r="D32" s="297">
        <v>23339717</v>
      </c>
    </row>
    <row r="33" spans="2:4" ht="15">
      <c r="B33" s="298" t="s">
        <v>523</v>
      </c>
      <c r="C33" s="297">
        <v>0</v>
      </c>
      <c r="D33" s="296">
        <v>0</v>
      </c>
    </row>
    <row r="34" spans="2:4" ht="15">
      <c r="B34" s="298" t="s">
        <v>524</v>
      </c>
      <c r="C34" s="297">
        <v>0</v>
      </c>
      <c r="D34" s="296">
        <v>0</v>
      </c>
    </row>
    <row r="35" spans="2:4" ht="15">
      <c r="B35" s="298" t="s">
        <v>525</v>
      </c>
      <c r="C35" s="297">
        <v>1305023</v>
      </c>
      <c r="D35" s="297">
        <v>5954180</v>
      </c>
    </row>
    <row r="36" spans="2:4" ht="15">
      <c r="B36" s="298" t="s">
        <v>526</v>
      </c>
      <c r="C36" s="297">
        <v>61009</v>
      </c>
      <c r="D36" s="297">
        <v>109547</v>
      </c>
    </row>
    <row r="37" spans="2:4" ht="15">
      <c r="B37" s="298" t="s">
        <v>527</v>
      </c>
      <c r="C37" s="297">
        <v>40000</v>
      </c>
      <c r="D37" s="297"/>
    </row>
    <row r="38" spans="2:4" ht="15">
      <c r="B38" s="298" t="s">
        <v>528</v>
      </c>
      <c r="C38" s="297">
        <v>100000</v>
      </c>
      <c r="D38" s="297">
        <v>0</v>
      </c>
    </row>
    <row r="39" spans="2:4" ht="15">
      <c r="B39" s="298" t="s">
        <v>529</v>
      </c>
      <c r="C39" s="297">
        <v>0</v>
      </c>
      <c r="D39" s="296">
        <v>0</v>
      </c>
    </row>
    <row r="40" spans="2:4" ht="15">
      <c r="B40" s="298" t="s">
        <v>530</v>
      </c>
      <c r="C40" s="297">
        <v>6322606</v>
      </c>
      <c r="D40" s="296"/>
    </row>
    <row r="41" spans="2:4" ht="15">
      <c r="B41" s="298" t="s">
        <v>531</v>
      </c>
      <c r="C41" s="297">
        <v>644233</v>
      </c>
      <c r="D41" s="297">
        <v>54434</v>
      </c>
    </row>
    <row r="42" spans="2:4" ht="15">
      <c r="B42" s="298" t="s">
        <v>532</v>
      </c>
      <c r="C42" s="297">
        <v>100000</v>
      </c>
      <c r="D42" s="297">
        <v>177812</v>
      </c>
    </row>
    <row r="43" spans="2:4" ht="15">
      <c r="B43" s="298" t="s">
        <v>532</v>
      </c>
      <c r="C43" s="297">
        <v>0</v>
      </c>
      <c r="D43" s="297">
        <v>589219</v>
      </c>
    </row>
    <row r="44" spans="2:4" ht="15">
      <c r="B44" s="298" t="s">
        <v>533</v>
      </c>
      <c r="C44" s="297">
        <v>1417764</v>
      </c>
      <c r="D44" s="296">
        <v>0</v>
      </c>
    </row>
    <row r="45" spans="2:4" ht="15">
      <c r="B45" s="298" t="s">
        <v>534</v>
      </c>
      <c r="C45" s="297">
        <v>200000</v>
      </c>
      <c r="D45" s="297">
        <v>0</v>
      </c>
    </row>
    <row r="46" spans="2:4" ht="15">
      <c r="B46" s="298" t="s">
        <v>535</v>
      </c>
      <c r="C46" s="297">
        <v>206433</v>
      </c>
      <c r="D46" s="297">
        <v>1502134</v>
      </c>
    </row>
    <row r="47" spans="2:4" ht="15">
      <c r="B47" s="298" t="s">
        <v>536</v>
      </c>
      <c r="C47" s="297">
        <v>646488</v>
      </c>
      <c r="D47" s="297"/>
    </row>
    <row r="48" spans="2:4" ht="15">
      <c r="B48" s="298" t="s">
        <v>537</v>
      </c>
      <c r="C48" s="297">
        <v>9864</v>
      </c>
      <c r="D48" s="296">
        <v>9864</v>
      </c>
    </row>
    <row r="49" spans="2:4" ht="15">
      <c r="B49" s="298" t="s">
        <v>538</v>
      </c>
      <c r="C49" s="297">
        <v>0</v>
      </c>
      <c r="D49" s="296">
        <v>3588051</v>
      </c>
    </row>
    <row r="50" spans="2:4" ht="15">
      <c r="B50" s="298" t="s">
        <v>539</v>
      </c>
      <c r="C50" s="297">
        <v>50982</v>
      </c>
      <c r="D50" s="296">
        <v>1000175</v>
      </c>
    </row>
    <row r="51" spans="2:4" ht="15">
      <c r="B51" s="298" t="s">
        <v>540</v>
      </c>
      <c r="C51" s="297">
        <v>980213394</v>
      </c>
      <c r="D51" s="297">
        <v>3713167</v>
      </c>
    </row>
    <row r="52" spans="2:4" ht="15">
      <c r="B52" s="298" t="s">
        <v>541</v>
      </c>
      <c r="C52" s="297">
        <v>1215732</v>
      </c>
      <c r="D52" s="297"/>
    </row>
    <row r="53" spans="2:4" ht="15">
      <c r="B53" s="111" t="s">
        <v>249</v>
      </c>
      <c r="C53" s="118">
        <f>SUM(C10:C52)</f>
        <v>1671037663</v>
      </c>
      <c r="D53" s="119">
        <f>SUM(D10:D52)</f>
        <v>1806453323</v>
      </c>
    </row>
    <row r="54" spans="3:4" ht="15">
      <c r="C54" s="235">
        <f>+C53-'Balance Gral. Resol. 6'!D12</f>
        <v>0</v>
      </c>
      <c r="D54" s="235">
        <f>+D53-'Balance Gral. Resol. 6'!E12</f>
        <v>0</v>
      </c>
    </row>
  </sheetData>
  <sheetProtection/>
  <hyperlinks>
    <hyperlink ref="B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1:J81"/>
  <sheetViews>
    <sheetView showGridLines="0" zoomScalePageLayoutView="0" workbookViewId="0" topLeftCell="A16">
      <selection activeCell="F4" sqref="F4"/>
    </sheetView>
  </sheetViews>
  <sheetFormatPr defaultColWidth="11.421875" defaultRowHeight="15"/>
  <cols>
    <col min="3" max="3" width="77.421875" style="0" bestFit="1" customWidth="1"/>
    <col min="5" max="5" width="22.28125" style="0" bestFit="1" customWidth="1"/>
    <col min="6" max="6" width="16.7109375" style="0" bestFit="1" customWidth="1"/>
    <col min="7" max="7" width="18.140625" style="0" bestFit="1" customWidth="1"/>
    <col min="8" max="8" width="17.28125" style="0" bestFit="1" customWidth="1"/>
    <col min="9" max="9" width="16.7109375" style="0" bestFit="1" customWidth="1"/>
    <col min="10" max="10" width="17.7109375" style="0" bestFit="1" customWidth="1"/>
  </cols>
  <sheetData>
    <row r="1" ht="15">
      <c r="C1" s="313" t="s">
        <v>567</v>
      </c>
    </row>
    <row r="3" ht="15">
      <c r="C3" s="107"/>
    </row>
    <row r="4" ht="15">
      <c r="C4" s="104" t="s">
        <v>478</v>
      </c>
    </row>
    <row r="5" ht="15">
      <c r="C5" s="104"/>
    </row>
    <row r="6" ht="15">
      <c r="C6" s="120" t="s">
        <v>250</v>
      </c>
    </row>
    <row r="10" spans="3:10" ht="15">
      <c r="C10" s="455" t="s">
        <v>251</v>
      </c>
      <c r="D10" s="456"/>
      <c r="E10" s="456"/>
      <c r="F10" s="458"/>
      <c r="G10" s="459" t="s">
        <v>555</v>
      </c>
      <c r="H10" s="459"/>
      <c r="I10" s="459"/>
      <c r="J10" s="459"/>
    </row>
    <row r="11" spans="3:10" ht="15">
      <c r="C11" s="455" t="s">
        <v>253</v>
      </c>
      <c r="D11" s="456"/>
      <c r="E11" s="456"/>
      <c r="F11" s="456"/>
      <c r="G11" s="456"/>
      <c r="H11" s="456"/>
      <c r="I11" s="456"/>
      <c r="J11" s="458"/>
    </row>
    <row r="12" spans="3:10" ht="15">
      <c r="C12" s="121"/>
      <c r="D12" s="122" t="s">
        <v>254</v>
      </c>
      <c r="E12" s="122" t="s">
        <v>255</v>
      </c>
      <c r="F12" s="122" t="s">
        <v>256</v>
      </c>
      <c r="G12" s="122" t="s">
        <v>256</v>
      </c>
      <c r="H12" s="122" t="s">
        <v>237</v>
      </c>
      <c r="I12" s="122" t="s">
        <v>257</v>
      </c>
      <c r="J12" s="122" t="s">
        <v>258</v>
      </c>
    </row>
    <row r="13" spans="3:10" ht="15">
      <c r="C13" s="123" t="s">
        <v>259</v>
      </c>
      <c r="D13" s="123" t="s">
        <v>260</v>
      </c>
      <c r="E13" s="123" t="s">
        <v>261</v>
      </c>
      <c r="F13" s="123" t="s">
        <v>262</v>
      </c>
      <c r="G13" s="123" t="s">
        <v>263</v>
      </c>
      <c r="H13" s="124"/>
      <c r="I13" s="124"/>
      <c r="J13" s="124"/>
    </row>
    <row r="14" spans="3:10" ht="15">
      <c r="C14" s="125" t="s">
        <v>542</v>
      </c>
      <c r="D14" s="125" t="s">
        <v>264</v>
      </c>
      <c r="E14" s="300">
        <v>12</v>
      </c>
      <c r="F14" s="301">
        <v>1400000000</v>
      </c>
      <c r="G14" s="301">
        <v>1400000000</v>
      </c>
      <c r="H14" s="126">
        <v>31546000000</v>
      </c>
      <c r="I14" s="126">
        <v>23745456083</v>
      </c>
      <c r="J14" s="126">
        <v>105728825577</v>
      </c>
    </row>
    <row r="15" spans="3:10" ht="15">
      <c r="C15" s="125" t="s">
        <v>277</v>
      </c>
      <c r="D15" s="125" t="s">
        <v>264</v>
      </c>
      <c r="E15" s="300">
        <v>3</v>
      </c>
      <c r="F15" s="301">
        <v>500000000</v>
      </c>
      <c r="G15" s="301">
        <v>500000000</v>
      </c>
      <c r="H15" s="126">
        <v>345739600000</v>
      </c>
      <c r="I15" s="126">
        <v>29080377179</v>
      </c>
      <c r="J15" s="126">
        <v>376504650153</v>
      </c>
    </row>
    <row r="16" spans="3:10" ht="15">
      <c r="C16" s="125" t="s">
        <v>266</v>
      </c>
      <c r="D16" s="125" t="s">
        <v>264</v>
      </c>
      <c r="E16" s="300">
        <v>7</v>
      </c>
      <c r="F16" s="301">
        <v>1968400000</v>
      </c>
      <c r="G16" s="301">
        <v>1968400000</v>
      </c>
      <c r="H16" s="126">
        <v>90511953371</v>
      </c>
      <c r="I16" s="126">
        <v>4121240970</v>
      </c>
      <c r="J16" s="126">
        <v>147603085455</v>
      </c>
    </row>
    <row r="17" spans="3:10" ht="15">
      <c r="C17" s="125" t="s">
        <v>543</v>
      </c>
      <c r="D17" s="125" t="s">
        <v>264</v>
      </c>
      <c r="E17" s="300">
        <v>11</v>
      </c>
      <c r="F17" s="301">
        <v>1730350000</v>
      </c>
      <c r="G17" s="301">
        <v>1730350000</v>
      </c>
      <c r="H17" s="126">
        <v>38218670454</v>
      </c>
      <c r="I17" s="126">
        <v>3727558959</v>
      </c>
      <c r="J17" s="126">
        <v>59163835648</v>
      </c>
    </row>
    <row r="18" spans="3:10" ht="15">
      <c r="C18" s="125" t="s">
        <v>544</v>
      </c>
      <c r="D18" s="125" t="s">
        <v>264</v>
      </c>
      <c r="E18" s="300">
        <v>8</v>
      </c>
      <c r="F18" s="301">
        <v>2000000000</v>
      </c>
      <c r="G18" s="301">
        <v>2000000000</v>
      </c>
      <c r="H18" s="126">
        <v>450000000000</v>
      </c>
      <c r="I18" s="126">
        <v>213919670965</v>
      </c>
      <c r="J18" s="126">
        <v>1228614401596</v>
      </c>
    </row>
    <row r="19" spans="3:10" ht="15">
      <c r="C19" s="125" t="s">
        <v>545</v>
      </c>
      <c r="D19" s="125" t="s">
        <v>264</v>
      </c>
      <c r="E19" s="300">
        <v>1</v>
      </c>
      <c r="F19" s="301">
        <v>100000000</v>
      </c>
      <c r="G19" s="301">
        <v>100000000</v>
      </c>
      <c r="H19" s="126">
        <v>399038301862</v>
      </c>
      <c r="I19" s="126">
        <v>31221647658</v>
      </c>
      <c r="J19" s="126">
        <v>619488778777</v>
      </c>
    </row>
    <row r="20" spans="3:10" ht="15">
      <c r="C20" s="125" t="s">
        <v>546</v>
      </c>
      <c r="D20" s="125" t="s">
        <v>265</v>
      </c>
      <c r="E20" s="300">
        <v>2163</v>
      </c>
      <c r="F20" s="301">
        <v>2270537282</v>
      </c>
      <c r="G20" s="301">
        <v>2270537282</v>
      </c>
      <c r="H20" s="126">
        <v>178200000000</v>
      </c>
      <c r="I20" s="126">
        <v>22423125236</v>
      </c>
      <c r="J20" s="126">
        <v>285258538955</v>
      </c>
    </row>
    <row r="21" spans="3:10" ht="15">
      <c r="C21" s="125" t="s">
        <v>547</v>
      </c>
      <c r="D21" s="125" t="s">
        <v>265</v>
      </c>
      <c r="E21" s="300">
        <v>194</v>
      </c>
      <c r="F21" s="301">
        <v>642507686.2600001</v>
      </c>
      <c r="G21" s="301">
        <v>642507686.2600001</v>
      </c>
      <c r="H21" s="126">
        <v>187414000000</v>
      </c>
      <c r="I21" s="126">
        <v>188607741320</v>
      </c>
      <c r="J21" s="126">
        <v>726955509105</v>
      </c>
    </row>
    <row r="22" spans="3:10" ht="15">
      <c r="C22" s="125" t="s">
        <v>548</v>
      </c>
      <c r="D22" s="125" t="s">
        <v>265</v>
      </c>
      <c r="E22" s="300">
        <v>40</v>
      </c>
      <c r="F22" s="301">
        <v>129537803.60000001</v>
      </c>
      <c r="G22" s="301">
        <v>129537803.60000001</v>
      </c>
      <c r="H22" s="126">
        <v>277910000000</v>
      </c>
      <c r="I22" s="126">
        <v>146841416998</v>
      </c>
      <c r="J22" s="126">
        <v>624392416895</v>
      </c>
    </row>
    <row r="23" spans="3:10" ht="15">
      <c r="C23" s="125" t="s">
        <v>276</v>
      </c>
      <c r="D23" s="125" t="s">
        <v>265</v>
      </c>
      <c r="E23" s="300">
        <v>56</v>
      </c>
      <c r="F23" s="301">
        <v>61489512</v>
      </c>
      <c r="G23" s="301">
        <v>61489512</v>
      </c>
      <c r="H23" s="126">
        <v>1720989299372</v>
      </c>
      <c r="I23" s="126">
        <v>470762492600</v>
      </c>
      <c r="J23" s="126">
        <v>3008993887839</v>
      </c>
    </row>
    <row r="24" spans="3:10" ht="15">
      <c r="C24" s="127" t="s">
        <v>274</v>
      </c>
      <c r="D24" s="125" t="s">
        <v>265</v>
      </c>
      <c r="E24" s="302">
        <v>390</v>
      </c>
      <c r="F24" s="301">
        <v>400011690</v>
      </c>
      <c r="G24" s="301">
        <v>400011690</v>
      </c>
      <c r="H24" s="126">
        <v>330000000000</v>
      </c>
      <c r="I24" s="126">
        <v>135098738640</v>
      </c>
      <c r="J24" s="126">
        <v>809307337406</v>
      </c>
    </row>
    <row r="25" spans="3:10" ht="15">
      <c r="C25" s="125" t="s">
        <v>549</v>
      </c>
      <c r="D25" s="125" t="s">
        <v>265</v>
      </c>
      <c r="E25" s="300">
        <v>390</v>
      </c>
      <c r="F25" s="301">
        <v>1274671715.89</v>
      </c>
      <c r="G25" s="301">
        <v>1274671715.89</v>
      </c>
      <c r="H25" s="126">
        <v>1151242860000</v>
      </c>
      <c r="I25" s="126">
        <v>156900014846</v>
      </c>
      <c r="J25" s="126">
        <v>1736966471943</v>
      </c>
    </row>
    <row r="26" spans="3:10" ht="15">
      <c r="C26" s="125" t="s">
        <v>550</v>
      </c>
      <c r="D26" s="125" t="s">
        <v>265</v>
      </c>
      <c r="E26" s="300">
        <v>3</v>
      </c>
      <c r="F26" s="301">
        <v>3028848</v>
      </c>
      <c r="G26" s="301">
        <v>3028848</v>
      </c>
      <c r="H26" s="126">
        <v>50469500000</v>
      </c>
      <c r="I26" s="126">
        <v>4787876681</v>
      </c>
      <c r="J26" s="126">
        <v>91806259454</v>
      </c>
    </row>
    <row r="27" spans="3:10" ht="15">
      <c r="C27" s="125" t="s">
        <v>551</v>
      </c>
      <c r="D27" s="125" t="s">
        <v>265</v>
      </c>
      <c r="E27" s="300">
        <v>7</v>
      </c>
      <c r="F27" s="301">
        <v>7384902</v>
      </c>
      <c r="G27" s="301">
        <v>7384902</v>
      </c>
      <c r="H27" s="126"/>
      <c r="I27" s="126"/>
      <c r="J27" s="126"/>
    </row>
    <row r="28" spans="3:10" ht="15">
      <c r="C28" s="125" t="s">
        <v>552</v>
      </c>
      <c r="D28" s="125" t="s">
        <v>265</v>
      </c>
      <c r="E28" s="300">
        <v>50</v>
      </c>
      <c r="F28" s="301">
        <v>51940195</v>
      </c>
      <c r="G28" s="301">
        <v>51940195</v>
      </c>
      <c r="H28" s="126">
        <v>40000000000</v>
      </c>
      <c r="I28" s="126">
        <v>-2786570610</v>
      </c>
      <c r="J28" s="126">
        <v>48731954243</v>
      </c>
    </row>
    <row r="29" spans="3:10" ht="15">
      <c r="C29" s="125" t="s">
        <v>553</v>
      </c>
      <c r="D29" s="125" t="s">
        <v>265</v>
      </c>
      <c r="E29" s="300">
        <v>200</v>
      </c>
      <c r="F29" s="301">
        <v>201062400</v>
      </c>
      <c r="G29" s="301">
        <v>201062400</v>
      </c>
      <c r="H29" s="126">
        <v>146400000000</v>
      </c>
      <c r="I29" s="126">
        <v>124977000000</v>
      </c>
      <c r="J29" s="126">
        <v>733421000000</v>
      </c>
    </row>
    <row r="30" spans="3:10" ht="15">
      <c r="C30" s="125" t="s">
        <v>554</v>
      </c>
      <c r="D30" s="125" t="s">
        <v>265</v>
      </c>
      <c r="E30" s="300">
        <v>240</v>
      </c>
      <c r="F30" s="301">
        <v>242940390</v>
      </c>
      <c r="G30" s="301">
        <v>242940390</v>
      </c>
      <c r="H30" s="126">
        <v>164008000000</v>
      </c>
      <c r="I30" s="126">
        <v>175936468000</v>
      </c>
      <c r="J30" s="126">
        <v>865426847000</v>
      </c>
    </row>
    <row r="31" spans="3:10" ht="15">
      <c r="C31" s="125" t="s">
        <v>545</v>
      </c>
      <c r="D31" s="125" t="s">
        <v>265</v>
      </c>
      <c r="E31" s="300">
        <v>90</v>
      </c>
      <c r="F31" s="301">
        <v>97126575.7</v>
      </c>
      <c r="G31" s="301">
        <v>97126575.7</v>
      </c>
      <c r="H31" s="126">
        <v>399038301862</v>
      </c>
      <c r="I31" s="126">
        <v>31221647658</v>
      </c>
      <c r="J31" s="126">
        <v>619488778777</v>
      </c>
    </row>
    <row r="32" spans="3:10" ht="15">
      <c r="C32" s="128" t="s">
        <v>557</v>
      </c>
      <c r="D32" s="128"/>
      <c r="E32" s="128"/>
      <c r="F32" s="129">
        <f>SUM(F14:F31)</f>
        <v>13080989000.45</v>
      </c>
      <c r="G32" s="129">
        <f>SUM(G14:G31)</f>
        <v>13080989000.45</v>
      </c>
      <c r="H32" s="445"/>
      <c r="I32" s="445"/>
      <c r="J32" s="445"/>
    </row>
    <row r="33" spans="3:10" ht="15">
      <c r="C33" s="130" t="s">
        <v>556</v>
      </c>
      <c r="D33" s="130"/>
      <c r="E33" s="130"/>
      <c r="F33" s="299">
        <v>6735769572.518</v>
      </c>
      <c r="G33" s="299">
        <v>6735769572.518</v>
      </c>
      <c r="H33" s="132"/>
      <c r="I33" s="132"/>
      <c r="J33" s="132"/>
    </row>
    <row r="34" spans="3:10" ht="15">
      <c r="C34" s="133"/>
      <c r="D34" s="133"/>
      <c r="E34" s="133"/>
      <c r="F34" s="134"/>
      <c r="G34" s="134"/>
      <c r="H34" s="135"/>
      <c r="I34" s="135"/>
      <c r="J34" s="135"/>
    </row>
    <row r="35" spans="3:10" ht="15">
      <c r="C35" s="136"/>
      <c r="D35" s="136"/>
      <c r="E35" s="136"/>
      <c r="F35" s="136"/>
      <c r="G35" s="136"/>
      <c r="H35" s="136"/>
      <c r="I35" s="136"/>
      <c r="J35" s="136"/>
    </row>
    <row r="36" spans="3:10" ht="15">
      <c r="C36" s="455" t="s">
        <v>251</v>
      </c>
      <c r="D36" s="456"/>
      <c r="E36" s="456"/>
      <c r="F36" s="457"/>
      <c r="G36" s="460" t="s">
        <v>555</v>
      </c>
      <c r="H36" s="456"/>
      <c r="I36" s="456"/>
      <c r="J36" s="458"/>
    </row>
    <row r="37" spans="3:10" ht="15">
      <c r="C37" s="455" t="s">
        <v>253</v>
      </c>
      <c r="D37" s="456"/>
      <c r="E37" s="456"/>
      <c r="F37" s="456"/>
      <c r="G37" s="456"/>
      <c r="H37" s="456"/>
      <c r="I37" s="456"/>
      <c r="J37" s="457"/>
    </row>
    <row r="38" spans="3:10" ht="15" customHeight="1">
      <c r="C38" s="330"/>
      <c r="D38" s="331" t="s">
        <v>254</v>
      </c>
      <c r="E38" s="331" t="s">
        <v>255</v>
      </c>
      <c r="F38" s="331" t="s">
        <v>256</v>
      </c>
      <c r="G38" s="331" t="s">
        <v>256</v>
      </c>
      <c r="H38" s="331" t="s">
        <v>237</v>
      </c>
      <c r="I38" s="331" t="s">
        <v>257</v>
      </c>
      <c r="J38" s="331" t="s">
        <v>258</v>
      </c>
    </row>
    <row r="39" spans="3:10" ht="15">
      <c r="C39" s="295" t="s">
        <v>259</v>
      </c>
      <c r="D39" s="332" t="s">
        <v>260</v>
      </c>
      <c r="E39" s="332" t="s">
        <v>261</v>
      </c>
      <c r="F39" s="332" t="s">
        <v>262</v>
      </c>
      <c r="G39" s="332" t="s">
        <v>263</v>
      </c>
      <c r="H39" s="333"/>
      <c r="I39" s="333"/>
      <c r="J39" s="333"/>
    </row>
    <row r="40" spans="3:10" ht="15">
      <c r="C40" s="125" t="s">
        <v>558</v>
      </c>
      <c r="D40" s="334" t="s">
        <v>284</v>
      </c>
      <c r="E40" s="335">
        <v>1750</v>
      </c>
      <c r="F40" s="336">
        <v>175000000</v>
      </c>
      <c r="G40" s="336">
        <v>175000000</v>
      </c>
      <c r="H40" s="446">
        <v>59639000000</v>
      </c>
      <c r="I40" s="446">
        <v>11930894000</v>
      </c>
      <c r="J40" s="446">
        <v>81226674000</v>
      </c>
    </row>
    <row r="41" spans="3:10" ht="15">
      <c r="C41" s="337" t="s">
        <v>559</v>
      </c>
      <c r="D41" s="338" t="s">
        <v>284</v>
      </c>
      <c r="E41" s="339">
        <v>42577</v>
      </c>
      <c r="F41" s="340">
        <v>425770000</v>
      </c>
      <c r="G41" s="340">
        <v>425770000</v>
      </c>
      <c r="H41" s="447">
        <v>330000000000</v>
      </c>
      <c r="I41" s="447">
        <v>135098738640</v>
      </c>
      <c r="J41" s="447">
        <v>809307337406</v>
      </c>
    </row>
    <row r="42" spans="3:10" ht="15">
      <c r="C42" s="337" t="s">
        <v>560</v>
      </c>
      <c r="D42" s="338" t="s">
        <v>284</v>
      </c>
      <c r="E42" s="339">
        <v>5730</v>
      </c>
      <c r="F42" s="340">
        <v>1690350000</v>
      </c>
      <c r="G42" s="340">
        <v>1690350000</v>
      </c>
      <c r="H42" s="445">
        <v>1720989299372</v>
      </c>
      <c r="I42" s="445">
        <v>470762492600</v>
      </c>
      <c r="J42" s="445">
        <v>3008993887839</v>
      </c>
    </row>
    <row r="43" spans="3:10" ht="15">
      <c r="C43" s="128" t="s">
        <v>557</v>
      </c>
      <c r="D43" s="128"/>
      <c r="E43" s="128"/>
      <c r="F43" s="129">
        <f>SUM(F39:F42)</f>
        <v>2291120000</v>
      </c>
      <c r="G43" s="129">
        <f>SUM(G39:G42)</f>
        <v>2291120000</v>
      </c>
      <c r="H43" s="448"/>
      <c r="I43" s="448"/>
      <c r="J43" s="448"/>
    </row>
    <row r="44" spans="3:10" ht="15">
      <c r="C44" s="130" t="s">
        <v>556</v>
      </c>
      <c r="D44" s="130"/>
      <c r="E44" s="130"/>
      <c r="F44" s="303">
        <v>9269376864</v>
      </c>
      <c r="G44" s="303">
        <v>9269376864</v>
      </c>
      <c r="H44" s="448"/>
      <c r="I44" s="448"/>
      <c r="J44" s="448"/>
    </row>
    <row r="45" spans="3:10" ht="15">
      <c r="C45" s="136"/>
      <c r="D45" s="136"/>
      <c r="E45" s="136"/>
      <c r="F45" s="136"/>
      <c r="G45" s="140"/>
      <c r="H45" s="136"/>
      <c r="I45" s="136"/>
      <c r="J45" s="136"/>
    </row>
    <row r="46" spans="3:10" ht="15">
      <c r="C46" s="136"/>
      <c r="D46" s="136"/>
      <c r="E46" s="136"/>
      <c r="F46" s="136"/>
      <c r="G46" s="136"/>
      <c r="H46" s="136"/>
      <c r="I46" s="136"/>
      <c r="J46" s="136"/>
    </row>
    <row r="47" spans="3:10" ht="15">
      <c r="C47" s="459" t="s">
        <v>278</v>
      </c>
      <c r="D47" s="459"/>
      <c r="E47" s="459"/>
      <c r="F47" s="459"/>
      <c r="G47" s="459"/>
      <c r="H47" s="459"/>
      <c r="I47" s="459"/>
      <c r="J47" s="136"/>
    </row>
    <row r="48" spans="3:10" ht="25.5">
      <c r="C48" s="141" t="s">
        <v>279</v>
      </c>
      <c r="D48" s="141" t="s">
        <v>280</v>
      </c>
      <c r="E48" s="141" t="s">
        <v>272</v>
      </c>
      <c r="F48" s="141" t="s">
        <v>281</v>
      </c>
      <c r="G48" s="141" t="s">
        <v>282</v>
      </c>
      <c r="H48" s="141" t="s">
        <v>257</v>
      </c>
      <c r="I48" s="141" t="s">
        <v>258</v>
      </c>
      <c r="J48" s="136"/>
    </row>
    <row r="49" spans="3:10" ht="15">
      <c r="C49" s="121" t="s">
        <v>283</v>
      </c>
      <c r="D49" s="121" t="s">
        <v>284</v>
      </c>
      <c r="E49" s="142">
        <v>200000000</v>
      </c>
      <c r="F49" s="142">
        <v>361481649</v>
      </c>
      <c r="G49" s="143">
        <v>750000000</v>
      </c>
      <c r="H49" s="142"/>
      <c r="I49" s="142"/>
      <c r="J49" s="136"/>
    </row>
    <row r="50" spans="3:10" ht="15">
      <c r="C50" s="130" t="s">
        <v>557</v>
      </c>
      <c r="D50" s="130"/>
      <c r="E50" s="131">
        <f>SUM(E49:E49)</f>
        <v>200000000</v>
      </c>
      <c r="F50" s="131">
        <f>SUM(F49:F49)</f>
        <v>361481649</v>
      </c>
      <c r="G50" s="131">
        <f>+G49</f>
        <v>750000000</v>
      </c>
      <c r="H50" s="131"/>
      <c r="I50" s="131"/>
      <c r="J50" s="136"/>
    </row>
    <row r="51" spans="3:10" ht="15">
      <c r="C51" s="130" t="s">
        <v>556</v>
      </c>
      <c r="D51" s="130"/>
      <c r="E51" s="299">
        <v>245088000</v>
      </c>
      <c r="F51" s="299">
        <v>359414165</v>
      </c>
      <c r="G51" s="131">
        <f>+F51</f>
        <v>359414165</v>
      </c>
      <c r="H51" s="131"/>
      <c r="I51" s="131"/>
      <c r="J51" s="136"/>
    </row>
    <row r="52" spans="3:10" ht="15">
      <c r="C52" s="144"/>
      <c r="D52" s="144"/>
      <c r="E52" s="144"/>
      <c r="F52" s="145"/>
      <c r="G52" s="144"/>
      <c r="H52" s="144"/>
      <c r="I52" s="144"/>
      <c r="J52" s="144"/>
    </row>
    <row r="53" spans="3:10" ht="15">
      <c r="C53" s="144"/>
      <c r="D53" s="144"/>
      <c r="E53" s="144"/>
      <c r="F53" s="144"/>
      <c r="G53" s="144"/>
      <c r="H53" s="144"/>
      <c r="I53" s="144"/>
      <c r="J53" s="144"/>
    </row>
    <row r="54" spans="3:10" ht="15">
      <c r="C54" s="455" t="s">
        <v>269</v>
      </c>
      <c r="D54" s="456"/>
      <c r="E54" s="456"/>
      <c r="F54" s="458"/>
      <c r="G54" s="455" t="s">
        <v>285</v>
      </c>
      <c r="H54" s="456"/>
      <c r="I54" s="456"/>
      <c r="J54" s="458"/>
    </row>
    <row r="55" spans="3:10" ht="15">
      <c r="C55" s="455" t="s">
        <v>286</v>
      </c>
      <c r="D55" s="456"/>
      <c r="E55" s="456"/>
      <c r="F55" s="456"/>
      <c r="G55" s="456"/>
      <c r="H55" s="456"/>
      <c r="I55" s="456"/>
      <c r="J55" s="458"/>
    </row>
    <row r="56" spans="3:10" ht="25.5">
      <c r="C56" s="141" t="s">
        <v>259</v>
      </c>
      <c r="D56" s="141" t="s">
        <v>280</v>
      </c>
      <c r="E56" s="141" t="s">
        <v>271</v>
      </c>
      <c r="F56" s="141" t="s">
        <v>272</v>
      </c>
      <c r="G56" s="141" t="s">
        <v>273</v>
      </c>
      <c r="H56" s="141" t="s">
        <v>237</v>
      </c>
      <c r="I56" s="141" t="s">
        <v>257</v>
      </c>
      <c r="J56" s="141" t="s">
        <v>258</v>
      </c>
    </row>
    <row r="57" spans="3:10" ht="15">
      <c r="C57" s="139" t="s">
        <v>287</v>
      </c>
      <c r="D57" s="121" t="s">
        <v>288</v>
      </c>
      <c r="E57" s="121" t="s">
        <v>289</v>
      </c>
      <c r="F57" s="146">
        <v>903163697</v>
      </c>
      <c r="G57" s="147">
        <f>+F57</f>
        <v>903163697</v>
      </c>
      <c r="H57" s="121" t="s">
        <v>289</v>
      </c>
      <c r="I57" s="121" t="s">
        <v>289</v>
      </c>
      <c r="J57" s="121" t="s">
        <v>289</v>
      </c>
    </row>
    <row r="58" spans="3:10" ht="15">
      <c r="C58" s="130" t="s">
        <v>557</v>
      </c>
      <c r="D58" s="130"/>
      <c r="E58" s="130"/>
      <c r="F58" s="137">
        <f>SUM(F57:F57)</f>
        <v>903163697</v>
      </c>
      <c r="G58" s="137">
        <f>SUM(G57:G57)</f>
        <v>903163697</v>
      </c>
      <c r="H58" s="138"/>
      <c r="I58" s="138"/>
      <c r="J58" s="138"/>
    </row>
    <row r="59" spans="3:10" ht="15">
      <c r="C59" s="130" t="s">
        <v>556</v>
      </c>
      <c r="D59" s="139"/>
      <c r="E59" s="139"/>
      <c r="F59" s="137">
        <v>874150960</v>
      </c>
      <c r="G59" s="137">
        <v>874150960</v>
      </c>
      <c r="H59" s="138"/>
      <c r="I59" s="138"/>
      <c r="J59" s="138"/>
    </row>
    <row r="60" spans="3:10" ht="15">
      <c r="C60" s="133"/>
      <c r="D60" s="148"/>
      <c r="E60" s="148"/>
      <c r="F60" s="149"/>
      <c r="G60" s="149"/>
      <c r="H60" s="150"/>
      <c r="I60" s="150"/>
      <c r="J60" s="150"/>
    </row>
    <row r="61" spans="3:10" ht="15">
      <c r="C61" s="133"/>
      <c r="D61" s="148"/>
      <c r="E61" s="148"/>
      <c r="F61" s="149"/>
      <c r="G61" s="149"/>
      <c r="H61" s="150"/>
      <c r="I61" s="150"/>
      <c r="J61" s="150"/>
    </row>
    <row r="62" spans="3:10" ht="15">
      <c r="C62" s="462" t="s">
        <v>290</v>
      </c>
      <c r="D62" s="462"/>
      <c r="E62" s="462"/>
      <c r="F62" s="462"/>
      <c r="G62" s="462"/>
      <c r="H62" s="462"/>
      <c r="I62" s="462"/>
      <c r="J62" s="100"/>
    </row>
    <row r="63" spans="3:10" ht="15" customHeight="1">
      <c r="C63" s="141" t="s">
        <v>279</v>
      </c>
      <c r="D63" s="141" t="s">
        <v>280</v>
      </c>
      <c r="E63" s="141" t="s">
        <v>272</v>
      </c>
      <c r="F63" s="141" t="s">
        <v>281</v>
      </c>
      <c r="G63" s="141" t="s">
        <v>282</v>
      </c>
      <c r="H63" s="141" t="s">
        <v>257</v>
      </c>
      <c r="I63" s="141" t="s">
        <v>258</v>
      </c>
      <c r="J63" s="100"/>
    </row>
    <row r="64" spans="3:10" ht="15" customHeight="1">
      <c r="C64" s="121" t="s">
        <v>289</v>
      </c>
      <c r="D64" s="151" t="s">
        <v>291</v>
      </c>
      <c r="E64" s="143">
        <v>0</v>
      </c>
      <c r="F64" s="143">
        <v>0</v>
      </c>
      <c r="G64" s="152" t="s">
        <v>289</v>
      </c>
      <c r="H64" s="152" t="s">
        <v>292</v>
      </c>
      <c r="I64" s="143">
        <v>0</v>
      </c>
      <c r="J64" s="136"/>
    </row>
    <row r="65" spans="3:10" ht="15" customHeight="1">
      <c r="C65" s="121" t="s">
        <v>289</v>
      </c>
      <c r="D65" s="151" t="s">
        <v>293</v>
      </c>
      <c r="E65" s="143">
        <v>594805500</v>
      </c>
      <c r="F65" s="143">
        <f>+E65</f>
        <v>594805500</v>
      </c>
      <c r="G65" s="152" t="s">
        <v>289</v>
      </c>
      <c r="H65" s="152" t="s">
        <v>292</v>
      </c>
      <c r="I65" s="143">
        <v>0</v>
      </c>
      <c r="J65" s="136"/>
    </row>
    <row r="66" spans="3:10" ht="15">
      <c r="C66" s="130" t="s">
        <v>557</v>
      </c>
      <c r="D66" s="130"/>
      <c r="E66" s="130"/>
      <c r="F66" s="137">
        <f>SUM(F64:F65)</f>
        <v>594805500</v>
      </c>
      <c r="G66" s="137"/>
      <c r="H66" s="138"/>
      <c r="I66" s="138"/>
      <c r="J66" s="150"/>
    </row>
    <row r="67" spans="3:10" ht="15">
      <c r="C67" s="130" t="s">
        <v>556</v>
      </c>
      <c r="D67" s="139"/>
      <c r="E67" s="139"/>
      <c r="F67" s="137">
        <f>SUM(F65:F66)</f>
        <v>1189611000</v>
      </c>
      <c r="G67" s="137"/>
      <c r="H67" s="138"/>
      <c r="I67" s="138"/>
      <c r="J67" s="150"/>
    </row>
    <row r="68" spans="3:10" ht="15">
      <c r="C68" s="144"/>
      <c r="D68" s="144"/>
      <c r="E68" s="144"/>
      <c r="F68" s="144"/>
      <c r="G68" s="144"/>
      <c r="H68" s="144"/>
      <c r="I68" s="144"/>
      <c r="J68" s="144"/>
    </row>
    <row r="69" spans="3:10" ht="15">
      <c r="C69" s="144"/>
      <c r="D69" s="144"/>
      <c r="E69" s="144"/>
      <c r="F69" s="144"/>
      <c r="G69" s="144"/>
      <c r="H69" s="144"/>
      <c r="I69" s="144"/>
      <c r="J69" s="144"/>
    </row>
    <row r="70" spans="3:10" ht="15">
      <c r="C70" s="455" t="s">
        <v>269</v>
      </c>
      <c r="D70" s="456"/>
      <c r="E70" s="456"/>
      <c r="F70" s="458"/>
      <c r="G70" s="455" t="s">
        <v>252</v>
      </c>
      <c r="H70" s="456"/>
      <c r="I70" s="456"/>
      <c r="J70" s="458"/>
    </row>
    <row r="71" spans="3:10" ht="15">
      <c r="C71" s="455" t="s">
        <v>294</v>
      </c>
      <c r="D71" s="456"/>
      <c r="E71" s="456"/>
      <c r="F71" s="456"/>
      <c r="G71" s="456"/>
      <c r="H71" s="456"/>
      <c r="I71" s="456"/>
      <c r="J71" s="458"/>
    </row>
    <row r="72" spans="3:10" ht="15">
      <c r="C72" s="459" t="s">
        <v>259</v>
      </c>
      <c r="D72" s="463" t="s">
        <v>270</v>
      </c>
      <c r="E72" s="463" t="s">
        <v>271</v>
      </c>
      <c r="F72" s="463" t="s">
        <v>272</v>
      </c>
      <c r="G72" s="463" t="s">
        <v>273</v>
      </c>
      <c r="H72" s="461" t="s">
        <v>237</v>
      </c>
      <c r="I72" s="461" t="s">
        <v>257</v>
      </c>
      <c r="J72" s="461" t="s">
        <v>258</v>
      </c>
    </row>
    <row r="73" spans="3:10" ht="15">
      <c r="C73" s="459"/>
      <c r="D73" s="463"/>
      <c r="E73" s="463"/>
      <c r="F73" s="463"/>
      <c r="G73" s="463"/>
      <c r="H73" s="461"/>
      <c r="I73" s="461"/>
      <c r="J73" s="461"/>
    </row>
    <row r="74" spans="3:10" ht="15">
      <c r="C74" s="153" t="s">
        <v>295</v>
      </c>
      <c r="D74" s="153" t="s">
        <v>275</v>
      </c>
      <c r="E74" s="153">
        <v>2348</v>
      </c>
      <c r="F74" s="154">
        <v>2329691864</v>
      </c>
      <c r="G74" s="154">
        <v>2495451703</v>
      </c>
      <c r="H74" s="155">
        <v>2760000000</v>
      </c>
      <c r="I74" s="155">
        <v>112098826</v>
      </c>
      <c r="J74" s="155">
        <v>2789481337</v>
      </c>
    </row>
    <row r="75" spans="3:10" ht="15">
      <c r="C75" s="156" t="s">
        <v>296</v>
      </c>
      <c r="D75" s="153" t="s">
        <v>275</v>
      </c>
      <c r="E75" s="153">
        <v>25000</v>
      </c>
      <c r="F75" s="154">
        <v>2800000000</v>
      </c>
      <c r="G75" s="154">
        <v>2800000000</v>
      </c>
      <c r="H75" s="155">
        <v>2501000000</v>
      </c>
      <c r="I75" s="155">
        <v>-35646095</v>
      </c>
      <c r="J75" s="155">
        <v>2747133603</v>
      </c>
    </row>
    <row r="76" spans="3:10" ht="15">
      <c r="C76" s="156" t="s">
        <v>297</v>
      </c>
      <c r="D76" s="153" t="s">
        <v>275</v>
      </c>
      <c r="E76" s="153">
        <v>251</v>
      </c>
      <c r="F76" s="154">
        <v>251000000</v>
      </c>
      <c r="G76" s="154">
        <v>251000000</v>
      </c>
      <c r="H76" s="155">
        <v>500000000</v>
      </c>
      <c r="I76" s="155"/>
      <c r="J76" s="155">
        <f>+H76</f>
        <v>500000000</v>
      </c>
    </row>
    <row r="77" spans="3:10" ht="15">
      <c r="C77" s="130" t="s">
        <v>267</v>
      </c>
      <c r="D77" s="130"/>
      <c r="E77" s="130"/>
      <c r="F77" s="137">
        <f>SUM(F74:F76)</f>
        <v>5380691864</v>
      </c>
      <c r="G77" s="137">
        <f>SUM(G74:G76)</f>
        <v>5546451703</v>
      </c>
      <c r="H77" s="138"/>
      <c r="I77" s="138"/>
      <c r="J77" s="138"/>
    </row>
    <row r="78" spans="3:10" ht="15">
      <c r="C78" s="130" t="s">
        <v>268</v>
      </c>
      <c r="D78" s="139"/>
      <c r="E78" s="139"/>
      <c r="F78" s="137"/>
      <c r="G78" s="137"/>
      <c r="H78" s="138"/>
      <c r="I78" s="138"/>
      <c r="J78" s="138"/>
    </row>
    <row r="79" spans="3:10" ht="15">
      <c r="C79" s="100"/>
      <c r="D79" s="100"/>
      <c r="E79" s="100"/>
      <c r="F79" s="100"/>
      <c r="G79" s="100"/>
      <c r="H79" s="100"/>
      <c r="I79" s="100"/>
      <c r="J79" s="100"/>
    </row>
    <row r="80" spans="3:10" ht="15.75" thickBot="1">
      <c r="C80" s="157" t="s">
        <v>298</v>
      </c>
      <c r="D80" s="158"/>
      <c r="E80" s="158"/>
      <c r="F80" s="159"/>
      <c r="G80" s="159">
        <f>+G77+F66+G58+G50+G43+G32</f>
        <v>23166529900.45</v>
      </c>
      <c r="H80" s="158"/>
      <c r="I80" s="158"/>
      <c r="J80" s="158"/>
    </row>
    <row r="81" ht="15.75" thickTop="1">
      <c r="G81" s="191">
        <f>+G80-'Balance Gral. Resol. 6'!D46</f>
        <v>0.4500007629394531</v>
      </c>
    </row>
  </sheetData>
  <sheetProtection/>
  <mergeCells count="22">
    <mergeCell ref="C72:C73"/>
    <mergeCell ref="D72:D73"/>
    <mergeCell ref="E72:E73"/>
    <mergeCell ref="F72:F73"/>
    <mergeCell ref="G72:G73"/>
    <mergeCell ref="H72:H73"/>
    <mergeCell ref="C55:J55"/>
    <mergeCell ref="C47:I47"/>
    <mergeCell ref="C54:F54"/>
    <mergeCell ref="G54:J54"/>
    <mergeCell ref="I72:I73"/>
    <mergeCell ref="J72:J73"/>
    <mergeCell ref="C62:I62"/>
    <mergeCell ref="C70:F70"/>
    <mergeCell ref="G70:J70"/>
    <mergeCell ref="C71:J71"/>
    <mergeCell ref="C37:J37"/>
    <mergeCell ref="C10:F10"/>
    <mergeCell ref="G10:J10"/>
    <mergeCell ref="C11:J11"/>
    <mergeCell ref="C36:F36"/>
    <mergeCell ref="G36:J36"/>
  </mergeCells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ROCIO-INV</cp:lastModifiedBy>
  <dcterms:created xsi:type="dcterms:W3CDTF">2019-11-21T14:06:50Z</dcterms:created>
  <dcterms:modified xsi:type="dcterms:W3CDTF">2020-05-05T19:19:59Z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