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araujo\Desktop\Contabilidad 2020\Investor\Cierre 032020\"/>
    </mc:Choice>
  </mc:AlternateContent>
  <xr:revisionPtr revIDLastSave="0" documentId="13_ncr:201_{0127BA37-80F4-4929-B7D3-F8CA5546B594}" xr6:coauthVersionLast="45" xr6:coauthVersionMax="45" xr10:uidLastSave="{00000000-0000-0000-0000-000000000000}"/>
  <bookViews>
    <workbookView xWindow="-120" yWindow="-120" windowWidth="29040" windowHeight="15840" firstSheet="22" activeTab="1" xr2:uid="{00000000-000D-0000-FFFF-FFFF00000000}"/>
  </bookViews>
  <sheets>
    <sheet name="Indice" sheetId="33" r:id="rId1"/>
    <sheet name="Balance Gral. Resol. 6" sheetId="1" r:id="rId2"/>
    <sheet name="Estado de Resultado Resol. 6" sheetId="2" r:id="rId3"/>
    <sheet name="Flujo de Efectivo Resol. Res 6" sheetId="34" r:id="rId4"/>
    <sheet name="Estado de Variacion PN " sheetId="35" r:id="rId5"/>
    <sheet name="NOTA A LOS ESTADOS CONTA. 1-4" sheetId="36" r:id="rId6"/>
    <sheet name="NOTA 5 A-C CRITERIOS ESPECIF." sheetId="37" r:id="rId7"/>
    <sheet name="NOTA D - DISPONIBILIDADES" sheetId="7" r:id="rId8"/>
    <sheet name="NOTA E - INVERSIONES" sheetId="8" r:id="rId9"/>
    <sheet name="NOTA F - CREDITOS" sheetId="9" r:id="rId10"/>
    <sheet name="NOTA G BIENES DE USO" sheetId="11" r:id="rId11"/>
    <sheet name="NOTA H CARGOS DIFERIDOS" sheetId="13" r:id="rId12"/>
    <sheet name=" NOTA I INTANGIBLES" sheetId="14" r:id="rId13"/>
    <sheet name="NOTA J OTROS ACTIVOS CTES Y NO " sheetId="15" r:id="rId14"/>
    <sheet name="NOTA K PRESTAMOS" sheetId="17" r:id="rId15"/>
    <sheet name="NOTA L DOCUMENTOS Y CTAS A PAGA" sheetId="18" r:id="rId16"/>
    <sheet name="NOTAS M-Q ACREEDORES CTO PLAZO" sheetId="16" r:id="rId17"/>
    <sheet name="NOTA R SALDOS Y TRANSACCIONES " sheetId="19" r:id="rId18"/>
    <sheet name="NOTA S RESULTADOS CON PERSONAS" sheetId="21" r:id="rId19"/>
    <sheet name=" NOTA T PATRIMONIO" sheetId="22" r:id="rId20"/>
    <sheet name="NOTA V INGRESOS OPERATIVOS" sheetId="23" r:id="rId21"/>
    <sheet name="NOTA W OTROS GASTOS OPERATIVOS" sheetId="24" r:id="rId22"/>
    <sheet name="NOTA X OTROS INGRESOS Y EGRESOS" sheetId="25" r:id="rId23"/>
    <sheet name="NOTA Y RESULTADOS FINANCIEROS" sheetId="27" r:id="rId24"/>
    <sheet name="NOTA Z RESULT EXTRAORD" sheetId="28" r:id="rId25"/>
    <sheet name="NOTA 6 INFORMACION REFERENTE" sheetId="26" r:id="rId26"/>
  </sheets>
  <externalReferences>
    <externalReference r:id="rId27"/>
    <externalReference r:id="rId28"/>
    <externalReference r:id="rId29"/>
    <externalReference r:id="rId30"/>
  </externalReferences>
  <definedNames>
    <definedName name="_xlnm._FilterDatabase" localSheetId="17" hidden="1">'NOTA R SALDOS Y TRANSACCIONES '!$B$7:$F$33</definedName>
    <definedName name="_MON_1268749014" localSheetId="6">'NOTA 5 A-C CRITERIOS ESPECIF.'!$C$6</definedName>
    <definedName name="a" localSheetId="4">#REF!</definedName>
    <definedName name="a" localSheetId="3">#REF!</definedName>
    <definedName name="a" localSheetId="6">#REF!</definedName>
    <definedName name="a" localSheetId="5">#REF!</definedName>
    <definedName name="a">#REF!</definedName>
    <definedName name="aa" localSheetId="4">#REF!</definedName>
    <definedName name="aa" localSheetId="3">#REF!</definedName>
    <definedName name="aa" localSheetId="6">#REF!</definedName>
    <definedName name="aa" localSheetId="5">#REF!</definedName>
    <definedName name="aa">#REF!</definedName>
    <definedName name="_xlnm.Print_Area" localSheetId="1">'Balance Gral. Resol. 6'!$C$1:$H$75</definedName>
    <definedName name="_xlnm.Print_Area" localSheetId="2">'Estado de Resultado Resol. 6'!$B$1:$I$99</definedName>
    <definedName name="_xlnm.Print_Area" localSheetId="21">'NOTA W OTROS GASTOS OPERATIVOS'!$M$1:$O$38</definedName>
    <definedName name="BuiltIn_Print_Area">[1]anexos!#REF!</definedName>
    <definedName name="BuiltIn_Print_Area___0">'[1]Balance General Resol 950'!#REF!</definedName>
    <definedName name="BuiltIn_Print_Area___0___0" localSheetId="4">#REF!</definedName>
    <definedName name="BuiltIn_Print_Area___0___0" localSheetId="3">#REF!</definedName>
    <definedName name="BuiltIn_Print_Area___0___0" localSheetId="6">#REF!</definedName>
    <definedName name="BuiltIn_Print_Area___0___0" localSheetId="5">#REF!</definedName>
    <definedName name="BuiltIn_Print_Area___0___0">#REF!</definedName>
    <definedName name="BuiltIn_Print_Area___0___0___0___0" localSheetId="4">'[2]Flujos de efectivo'!#REF!</definedName>
    <definedName name="BuiltIn_Print_Area___0___0___0___0" localSheetId="3">'[2]Flujos de efectivo'!#REF!</definedName>
    <definedName name="BuiltIn_Print_Area___0___0___0___0" localSheetId="6">'[2]Flujos de efectivo'!#REF!</definedName>
    <definedName name="BuiltIn_Print_Area___0___0___0___0" localSheetId="5">'[2]Flujos de efectivo'!#REF!</definedName>
    <definedName name="BuiltIn_Print_Area___0___0___0___0">'[2]Flujos de efectivo'!#REF!</definedName>
    <definedName name="BuiltIn_Print_Area___0___0___0___0___0" localSheetId="4">#REF!</definedName>
    <definedName name="BuiltIn_Print_Area___0___0___0___0___0" localSheetId="3">#REF!</definedName>
    <definedName name="BuiltIn_Print_Area___0___0___0___0___0" localSheetId="6">#REF!</definedName>
    <definedName name="BuiltIn_Print_Area___0___0___0___0___0" localSheetId="5">#REF!</definedName>
    <definedName name="BuiltIn_Print_Area___0___0___0___0___0">#REF!</definedName>
    <definedName name="Clientes" localSheetId="4">#REF!</definedName>
    <definedName name="Clientes" localSheetId="3">#REF!</definedName>
    <definedName name="Clientes" localSheetId="6">#REF!</definedName>
    <definedName name="Clientes" localSheetId="5">#REF!</definedName>
    <definedName name="Clientes">#REF!</definedName>
    <definedName name="DATA16" localSheetId="4">#REF!</definedName>
    <definedName name="DATA16" localSheetId="3">#REF!</definedName>
    <definedName name="DATA16" localSheetId="6">#REF!</definedName>
    <definedName name="DATA16" localSheetId="5">#REF!</definedName>
    <definedName name="DATA16">#REF!</definedName>
    <definedName name="DATA17" localSheetId="4">#REF!</definedName>
    <definedName name="DATA17" localSheetId="3">#REF!</definedName>
    <definedName name="DATA17" localSheetId="6">#REF!</definedName>
    <definedName name="DATA17" localSheetId="5">#REF!</definedName>
    <definedName name="DATA17">#REF!</definedName>
    <definedName name="DATA18" localSheetId="4">#REF!</definedName>
    <definedName name="DATA18" localSheetId="3">#REF!</definedName>
    <definedName name="DATA18" localSheetId="6">#REF!</definedName>
    <definedName name="DATA18" localSheetId="5">#REF!</definedName>
    <definedName name="DATA18">#REF!</definedName>
    <definedName name="DATA20" localSheetId="4">#REF!</definedName>
    <definedName name="DATA20" localSheetId="3">#REF!</definedName>
    <definedName name="DATA20" localSheetId="6">#REF!</definedName>
    <definedName name="DATA20" localSheetId="5">#REF!</definedName>
    <definedName name="DATA20">#REF!</definedName>
    <definedName name="datos" localSheetId="4">#REF!</definedName>
    <definedName name="datos" localSheetId="3">#REF!</definedName>
    <definedName name="datos" localSheetId="6">#REF!</definedName>
    <definedName name="datos" localSheetId="5">#REF!</definedName>
    <definedName name="datos">#REF!</definedName>
    <definedName name="k" localSheetId="4">#REF!</definedName>
    <definedName name="k" localSheetId="3">#REF!</definedName>
    <definedName name="k" localSheetId="6">#REF!</definedName>
    <definedName name="k" localSheetId="5">#REF!</definedName>
    <definedName name="k">#REF!</definedName>
    <definedName name="klkl" localSheetId="4">#REF!</definedName>
    <definedName name="klkl" localSheetId="3">#REF!</definedName>
    <definedName name="klkl" localSheetId="6">#REF!</definedName>
    <definedName name="klkl" localSheetId="5">#REF!</definedName>
    <definedName name="klkl">#REF!</definedName>
    <definedName name="klll" localSheetId="4">#REF!</definedName>
    <definedName name="klll" localSheetId="3">#REF!</definedName>
    <definedName name="klll" localSheetId="6">#REF!</definedName>
    <definedName name="klll" localSheetId="5">#REF!</definedName>
    <definedName name="klll">#REF!</definedName>
    <definedName name="ver" localSheetId="4">#REF!</definedName>
    <definedName name="ver" localSheetId="3">#REF!</definedName>
    <definedName name="ver" localSheetId="6">#REF!</definedName>
    <definedName name="ver" localSheetId="5">#REF!</definedName>
    <definedName name="ver">#REF!</definedName>
    <definedName name="verificar" localSheetId="4">#REF!</definedName>
    <definedName name="verificar" localSheetId="3">#REF!</definedName>
    <definedName name="verificar" localSheetId="6">#REF!</definedName>
    <definedName name="verificar" localSheetId="5">#REF!</definedName>
    <definedName name="verificar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7" l="1"/>
  <c r="I28" i="35"/>
  <c r="H28" i="35"/>
  <c r="G28" i="35"/>
  <c r="F28" i="35"/>
  <c r="E28" i="35"/>
  <c r="D28" i="35"/>
  <c r="C28" i="35"/>
  <c r="I27" i="35"/>
  <c r="I26" i="35" s="1"/>
  <c r="J26" i="35" s="1"/>
  <c r="H27" i="35"/>
  <c r="G27" i="35"/>
  <c r="F27" i="35"/>
  <c r="E27" i="35"/>
  <c r="E15" i="35" s="1"/>
  <c r="J15" i="35" s="1"/>
  <c r="D27" i="35"/>
  <c r="C27" i="35"/>
  <c r="C21" i="35" s="1"/>
  <c r="J21" i="35" s="1"/>
  <c r="I25" i="35"/>
  <c r="F25" i="35"/>
  <c r="D25" i="35"/>
  <c r="J24" i="35"/>
  <c r="J23" i="35"/>
  <c r="J22" i="35"/>
  <c r="J20" i="35"/>
  <c r="J19" i="35"/>
  <c r="J18" i="35"/>
  <c r="J16" i="35"/>
  <c r="J14" i="35"/>
  <c r="J13" i="35"/>
  <c r="J12" i="35"/>
  <c r="J11" i="35"/>
  <c r="G56" i="34"/>
  <c r="G58" i="34" s="1"/>
  <c r="F55" i="34"/>
  <c r="F46" i="34"/>
  <c r="F50" i="34" s="1"/>
  <c r="F45" i="34"/>
  <c r="F37" i="34"/>
  <c r="F36" i="34"/>
  <c r="F33" i="34"/>
  <c r="F27" i="34"/>
  <c r="F21" i="34"/>
  <c r="F13" i="34"/>
  <c r="F12" i="34"/>
  <c r="F16" i="34" s="1"/>
  <c r="F11" i="34"/>
  <c r="E73" i="1"/>
  <c r="D73" i="1"/>
  <c r="H67" i="1"/>
  <c r="G67" i="1"/>
  <c r="E67" i="1"/>
  <c r="D67" i="1"/>
  <c r="H62" i="1"/>
  <c r="E60" i="1"/>
  <c r="G58" i="1"/>
  <c r="G62" i="1" s="1"/>
  <c r="D58" i="1"/>
  <c r="D60" i="1" s="1"/>
  <c r="H56" i="1"/>
  <c r="G56" i="1"/>
  <c r="E56" i="1"/>
  <c r="D56" i="1"/>
  <c r="D41" i="1"/>
  <c r="E40" i="1"/>
  <c r="E46" i="1" s="1"/>
  <c r="D40" i="1"/>
  <c r="H35" i="1"/>
  <c r="G35" i="1"/>
  <c r="E35" i="1"/>
  <c r="D35" i="1"/>
  <c r="E28" i="1"/>
  <c r="H26" i="1"/>
  <c r="G26" i="1"/>
  <c r="D22" i="1"/>
  <c r="D28" i="1" s="1"/>
  <c r="H19" i="1"/>
  <c r="G18" i="1"/>
  <c r="G19" i="1" s="1"/>
  <c r="H14" i="1"/>
  <c r="G14" i="1"/>
  <c r="E12" i="1"/>
  <c r="E36" i="1" s="1"/>
  <c r="D11" i="1"/>
  <c r="D12" i="1" s="1"/>
  <c r="D46" i="1" l="1"/>
  <c r="H36" i="1"/>
  <c r="H51" i="1" s="1"/>
  <c r="E74" i="1"/>
  <c r="G68" i="1"/>
  <c r="G69" i="1" s="1"/>
  <c r="K28" i="35"/>
  <c r="G36" i="1"/>
  <c r="G51" i="1" s="1"/>
  <c r="H68" i="1"/>
  <c r="H69" i="1" s="1"/>
  <c r="G25" i="35"/>
  <c r="J25" i="35" s="1"/>
  <c r="J27" i="35"/>
  <c r="J30" i="35" s="1"/>
  <c r="F25" i="34"/>
  <c r="E75" i="1"/>
  <c r="E76" i="1" s="1"/>
  <c r="F41" i="34"/>
  <c r="F54" i="34" s="1"/>
  <c r="F56" i="34" s="1"/>
  <c r="F58" i="34" s="1"/>
  <c r="F29" i="34"/>
  <c r="D74" i="1"/>
  <c r="D36" i="1"/>
  <c r="G17" i="35" l="1"/>
  <c r="J17" i="35" s="1"/>
  <c r="D75" i="1"/>
  <c r="D76" i="1" s="1"/>
  <c r="G70" i="1" l="1"/>
  <c r="E31" i="19"/>
  <c r="E91" i="37"/>
  <c r="F87" i="2"/>
  <c r="E87" i="2"/>
  <c r="F83" i="2"/>
  <c r="E83" i="2"/>
  <c r="F80" i="2"/>
  <c r="F78" i="2" s="1"/>
  <c r="E80" i="2"/>
  <c r="F74" i="2"/>
  <c r="E62" i="2"/>
  <c r="E50" i="2" s="1"/>
  <c r="F50" i="2"/>
  <c r="F45" i="2"/>
  <c r="E45" i="2"/>
  <c r="F38" i="2"/>
  <c r="E38" i="2"/>
  <c r="E36" i="2"/>
  <c r="E33" i="2" s="1"/>
  <c r="F33" i="2"/>
  <c r="E27" i="2"/>
  <c r="F11" i="2"/>
  <c r="E11" i="2"/>
  <c r="F43" i="2" l="1"/>
  <c r="F72" i="2" s="1"/>
  <c r="F95" i="2" s="1"/>
  <c r="F99" i="2" s="1"/>
  <c r="F100" i="2" s="1"/>
  <c r="E78" i="2"/>
  <c r="H37" i="2"/>
  <c r="E43" i="2"/>
  <c r="E72" i="2" s="1"/>
  <c r="E95" i="2" s="1"/>
  <c r="E99" i="2" s="1"/>
  <c r="E100" i="2" s="1"/>
  <c r="C8" i="21" l="1"/>
  <c r="C5" i="21"/>
  <c r="C12" i="21" s="1"/>
  <c r="E39" i="8" l="1"/>
  <c r="F42" i="8"/>
  <c r="F23" i="8"/>
  <c r="G23" i="8" s="1"/>
  <c r="F21" i="8"/>
  <c r="G21" i="8" s="1"/>
  <c r="G39" i="8"/>
  <c r="G40" i="8"/>
  <c r="G41" i="8"/>
  <c r="G38" i="8"/>
  <c r="G15" i="8"/>
  <c r="G16" i="8"/>
  <c r="G17" i="8"/>
  <c r="G18" i="8"/>
  <c r="G19" i="8"/>
  <c r="G20" i="8"/>
  <c r="G22" i="8"/>
  <c r="G24" i="8"/>
  <c r="G25" i="8"/>
  <c r="G26" i="8"/>
  <c r="G27" i="8"/>
  <c r="G28" i="8"/>
  <c r="G29" i="8"/>
  <c r="G14" i="8"/>
  <c r="F30" i="8" l="1"/>
  <c r="E10" i="19"/>
  <c r="E32" i="19" s="1"/>
  <c r="O18" i="24"/>
  <c r="N18" i="24"/>
  <c r="D5" i="22"/>
  <c r="E7" i="22"/>
  <c r="E6" i="22"/>
  <c r="E9" i="22"/>
  <c r="C55" i="7"/>
  <c r="D13" i="23"/>
  <c r="E11" i="17"/>
  <c r="C56" i="7" l="1"/>
  <c r="G10" i="15" l="1"/>
  <c r="C8" i="13"/>
  <c r="D13" i="11"/>
  <c r="D11" i="11"/>
  <c r="D12" i="11"/>
  <c r="D7" i="11"/>
  <c r="D8" i="11"/>
  <c r="D9" i="11"/>
  <c r="D10" i="11"/>
  <c r="M6" i="11" l="1"/>
  <c r="D6" i="11"/>
  <c r="G34" i="8"/>
  <c r="G79" i="8" s="1"/>
  <c r="G63" i="8" s="1"/>
  <c r="D55" i="7"/>
  <c r="E25" i="37" l="1"/>
  <c r="G95" i="37" l="1"/>
  <c r="E95" i="37"/>
  <c r="D91" i="37"/>
  <c r="D93" i="37" s="1"/>
  <c r="D92" i="37"/>
  <c r="D94" i="37" s="1"/>
  <c r="C22" i="9" l="1"/>
  <c r="G42" i="8"/>
  <c r="C11" i="28" l="1"/>
  <c r="D11" i="28"/>
  <c r="C8" i="28"/>
  <c r="D8" i="28"/>
  <c r="C13" i="27"/>
  <c r="D20" i="23"/>
  <c r="C20" i="23"/>
  <c r="C13" i="23"/>
  <c r="D12" i="21"/>
  <c r="F33" i="19"/>
  <c r="C28" i="16"/>
  <c r="D8" i="18"/>
  <c r="F8" i="18" s="1"/>
  <c r="C16" i="16"/>
  <c r="C6" i="16"/>
  <c r="F9" i="18"/>
  <c r="C7" i="17" l="1"/>
  <c r="F5" i="15"/>
  <c r="F6" i="15"/>
  <c r="F7" i="15"/>
  <c r="F8" i="15"/>
  <c r="J13" i="11"/>
  <c r="M12" i="11"/>
  <c r="M13" i="11"/>
  <c r="C41" i="9"/>
  <c r="F58" i="8"/>
  <c r="D56" i="7"/>
  <c r="D13" i="27" l="1"/>
  <c r="D9" i="27"/>
  <c r="C9" i="27"/>
  <c r="D8" i="25"/>
  <c r="C8" i="25"/>
  <c r="J37" i="24"/>
  <c r="J34" i="24"/>
  <c r="J33" i="24"/>
  <c r="J32" i="24"/>
  <c r="J31" i="24"/>
  <c r="F29" i="24"/>
  <c r="B29" i="24"/>
  <c r="J28" i="24"/>
  <c r="J26" i="24"/>
  <c r="J25" i="24"/>
  <c r="J23" i="24"/>
  <c r="J22" i="24"/>
  <c r="J20" i="24"/>
  <c r="J19" i="24"/>
  <c r="K17" i="24"/>
  <c r="G17" i="24"/>
  <c r="C17" i="24"/>
  <c r="F16" i="24"/>
  <c r="F17" i="24" s="1"/>
  <c r="B16" i="24"/>
  <c r="J16" i="24" s="1"/>
  <c r="J17" i="24" s="1"/>
  <c r="O13" i="24"/>
  <c r="N13" i="24"/>
  <c r="K12" i="24"/>
  <c r="G12" i="24"/>
  <c r="C12" i="24"/>
  <c r="F11" i="24"/>
  <c r="B11" i="24"/>
  <c r="F9" i="24"/>
  <c r="B9" i="24"/>
  <c r="J8" i="24"/>
  <c r="O7" i="24"/>
  <c r="N7" i="24"/>
  <c r="F8" i="22"/>
  <c r="D10" i="22"/>
  <c r="C10" i="17"/>
  <c r="E10" i="17" s="1"/>
  <c r="C9" i="15"/>
  <c r="E9" i="15"/>
  <c r="D11" i="14"/>
  <c r="F8" i="13"/>
  <c r="D8" i="13"/>
  <c r="I15" i="11"/>
  <c r="H15" i="11"/>
  <c r="C15" i="11"/>
  <c r="L14" i="11"/>
  <c r="M14" i="11" s="1"/>
  <c r="M11" i="11"/>
  <c r="B25" i="9"/>
  <c r="C34" i="9"/>
  <c r="B16" i="9"/>
  <c r="C13" i="9"/>
  <c r="G70" i="8"/>
  <c r="F70" i="8"/>
  <c r="J69" i="8"/>
  <c r="F59" i="8"/>
  <c r="F83" i="8"/>
  <c r="G82" i="8"/>
  <c r="G83" i="8" s="1"/>
  <c r="G50" i="8"/>
  <c r="G49" i="8"/>
  <c r="F49" i="8"/>
  <c r="E49" i="8"/>
  <c r="G30" i="8"/>
  <c r="G73" i="8" l="1"/>
  <c r="G74" i="8"/>
  <c r="F12" i="24"/>
  <c r="J11" i="24"/>
  <c r="D9" i="15"/>
  <c r="F9" i="15" s="1"/>
  <c r="G9" i="15" s="1"/>
  <c r="F4" i="15"/>
  <c r="F60" i="8"/>
  <c r="E10" i="22"/>
  <c r="C10" i="22"/>
  <c r="L15" i="11"/>
  <c r="E8" i="13"/>
  <c r="B12" i="24"/>
  <c r="B17" i="24"/>
  <c r="J9" i="24"/>
  <c r="F10" i="22"/>
  <c r="J12" i="24" l="1"/>
  <c r="M10" i="11"/>
  <c r="M8" i="11"/>
  <c r="M7" i="11" l="1"/>
  <c r="D15" i="11"/>
  <c r="G15" i="11"/>
  <c r="M9" i="11" l="1"/>
  <c r="M15" i="11" s="1"/>
</calcChain>
</file>

<file path=xl/sharedStrings.xml><?xml version="1.0" encoding="utf-8"?>
<sst xmlns="http://schemas.openxmlformats.org/spreadsheetml/2006/main" count="1409" uniqueCount="835">
  <si>
    <t>INVESTOR CASA DE BOLSA S.A.</t>
  </si>
  <si>
    <t xml:space="preserve">BALANCE GENERAL </t>
  </si>
  <si>
    <t xml:space="preserve"> (Expresado en Guaraníes)</t>
  </si>
  <si>
    <t>ACTIVO</t>
  </si>
  <si>
    <t>PASIVO</t>
  </si>
  <si>
    <t>ACTIVO CORRIENTE Nota 5 a</t>
  </si>
  <si>
    <t>PASIVO CORRIENTE</t>
  </si>
  <si>
    <t>1 01</t>
  </si>
  <si>
    <t>DISPONIBILIDADES Nota 5 d</t>
  </si>
  <si>
    <t>DOCUEMENTOS Y CUENTAS A PAGAR</t>
  </si>
  <si>
    <t>1 01 01</t>
  </si>
  <si>
    <t>Caja</t>
  </si>
  <si>
    <t>Acreedores por Intermediación. Nota 5 q</t>
  </si>
  <si>
    <t>Recaudaciones a Depositar</t>
  </si>
  <si>
    <t>Acreedores Varios  - Nota 5 l</t>
  </si>
  <si>
    <t>1 01 01 01</t>
  </si>
  <si>
    <t>Bancos</t>
  </si>
  <si>
    <t>Cuentas por Pagar a Personas y Emp. Relacionadas</t>
  </si>
  <si>
    <t>1 01 01 03</t>
  </si>
  <si>
    <t>Obligaciones  por Contratos de Underwiting</t>
  </si>
  <si>
    <t>Obligaciones por Administracion de Carteras</t>
  </si>
  <si>
    <t>Inversiones Temporarias</t>
  </si>
  <si>
    <t>PRESTAMOS FINANCIEROS - Nota 5 k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</si>
  <si>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</si>
  <si>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</si>
  <si>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</si>
  <si>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</si>
  <si>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</si>
  <si>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</si>
  <si>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1 01 03</t>
  </si>
  <si>
    <t>1 01 03 01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</si>
  <si>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</si>
  <si>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</si>
  <si>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</si>
  <si>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</si>
  <si>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</si>
  <si>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</si>
  <si>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</si>
  <si>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</si>
  <si>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</si>
  <si>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</si>
  <si>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</si>
  <si>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</si>
  <si>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Menos: Prevision por Incobrables a Personas y Emp Relacionadas</t>
  </si>
  <si>
    <t>Derechos sobre titulos por Contratos de Underwiting</t>
  </si>
  <si>
    <t>OTROS ACTIVOS</t>
  </si>
  <si>
    <t>OTROS PASIVOS</t>
  </si>
  <si>
    <t>1 01 03 11</t>
  </si>
  <si>
    <t>Gastos No Devengados</t>
  </si>
  <si>
    <t>1 01 03 13</t>
  </si>
  <si>
    <t>Intereses a Vencer -  Nota 5 h</t>
  </si>
  <si>
    <t>Prestamos de Terceros</t>
  </si>
  <si>
    <t>1 01 03 14</t>
  </si>
  <si>
    <t xml:space="preserve">Seguros a Vencer  -  Nota 5 h </t>
  </si>
  <si>
    <t>Dividendos a Pagar</t>
  </si>
  <si>
    <t>Otros Pasivos Corrientes</t>
  </si>
  <si>
    <t>1 01 15</t>
  </si>
  <si>
    <t>1 01 15 02</t>
  </si>
  <si>
    <t>1 01 15 03</t>
  </si>
  <si>
    <t>Total Activo Corriente</t>
  </si>
  <si>
    <t>Total Pasivo Corriente</t>
  </si>
  <si>
    <t>2 01 15 03</t>
  </si>
  <si>
    <t>ACTIVO NO CORRIENTE</t>
  </si>
  <si>
    <t>PASIVOS NO CORRIENTE</t>
  </si>
  <si>
    <t>INVERSIONES PERMANENTES Nota 5 e</t>
  </si>
  <si>
    <t>PRESTAMOS FINANCIEROS</t>
  </si>
  <si>
    <t>1 01 20</t>
  </si>
  <si>
    <t>Préstamos en Bancos</t>
  </si>
  <si>
    <t>Titulo de Renta Fija</t>
  </si>
  <si>
    <t>1 01 20 01</t>
  </si>
  <si>
    <t>Acciones en la Bolsa de Valores</t>
  </si>
  <si>
    <t>1 01 20 02</t>
  </si>
  <si>
    <t>Otros Valores</t>
  </si>
  <si>
    <t>PREVISIONES</t>
  </si>
  <si>
    <t xml:space="preserve">Instrumentos Financieros Cedidos </t>
  </si>
  <si>
    <t>Prevision para Indeminzacion</t>
  </si>
  <si>
    <t>Otras Contingencias</t>
  </si>
  <si>
    <t>CREDITOS</t>
  </si>
  <si>
    <t>Otros Pasivos No Corrientes</t>
  </si>
  <si>
    <t>1 02</t>
  </si>
  <si>
    <t>1 02 01</t>
  </si>
  <si>
    <t>1 02 01 09</t>
  </si>
  <si>
    <t>Deudores por Gestion en Cobro</t>
  </si>
  <si>
    <t>Total  Pasivo no Corriente</t>
  </si>
  <si>
    <t>Total Pasivo</t>
  </si>
  <si>
    <t>PATRIMONIO NETO  Nota 5 t</t>
  </si>
  <si>
    <t>1 02 02</t>
  </si>
  <si>
    <t>Capital</t>
  </si>
  <si>
    <t>1 02 02 01</t>
  </si>
  <si>
    <t>Capital realizado</t>
  </si>
  <si>
    <t>1 02 02 02</t>
  </si>
  <si>
    <t>Aportes para Futuras Integraciones</t>
  </si>
  <si>
    <t>1 02 02 03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</si>
  <si>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</si>
  <si>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</si>
  <si>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</si>
  <si>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</si>
  <si>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</si>
  <si>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</si>
  <si>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1 02 10</t>
  </si>
  <si>
    <t>Utilidad por valuación BVPSA</t>
  </si>
  <si>
    <t>ACTIVOS INTANGIBLES  Nota 5 i</t>
  </si>
  <si>
    <t>Licencias</t>
  </si>
  <si>
    <t>Marcas</t>
  </si>
  <si>
    <t>Membresia BVPASA</t>
  </si>
  <si>
    <t xml:space="preserve">Resultados   </t>
  </si>
  <si>
    <t>Sistemas Informaticos</t>
  </si>
  <si>
    <t>Resultados Acumulados</t>
  </si>
  <si>
    <t>Amortización Acumulada</t>
  </si>
  <si>
    <t>Resultado del Ejercicio</t>
  </si>
  <si>
    <t>Total Patrimonio Neto</t>
  </si>
  <si>
    <t>Total Pasivo y Patrimonio Neto</t>
  </si>
  <si>
    <t>Garantía de Alquiler   - Nota 5 j</t>
  </si>
  <si>
    <t>Gastos de Constitución</t>
  </si>
  <si>
    <t>1 02 10 01</t>
  </si>
  <si>
    <t>Seguros Pagados por Adelantado</t>
  </si>
  <si>
    <t>1 02 10 02</t>
  </si>
  <si>
    <t>Total Activo no Corriente</t>
  </si>
  <si>
    <t>1 02 20</t>
  </si>
  <si>
    <t>Total de Activos</t>
  </si>
  <si>
    <t>1 02 20 01</t>
  </si>
  <si>
    <t>1 02 20 02</t>
  </si>
  <si>
    <t>1 02 20 03</t>
  </si>
  <si>
    <t>1 02 20 04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</si>
  <si>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</si>
  <si>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</si>
  <si>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</si>
  <si>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</si>
  <si>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</si>
  <si>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</si>
  <si>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</si>
  <si>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</si>
  <si>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</si>
  <si>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</si>
  <si>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</si>
  <si>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</si>
  <si>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</si>
  <si>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</si>
  <si>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</si>
  <si>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</si>
  <si>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</si>
  <si>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</si>
  <si>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</si>
  <si>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</si>
  <si>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</si>
  <si>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</si>
  <si>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</si>
  <si>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</si>
  <si>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</si>
  <si>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</si>
  <si>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</si>
  <si>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</si>
  <si>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</si>
  <si>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</si>
  <si>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</si>
  <si>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</si>
  <si>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</si>
  <si>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</si>
  <si>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</si>
  <si>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</si>
  <si>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</si>
  <si>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</si>
  <si>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</si>
  <si>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Ingresos Operativos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</si>
  <si>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</si>
  <si>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</si>
  <si>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</si>
  <si>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</si>
  <si>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</si>
  <si>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</si>
  <si>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</si>
  <si>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</si>
  <si>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</si>
  <si>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 por Administracion de Carteras</t>
  </si>
  <si>
    <t>ingreso por Custodia de Valores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</si>
  <si>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</si>
  <si>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</si>
  <si>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</si>
  <si>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</si>
  <si>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</si>
  <si>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Ingrsos por Operaciones y Servicios Extrabursatiles</t>
  </si>
  <si>
    <t>Otros Ingresos Operativos</t>
  </si>
  <si>
    <t>Ganancia por Venta de Titulos - Bonos</t>
  </si>
  <si>
    <t>- Dividendos  Cobrados</t>
  </si>
  <si>
    <t>- Otros Ingresos</t>
  </si>
  <si>
    <t>Gastos Operativos</t>
  </si>
  <si>
    <t>Gastos por Comisiones y Servicios</t>
  </si>
  <si>
    <t>Aranceles por negociación Bolsa de Valores</t>
  </si>
  <si>
    <t>Perdida por Venta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</si>
  <si>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</si>
  <si>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</si>
  <si>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</si>
  <si>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</si>
  <si>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</si>
  <si>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</si>
  <si>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Sueldos y Jornales</t>
  </si>
  <si>
    <t>Aporte Patronal</t>
  </si>
  <si>
    <t>Aguinaldos Pagados</t>
  </si>
  <si>
    <t>Bonificacion Familiar</t>
  </si>
  <si>
    <t>Vacaciones Pagadas</t>
  </si>
  <si>
    <t>Indemnizaciones</t>
  </si>
  <si>
    <t>Mantenimiento</t>
  </si>
  <si>
    <t>Alquileres</t>
  </si>
  <si>
    <t>Gastos Generales</t>
  </si>
  <si>
    <t>Seguros</t>
  </si>
  <si>
    <t>Impuestos, Tasas y Contribuciones</t>
  </si>
  <si>
    <t>Otros Gastos de Administración</t>
  </si>
  <si>
    <t>Honorarios Profesianales</t>
  </si>
  <si>
    <t>Remuneracion Personal Superior</t>
  </si>
  <si>
    <t>Servicios Personales</t>
  </si>
  <si>
    <t>Gastos de Capacitación</t>
  </si>
  <si>
    <t>Servicios Contratados</t>
  </si>
  <si>
    <t>Iva Gastos</t>
  </si>
  <si>
    <t>Donaciones y Contribuciones</t>
  </si>
  <si>
    <t>Servicios de Asesoramiento</t>
  </si>
  <si>
    <t>Depreciaciones del Ejercicio</t>
  </si>
  <si>
    <t>Resultado Operativo Neto</t>
  </si>
  <si>
    <t>- Otros ingresos y Egresos</t>
  </si>
  <si>
    <t>Otros Ingresos</t>
  </si>
  <si>
    <t>Otros Egresos</t>
  </si>
  <si>
    <t>Resultados financieros</t>
  </si>
  <si>
    <t>Generados por Activos</t>
  </si>
  <si>
    <t>Intereses cobrados</t>
  </si>
  <si>
    <t>Diferencia de Cambio</t>
  </si>
  <si>
    <t>Generados por Pasivos</t>
  </si>
  <si>
    <t>Intereses pagados</t>
  </si>
  <si>
    <t>Resultados  extraordinarias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</si>
  <si>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</si>
  <si>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</si>
  <si>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</si>
  <si>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</si>
  <si>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</si>
  <si>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</si>
  <si>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</si>
  <si>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Ganancias (o pérdidas) netas a distribuir</t>
  </si>
  <si>
    <t>CAPITAL</t>
  </si>
  <si>
    <t>CUENTAS</t>
  </si>
  <si>
    <t>Anticipo a Proveedores</t>
  </si>
  <si>
    <t>Intereses a Vencer</t>
  </si>
  <si>
    <t>Seguros a Vencer</t>
  </si>
  <si>
    <t>Intereses a Cobrar</t>
  </si>
  <si>
    <t>Garantia de Alquiler</t>
  </si>
  <si>
    <t>Impuesto a la Renta a Pagar</t>
  </si>
  <si>
    <t>CONCEPTO</t>
  </si>
  <si>
    <t xml:space="preserve"> ACTIVO CORRIENTE</t>
  </si>
  <si>
    <t xml:space="preserve">  DISPONIBILIDADES                       </t>
  </si>
  <si>
    <t>TOTAL DISPONIBILIDADES</t>
  </si>
  <si>
    <r>
      <t xml:space="preserve">Guaraníes. </t>
    </r>
    <r>
      <rPr>
        <sz val="11"/>
        <color theme="1"/>
        <rFont val="Calibri"/>
        <family val="2"/>
        <scheme val="minor"/>
      </rPr>
      <t xml:space="preserve">    </t>
    </r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</si>
  <si>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</si>
  <si>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</si>
  <si>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</si>
  <si>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</si>
  <si>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</si>
  <si>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</si>
  <si>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</si>
  <si>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</si>
  <si>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</si>
  <si>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</si>
  <si>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</si>
  <si>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</si>
  <si>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</si>
  <si>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</si>
  <si>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 xml:space="preserve">              INFORMACION SOBRE EL DOCUMENTO Y EL EMISOR</t>
  </si>
  <si>
    <t>TIPO DE TITULOS</t>
  </si>
  <si>
    <t>CANTIDAD DE TITULOS</t>
  </si>
  <si>
    <t>VALOR NOMINAL</t>
  </si>
  <si>
    <t>VALOR CONTABLE</t>
  </si>
  <si>
    <t>BANCO FAMILIAR S.A.E.C.A.</t>
  </si>
  <si>
    <t>ACCION</t>
  </si>
  <si>
    <t>BANCO CONTINENTAL S.A.E.C.A.</t>
  </si>
  <si>
    <t>BANCO RIO SAECA</t>
  </si>
  <si>
    <t>ACCIONES Y FIDEICOMISO DE LA BOLSA DE VALORES Y PRODUCTOS DE ASUNCION S.A.</t>
  </si>
  <si>
    <t>CANTIDAD</t>
  </si>
  <si>
    <t>TIPO DE TITULO</t>
  </si>
  <si>
    <t>VALOR LIBRO</t>
  </si>
  <si>
    <t>VALOR ULTIMO REMATE</t>
  </si>
  <si>
    <t>1 (UNA)</t>
  </si>
  <si>
    <t>Acción</t>
  </si>
  <si>
    <t>INVERSIONES INTERNACIONALES / OTROS VALORES</t>
  </si>
  <si>
    <t>INTERACTIVE BROKERS</t>
  </si>
  <si>
    <t>Cuentas Cash</t>
  </si>
  <si>
    <t>No aplicable</t>
  </si>
  <si>
    <t xml:space="preserve">INSTRUMENTOS FINANCIEROS CEDIDOS </t>
  </si>
  <si>
    <t>Aporte Fideicomiso - Repo en Bco. Rio.</t>
  </si>
  <si>
    <t>no aplicable</t>
  </si>
  <si>
    <t xml:space="preserve">Aporte Fideicomiso - En garantia BVPASA </t>
  </si>
  <si>
    <t>ACCIONES EN OTRAS EMPRESAS</t>
  </si>
  <si>
    <t>ADMINISTRADORA DE FONDOS SA</t>
  </si>
  <si>
    <t>INCUBATE SA</t>
  </si>
  <si>
    <t>PROCAMPO</t>
  </si>
  <si>
    <t>TOTALES INVERSIONES</t>
  </si>
  <si>
    <t>DEUDORES POR INTERMEDIACION</t>
  </si>
  <si>
    <t>GUARANIES</t>
  </si>
  <si>
    <t>Corto Plazo Gs.</t>
  </si>
  <si>
    <t>Largo Plazo Gs.</t>
  </si>
  <si>
    <t>Clientes por Operaciones</t>
  </si>
  <si>
    <t>Clientes por Asesoramientos</t>
  </si>
  <si>
    <t>Credito Fiscal IVA</t>
  </si>
  <si>
    <t>Anticipo de IRACIS</t>
  </si>
  <si>
    <t>Anticipo de servicios</t>
  </si>
  <si>
    <t>Deudores empresas relacionadas</t>
  </si>
  <si>
    <t>Anticipo al Personal</t>
  </si>
  <si>
    <t>Dividendos a cobrar</t>
  </si>
  <si>
    <t>Poyectos Inmobiliarios</t>
  </si>
  <si>
    <t>Documentos y ctas a cobras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</si>
  <si>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</si>
  <si>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</si>
  <si>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</si>
  <si>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</si>
  <si>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</si>
  <si>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</si>
  <si>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</si>
  <si>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</si>
  <si>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</si>
  <si>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</si>
  <si>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</si>
  <si>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</si>
  <si>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</si>
  <si>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</si>
  <si>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</si>
  <si>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</si>
  <si>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</si>
  <si>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</si>
  <si>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</si>
  <si>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</si>
  <si>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</si>
  <si>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</si>
  <si>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</si>
  <si>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</si>
  <si>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</si>
  <si>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</si>
  <si>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</si>
  <si>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>Mejoras en Predio Ajeno</t>
  </si>
  <si>
    <t>Utiles y enseres</t>
  </si>
  <si>
    <t>SALDO INICIAL</t>
  </si>
  <si>
    <t>AUMENTOS</t>
  </si>
  <si>
    <t>AMORTIZACIONES</t>
  </si>
  <si>
    <t>SALDO NETO FINAL</t>
  </si>
  <si>
    <r>
      <t>h)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Cargos Diferidos</t>
    </r>
  </si>
  <si>
    <t>CUENTA</t>
  </si>
  <si>
    <t>Marcas y Licencias</t>
  </si>
  <si>
    <t>Marca Investor C.B. S.A.</t>
  </si>
  <si>
    <t>Licencias Informáticas</t>
  </si>
  <si>
    <t>Licencias para PCS</t>
  </si>
  <si>
    <t>Sistemas Informáticos</t>
  </si>
  <si>
    <t>Sistemas: Contable y Operativo</t>
  </si>
  <si>
    <t>Licencia Actividad Bursatil</t>
  </si>
  <si>
    <t>i)   Intangibles</t>
  </si>
  <si>
    <t>Anticipos a proveedores y otros</t>
  </si>
  <si>
    <t>Seguros pagados por adelantado</t>
  </si>
  <si>
    <t>Cupones a cobrar</t>
  </si>
  <si>
    <t>Deudores varios</t>
  </si>
  <si>
    <t>INSTITUCION</t>
  </si>
  <si>
    <t>CORTO PLAZO GS.</t>
  </si>
  <si>
    <t>LARGO PLAZO GS.</t>
  </si>
  <si>
    <t>Prestamo BBVA</t>
  </si>
  <si>
    <t>Prestamo ITAU</t>
  </si>
  <si>
    <t>Sobregiros bancarios</t>
  </si>
  <si>
    <r>
      <t>k)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Préstamos Financieros a corto y a largo plazo.</t>
    </r>
  </si>
  <si>
    <r>
      <t>l)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Documentos y cuentas por pagar (Corto y largo plazo)</t>
    </r>
  </si>
  <si>
    <t>CORRIENTE G.</t>
  </si>
  <si>
    <t>NO CORRIENTE G.</t>
  </si>
  <si>
    <t>Acreedores por Intermediacion</t>
  </si>
  <si>
    <r>
      <t>m)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Acreedores Corto y Largo Plazo. No aplicable.</t>
    </r>
  </si>
  <si>
    <t>A la fecha la entidad no registra administración de Cartera a Corto y Largo Plazo</t>
  </si>
  <si>
    <t xml:space="preserve"> No aplicable</t>
  </si>
  <si>
    <r>
      <t>n)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Administración de Cartera (Corto y Largo Plazo)</t>
    </r>
  </si>
  <si>
    <r>
      <t>o)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Cuentas a Pagar a personas y empresas relacionadas (Corto y Largo plazo)</t>
    </r>
  </si>
  <si>
    <r>
      <t>p)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Obligaciones por contrato de Underwriting (Corto y Largo Plazo)</t>
    </r>
  </si>
  <si>
    <t>Corriente Gs.</t>
  </si>
  <si>
    <t>No corrientes Gs.</t>
  </si>
  <si>
    <t>Aportes y retenciones a Pagar</t>
  </si>
  <si>
    <t>Aguinaldo a Pagar</t>
  </si>
  <si>
    <r>
      <t>q)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Otros Pasivos Corrientes y No Corrientes</t>
    </r>
  </si>
  <si>
    <t>TIPO DE OPERACIÓN</t>
  </si>
  <si>
    <t>RELACION</t>
  </si>
  <si>
    <t>NOMBRE</t>
  </si>
  <si>
    <t>Cuentas a cobrar</t>
  </si>
  <si>
    <t>Empresa Vinculada</t>
  </si>
  <si>
    <t>Director y Accionista</t>
  </si>
  <si>
    <t>Funcionaria</t>
  </si>
  <si>
    <t>Ex Director y accionista</t>
  </si>
  <si>
    <t>SALDOS (Deudores y Acreedores mantenidos)</t>
  </si>
  <si>
    <r>
      <t>r)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Cambria"/>
        <family val="1"/>
      </rPr>
      <t>Saldos y Transacciones con personas y empresas relacionadas (Corriente y No Corriente)</t>
    </r>
  </si>
  <si>
    <t>PERSONA O EMPRESA RELACIONADA</t>
  </si>
  <si>
    <t>Total Ingresos</t>
  </si>
  <si>
    <t>Total Egresos</t>
  </si>
  <si>
    <t>Albaro Acosta - Presidente</t>
  </si>
  <si>
    <t>Federico Callizo-Vice Presidente</t>
  </si>
  <si>
    <t>Federico Sebastián Oporto Leiva Espínola</t>
  </si>
  <si>
    <t>Investor AFPI SA</t>
  </si>
  <si>
    <t>Incubate SA</t>
  </si>
  <si>
    <r>
      <t>S)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Resultados con Personas y Empresas Vinculadas</t>
    </r>
  </si>
  <si>
    <t>SALDO AL INICIO DEL EJERCICIO</t>
  </si>
  <si>
    <t>DISMINUCIÓN</t>
  </si>
  <si>
    <t>Capital Integrado</t>
  </si>
  <si>
    <t>Aportes no capitalizados</t>
  </si>
  <si>
    <t>t) Patrimonio</t>
  </si>
  <si>
    <t>La entidad no registra previsiones a la fecha.</t>
  </si>
  <si>
    <r>
      <t>u)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 xml:space="preserve">Previsiones </t>
    </r>
  </si>
  <si>
    <t>Ingresos por Operaciones</t>
  </si>
  <si>
    <t>Por intermediación de Acciones en Rueda</t>
  </si>
  <si>
    <t>Por intermediación de Renta Fija en Rueda</t>
  </si>
  <si>
    <t>Ingresos por Asesoría Financiera</t>
  </si>
  <si>
    <t>Ingresos por venta cartera propia</t>
  </si>
  <si>
    <t>Ingresos por intereses de Cartera propia</t>
  </si>
  <si>
    <t>Totales</t>
  </si>
  <si>
    <t>Ganancia por venta de Titulos</t>
  </si>
  <si>
    <t xml:space="preserve">Dividendos Cobrados </t>
  </si>
  <si>
    <t>Otros ingresos</t>
  </si>
  <si>
    <t>Total</t>
  </si>
  <si>
    <r>
      <t>v)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Ingresos Operativos</t>
    </r>
  </si>
  <si>
    <t>BALANCE DESCALZO</t>
  </si>
  <si>
    <t>BALANCE A MARZO'13</t>
  </si>
  <si>
    <t>BALANCE FINAL A JUNIO</t>
  </si>
  <si>
    <t>AL 30/06/2013</t>
  </si>
  <si>
    <t>AL 31/12/2012</t>
  </si>
  <si>
    <t>Otros Gastos Operativos</t>
  </si>
  <si>
    <t xml:space="preserve">  Gastos por comisiones y servicios</t>
  </si>
  <si>
    <t xml:space="preserve">  Aranceles por neg. BVPASA</t>
  </si>
  <si>
    <t>Perdida por venta de valores</t>
  </si>
  <si>
    <t xml:space="preserve">  Otros Gastos Operativos</t>
  </si>
  <si>
    <t>Otros Gastos de Comercialización</t>
  </si>
  <si>
    <t xml:space="preserve">  Puclicidad</t>
  </si>
  <si>
    <t xml:space="preserve">  Folletos e impresiones</t>
  </si>
  <si>
    <t xml:space="preserve">  Otros Gastos de Comercialización</t>
  </si>
  <si>
    <t xml:space="preserve">  Sueldos y Jornales</t>
  </si>
  <si>
    <t xml:space="preserve">  Aporte Patronal</t>
  </si>
  <si>
    <t xml:space="preserve">  Aguinaldos Pagados</t>
  </si>
  <si>
    <t xml:space="preserve">  Alquileres</t>
  </si>
  <si>
    <t xml:space="preserve">  Gastos Generales</t>
  </si>
  <si>
    <t xml:space="preserve">  Seguros Pagados</t>
  </si>
  <si>
    <t xml:space="preserve">  Multas</t>
  </si>
  <si>
    <t xml:space="preserve">  Impuestos Tasas y Contribuciones</t>
  </si>
  <si>
    <t xml:space="preserve">  Otros Gastos de Administración</t>
  </si>
  <si>
    <t xml:space="preserve">  Honorarios Profesionales</t>
  </si>
  <si>
    <t xml:space="preserve">  Remuneración Personal Superior</t>
  </si>
  <si>
    <t xml:space="preserve">  Servicios Personales</t>
  </si>
  <si>
    <t xml:space="preserve">  Gastos de Capacitación</t>
  </si>
  <si>
    <t xml:space="preserve">  Vacaciones Pagadas</t>
  </si>
  <si>
    <t xml:space="preserve">  Donaciones y Contribuciones</t>
  </si>
  <si>
    <t>w) Otros Gastos Operativos, de comercialización y de administración</t>
  </si>
  <si>
    <r>
      <t>x)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Otros Ingresos y Egresos</t>
    </r>
  </si>
  <si>
    <t>Generados Por Activos</t>
  </si>
  <si>
    <t>Intereses Cobrados</t>
  </si>
  <si>
    <t>Generados Por Pasivos</t>
  </si>
  <si>
    <t>Intereses Pagados</t>
  </si>
  <si>
    <r>
      <t>y)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Resultados Financieros</t>
    </r>
  </si>
  <si>
    <t>Ingresos Extraordinarios</t>
  </si>
  <si>
    <t>Ganancia por Venta de Rodado</t>
  </si>
  <si>
    <t>Egresos Extraordinarios</t>
  </si>
  <si>
    <t>Perdida por Venta de Activo</t>
  </si>
  <si>
    <r>
      <t xml:space="preserve">z)  </t>
    </r>
    <r>
      <rPr>
        <b/>
        <sz val="10"/>
        <color theme="1"/>
        <rFont val="Cambria"/>
        <family val="1"/>
      </rPr>
      <t xml:space="preserve">Resultados Extraordinarios </t>
    </r>
  </si>
  <si>
    <t>NOTA 6. INFORMACION REFERENTE A CONTINGENCIAS Y COMPROMISOS</t>
  </si>
  <si>
    <r>
      <t>a)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Cambria"/>
        <family val="1"/>
      </rPr>
      <t>Compromisos Directos</t>
    </r>
  </si>
  <si>
    <t>No registra</t>
  </si>
  <si>
    <r>
      <t>b)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Cambria"/>
        <family val="1"/>
      </rPr>
      <t>Contingencias Legales</t>
    </r>
  </si>
  <si>
    <r>
      <t>c)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Cambria"/>
        <family val="1"/>
      </rPr>
      <t>Garantías Constituidas</t>
    </r>
  </si>
  <si>
    <t>De acuerdo a lo previsto en el artículo 111 de la Ley 5810/17, la entidad tiene constituida como garantía la suma de Gs. 550.00.000.- (guaraníes quinientos cincuenta millones), representados por Quinientos cincuenta (550) bonos emitidos por Automotores y Maquinarias S.A.E.C.A (AUTOMAQ SAECA) con ISIN NUMBER PYATM01F8823.</t>
  </si>
  <si>
    <t>NOTA 7. HECHOS POSTERIORES AL CIERRE DEL EJERCICIO</t>
  </si>
  <si>
    <t>No corresponde al presente periodo.</t>
  </si>
  <si>
    <r>
      <t>NOTA 8.</t>
    </r>
    <r>
      <rPr>
        <sz val="10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LIMITACION A LA LIBRE DISPONIBILIDAD DE LOS ACTIVOS O DEL PATRIMONIO Y DE CUALQUIER RESTRICCION AL DERECHO DE PROPIEDAD.</t>
    </r>
  </si>
  <si>
    <t>No registra.</t>
  </si>
  <si>
    <t>NOTA 9. CAMBIOS CONTABLES</t>
  </si>
  <si>
    <t>NOTA 10. RESTRICIONES PARA DISTRIBUCIÓN DE UTILIDADES</t>
  </si>
  <si>
    <t>NOTA 11. SANCIONES</t>
  </si>
  <si>
    <t>No Registra.</t>
  </si>
  <si>
    <r>
      <t>d)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Disponibilidades</t>
    </r>
  </si>
  <si>
    <r>
      <t>e)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Inversiones Permanentes</t>
    </r>
  </si>
  <si>
    <r>
      <t>f)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Créditos</t>
    </r>
  </si>
  <si>
    <r>
      <t>g)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0"/>
        <color theme="1"/>
        <rFont val="Cambria"/>
        <family val="1"/>
      </rPr>
      <t>Bienes de Uso</t>
    </r>
  </si>
  <si>
    <r>
      <t>j)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Otros Activos Corrientes y No Corrientes</t>
    </r>
  </si>
  <si>
    <t>Diciembre</t>
  </si>
  <si>
    <t>Balance General</t>
  </si>
  <si>
    <t>Noviembre</t>
  </si>
  <si>
    <t>Octubre</t>
  </si>
  <si>
    <t>Septiembre</t>
  </si>
  <si>
    <t>Agosto</t>
  </si>
  <si>
    <t>REF.</t>
  </si>
  <si>
    <t>INDICE</t>
  </si>
  <si>
    <t>Julio</t>
  </si>
  <si>
    <t>Junio</t>
  </si>
  <si>
    <t>Mayo</t>
  </si>
  <si>
    <t>Fecha Presentación:</t>
  </si>
  <si>
    <t>Abril</t>
  </si>
  <si>
    <t>Marzo</t>
  </si>
  <si>
    <t>Febrero</t>
  </si>
  <si>
    <t>Enero</t>
  </si>
  <si>
    <t>VISION BANCO S.A.E.C.A.</t>
  </si>
  <si>
    <t>AUTOMOTORES Y MAQUINARIA S.A.E.C.A.</t>
  </si>
  <si>
    <t>BANCO REGIONAL S.A.E.C.A.</t>
  </si>
  <si>
    <t>ELECTROBAN S.A.E.C.A.</t>
  </si>
  <si>
    <t>INNOVARE S.A.E.C.A.</t>
  </si>
  <si>
    <t>NUCLEO S.A.</t>
  </si>
  <si>
    <t>TELEFONICA CELULAR DEL PARAGUAY S.A.E.</t>
  </si>
  <si>
    <t>LC RISK</t>
  </si>
  <si>
    <t>Banco Familiar S.A.E.C.A.</t>
  </si>
  <si>
    <t>Banco Continental</t>
  </si>
  <si>
    <t>Construcciones en curso</t>
  </si>
  <si>
    <t xml:space="preserve">Inmuebles </t>
  </si>
  <si>
    <t>Proveedores Locales</t>
  </si>
  <si>
    <t>Balance Gral. Resol. 1'!A1</t>
  </si>
  <si>
    <t>Cuentas a Pagar Emp y Personas Relacionadas</t>
  </si>
  <si>
    <t>Segursos a Pagar</t>
  </si>
  <si>
    <t>ANTIGÜEDAD DE LA DEUDA</t>
  </si>
  <si>
    <t>PERIODO ACTUAL G.</t>
  </si>
  <si>
    <t>PERIODO ANTERIOR G.</t>
  </si>
  <si>
    <t>Sueldos a pagar</t>
  </si>
  <si>
    <t>Funcionarios</t>
  </si>
  <si>
    <t>Sueldos</t>
  </si>
  <si>
    <t>Estado de Resultado Resol. 1'!A1</t>
  </si>
  <si>
    <t>Balance 14 04'!A1</t>
  </si>
  <si>
    <t>Cuadro de Resultados</t>
  </si>
  <si>
    <t>Flujo de Efectivo</t>
  </si>
  <si>
    <t>Estado de Variacion Patrimonial</t>
  </si>
  <si>
    <t>Flujo de Efectivo Resol. 950'!A1</t>
  </si>
  <si>
    <t>Calculo de IRACIS</t>
  </si>
  <si>
    <t>CALCULO DE IRACIS (2019)'!A1</t>
  </si>
  <si>
    <t>Balance del Sistema</t>
  </si>
  <si>
    <t>Balance Final 15'!A1</t>
  </si>
  <si>
    <t>Calculo de Flujo de Caja</t>
  </si>
  <si>
    <t>2018 (2)'!A1</t>
  </si>
  <si>
    <t>Informe del Sindico</t>
  </si>
  <si>
    <t>Informe del Auditor Externo</t>
  </si>
  <si>
    <t>Memoria del Directorio</t>
  </si>
  <si>
    <t>ANEXO F DE LA RESOLUCION Nº 6/19</t>
  </si>
  <si>
    <t>NOTA A LOS ESTADOS CONTA. 1-4'!A1</t>
  </si>
  <si>
    <t>NOTA 5 A-C CRITERIOS ESPECIF.'!A1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</si>
  <si>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</si>
  <si>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</si>
  <si>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</si>
  <si>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</si>
  <si>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</si>
  <si>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</si>
  <si>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</si>
  <si>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</si>
  <si>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</si>
  <si>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</si>
  <si>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</si>
  <si>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</si>
  <si>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</si>
  <si>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</si>
  <si>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</si>
  <si>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</si>
  <si>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</si>
  <si>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</si>
  <si>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</si>
  <si>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</si>
  <si>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</si>
  <si>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</si>
  <si>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</si>
  <si>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</si>
  <si>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</si>
  <si>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</si>
  <si>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</si>
  <si>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</si>
  <si>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</si>
  <si>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</si>
  <si>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</si>
  <si>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 xml:space="preserve"> Notas a los Estados Contables</t>
  </si>
  <si>
    <t>II-ESTADOS FINANCIEROS BASICOS</t>
  </si>
  <si>
    <t>I-INFORMACIÓN GENERAL DE INVESTOR CASA DE BOLSA SA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</si>
  <si>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</si>
  <si>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</si>
  <si>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</si>
  <si>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</si>
  <si>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</si>
  <si>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9- Cambios Contables</t>
  </si>
  <si>
    <t>Nota 8- Limitaciones a libre disponibilidad</t>
  </si>
  <si>
    <t>Nota 10- Restricciones para Distribuir Utilidades</t>
  </si>
  <si>
    <t>Nota 11- Sanciones</t>
  </si>
  <si>
    <t>NOTA D - DISPONIBILIDADES'!A1</t>
  </si>
  <si>
    <t>NOTA E - INVERSIONES'!A1</t>
  </si>
  <si>
    <t>NOTA F - CREDITOS'!A1</t>
  </si>
  <si>
    <t>NOTA G BIENES DE USO'!A1</t>
  </si>
  <si>
    <t>NOTA H CARGOS DIFERIDOS'!A1</t>
  </si>
  <si>
    <t xml:space="preserve"> NOTA I INTANGIBLES'!A1</t>
  </si>
  <si>
    <t>NOTA J OTROS ACTIVOS CTES Y NO '!A1</t>
  </si>
  <si>
    <t>NOTA K PRESTAMOS'!A1</t>
  </si>
  <si>
    <t>NOTA L DOCUMENTOS Y CTAS A PAGA'!A1</t>
  </si>
  <si>
    <t>NOTAS M-Q ACREEDORES CTO PLAZO'!A1</t>
  </si>
  <si>
    <t>NOTA R SALDOS Y TRANSACCIONES '!A1</t>
  </si>
  <si>
    <t>NOTA S RESULTADOS CON PERSONAS'!A1</t>
  </si>
  <si>
    <t xml:space="preserve"> NOTA T PATRIMONIO'!A1</t>
  </si>
  <si>
    <t>NOTA V INGRESOS OPERATIVOS'!A1</t>
  </si>
  <si>
    <t>NOTA W OTROS GASTOS OPERATIVOS'!A1</t>
  </si>
  <si>
    <t>NOTA X OTROS INGRESOS Y EGRESOS'!A1</t>
  </si>
  <si>
    <t>NOTA Y RESULTADOS FINANCIEROS'!A1</t>
  </si>
  <si>
    <t>NOTA Z RESULT EXTRAORD'!A1</t>
  </si>
  <si>
    <t>NOTA 6 INFORMACION REFERENTE'!A1</t>
  </si>
  <si>
    <t>ESTADO DE FLUJO DE EFECTIVO</t>
  </si>
  <si>
    <t>Flujo de efectivo por las actividades operativas</t>
  </si>
  <si>
    <t>Importe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</si>
  <si>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</si>
  <si>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</si>
  <si>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</si>
  <si>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</si>
  <si>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</si>
  <si>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</si>
  <si>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</si>
  <si>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</si>
  <si>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</si>
  <si>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</si>
  <si>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</si>
  <si>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</si>
  <si>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</si>
  <si>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</si>
  <si>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</si>
  <si>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</si>
  <si>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</si>
  <si>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</si>
  <si>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</si>
  <si>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</si>
  <si>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Préstamos y Otras Deudas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</si>
  <si>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</si>
  <si>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</si>
  <si>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</si>
  <si>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</si>
  <si>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</si>
  <si>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</si>
  <si>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</si>
  <si>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RESERVAS</t>
  </si>
  <si>
    <t>RESULTADOS</t>
  </si>
  <si>
    <t>PATRIMONIO NETO</t>
  </si>
  <si>
    <t>AP. FUT. INTEGRAC.</t>
  </si>
  <si>
    <t>INTEGRADO</t>
  </si>
  <si>
    <t>LEGAL</t>
  </si>
  <si>
    <t>REGULARIZACION</t>
  </si>
  <si>
    <t>REVALÚO</t>
  </si>
  <si>
    <t>ACUMULADOS</t>
  </si>
  <si>
    <t>DEL EJERCICIO</t>
  </si>
  <si>
    <t>PERIODO ACTUAL</t>
  </si>
  <si>
    <t>PERIODO ANTERIOR</t>
  </si>
  <si>
    <t>Saldo al inicio del ejercicio</t>
  </si>
  <si>
    <t>-</t>
  </si>
  <si>
    <t>Mov. Subsecuentes</t>
  </si>
  <si>
    <t>Reserva Legal  y otros del Ejercicio</t>
  </si>
  <si>
    <t>Revaluo del Ejercicio</t>
  </si>
  <si>
    <t>Aportes a Cta. Fut Capitalizaciones</t>
  </si>
  <si>
    <t>Retiros a Cta. De Utilidades</t>
  </si>
  <si>
    <t>Aporte Capital</t>
  </si>
  <si>
    <t xml:space="preserve">NOTA A LOS ESTADOS CONTABLES </t>
  </si>
  <si>
    <t>NOTA 1: CONSIDERACION DE LOS ESTADOS CONTABLES</t>
  </si>
  <si>
    <t>NOTA 2:  INFORMACIÓN BÁSICA DE LA EMPRESA</t>
  </si>
  <si>
    <r>
      <t>2.1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sz val="10"/>
        <color theme="1"/>
        <rFont val="Cambria"/>
        <family val="1"/>
      </rPr>
      <t>Naturaleza jurídica de las actividades de la sociedad</t>
    </r>
  </si>
  <si>
    <r>
      <t>INVESTOR CASA DE BOLSA S.A</t>
    </r>
    <r>
      <rPr>
        <sz val="10"/>
        <color theme="1"/>
        <rFont val="Cambria"/>
        <family val="1"/>
      </rPr>
      <t>. fue constituida bajo la forma jurídica de Sociedad Anónima el 06 de Marzo de 2010 según escritura Pública Nº 205 e inscripta en el Registro Público de Comercio en el Libro Seccional respectivo y bajo en Nº 62 Y el folio Nº 696 y siguiente de fecha 23 de Marzo de 2010. La Sociedad se halla regida por las disposiciones de sus Estatutos, las Normas Legales y Reglamentarias relativas a la Sociedad y al Código Civil. La duración inicial de la Sociedad es de noventa y nueve años.</t>
    </r>
  </si>
  <si>
    <t>Inscripta en la Comisión Nacional de Valores según Resolución 1275/10 de fecha 19 de mayo de 2010 y en la Bolsa de Valores y Productos de Asunción S.A. según resolución 915/10 de fecha 31 de mayo de 2010, bajo el número 021.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</si>
  <si>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</si>
  <si>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</si>
  <si>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</si>
  <si>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</si>
  <si>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</si>
  <si>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</si>
  <si>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</si>
  <si>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</si>
  <si>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</si>
  <si>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</si>
  <si>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</si>
  <si>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r>
      <t>2.2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Cambria"/>
        <family val="1"/>
      </rPr>
      <t>Participación en empresas vinculadas</t>
    </r>
  </si>
  <si>
    <t>Investor Casa de Bolsa. S.A. posee Acciones de la Empresa Investor Administradora de Fondos Patrimoniales de Inversión S.A., constituida en Asunción-Paraguay, por valor de Gs.2.346.000.000 que representan el 85% del Capital Social. –</t>
  </si>
  <si>
    <t>Investor Casa de Bolsa. S.A. posee Acciones de la Empresa Incubate S.A., constituida en Asunción-Paraguay, por valor de Gs. 2.500.000.000 que representan el 99% del Capital Social. –</t>
  </si>
  <si>
    <t>Investor Casa de Bolsa. S.A. posee Acciones de la Empresa Procampo S.A., constituida en Asunción-Paraguay, por valor de Gs. 251.000.000 que representan el 50,20% del Capital Social. –</t>
  </si>
  <si>
    <t>NOTA 3: PRINCIPALES POLÍTICAS Y PRÁCTICAS CONTABLES APLICADAS</t>
  </si>
  <si>
    <t>3.1.  Base de preparación de los estados contables</t>
  </si>
  <si>
    <t xml:space="preserve">Los estados Contables han sido preparados de acuerdo a la Resolución Nro. 06/19 de la Comisión Nacional de Valores y a Principios y Normas Contables Vigentes en Paraguay. </t>
  </si>
  <si>
    <t>3.2. Criterios de valuación</t>
  </si>
  <si>
    <t>Son aplicados los criterios de valuación y exposición aceptados por las Normas Contables y Tributarias Vigentes en Paraguay y de acuerdo a la Resolución 6/19 y la Resolución 763/04 de la Comisión Nacional de Valores.</t>
  </si>
  <si>
    <t>3.3. Previsión para cuentas incobrables</t>
  </si>
  <si>
    <t xml:space="preserve">La entidad no posee previsión para cuentas incobrables. </t>
  </si>
  <si>
    <r>
      <t>3.4.</t>
    </r>
    <r>
      <rPr>
        <sz val="10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Depreciación de bienes de uso</t>
    </r>
  </si>
  <si>
    <t>Los Bienes de Uso se expresan a su valor de adquisición, revaluados de acuerdo al índice de revalúo fijado por la Subsecretaria del Estado de Tributación del Ministerio de Hacienda.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</si>
  <si>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</si>
  <si>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</si>
  <si>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</si>
  <si>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</si>
  <si>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</si>
  <si>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</si>
  <si>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</si>
  <si>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</si>
  <si>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mbria"/>
        <family val="1"/>
      </rPr>
      <t>Valuación en moneda extranjera</t>
    </r>
  </si>
  <si>
    <t>Tipos de Cambio</t>
  </si>
  <si>
    <t>Comprador</t>
  </si>
  <si>
    <t>Vendedor</t>
  </si>
  <si>
    <r>
      <t>a)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mbria"/>
        <family val="1"/>
      </rPr>
      <t>Posición en moneda extranjera</t>
    </r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</si>
  <si>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</si>
  <si>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</si>
  <si>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</si>
  <si>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</si>
  <si>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</si>
  <si>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</si>
  <si>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</si>
  <si>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</si>
  <si>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</si>
  <si>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</si>
  <si>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IRACIS</t>
  </si>
  <si>
    <t>ANTICIPOS</t>
  </si>
  <si>
    <t>Anticipos Honorarios-Servicios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</si>
  <si>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</si>
  <si>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</si>
  <si>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</si>
  <si>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</si>
  <si>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</si>
  <si>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</si>
  <si>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</si>
  <si>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</si>
  <si>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</si>
  <si>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</si>
  <si>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</si>
  <si>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</si>
  <si>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</si>
  <si>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</si>
  <si>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</si>
  <si>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</si>
  <si>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Sueldos a Pagar</t>
  </si>
  <si>
    <t>Seguros a Pagar</t>
  </si>
  <si>
    <t>PASIVO NO CORRIENTE</t>
  </si>
  <si>
    <t>Ganancias a Devengar</t>
  </si>
  <si>
    <t>Cuentas a Pagar por Compra de Acciones</t>
  </si>
  <si>
    <r>
      <t>C)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mbria"/>
        <family val="1"/>
      </rPr>
      <t>Diferencia de cambio en moneda extranjera.</t>
    </r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</si>
  <si>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</si>
  <si>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</si>
  <si>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</si>
  <si>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</si>
  <si>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</si>
  <si>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</si>
  <si>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</si>
  <si>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</si>
  <si>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</si>
  <si>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Infome en Word.</t>
  </si>
  <si>
    <t>Corresponde a cuentas por cobrar a diversos clientes. Su composición al 31 de marzo de 2020 comparativo con el ejercicio anterior, es como sigue:</t>
  </si>
  <si>
    <t>Total al 31/03/2020</t>
  </si>
  <si>
    <t>Valores al 31/03/2020</t>
  </si>
  <si>
    <t>Valores al 30/06/2019</t>
  </si>
  <si>
    <t>SALDO AL 31/03/2020</t>
  </si>
  <si>
    <t>AL 31/03/2020</t>
  </si>
  <si>
    <t>AL 30/06/2019</t>
  </si>
  <si>
    <t>CAMBIO CIERRE PERIODO ANTERIOR 30/06/2019</t>
  </si>
  <si>
    <t>CAMBIO CIERRE PERIODO ACTUAL 31/03/2020</t>
  </si>
  <si>
    <t>La composición de los fondos disponibles en Bancos al 31 de marzo de 2020, es como sigue:</t>
  </si>
  <si>
    <t xml:space="preserve"> INFORMACION SOBRE EL EMISOR AL 31/03/2020</t>
  </si>
  <si>
    <t>RECAUDACIONES A DEPOSITAR SUSPENSO</t>
  </si>
  <si>
    <t xml:space="preserve">RECAUDACIONES A DEPOSITAR </t>
  </si>
  <si>
    <t>CAJA</t>
  </si>
  <si>
    <t>FONDO FIJO</t>
  </si>
  <si>
    <t>ITAU CTA.CTE. GS Nº 734</t>
  </si>
  <si>
    <t>BCO. FAMILIAR COMP. GS-</t>
  </si>
  <si>
    <t xml:space="preserve">BCO REGIONAL COMP GS </t>
  </si>
  <si>
    <t>BBVA CTA.CTE. GS</t>
  </si>
  <si>
    <t>CONTINENTAL CTA.CTE.GS</t>
  </si>
  <si>
    <t>VISION BANCO CTA.CTE.GS</t>
  </si>
  <si>
    <t xml:space="preserve">BANCO GNB GS </t>
  </si>
  <si>
    <t>SUDAMERIS CTA. CTE. GS</t>
  </si>
  <si>
    <t>BANCO AMAMBAY</t>
  </si>
  <si>
    <t xml:space="preserve">FINANCIERA RIO </t>
  </si>
  <si>
    <t>FINANCIERA EL COMERCIO CAJA DE AHOR</t>
  </si>
  <si>
    <t>FINANCIERA RIO SAECA</t>
  </si>
  <si>
    <t>BANCO ATLAS GS.</t>
  </si>
  <si>
    <t>ITAU CTA. CTE. GS 741</t>
  </si>
  <si>
    <t>ITAU ADM GS 70087633-8</t>
  </si>
  <si>
    <t>BANCO AMAMBAY USD</t>
  </si>
  <si>
    <t>ITAU CTA.CTE. USD</t>
  </si>
  <si>
    <t>BANCO FAMILIAR COMP. USD</t>
  </si>
  <si>
    <t>BANCO REGIONAL CTA COMP. USD</t>
  </si>
  <si>
    <t>BBVA CTA.CTE.USD</t>
  </si>
  <si>
    <t>CONTINENTAL CTA.CTE. USD</t>
  </si>
  <si>
    <t>VISION BANCO CTA.CTE USD</t>
  </si>
  <si>
    <t>BCO ATLAS CTA COMP USD</t>
  </si>
  <si>
    <t>ITAU CTA. CTE. USD 516</t>
  </si>
  <si>
    <t>ITAU CTA. CTE. USD 3485</t>
  </si>
  <si>
    <t>ITAU CTA. CTE. USD 636</t>
  </si>
  <si>
    <t xml:space="preserve">BANCOP USD </t>
  </si>
  <si>
    <t>FINEXPAR USD</t>
  </si>
  <si>
    <t>SUDAMERIS CTA. CTE. USD</t>
  </si>
  <si>
    <t>BANCO GNB USD</t>
  </si>
  <si>
    <t>Total al 30/06/2019</t>
  </si>
  <si>
    <t/>
  </si>
  <si>
    <t>CORRESPONDIENTE AL 31 DE MARZO DE 2020 PRESENTADO EN FORMA COMPARATIVA CON EL EJERCICIO ANTERIOR CERRADO EL  30 DE JUNIO DE  2019.</t>
  </si>
  <si>
    <t>CORRESPONDIENTE AL 31 DE MARZO DE 2020 PRESENTADO EN FORMA COMPARATIVA CON EL EJERCICIO ANTERIOR CERRADO EL  3O DE JUNIO DE  2019.</t>
  </si>
  <si>
    <t>CORRESPONDIENTE AL 31  DE MARZO DE 2020  PRESENTADO EN FORMA COMPARATIVA CON EL 30 DE JUNIO DE 2019</t>
  </si>
  <si>
    <t>EDGE S.A.</t>
  </si>
  <si>
    <t>MARION LANGE VASEK Y/O ROLANDO JOSE NATA</t>
  </si>
  <si>
    <t>FEDERICO CALLIZO PECCI</t>
  </si>
  <si>
    <t>INVESTOR AFPI</t>
  </si>
  <si>
    <t>MANUEL FERREIRA</t>
  </si>
  <si>
    <t>INVESTOR AGRIBUSINESS S.A.</t>
  </si>
  <si>
    <t>Anticipo proveedores</t>
  </si>
  <si>
    <t>ALBARO ACOSTA</t>
  </si>
  <si>
    <t>NOELIA ROJAS</t>
  </si>
  <si>
    <t>Anticipo de salario</t>
  </si>
  <si>
    <t>SONIA GODOY</t>
  </si>
  <si>
    <t>FEDERICO SEBASTIAN OPORTO</t>
  </si>
  <si>
    <t>M ALEJANDRA ACHON</t>
  </si>
  <si>
    <t>INVESTOR AFPI S.A.</t>
  </si>
  <si>
    <t>JAZMIN SUAREZ</t>
  </si>
  <si>
    <t>JESUS BAEZ</t>
  </si>
  <si>
    <t>CODESARROLLOS SA</t>
  </si>
  <si>
    <t>ROLANDO NATALIZIA</t>
  </si>
  <si>
    <t>INVESTOR REAL ESTATE S.A</t>
  </si>
  <si>
    <t>INPOSITIVA S.A.</t>
  </si>
  <si>
    <t>CODESARROLLOS S.A.</t>
  </si>
  <si>
    <t>FINEXPAR GS 155000841</t>
  </si>
  <si>
    <t>INTERFISA BANCO U$D 10208646</t>
  </si>
  <si>
    <t xml:space="preserve">SOLA S.A. DE AHORRO Y PRESTAMO U$D </t>
  </si>
  <si>
    <t>SOLAR S.A. DE AHORRO Y PRESTAMO GS.</t>
  </si>
  <si>
    <t>BANCO FAMILIAR 22-02962092 GS.</t>
  </si>
  <si>
    <t>TU FINANCIERA 5688382</t>
  </si>
  <si>
    <t>CRISOL Y ENCARNACION FINANCIERA (CE</t>
  </si>
  <si>
    <t>FINANCIERA EL COMERCIO U$D 95704003</t>
  </si>
  <si>
    <t>ITAU CTA. CTE. GS-70081474-1</t>
  </si>
  <si>
    <t>ITAU CTA. CTE. U$S -75080051-6</t>
  </si>
  <si>
    <t>Itau Adm USD 75080348-5</t>
  </si>
  <si>
    <t>Itau Adm Gs 70087633-8</t>
  </si>
  <si>
    <t>Itau Internacional USD 75080363-6</t>
  </si>
  <si>
    <t>FIC DE FINANZAS U$D 0131000849</t>
  </si>
  <si>
    <t>BANCOP Gs</t>
  </si>
  <si>
    <t>OTROS BANCOS</t>
  </si>
  <si>
    <t>FABIO ZARZA</t>
  </si>
  <si>
    <t>ADRIAN APONTE</t>
  </si>
  <si>
    <t xml:space="preserve">BANCO GNB PARAGUAY S.A. </t>
  </si>
  <si>
    <t>BANCO ITAÚ PARAGUAY S.A.</t>
  </si>
  <si>
    <t xml:space="preserve">BANCO REGIONAL S.A.E.C.A. </t>
  </si>
  <si>
    <t>BANCOP S.A.</t>
  </si>
  <si>
    <t>CRISOL Y ENCARNACION FINANCIERA SAECA</t>
  </si>
  <si>
    <t>RIEDER &amp; CÍA. S.A.C.I.</t>
  </si>
  <si>
    <t>CORRESPONDIENTE AL 31 DE MARZO DE 2020 PRESENTADO EN FORMA COMPARATIVA CON EL 30 DE JUNIO DE 2019.</t>
  </si>
  <si>
    <t>o</t>
  </si>
  <si>
    <r>
      <t>Los Estados Contables semestrales (Balance General, Estado de Resultados, Estado de Flujo de Efectivo y Estado de Variación del Patrimonio Neto) correspondientes al 31 de marzo de 2020 han sido</t>
    </r>
    <r>
      <rPr>
        <sz val="10"/>
        <color rgb="FFFF0000"/>
        <rFont val="Cambria"/>
        <family val="1"/>
      </rPr>
      <t xml:space="preserve"> </t>
    </r>
    <r>
      <rPr>
        <sz val="10"/>
        <color theme="1"/>
        <rFont val="Cambria"/>
        <family val="1"/>
      </rPr>
      <t>considerados y aprobados según Acta de Directorio  Nro. 125/2020, de fecha 26  de junio  de 2020.-</t>
    </r>
  </si>
  <si>
    <t>Codesarrollos S.A.</t>
  </si>
  <si>
    <t>Edge S.A.</t>
  </si>
  <si>
    <t>Acreedores Varios</t>
  </si>
  <si>
    <t>PERIODO ACTUAL 31/03/ 2020</t>
  </si>
  <si>
    <t>EJERCICIO 30/06/2019</t>
  </si>
  <si>
    <t>PERIODO ANTERIOR  30/06/2019</t>
  </si>
  <si>
    <t>PERIODO 31/03/2020</t>
  </si>
  <si>
    <t>SALDO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</si>
</sst>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* #,##0\ _D_M_-;\-* #,##0\ _D_M_-;_-* &quot;-&quot;??\ _D_M_-;_-@_-"/>
    <numFmt numFmtId="167" formatCode="_-[$Gs.-3C0A]\ * #,##0.00_ ;_-[$Gs.-3C0A]\ * \-#,##0.00\ ;_-[$Gs.-3C0A]\ * &quot;-&quot;??_ ;_-@_ "/>
    <numFmt numFmtId="168" formatCode="_(* #,##0.00_);_(* \(#,##0.00\);_(* &quot;-&quot;??_);_(@_)"/>
    <numFmt numFmtId="169" formatCode="_(* #,##0_);_(* \(#,##0\);_(* &quot;-&quot;??_);_(@_)"/>
    <numFmt numFmtId="170" formatCode="_-* #,##0_-;\-* #,##0_-;_-* &quot;-&quot;??_-;_-@_-"/>
    <numFmt numFmtId="171" formatCode="_-* #,##0.00\ _€_-;\-* #,##0.00\ _€_-;_-* &quot;-&quot;??\ _€_-;_-@_-"/>
    <numFmt numFmtId="172" formatCode="dd/mm/yyyy;@"/>
    <numFmt numFmtId="173" formatCode="#,##0;\(#,##0\)"/>
    <numFmt numFmtId="174" formatCode="_ * #,##0.00_ ;_ * \-#,##0.00_ ;_ * &quot;-&quot;_ ;_ @_ "/>
  </numFmts>
  <fonts count="6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8"/>
      <color indexed="8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7"/>
      <color theme="1"/>
      <name val="Times New Roman"/>
      <family val="1"/>
    </font>
    <font>
      <sz val="11"/>
      <color theme="1"/>
      <name val="Cambri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lbertus Extra Bold"/>
      <family val="2"/>
    </font>
    <font>
      <b/>
      <sz val="10"/>
      <name val="Cambria"/>
      <family val="1"/>
    </font>
    <font>
      <b/>
      <sz val="7"/>
      <name val="Times New Roman"/>
      <family val="1"/>
    </font>
    <font>
      <b/>
      <sz val="9"/>
      <color rgb="FF000000"/>
      <name val="Arial"/>
      <family val="2"/>
    </font>
    <font>
      <sz val="10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5" tint="-0.249977111117893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1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name val="Arial "/>
    </font>
    <font>
      <b/>
      <i/>
      <sz val="10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color theme="9"/>
      <name val="Arial"/>
      <family val="2"/>
    </font>
    <font>
      <sz val="8"/>
      <color theme="5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8"/>
      <name val="Arial"/>
      <family val="2"/>
    </font>
    <font>
      <sz val="10"/>
      <color rgb="FFFF0000"/>
      <name val="Cambria"/>
      <family val="1"/>
    </font>
    <font>
      <sz val="8"/>
      <color theme="1"/>
      <name val="Cambria"/>
      <family val="1"/>
    </font>
    <font>
      <b/>
      <u/>
      <sz val="10"/>
      <color theme="1"/>
      <name val="Cambria"/>
      <family val="1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9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8" fontId="2" fillId="0" borderId="0" applyFont="0" applyFill="0" applyBorder="0" applyAlignment="0" applyProtection="0"/>
    <xf numFmtId="0" fontId="1" fillId="0" borderId="0"/>
    <xf numFmtId="0" fontId="44" fillId="2" borderId="0" applyNumberFormat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9" fillId="0" borderId="0"/>
  </cellStyleXfs>
  <cellXfs count="47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7" fillId="0" borderId="2" xfId="0" applyFont="1" applyBorder="1"/>
    <xf numFmtId="166" fontId="8" fillId="0" borderId="3" xfId="1" applyNumberFormat="1" applyFont="1" applyFill="1" applyBorder="1" applyAlignment="1">
      <alignment horizontal="center" wrapText="1"/>
    </xf>
    <xf numFmtId="0" fontId="7" fillId="0" borderId="4" xfId="0" applyFont="1" applyBorder="1"/>
    <xf numFmtId="0" fontId="7" fillId="0" borderId="5" xfId="0" applyFont="1" applyBorder="1"/>
    <xf numFmtId="164" fontId="7" fillId="0" borderId="4" xfId="2" applyFont="1" applyFill="1" applyBorder="1" applyAlignment="1">
      <alignment horizontal="right"/>
    </xf>
    <xf numFmtId="164" fontId="8" fillId="0" borderId="5" xfId="2" applyFont="1" applyFill="1" applyBorder="1" applyAlignment="1">
      <alignment horizontal="right"/>
    </xf>
    <xf numFmtId="164" fontId="9" fillId="0" borderId="5" xfId="2" applyFont="1" applyFill="1" applyBorder="1" applyAlignment="1">
      <alignment horizontal="right"/>
    </xf>
    <xf numFmtId="164" fontId="10" fillId="0" borderId="5" xfId="2" applyFont="1" applyFill="1" applyBorder="1" applyAlignment="1">
      <alignment horizontal="right"/>
    </xf>
    <xf numFmtId="1" fontId="6" fillId="0" borderId="0" xfId="0" applyNumberFormat="1" applyFont="1"/>
    <xf numFmtId="164" fontId="9" fillId="0" borderId="4" xfId="2" applyFont="1" applyFill="1" applyBorder="1" applyAlignment="1">
      <alignment horizontal="right"/>
    </xf>
    <xf numFmtId="0" fontId="6" fillId="0" borderId="0" xfId="0" applyFont="1"/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4" fontId="10" fillId="0" borderId="4" xfId="2" applyFont="1" applyFill="1" applyBorder="1" applyAlignment="1">
      <alignment horizontal="right"/>
    </xf>
    <xf numFmtId="0" fontId="9" fillId="0" borderId="5" xfId="0" applyFont="1" applyBorder="1"/>
    <xf numFmtId="164" fontId="7" fillId="0" borderId="6" xfId="2" applyFont="1" applyFill="1" applyBorder="1" applyAlignment="1">
      <alignment horizontal="right"/>
    </xf>
    <xf numFmtId="164" fontId="7" fillId="0" borderId="7" xfId="2" applyFont="1" applyFill="1" applyBorder="1" applyAlignment="1">
      <alignment horizontal="right"/>
    </xf>
    <xf numFmtId="0" fontId="11" fillId="0" borderId="5" xfId="0" applyFont="1" applyBorder="1"/>
    <xf numFmtId="0" fontId="9" fillId="0" borderId="4" xfId="0" applyFont="1" applyBorder="1"/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7" fillId="0" borderId="5" xfId="2" applyFont="1" applyFill="1" applyBorder="1" applyAlignment="1">
      <alignment horizontal="right"/>
    </xf>
    <xf numFmtId="0" fontId="7" fillId="0" borderId="8" xfId="0" applyFont="1" applyBorder="1"/>
    <xf numFmtId="164" fontId="7" fillId="0" borderId="9" xfId="2" applyFont="1" applyFill="1" applyBorder="1" applyAlignment="1">
      <alignment horizontal="right"/>
    </xf>
    <xf numFmtId="164" fontId="7" fillId="0" borderId="10" xfId="2" applyFont="1" applyFill="1" applyBorder="1" applyAlignment="1">
      <alignment horizontal="right"/>
    </xf>
    <xf numFmtId="0" fontId="7" fillId="0" borderId="11" xfId="0" applyFont="1" applyBorder="1"/>
    <xf numFmtId="164" fontId="7" fillId="0" borderId="12" xfId="2" applyFont="1" applyFill="1" applyBorder="1" applyAlignment="1">
      <alignment horizontal="right"/>
    </xf>
    <xf numFmtId="164" fontId="3" fillId="0" borderId="0" xfId="0" applyNumberFormat="1" applyFont="1"/>
    <xf numFmtId="164" fontId="12" fillId="0" borderId="4" xfId="2" applyFont="1" applyFill="1" applyBorder="1" applyAlignment="1">
      <alignment horizontal="right"/>
    </xf>
    <xf numFmtId="49" fontId="6" fillId="0" borderId="0" xfId="0" applyNumberFormat="1" applyFont="1"/>
    <xf numFmtId="0" fontId="7" fillId="0" borderId="13" xfId="0" applyFont="1" applyBorder="1"/>
    <xf numFmtId="164" fontId="7" fillId="0" borderId="14" xfId="2" applyFont="1" applyFill="1" applyBorder="1" applyAlignment="1">
      <alignment horizontal="right"/>
    </xf>
    <xf numFmtId="0" fontId="9" fillId="0" borderId="16" xfId="0" applyFont="1" applyBorder="1" applyAlignment="1">
      <alignment horizontal="left"/>
    </xf>
    <xf numFmtId="166" fontId="3" fillId="0" borderId="0" xfId="0" applyNumberFormat="1" applyFont="1"/>
    <xf numFmtId="166" fontId="3" fillId="0" borderId="19" xfId="0" applyNumberFormat="1" applyFont="1" applyBorder="1"/>
    <xf numFmtId="0" fontId="3" fillId="0" borderId="4" xfId="0" applyFont="1" applyBorder="1"/>
    <xf numFmtId="164" fontId="8" fillId="0" borderId="3" xfId="2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166" fontId="7" fillId="0" borderId="0" xfId="1" applyNumberFormat="1" applyFont="1" applyFill="1"/>
    <xf numFmtId="0" fontId="10" fillId="0" borderId="0" xfId="0" applyFont="1"/>
    <xf numFmtId="166" fontId="10" fillId="0" borderId="0" xfId="0" applyNumberFormat="1" applyFont="1"/>
    <xf numFmtId="166" fontId="3" fillId="0" borderId="0" xfId="1" applyNumberFormat="1" applyFont="1" applyFill="1"/>
    <xf numFmtId="166" fontId="3" fillId="0" borderId="0" xfId="1" applyNumberFormat="1" applyFont="1" applyFill="1" applyProtection="1">
      <protection hidden="1"/>
    </xf>
    <xf numFmtId="3" fontId="3" fillId="0" borderId="0" xfId="0" applyNumberFormat="1" applyFont="1"/>
    <xf numFmtId="0" fontId="13" fillId="0" borderId="0" xfId="0" applyFont="1"/>
    <xf numFmtId="166" fontId="13" fillId="0" borderId="0" xfId="1" applyNumberFormat="1" applyFont="1" applyFill="1"/>
    <xf numFmtId="0" fontId="4" fillId="0" borderId="0" xfId="0" applyFont="1" applyAlignment="1">
      <alignment horizontal="justify" vertical="center"/>
    </xf>
    <xf numFmtId="0" fontId="14" fillId="0" borderId="0" xfId="0" applyFont="1"/>
    <xf numFmtId="3" fontId="14" fillId="0" borderId="0" xfId="0" applyNumberFormat="1" applyFont="1"/>
    <xf numFmtId="164" fontId="13" fillId="0" borderId="0" xfId="2" applyFont="1" applyFill="1" applyAlignment="1">
      <alignment horizontal="right"/>
    </xf>
    <xf numFmtId="164" fontId="14" fillId="0" borderId="0" xfId="2" applyFont="1" applyFill="1" applyAlignment="1">
      <alignment horizontal="right"/>
    </xf>
    <xf numFmtId="166" fontId="13" fillId="0" borderId="0" xfId="0" applyNumberFormat="1" applyFont="1"/>
    <xf numFmtId="49" fontId="13" fillId="0" borderId="0" xfId="0" applyNumberFormat="1" applyFont="1"/>
    <xf numFmtId="3" fontId="13" fillId="0" borderId="0" xfId="0" applyNumberFormat="1" applyFont="1"/>
    <xf numFmtId="0" fontId="14" fillId="0" borderId="21" xfId="0" applyFont="1" applyBorder="1"/>
    <xf numFmtId="3" fontId="13" fillId="0" borderId="22" xfId="0" applyNumberFormat="1" applyFont="1" applyBorder="1"/>
    <xf numFmtId="164" fontId="14" fillId="0" borderId="22" xfId="2" applyFont="1" applyFill="1" applyBorder="1" applyAlignment="1">
      <alignment horizontal="right"/>
    </xf>
    <xf numFmtId="49" fontId="14" fillId="0" borderId="0" xfId="0" applyNumberFormat="1" applyFont="1"/>
    <xf numFmtId="164" fontId="13" fillId="0" borderId="0" xfId="2" applyFont="1" applyFill="1"/>
    <xf numFmtId="167" fontId="13" fillId="0" borderId="0" xfId="0" applyNumberFormat="1" applyFont="1"/>
    <xf numFmtId="167" fontId="13" fillId="0" borderId="0" xfId="1" applyNumberFormat="1" applyFont="1" applyFill="1"/>
    <xf numFmtId="164" fontId="13" fillId="0" borderId="0" xfId="2" applyFont="1" applyFill="1" applyBorder="1" applyAlignment="1">
      <alignment horizontal="right"/>
    </xf>
    <xf numFmtId="0" fontId="14" fillId="0" borderId="23" xfId="0" applyFont="1" applyBorder="1"/>
    <xf numFmtId="3" fontId="14" fillId="0" borderId="22" xfId="0" applyNumberFormat="1" applyFont="1" applyBorder="1"/>
    <xf numFmtId="164" fontId="14" fillId="0" borderId="24" xfId="2" applyFont="1" applyFill="1" applyBorder="1" applyAlignment="1">
      <alignment horizontal="right"/>
    </xf>
    <xf numFmtId="164" fontId="14" fillId="0" borderId="25" xfId="2" applyFont="1" applyFill="1" applyBorder="1" applyAlignment="1">
      <alignment horizontal="right"/>
    </xf>
    <xf numFmtId="3" fontId="13" fillId="0" borderId="0" xfId="0" applyNumberFormat="1" applyFont="1" applyProtection="1">
      <protection hidden="1"/>
    </xf>
    <xf numFmtId="3" fontId="13" fillId="0" borderId="0" xfId="0" applyNumberFormat="1" applyFont="1" applyProtection="1">
      <protection locked="0" hidden="1"/>
    </xf>
    <xf numFmtId="0" fontId="16" fillId="0" borderId="0" xfId="0" applyFont="1" applyAlignment="1">
      <alignment horizontal="center" vertical="center"/>
    </xf>
    <xf numFmtId="164" fontId="9" fillId="0" borderId="5" xfId="2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3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horizontal="right"/>
    </xf>
    <xf numFmtId="0" fontId="23" fillId="0" borderId="18" xfId="0" applyFont="1" applyBorder="1"/>
    <xf numFmtId="3" fontId="23" fillId="0" borderId="18" xfId="0" applyNumberFormat="1" applyFont="1" applyBorder="1" applyAlignment="1">
      <alignment horizontal="right"/>
    </xf>
    <xf numFmtId="14" fontId="23" fillId="0" borderId="18" xfId="0" applyNumberFormat="1" applyFont="1" applyBorder="1" applyAlignment="1">
      <alignment horizontal="center"/>
    </xf>
    <xf numFmtId="0" fontId="24" fillId="0" borderId="18" xfId="0" applyFont="1" applyBorder="1"/>
    <xf numFmtId="3" fontId="24" fillId="0" borderId="18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indent="2"/>
    </xf>
    <xf numFmtId="0" fontId="27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8" fillId="0" borderId="18" xfId="0" applyFont="1" applyBorder="1" applyAlignment="1">
      <alignment vertical="center"/>
    </xf>
    <xf numFmtId="164" fontId="28" fillId="0" borderId="18" xfId="2" applyFont="1" applyFill="1" applyBorder="1" applyAlignment="1">
      <alignment vertical="center"/>
    </xf>
    <xf numFmtId="0" fontId="26" fillId="0" borderId="15" xfId="0" applyFont="1" applyBorder="1" applyAlignment="1">
      <alignment vertical="center"/>
    </xf>
    <xf numFmtId="169" fontId="26" fillId="0" borderId="15" xfId="1" applyNumberFormat="1" applyFont="1" applyFill="1" applyBorder="1" applyAlignment="1">
      <alignment horizontal="right" vertical="center"/>
    </xf>
    <xf numFmtId="0" fontId="26" fillId="0" borderId="18" xfId="0" applyFont="1" applyBorder="1" applyAlignment="1">
      <alignment vertical="center"/>
    </xf>
    <xf numFmtId="169" fontId="26" fillId="0" borderId="18" xfId="1" applyNumberFormat="1" applyFont="1" applyBorder="1" applyAlignment="1">
      <alignment horizontal="right" vertical="center"/>
    </xf>
    <xf numFmtId="169" fontId="27" fillId="0" borderId="18" xfId="1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69" fontId="26" fillId="0" borderId="0" xfId="1" applyNumberFormat="1" applyFont="1" applyBorder="1" applyAlignment="1">
      <alignment horizontal="right" vertical="center"/>
    </xf>
    <xf numFmtId="169" fontId="27" fillId="0" borderId="0" xfId="1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3" fontId="26" fillId="0" borderId="18" xfId="0" applyNumberFormat="1" applyFont="1" applyBorder="1" applyAlignment="1">
      <alignment horizontal="right" vertical="center"/>
    </xf>
    <xf numFmtId="0" fontId="30" fillId="0" borderId="18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0" fontId="26" fillId="0" borderId="18" xfId="0" applyFont="1" applyBorder="1" applyAlignment="1">
      <alignment horizontal="center" vertical="center" wrapText="1"/>
    </xf>
    <xf numFmtId="169" fontId="27" fillId="0" borderId="18" xfId="1" applyNumberFormat="1" applyFont="1" applyBorder="1" applyAlignment="1">
      <alignment horizontal="right" vertical="center"/>
    </xf>
    <xf numFmtId="169" fontId="27" fillId="0" borderId="18" xfId="1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169" fontId="25" fillId="0" borderId="0" xfId="0" applyNumberFormat="1" applyFont="1" applyAlignment="1">
      <alignment vertical="center"/>
    </xf>
    <xf numFmtId="169" fontId="18" fillId="0" borderId="18" xfId="1" applyNumberFormat="1" applyFont="1" applyBorder="1" applyAlignment="1">
      <alignment horizontal="right" vertical="center"/>
    </xf>
    <xf numFmtId="169" fontId="18" fillId="0" borderId="18" xfId="1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/>
    </xf>
    <xf numFmtId="0" fontId="27" fillId="0" borderId="18" xfId="0" applyFont="1" applyBorder="1" applyAlignment="1">
      <alignment horizontal="center" vertical="center" wrapText="1"/>
    </xf>
    <xf numFmtId="169" fontId="27" fillId="0" borderId="18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0" fillId="0" borderId="18" xfId="0" applyNumberFormat="1" applyBorder="1" applyAlignment="1">
      <alignment vertical="center"/>
    </xf>
    <xf numFmtId="170" fontId="0" fillId="0" borderId="18" xfId="1" applyNumberFormat="1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26" fillId="0" borderId="30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169" fontId="19" fillId="0" borderId="30" xfId="0" applyNumberFormat="1" applyFont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8" xfId="0" applyFont="1" applyBorder="1" applyAlignment="1">
      <alignment horizontal="left"/>
    </xf>
    <xf numFmtId="165" fontId="24" fillId="0" borderId="18" xfId="1" applyFont="1" applyFill="1" applyBorder="1" applyAlignment="1">
      <alignment horizontal="right"/>
    </xf>
    <xf numFmtId="0" fontId="26" fillId="0" borderId="18" xfId="0" applyFont="1" applyBorder="1"/>
    <xf numFmtId="169" fontId="24" fillId="0" borderId="0" xfId="1" applyNumberFormat="1" applyFont="1" applyFill="1"/>
    <xf numFmtId="3" fontId="24" fillId="0" borderId="0" xfId="0" applyNumberFormat="1" applyFont="1"/>
    <xf numFmtId="0" fontId="23" fillId="0" borderId="0" xfId="0" applyFont="1" applyAlignment="1">
      <alignment horizontal="left"/>
    </xf>
    <xf numFmtId="3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31" fillId="0" borderId="0" xfId="0" applyFont="1"/>
    <xf numFmtId="3" fontId="25" fillId="0" borderId="0" xfId="0" applyNumberFormat="1" applyFont="1"/>
    <xf numFmtId="0" fontId="0" fillId="0" borderId="0" xfId="0" applyAlignment="1">
      <alignment horizontal="left"/>
    </xf>
    <xf numFmtId="0" fontId="23" fillId="0" borderId="3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5" fillId="0" borderId="36" xfId="0" applyFont="1" applyBorder="1" applyAlignment="1">
      <alignment vertical="center" wrapText="1"/>
    </xf>
    <xf numFmtId="0" fontId="23" fillId="0" borderId="3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4" fillId="0" borderId="15" xfId="0" applyFont="1" applyBorder="1"/>
    <xf numFmtId="168" fontId="24" fillId="0" borderId="18" xfId="5" applyFont="1" applyFill="1" applyBorder="1" applyAlignment="1">
      <alignment horizontal="right"/>
    </xf>
    <xf numFmtId="164" fontId="24" fillId="0" borderId="18" xfId="2" applyFont="1" applyFill="1" applyBorder="1" applyAlignment="1">
      <alignment horizontal="right"/>
    </xf>
    <xf numFmtId="3" fontId="0" fillId="0" borderId="0" xfId="0" applyNumberFormat="1"/>
    <xf numFmtId="169" fontId="0" fillId="0" borderId="0" xfId="5" applyNumberFormat="1" applyFont="1" applyFill="1"/>
    <xf numFmtId="169" fontId="0" fillId="0" borderId="0" xfId="0" applyNumberFormat="1"/>
    <xf numFmtId="0" fontId="15" fillId="0" borderId="0" xfId="0" applyFont="1" applyAlignment="1">
      <alignment horizontal="left" vertical="center" indent="3"/>
    </xf>
    <xf numFmtId="0" fontId="23" fillId="0" borderId="18" xfId="0" applyFont="1" applyBorder="1" applyAlignment="1">
      <alignment horizontal="center"/>
    </xf>
    <xf numFmtId="171" fontId="0" fillId="0" borderId="0" xfId="0" applyNumberFormat="1"/>
    <xf numFmtId="0" fontId="20" fillId="0" borderId="0" xfId="0" applyFont="1" applyAlignment="1">
      <alignment horizontal="left" vertical="center" indent="3"/>
    </xf>
    <xf numFmtId="0" fontId="23" fillId="0" borderId="18" xfId="0" applyFont="1" applyBorder="1" applyAlignment="1">
      <alignment horizontal="center" wrapText="1"/>
    </xf>
    <xf numFmtId="0" fontId="24" fillId="0" borderId="18" xfId="0" applyFont="1" applyBorder="1" applyAlignment="1">
      <alignment horizontal="left"/>
    </xf>
    <xf numFmtId="3" fontId="24" fillId="0" borderId="18" xfId="0" applyNumberFormat="1" applyFont="1" applyBorder="1"/>
    <xf numFmtId="3" fontId="23" fillId="0" borderId="18" xfId="0" applyNumberFormat="1" applyFont="1" applyBorder="1"/>
    <xf numFmtId="0" fontId="32" fillId="0" borderId="0" xfId="0" applyFont="1"/>
    <xf numFmtId="169" fontId="23" fillId="0" borderId="18" xfId="5" applyNumberFormat="1" applyFont="1" applyBorder="1" applyAlignment="1">
      <alignment horizontal="right"/>
    </xf>
    <xf numFmtId="168" fontId="24" fillId="0" borderId="18" xfId="5" applyFont="1" applyBorder="1" applyAlignment="1">
      <alignment horizontal="right"/>
    </xf>
    <xf numFmtId="0" fontId="0" fillId="0" borderId="0" xfId="0" applyAlignment="1">
      <alignment horizontal="right"/>
    </xf>
    <xf numFmtId="168" fontId="0" fillId="0" borderId="0" xfId="5" applyFont="1"/>
    <xf numFmtId="0" fontId="24" fillId="0" borderId="16" xfId="0" applyFont="1" applyBorder="1"/>
    <xf numFmtId="2" fontId="23" fillId="0" borderId="1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3"/>
    </xf>
    <xf numFmtId="164" fontId="0" fillId="0" borderId="0" xfId="2" applyFont="1" applyFill="1"/>
    <xf numFmtId="164" fontId="23" fillId="0" borderId="18" xfId="2" applyFont="1" applyFill="1" applyBorder="1" applyAlignment="1">
      <alignment horizontal="right"/>
    </xf>
    <xf numFmtId="164" fontId="0" fillId="0" borderId="18" xfId="2" applyFont="1" applyFill="1" applyBorder="1"/>
    <xf numFmtId="0" fontId="0" fillId="0" borderId="18" xfId="0" applyBorder="1"/>
    <xf numFmtId="0" fontId="24" fillId="0" borderId="16" xfId="0" applyFont="1" applyBorder="1" applyAlignment="1">
      <alignment horizontal="left" vertical="center"/>
    </xf>
    <xf numFmtId="49" fontId="24" fillId="0" borderId="18" xfId="0" applyNumberFormat="1" applyFont="1" applyBorder="1"/>
    <xf numFmtId="164" fontId="23" fillId="0" borderId="15" xfId="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41" xfId="0" applyFont="1" applyBorder="1"/>
    <xf numFmtId="0" fontId="23" fillId="0" borderId="43" xfId="0" applyFont="1" applyBorder="1"/>
    <xf numFmtId="0" fontId="24" fillId="0" borderId="42" xfId="0" applyFont="1" applyBorder="1"/>
    <xf numFmtId="0" fontId="32" fillId="0" borderId="0" xfId="0" applyFont="1" applyAlignment="1">
      <alignment horizontal="left" vertical="center" indent="2"/>
    </xf>
    <xf numFmtId="164" fontId="26" fillId="0" borderId="18" xfId="2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/>
    </xf>
    <xf numFmtId="164" fontId="27" fillId="0" borderId="18" xfId="2" applyFont="1" applyFill="1" applyBorder="1" applyAlignment="1">
      <alignment horizontal="right" vertical="center"/>
    </xf>
    <xf numFmtId="4" fontId="35" fillId="0" borderId="0" xfId="0" applyNumberFormat="1" applyFont="1"/>
    <xf numFmtId="169" fontId="26" fillId="0" borderId="18" xfId="5" applyNumberFormat="1" applyFont="1" applyBorder="1" applyAlignment="1">
      <alignment horizontal="right" vertical="center"/>
    </xf>
    <xf numFmtId="164" fontId="26" fillId="0" borderId="18" xfId="2" applyFont="1" applyBorder="1" applyAlignment="1">
      <alignment horizontal="right" vertical="center"/>
    </xf>
    <xf numFmtId="172" fontId="36" fillId="0" borderId="0" xfId="0" applyNumberFormat="1" applyFont="1"/>
    <xf numFmtId="0" fontId="36" fillId="0" borderId="0" xfId="0" applyFont="1"/>
    <xf numFmtId="169" fontId="36" fillId="0" borderId="0" xfId="5" applyNumberFormat="1" applyFont="1"/>
    <xf numFmtId="169" fontId="37" fillId="0" borderId="0" xfId="5" applyNumberFormat="1" applyFont="1"/>
    <xf numFmtId="169" fontId="0" fillId="0" borderId="0" xfId="5" applyNumberFormat="1" applyFont="1"/>
    <xf numFmtId="164" fontId="0" fillId="0" borderId="0" xfId="2" applyFont="1"/>
    <xf numFmtId="0" fontId="24" fillId="0" borderId="18" xfId="0" applyFont="1" applyBorder="1" applyAlignment="1">
      <alignment horizontal="left" vertical="center"/>
    </xf>
    <xf numFmtId="169" fontId="24" fillId="0" borderId="18" xfId="5" applyNumberFormat="1" applyFont="1" applyFill="1" applyBorder="1" applyAlignment="1">
      <alignment horizontal="right" vertical="center"/>
    </xf>
    <xf numFmtId="164" fontId="24" fillId="0" borderId="18" xfId="2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23" fillId="0" borderId="18" xfId="0" applyNumberFormat="1" applyFont="1" applyBorder="1" applyAlignment="1">
      <alignment horizontal="right" vertical="center"/>
    </xf>
    <xf numFmtId="164" fontId="23" fillId="0" borderId="18" xfId="2" applyFont="1" applyFill="1" applyBorder="1" applyAlignment="1">
      <alignment horizontal="right" vertical="center"/>
    </xf>
    <xf numFmtId="169" fontId="0" fillId="0" borderId="0" xfId="0" applyNumberFormat="1" applyAlignment="1">
      <alignment vertical="center"/>
    </xf>
    <xf numFmtId="0" fontId="38" fillId="0" borderId="0" xfId="0" applyFont="1"/>
    <xf numFmtId="0" fontId="29" fillId="0" borderId="0" xfId="0" applyFont="1"/>
    <xf numFmtId="3" fontId="24" fillId="0" borderId="18" xfId="0" applyNumberFormat="1" applyFont="1" applyBorder="1" applyAlignment="1">
      <alignment horizontal="center"/>
    </xf>
    <xf numFmtId="3" fontId="23" fillId="0" borderId="18" xfId="0" applyNumberFormat="1" applyFont="1" applyBorder="1" applyAlignment="1">
      <alignment horizontal="center"/>
    </xf>
    <xf numFmtId="0" fontId="40" fillId="0" borderId="0" xfId="0" applyFont="1"/>
    <xf numFmtId="0" fontId="39" fillId="0" borderId="20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164" fontId="23" fillId="0" borderId="18" xfId="2" applyFont="1" applyFill="1" applyBorder="1"/>
    <xf numFmtId="164" fontId="24" fillId="0" borderId="18" xfId="2" applyFont="1" applyFill="1" applyBorder="1" applyAlignment="1">
      <alignment horizontal="center"/>
    </xf>
    <xf numFmtId="0" fontId="24" fillId="0" borderId="5" xfId="0" applyFont="1" applyBorder="1"/>
    <xf numFmtId="164" fontId="23" fillId="0" borderId="18" xfId="2" applyFont="1" applyFill="1" applyBorder="1" applyAlignment="1">
      <alignment horizontal="center"/>
    </xf>
    <xf numFmtId="164" fontId="19" fillId="0" borderId="18" xfId="2" applyFont="1" applyFill="1" applyBorder="1"/>
    <xf numFmtId="164" fontId="0" fillId="0" borderId="0" xfId="0" applyNumberFormat="1"/>
    <xf numFmtId="0" fontId="40" fillId="0" borderId="0" xfId="0" applyFont="1" applyBorder="1"/>
    <xf numFmtId="0" fontId="0" fillId="0" borderId="0" xfId="0" applyBorder="1"/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4" fontId="24" fillId="0" borderId="18" xfId="2" applyFont="1" applyBorder="1" applyAlignment="1">
      <alignment horizontal="center"/>
    </xf>
    <xf numFmtId="164" fontId="23" fillId="0" borderId="18" xfId="2" applyFont="1" applyBorder="1" applyAlignment="1">
      <alignment horizontal="center"/>
    </xf>
    <xf numFmtId="0" fontId="0" fillId="0" borderId="0" xfId="0" applyAlignment="1"/>
    <xf numFmtId="0" fontId="16" fillId="0" borderId="0" xfId="0" applyFont="1" applyAlignment="1">
      <alignment vertical="center" wrapText="1"/>
    </xf>
    <xf numFmtId="3" fontId="13" fillId="0" borderId="0" xfId="2" applyNumberFormat="1" applyFont="1" applyFill="1" applyAlignment="1">
      <alignment horizontal="right"/>
    </xf>
    <xf numFmtId="164" fontId="13" fillId="0" borderId="0" xfId="0" applyNumberFormat="1" applyFont="1"/>
    <xf numFmtId="0" fontId="24" fillId="0" borderId="0" xfId="0" applyFont="1" applyAlignment="1">
      <alignment horizontal="left"/>
    </xf>
    <xf numFmtId="0" fontId="47" fillId="0" borderId="0" xfId="13" quotePrefix="1" applyFont="1" applyBorder="1" applyAlignment="1">
      <alignment horizontal="left"/>
    </xf>
    <xf numFmtId="0" fontId="46" fillId="0" borderId="44" xfId="13" applyBorder="1" applyAlignment="1">
      <alignment horizontal="center" vertical="center"/>
    </xf>
    <xf numFmtId="0" fontId="24" fillId="0" borderId="45" xfId="0" applyFont="1" applyBorder="1"/>
    <xf numFmtId="0" fontId="24" fillId="0" borderId="46" xfId="0" applyFont="1" applyBorder="1"/>
    <xf numFmtId="0" fontId="46" fillId="0" borderId="5" xfId="13" applyBorder="1" applyAlignment="1">
      <alignment horizontal="center"/>
    </xf>
    <xf numFmtId="0" fontId="24" fillId="0" borderId="26" xfId="0" applyFont="1" applyBorder="1"/>
    <xf numFmtId="0" fontId="46" fillId="0" borderId="5" xfId="13" quotePrefix="1" applyBorder="1" applyAlignment="1">
      <alignment horizontal="center"/>
    </xf>
    <xf numFmtId="0" fontId="17" fillId="3" borderId="26" xfId="0" applyFont="1" applyFill="1" applyBorder="1" applyAlignment="1">
      <alignment vertical="center"/>
    </xf>
    <xf numFmtId="0" fontId="47" fillId="0" borderId="5" xfId="13" quotePrefix="1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24" fillId="0" borderId="28" xfId="0" applyFont="1" applyBorder="1"/>
    <xf numFmtId="0" fontId="48" fillId="0" borderId="0" xfId="0" applyFont="1" applyAlignment="1">
      <alignment horizontal="center" vertical="center"/>
    </xf>
    <xf numFmtId="0" fontId="24" fillId="4" borderId="0" xfId="0" applyFont="1" applyFill="1" applyAlignment="1">
      <alignment horizontal="left"/>
    </xf>
    <xf numFmtId="0" fontId="24" fillId="4" borderId="0" xfId="0" applyFont="1" applyFill="1"/>
    <xf numFmtId="14" fontId="45" fillId="5" borderId="0" xfId="0" applyNumberFormat="1" applyFont="1" applyFill="1"/>
    <xf numFmtId="0" fontId="23" fillId="0" borderId="0" xfId="0" applyFont="1" applyAlignment="1">
      <alignment horizontal="right"/>
    </xf>
    <xf numFmtId="0" fontId="23" fillId="0" borderId="18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164" fontId="27" fillId="0" borderId="18" xfId="2" applyFont="1" applyFill="1" applyBorder="1" applyAlignment="1">
      <alignment horizontal="center"/>
    </xf>
    <xf numFmtId="164" fontId="27" fillId="0" borderId="18" xfId="2" applyFont="1" applyBorder="1" applyAlignment="1">
      <alignment horizontal="right"/>
    </xf>
    <xf numFmtId="164" fontId="27" fillId="0" borderId="18" xfId="2" applyFont="1" applyBorder="1" applyAlignment="1"/>
    <xf numFmtId="169" fontId="26" fillId="0" borderId="18" xfId="5" applyNumberFormat="1" applyFont="1" applyBorder="1" applyAlignment="1">
      <alignment horizontal="right"/>
    </xf>
    <xf numFmtId="0" fontId="28" fillId="0" borderId="18" xfId="2" applyNumberFormat="1" applyFont="1" applyFill="1" applyBorder="1" applyAlignment="1">
      <alignment horizontal="right"/>
    </xf>
    <xf numFmtId="169" fontId="28" fillId="0" borderId="18" xfId="2" applyNumberFormat="1" applyFont="1" applyFill="1" applyBorder="1" applyAlignment="1">
      <alignment horizontal="right" vertical="center"/>
    </xf>
    <xf numFmtId="3" fontId="26" fillId="0" borderId="18" xfId="0" applyNumberFormat="1" applyFont="1" applyBorder="1" applyAlignment="1">
      <alignment horizontal="right"/>
    </xf>
    <xf numFmtId="164" fontId="23" fillId="0" borderId="18" xfId="2" applyFont="1" applyBorder="1" applyAlignment="1">
      <alignment horizontal="right"/>
    </xf>
    <xf numFmtId="164" fontId="24" fillId="0" borderId="18" xfId="2" applyFont="1" applyBorder="1" applyAlignment="1">
      <alignment horizontal="right"/>
    </xf>
    <xf numFmtId="164" fontId="24" fillId="0" borderId="18" xfId="2" applyFont="1" applyBorder="1" applyAlignment="1"/>
    <xf numFmtId="164" fontId="24" fillId="0" borderId="18" xfId="2" applyFont="1" applyFill="1" applyBorder="1" applyAlignment="1"/>
    <xf numFmtId="168" fontId="0" fillId="0" borderId="0" xfId="0" applyNumberFormat="1"/>
    <xf numFmtId="0" fontId="46" fillId="0" borderId="0" xfId="13" quotePrefix="1"/>
    <xf numFmtId="169" fontId="24" fillId="0" borderId="18" xfId="0" applyNumberFormat="1" applyFont="1" applyBorder="1" applyAlignment="1">
      <alignment horizontal="right"/>
    </xf>
    <xf numFmtId="0" fontId="26" fillId="0" borderId="0" xfId="0" applyFont="1" applyBorder="1"/>
    <xf numFmtId="169" fontId="23" fillId="0" borderId="0" xfId="5" applyNumberFormat="1" applyFont="1" applyBorder="1" applyAlignment="1">
      <alignment horizontal="right"/>
    </xf>
    <xf numFmtId="168" fontId="24" fillId="0" borderId="0" xfId="5" applyFont="1" applyBorder="1" applyAlignment="1">
      <alignment horizontal="right"/>
    </xf>
    <xf numFmtId="169" fontId="23" fillId="0" borderId="18" xfId="0" applyNumberFormat="1" applyFont="1" applyBorder="1" applyAlignment="1">
      <alignment horizontal="right"/>
    </xf>
    <xf numFmtId="164" fontId="50" fillId="3" borderId="18" xfId="2" applyFont="1" applyFill="1" applyBorder="1" applyAlignment="1">
      <alignment horizontal="left"/>
    </xf>
    <xf numFmtId="3" fontId="24" fillId="0" borderId="18" xfId="0" applyNumberFormat="1" applyFont="1" applyBorder="1" applyAlignment="1">
      <alignment horizontal="left"/>
    </xf>
    <xf numFmtId="14" fontId="24" fillId="0" borderId="18" xfId="0" applyNumberFormat="1" applyFont="1" applyBorder="1" applyAlignment="1">
      <alignment horizontal="right"/>
    </xf>
    <xf numFmtId="0" fontId="46" fillId="0" borderId="0" xfId="13" quotePrefix="1" applyAlignment="1">
      <alignment vertical="center"/>
    </xf>
    <xf numFmtId="3" fontId="23" fillId="0" borderId="18" xfId="0" applyNumberFormat="1" applyFont="1" applyBorder="1" applyAlignment="1"/>
    <xf numFmtId="164" fontId="23" fillId="0" borderId="18" xfId="0" applyNumberFormat="1" applyFont="1" applyBorder="1"/>
    <xf numFmtId="164" fontId="24" fillId="0" borderId="18" xfId="2" applyFont="1" applyBorder="1"/>
    <xf numFmtId="0" fontId="46" fillId="0" borderId="0" xfId="13" quotePrefix="1" applyAlignment="1"/>
    <xf numFmtId="14" fontId="23" fillId="0" borderId="18" xfId="0" applyNumberFormat="1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0" fontId="28" fillId="0" borderId="24" xfId="0" applyFont="1" applyBorder="1" applyAlignment="1">
      <alignment horizontal="right"/>
    </xf>
    <xf numFmtId="169" fontId="28" fillId="0" borderId="24" xfId="0" applyNumberFormat="1" applyFont="1" applyBorder="1" applyAlignment="1">
      <alignment horizontal="right" vertical="center"/>
    </xf>
    <xf numFmtId="0" fontId="28" fillId="0" borderId="44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48" xfId="0" applyFont="1" applyBorder="1" applyAlignment="1">
      <alignment horizontal="right"/>
    </xf>
    <xf numFmtId="169" fontId="28" fillId="0" borderId="48" xfId="0" applyNumberFormat="1" applyFont="1" applyBorder="1" applyAlignment="1">
      <alignment horizontal="right" vertical="center"/>
    </xf>
    <xf numFmtId="0" fontId="46" fillId="0" borderId="5" xfId="13" quotePrefix="1" applyBorder="1" applyAlignment="1">
      <alignment horizontal="center" vertical="center"/>
    </xf>
    <xf numFmtId="0" fontId="51" fillId="0" borderId="0" xfId="0" applyFont="1"/>
    <xf numFmtId="0" fontId="52" fillId="0" borderId="5" xfId="13" quotePrefix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53" fillId="0" borderId="16" xfId="0" applyFont="1" applyBorder="1"/>
    <xf numFmtId="166" fontId="54" fillId="0" borderId="3" xfId="1" applyNumberFormat="1" applyFont="1" applyBorder="1" applyAlignment="1">
      <alignment horizontal="center" vertical="center" wrapText="1"/>
    </xf>
    <xf numFmtId="0" fontId="54" fillId="0" borderId="5" xfId="0" applyFont="1" applyBorder="1"/>
    <xf numFmtId="164" fontId="53" fillId="0" borderId="50" xfId="2" applyFont="1" applyBorder="1" applyAlignment="1"/>
    <xf numFmtId="164" fontId="53" fillId="0" borderId="51" xfId="2" applyFont="1" applyBorder="1" applyAlignment="1"/>
    <xf numFmtId="0" fontId="53" fillId="0" borderId="5" xfId="0" applyFont="1" applyBorder="1"/>
    <xf numFmtId="164" fontId="53" fillId="0" borderId="4" xfId="2" applyFont="1" applyBorder="1" applyAlignment="1"/>
    <xf numFmtId="164" fontId="53" fillId="0" borderId="5" xfId="2" applyFont="1" applyBorder="1" applyAlignment="1"/>
    <xf numFmtId="166" fontId="53" fillId="0" borderId="5" xfId="2" applyNumberFormat="1" applyFont="1" applyBorder="1" applyAlignment="1"/>
    <xf numFmtId="0" fontId="17" fillId="0" borderId="5" xfId="0" applyFont="1" applyBorder="1"/>
    <xf numFmtId="164" fontId="18" fillId="0" borderId="5" xfId="2" applyFont="1" applyBorder="1" applyAlignment="1"/>
    <xf numFmtId="166" fontId="18" fillId="0" borderId="5" xfId="2" applyNumberFormat="1" applyFont="1" applyBorder="1" applyAlignment="1"/>
    <xf numFmtId="164" fontId="17" fillId="0" borderId="7" xfId="3" applyFont="1" applyBorder="1" applyAlignment="1"/>
    <xf numFmtId="166" fontId="17" fillId="0" borderId="7" xfId="2" applyNumberFormat="1" applyFont="1" applyBorder="1" applyAlignment="1"/>
    <xf numFmtId="0" fontId="18" fillId="0" borderId="5" xfId="0" applyFont="1" applyBorder="1"/>
    <xf numFmtId="164" fontId="17" fillId="0" borderId="5" xfId="2" applyFont="1" applyBorder="1" applyAlignment="1"/>
    <xf numFmtId="166" fontId="17" fillId="0" borderId="5" xfId="2" applyNumberFormat="1" applyFont="1" applyBorder="1" applyAlignment="1"/>
    <xf numFmtId="164" fontId="17" fillId="0" borderId="5" xfId="3" applyFont="1" applyBorder="1" applyAlignment="1"/>
    <xf numFmtId="0" fontId="55" fillId="0" borderId="5" xfId="0" applyFont="1" applyBorder="1"/>
    <xf numFmtId="164" fontId="55" fillId="0" borderId="5" xfId="2" applyFont="1" applyBorder="1" applyAlignment="1"/>
    <xf numFmtId="166" fontId="55" fillId="0" borderId="5" xfId="2" applyNumberFormat="1" applyFont="1" applyBorder="1" applyAlignment="1"/>
    <xf numFmtId="164" fontId="54" fillId="0" borderId="52" xfId="3" applyFont="1" applyBorder="1" applyAlignment="1"/>
    <xf numFmtId="0" fontId="53" fillId="0" borderId="0" xfId="0" applyFont="1"/>
    <xf numFmtId="3" fontId="56" fillId="0" borderId="0" xfId="0" applyNumberFormat="1" applyFont="1" applyProtection="1">
      <protection locked="0" hidden="1"/>
    </xf>
    <xf numFmtId="3" fontId="53" fillId="0" borderId="0" xfId="0" applyNumberFormat="1" applyFont="1" applyProtection="1">
      <protection locked="0" hidden="1"/>
    </xf>
    <xf numFmtId="0" fontId="57" fillId="0" borderId="0" xfId="0" applyFont="1"/>
    <xf numFmtId="0" fontId="18" fillId="0" borderId="0" xfId="0" applyFont="1"/>
    <xf numFmtId="164" fontId="18" fillId="0" borderId="0" xfId="0" applyNumberFormat="1" applyFont="1"/>
    <xf numFmtId="0" fontId="58" fillId="0" borderId="0" xfId="0" applyFont="1"/>
    <xf numFmtId="0" fontId="53" fillId="0" borderId="53" xfId="0" applyFont="1" applyBorder="1"/>
    <xf numFmtId="0" fontId="54" fillId="0" borderId="59" xfId="0" applyFont="1" applyBorder="1" applyAlignment="1">
      <alignment horizontal="center" vertical="center"/>
    </xf>
    <xf numFmtId="0" fontId="54" fillId="0" borderId="60" xfId="0" applyFont="1" applyBorder="1" applyAlignment="1">
      <alignment horizontal="center" vertical="center"/>
    </xf>
    <xf numFmtId="0" fontId="54" fillId="0" borderId="61" xfId="0" applyFont="1" applyBorder="1" applyAlignment="1">
      <alignment horizontal="center" vertical="center"/>
    </xf>
    <xf numFmtId="0" fontId="54" fillId="0" borderId="62" xfId="0" applyFont="1" applyBorder="1" applyAlignment="1">
      <alignment horizontal="center" vertical="center"/>
    </xf>
    <xf numFmtId="0" fontId="54" fillId="0" borderId="63" xfId="0" applyFont="1" applyBorder="1" applyAlignment="1">
      <alignment horizontal="center"/>
    </xf>
    <xf numFmtId="0" fontId="54" fillId="0" borderId="64" xfId="0" applyFont="1" applyBorder="1" applyAlignment="1">
      <alignment horizontal="center" wrapText="1"/>
    </xf>
    <xf numFmtId="0" fontId="54" fillId="0" borderId="65" xfId="0" applyFont="1" applyBorder="1" applyAlignment="1">
      <alignment horizontal="center"/>
    </xf>
    <xf numFmtId="0" fontId="54" fillId="0" borderId="64" xfId="0" applyFont="1" applyBorder="1" applyAlignment="1">
      <alignment horizontal="center"/>
    </xf>
    <xf numFmtId="0" fontId="54" fillId="0" borderId="65" xfId="0" applyFont="1" applyBorder="1" applyAlignment="1">
      <alignment horizontal="center" wrapText="1"/>
    </xf>
    <xf numFmtId="166" fontId="53" fillId="0" borderId="66" xfId="1" applyNumberFormat="1" applyFont="1" applyBorder="1"/>
    <xf numFmtId="173" fontId="53" fillId="0" borderId="67" xfId="1" applyNumberFormat="1" applyFont="1" applyBorder="1"/>
    <xf numFmtId="173" fontId="53" fillId="0" borderId="68" xfId="1" applyNumberFormat="1" applyFont="1" applyBorder="1"/>
    <xf numFmtId="173" fontId="53" fillId="0" borderId="67" xfId="1" applyNumberFormat="1" applyFont="1" applyBorder="1" applyAlignment="1">
      <alignment horizontal="right"/>
    </xf>
    <xf numFmtId="173" fontId="53" fillId="0" borderId="68" xfId="1" applyNumberFormat="1" applyFont="1" applyBorder="1" applyAlignment="1">
      <alignment horizontal="right"/>
    </xf>
    <xf numFmtId="173" fontId="53" fillId="0" borderId="69" xfId="1" applyNumberFormat="1" applyFont="1" applyBorder="1" applyAlignment="1">
      <alignment horizontal="right"/>
    </xf>
    <xf numFmtId="173" fontId="54" fillId="0" borderId="67" xfId="1" applyNumberFormat="1" applyFont="1" applyBorder="1" applyAlignment="1">
      <alignment horizontal="right"/>
    </xf>
    <xf numFmtId="164" fontId="54" fillId="0" borderId="67" xfId="2" applyFont="1" applyBorder="1" applyAlignment="1">
      <alignment horizontal="right"/>
    </xf>
    <xf numFmtId="166" fontId="59" fillId="0" borderId="66" xfId="1" applyNumberFormat="1" applyFont="1" applyBorder="1"/>
    <xf numFmtId="173" fontId="53" fillId="0" borderId="70" xfId="1" applyNumberFormat="1" applyFont="1" applyBorder="1" applyAlignment="1">
      <alignment horizontal="right"/>
    </xf>
    <xf numFmtId="173" fontId="53" fillId="0" borderId="71" xfId="1" applyNumberFormat="1" applyFont="1" applyBorder="1" applyAlignment="1">
      <alignment horizontal="right"/>
    </xf>
    <xf numFmtId="173" fontId="53" fillId="0" borderId="4" xfId="1" applyNumberFormat="1" applyFont="1" applyBorder="1" applyAlignment="1">
      <alignment horizontal="right"/>
    </xf>
    <xf numFmtId="164" fontId="54" fillId="0" borderId="67" xfId="3" applyFont="1" applyBorder="1" applyAlignment="1">
      <alignment horizontal="right"/>
    </xf>
    <xf numFmtId="164" fontId="53" fillId="0" borderId="71" xfId="3" applyFont="1" applyBorder="1" applyAlignment="1">
      <alignment horizontal="right"/>
    </xf>
    <xf numFmtId="166" fontId="53" fillId="0" borderId="72" xfId="1" applyNumberFormat="1" applyFont="1" applyBorder="1"/>
    <xf numFmtId="173" fontId="53" fillId="0" borderId="73" xfId="1" applyNumberFormat="1" applyFont="1" applyBorder="1" applyAlignment="1">
      <alignment horizontal="right"/>
    </xf>
    <xf numFmtId="173" fontId="53" fillId="0" borderId="74" xfId="1" applyNumberFormat="1" applyFont="1" applyBorder="1" applyAlignment="1">
      <alignment horizontal="right"/>
    </xf>
    <xf numFmtId="173" fontId="53" fillId="0" borderId="66" xfId="1" applyNumberFormat="1" applyFont="1" applyBorder="1" applyAlignment="1">
      <alignment horizontal="right"/>
    </xf>
    <xf numFmtId="173" fontId="53" fillId="0" borderId="0" xfId="1" applyNumberFormat="1" applyFont="1" applyAlignment="1">
      <alignment horizontal="right"/>
    </xf>
    <xf numFmtId="0" fontId="54" fillId="0" borderId="63" xfId="0" applyFont="1" applyBorder="1"/>
    <xf numFmtId="164" fontId="54" fillId="0" borderId="75" xfId="3" applyFont="1" applyBorder="1" applyAlignment="1">
      <alignment horizontal="right"/>
    </xf>
    <xf numFmtId="164" fontId="54" fillId="0" borderId="76" xfId="3" applyFont="1" applyBorder="1" applyAlignment="1">
      <alignment horizontal="right"/>
    </xf>
    <xf numFmtId="164" fontId="17" fillId="0" borderId="76" xfId="3" applyFont="1" applyBorder="1" applyAlignment="1">
      <alignment horizontal="right"/>
    </xf>
    <xf numFmtId="164" fontId="54" fillId="0" borderId="73" xfId="3" applyFont="1" applyBorder="1" applyAlignment="1">
      <alignment horizontal="right"/>
    </xf>
    <xf numFmtId="164" fontId="54" fillId="0" borderId="72" xfId="3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5"/>
    </xf>
    <xf numFmtId="0" fontId="15" fillId="0" borderId="0" xfId="0" applyFont="1" applyAlignment="1">
      <alignment horizontal="justify" vertical="center"/>
    </xf>
    <xf numFmtId="0" fontId="61" fillId="0" borderId="0" xfId="0" applyFont="1" applyAlignment="1">
      <alignment horizontal="justify" vertical="center"/>
    </xf>
    <xf numFmtId="0" fontId="15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justify" vertical="center"/>
    </xf>
    <xf numFmtId="168" fontId="0" fillId="0" borderId="18" xfId="0" applyNumberFormat="1" applyBorder="1"/>
    <xf numFmtId="0" fontId="62" fillId="0" borderId="0" xfId="0" applyFont="1" applyAlignment="1">
      <alignment vertical="center"/>
    </xf>
    <xf numFmtId="0" fontId="6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4" fontId="24" fillId="0" borderId="18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vertical="center"/>
    </xf>
    <xf numFmtId="168" fontId="24" fillId="0" borderId="18" xfId="1" applyNumberFormat="1" applyFont="1" applyBorder="1" applyAlignment="1">
      <alignment horizontal="center" vertical="center"/>
    </xf>
    <xf numFmtId="0" fontId="24" fillId="0" borderId="18" xfId="1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3" fontId="18" fillId="0" borderId="18" xfId="0" applyNumberFormat="1" applyFont="1" applyBorder="1" applyAlignment="1">
      <alignment vertical="center"/>
    </xf>
    <xf numFmtId="3" fontId="23" fillId="0" borderId="18" xfId="0" applyNumberFormat="1" applyFont="1" applyBorder="1" applyAlignment="1">
      <alignment horizontal="center" vertical="center"/>
    </xf>
    <xf numFmtId="3" fontId="24" fillId="0" borderId="18" xfId="1" applyNumberFormat="1" applyFont="1" applyBorder="1" applyAlignment="1">
      <alignment horizontal="center" vertical="center"/>
    </xf>
    <xf numFmtId="165" fontId="24" fillId="0" borderId="18" xfId="1" applyFont="1" applyBorder="1" applyAlignment="1">
      <alignment horizontal="center" vertical="center"/>
    </xf>
    <xf numFmtId="0" fontId="23" fillId="0" borderId="16" xfId="0" applyFont="1" applyBorder="1" applyAlignment="1">
      <alignment horizontal="center" wrapText="1"/>
    </xf>
    <xf numFmtId="0" fontId="24" fillId="0" borderId="18" xfId="0" applyFont="1" applyBorder="1" applyAlignment="1">
      <alignment wrapText="1"/>
    </xf>
    <xf numFmtId="168" fontId="0" fillId="0" borderId="18" xfId="0" applyNumberFormat="1" applyBorder="1" applyAlignment="1">
      <alignment horizontal="center" vertical="center"/>
    </xf>
    <xf numFmtId="168" fontId="24" fillId="0" borderId="18" xfId="1" applyNumberFormat="1" applyFont="1" applyBorder="1" applyAlignment="1">
      <alignment horizontal="right"/>
    </xf>
    <xf numFmtId="0" fontId="46" fillId="0" borderId="5" xfId="13" applyBorder="1" applyAlignment="1">
      <alignment horizontal="center" vertical="center"/>
    </xf>
    <xf numFmtId="164" fontId="18" fillId="0" borderId="15" xfId="2" applyFont="1" applyFill="1" applyBorder="1" applyAlignment="1">
      <alignment vertical="center"/>
    </xf>
    <xf numFmtId="164" fontId="28" fillId="0" borderId="24" xfId="2" applyFont="1" applyBorder="1" applyAlignment="1">
      <alignment vertical="center"/>
    </xf>
    <xf numFmtId="164" fontId="28" fillId="0" borderId="48" xfId="2" applyFont="1" applyBorder="1" applyAlignment="1">
      <alignment vertical="center"/>
    </xf>
    <xf numFmtId="164" fontId="27" fillId="0" borderId="18" xfId="2" applyFont="1" applyBorder="1" applyAlignment="1">
      <alignment vertical="center"/>
    </xf>
    <xf numFmtId="0" fontId="23" fillId="0" borderId="18" xfId="0" applyFont="1" applyBorder="1" applyAlignment="1">
      <alignment horizontal="center"/>
    </xf>
    <xf numFmtId="172" fontId="19" fillId="0" borderId="18" xfId="0" applyNumberFormat="1" applyFont="1" applyBorder="1" applyAlignment="1">
      <alignment horizontal="center"/>
    </xf>
    <xf numFmtId="174" fontId="24" fillId="0" borderId="18" xfId="2" applyNumberFormat="1" applyFont="1" applyBorder="1" applyAlignment="1">
      <alignment horizontal="center" vertical="center"/>
    </xf>
    <xf numFmtId="164" fontId="27" fillId="0" borderId="18" xfId="2" applyFont="1" applyBorder="1" applyAlignment="1">
      <alignment horizontal="left" vertical="top"/>
    </xf>
    <xf numFmtId="0" fontId="6" fillId="0" borderId="59" xfId="0" applyFont="1" applyBorder="1" applyAlignment="1">
      <alignment horizontal="left"/>
    </xf>
    <xf numFmtId="166" fontId="8" fillId="0" borderId="77" xfId="1" applyNumberFormat="1" applyFont="1" applyFill="1" applyBorder="1" applyAlignment="1">
      <alignment horizontal="center" wrapText="1"/>
    </xf>
    <xf numFmtId="164" fontId="9" fillId="0" borderId="78" xfId="2" applyFont="1" applyFill="1" applyBorder="1" applyAlignment="1">
      <alignment horizontal="right"/>
    </xf>
    <xf numFmtId="164" fontId="10" fillId="0" borderId="78" xfId="2" applyFont="1" applyFill="1" applyBorder="1" applyAlignment="1">
      <alignment horizontal="right"/>
    </xf>
    <xf numFmtId="164" fontId="7" fillId="0" borderId="79" xfId="2" applyFont="1" applyFill="1" applyBorder="1" applyAlignment="1">
      <alignment horizontal="right"/>
    </xf>
    <xf numFmtId="164" fontId="9" fillId="0" borderId="79" xfId="2" applyFont="1" applyFill="1" applyBorder="1" applyAlignment="1">
      <alignment horizontal="right"/>
    </xf>
    <xf numFmtId="164" fontId="10" fillId="0" borderId="80" xfId="2" applyFont="1" applyFill="1" applyBorder="1" applyAlignment="1">
      <alignment horizontal="right"/>
    </xf>
    <xf numFmtId="164" fontId="7" fillId="0" borderId="78" xfId="2" applyFont="1" applyFill="1" applyBorder="1" applyAlignment="1">
      <alignment horizontal="right"/>
    </xf>
    <xf numFmtId="0" fontId="7" fillId="0" borderId="81" xfId="0" applyFont="1" applyBorder="1"/>
    <xf numFmtId="164" fontId="7" fillId="0" borderId="80" xfId="2" applyFont="1" applyFill="1" applyBorder="1" applyAlignment="1">
      <alignment horizontal="right"/>
    </xf>
    <xf numFmtId="0" fontId="7" fillId="0" borderId="80" xfId="0" applyFont="1" applyBorder="1"/>
    <xf numFmtId="0" fontId="3" fillId="0" borderId="82" xfId="0" applyFont="1" applyBorder="1"/>
    <xf numFmtId="0" fontId="3" fillId="0" borderId="81" xfId="0" applyFont="1" applyBorder="1"/>
    <xf numFmtId="0" fontId="6" fillId="0" borderId="59" xfId="0" applyFont="1" applyBorder="1"/>
    <xf numFmtId="0" fontId="13" fillId="0" borderId="59" xfId="0" applyFont="1" applyBorder="1"/>
    <xf numFmtId="3" fontId="13" fillId="0" borderId="59" xfId="0" applyNumberFormat="1" applyFont="1" applyBorder="1"/>
    <xf numFmtId="0" fontId="14" fillId="0" borderId="82" xfId="0" applyFont="1" applyBorder="1"/>
    <xf numFmtId="3" fontId="13" fillId="0" borderId="82" xfId="0" applyNumberFormat="1" applyFont="1" applyBorder="1"/>
    <xf numFmtId="164" fontId="13" fillId="0" borderId="82" xfId="2" applyFont="1" applyFill="1" applyBorder="1" applyAlignment="1">
      <alignment horizontal="right"/>
    </xf>
    <xf numFmtId="49" fontId="13" fillId="0" borderId="82" xfId="0" applyNumberFormat="1" applyFont="1" applyBorder="1"/>
    <xf numFmtId="164" fontId="13" fillId="0" borderId="59" xfId="2" applyFont="1" applyFill="1" applyBorder="1" applyAlignment="1">
      <alignment horizontal="right"/>
    </xf>
    <xf numFmtId="164" fontId="36" fillId="0" borderId="0" xfId="2" applyFont="1"/>
    <xf numFmtId="169" fontId="26" fillId="0" borderId="0" xfId="0" applyNumberFormat="1" applyFont="1" applyAlignment="1">
      <alignment vertical="center"/>
    </xf>
    <xf numFmtId="169" fontId="24" fillId="0" borderId="0" xfId="0" applyNumberFormat="1" applyFont="1" applyAlignment="1">
      <alignment vertical="center"/>
    </xf>
    <xf numFmtId="0" fontId="53" fillId="0" borderId="80" xfId="0" applyFont="1" applyBorder="1"/>
    <xf numFmtId="0" fontId="23" fillId="0" borderId="18" xfId="0" applyFont="1" applyBorder="1" applyAlignment="1">
      <alignment horizontal="center"/>
    </xf>
    <xf numFmtId="164" fontId="27" fillId="0" borderId="18" xfId="2" applyFont="1" applyBorder="1" applyAlignment="1">
      <alignment horizontal="right" vertical="center"/>
    </xf>
    <xf numFmtId="0" fontId="24" fillId="0" borderId="18" xfId="0" applyFont="1" applyBorder="1" applyAlignment="1">
      <alignment horizontal="right" vertical="center"/>
    </xf>
    <xf numFmtId="0" fontId="24" fillId="0" borderId="18" xfId="0" applyFont="1" applyBorder="1" applyAlignment="1">
      <alignment horizontal="right"/>
    </xf>
    <xf numFmtId="164" fontId="29" fillId="0" borderId="0" xfId="2" applyFont="1"/>
    <xf numFmtId="164" fontId="24" fillId="0" borderId="18" xfId="2" applyFont="1" applyBorder="1" applyAlignment="1">
      <alignment horizontal="right" vertical="center"/>
    </xf>
    <xf numFmtId="164" fontId="0" fillId="0" borderId="0" xfId="2" applyFont="1" applyFill="1" applyAlignment="1">
      <alignment vertical="center"/>
    </xf>
    <xf numFmtId="14" fontId="14" fillId="0" borderId="59" xfId="2" applyNumberFormat="1" applyFont="1" applyFill="1" applyBorder="1" applyAlignment="1">
      <alignment horizontal="center"/>
    </xf>
    <xf numFmtId="164" fontId="45" fillId="0" borderId="0" xfId="3" applyFont="1"/>
    <xf numFmtId="166" fontId="45" fillId="0" borderId="0" xfId="0" applyNumberFormat="1" applyFont="1"/>
    <xf numFmtId="0" fontId="54" fillId="0" borderId="54" xfId="0" applyFont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54" fillId="0" borderId="58" xfId="0" applyFont="1" applyBorder="1" applyAlignment="1">
      <alignment horizontal="center" vertical="center"/>
    </xf>
    <xf numFmtId="14" fontId="23" fillId="0" borderId="18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170" fontId="26" fillId="0" borderId="18" xfId="1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6" fillId="0" borderId="0" xfId="13" quotePrefix="1" applyBorder="1" applyAlignment="1">
      <alignment horizontal="center"/>
    </xf>
    <xf numFmtId="0" fontId="46" fillId="0" borderId="0" xfId="13" applyBorder="1" applyAlignment="1">
      <alignment horizontal="center"/>
    </xf>
  </cellXfs>
  <cellStyles count="16">
    <cellStyle name="Énfasis2 2" xfId="7" xr:uid="{00000000-0005-0000-0000-000000000000}"/>
    <cellStyle name="Excel Built-in Normal" xfId="15" xr:uid="{00000000-0005-0000-0000-000001000000}"/>
    <cellStyle name="Hipervínculo" xfId="13" builtinId="8"/>
    <cellStyle name="Millares" xfId="1" builtinId="3"/>
    <cellStyle name="Millares [0]" xfId="2" builtinId="6"/>
    <cellStyle name="Millares [0] 2" xfId="3" xr:uid="{00000000-0005-0000-0000-000005000000}"/>
    <cellStyle name="Millares [0] 2 2" xfId="12" xr:uid="{00000000-0005-0000-0000-000006000000}"/>
    <cellStyle name="Millares [0] 3" xfId="11" xr:uid="{00000000-0005-0000-0000-000007000000}"/>
    <cellStyle name="Millares 2" xfId="5" xr:uid="{00000000-0005-0000-0000-000008000000}"/>
    <cellStyle name="Millares 2 2" xfId="14" xr:uid="{00000000-0005-0000-0000-000009000000}"/>
    <cellStyle name="Millares 4" xfId="9" xr:uid="{00000000-0005-0000-0000-00000A000000}"/>
    <cellStyle name="Normal" xfId="0" builtinId="0"/>
    <cellStyle name="Normal 2" xfId="4" xr:uid="{00000000-0005-0000-0000-00000C000000}"/>
    <cellStyle name="Normal 4" xfId="6" xr:uid="{00000000-0005-0000-0000-00000D000000}"/>
    <cellStyle name="Porcentaje 2" xfId="8" xr:uid="{00000000-0005-0000-0000-00000E000000}"/>
    <cellStyle name="Porcentaje 3" xfId="10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38100</xdr:rowOff>
    </xdr:from>
    <xdr:ext cx="1019175" cy="713226"/>
    <xdr:pic>
      <xdr:nvPicPr>
        <xdr:cNvPr id="2" name="Imagen 1">
          <a:extLst>
            <a:ext uri="{FF2B5EF4-FFF2-40B4-BE49-F238E27FC236}">
              <a16:creationId xmlns:a16="http://schemas.microsoft.com/office/drawing/2014/main" id="{78E21AD3-0189-5848-A755-BE885EEB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1019175" cy="71322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17C11E68/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C:/Users/ROCIO-INV/Desktop/Informe%201er%20Semestre%2006-2018/Res%20173%20INVESTOR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Users/Pavilion/OneDrive/Desktop/SP/INVESTOR%20INFORME%20TRIMESTRAL/MARZO%202020/EEFF%20VERSION%20SADY/Copia%20de%202.%20EEFF%20AL%2031.03.20%20FINAL_Plantil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Users/claudia.davalos/Desktop/Archivos%20Balance%20Investor/Copia%20de%20ResoL.%20INVESTOR%20173%20%2012-2018%20-%20modificado%20por%20S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D - DISPONIBILIDADES"/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ENTOS Y CTAS A PAGA"/>
      <sheetName val="NOTAS M-Q ACREEDORES CTO PLAZO"/>
      <sheetName val="NOTA R SALDOS Y TRANSACCIONES "/>
      <sheetName val="NOTA S RESULTADOS CON PERSONAS"/>
      <sheetName val=" NOTA T PATRIMONIO"/>
      <sheetName val="NOTA V INGRESOS OPERATIVOS"/>
      <sheetName val="NOTA W OTROS GASTOS OPERATIVOS"/>
      <sheetName val="NOTA X OTROS INGRESOS Y EGRESOS"/>
      <sheetName val="NOTA Y RESULTADOS FINANCIEROS"/>
      <sheetName val="NOTA Z RESULT EXTRAORD"/>
      <sheetName val="NOTA 6 INFORMACION REFERENTE"/>
      <sheetName val="2018 (2)"/>
    </sheetNames>
    <sheetDataSet>
      <sheetData sheetId="0" refreshError="1"/>
      <sheetData sheetId="1" refreshError="1"/>
      <sheetData sheetId="2">
        <row r="12">
          <cell r="D12">
            <v>4583268116</v>
          </cell>
          <cell r="E12">
            <v>1579903842</v>
          </cell>
        </row>
        <row r="54">
          <cell r="G54">
            <v>24288000001</v>
          </cell>
        </row>
        <row r="55">
          <cell r="G55">
            <v>0</v>
          </cell>
        </row>
        <row r="58">
          <cell r="G58">
            <v>1122244552</v>
          </cell>
        </row>
        <row r="59">
          <cell r="G59">
            <v>946670</v>
          </cell>
        </row>
        <row r="60">
          <cell r="G60">
            <v>0</v>
          </cell>
        </row>
        <row r="65">
          <cell r="G65">
            <v>0</v>
          </cell>
        </row>
        <row r="66">
          <cell r="G66">
            <v>1906615354</v>
          </cell>
        </row>
        <row r="67">
          <cell r="H67">
            <v>2781090643</v>
          </cell>
        </row>
        <row r="68">
          <cell r="G68">
            <v>27317806577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3">
          <cell r="B63">
            <v>-2226879814</v>
          </cell>
        </row>
        <row r="64">
          <cell r="B64">
            <v>207931795</v>
          </cell>
        </row>
        <row r="66">
          <cell r="B66">
            <v>-440015406</v>
          </cell>
        </row>
        <row r="67">
          <cell r="B67">
            <v>7321872881</v>
          </cell>
        </row>
        <row r="68">
          <cell r="B68">
            <v>0</v>
          </cell>
        </row>
        <row r="72">
          <cell r="B72">
            <v>0</v>
          </cell>
        </row>
        <row r="73">
          <cell r="B73">
            <v>-50929793</v>
          </cell>
        </row>
        <row r="74">
          <cell r="B74">
            <v>-1785735128</v>
          </cell>
        </row>
        <row r="84">
          <cell r="B84">
            <v>-114014081</v>
          </cell>
        </row>
        <row r="86">
          <cell r="B86">
            <v>0</v>
          </cell>
        </row>
        <row r="91">
          <cell r="C91">
            <v>1671037663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Jun_18"/>
      <sheetName val="CR Sistema_Jun_18"/>
      <sheetName val="activo pasivo"/>
      <sheetName val="Flujos de efectivo"/>
      <sheetName val="2018"/>
      <sheetName val="Balance General Resol 950"/>
      <sheetName val="Estado de Resultados Resol 950"/>
      <sheetName val="estado de resultado modificado"/>
      <sheetName val="Estado de Resultados Resol  (2)"/>
      <sheetName val="Balance General Resol 950 (2)"/>
      <sheetName val="Estado variacion PN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">
          <cell r="C18" t="str">
            <v>Documentos y  Cuentas a Cobrar</v>
          </cell>
        </row>
        <row r="21">
          <cell r="C21" t="str">
            <v>Cuentas por Cobrar a Personas y Emp. Relacionadas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Users\sadypereira\OneDrive%20-%20Inpositiva\Investor%20SA\Contabilidad\Balances%20Impositivos%20Anuales%20y%20DDJJ\BALANCE%20SEMESTRAL%20plantilla.dot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00000"/>
  </sheetPr>
  <dimension ref="A1:T69"/>
  <sheetViews>
    <sheetView showGridLines="0" topLeftCell="B53" zoomScale="150" workbookViewId="0">
      <selection activeCell="D58" sqref="D58"/>
    </sheetView>
  </sheetViews>
  <sheetFormatPr baseColWidth="10" defaultColWidth="11.28515625" defaultRowHeight="12.75"/>
  <cols>
    <col min="1" max="1" width="21.28515625" style="132" bestFit="1" customWidth="1"/>
    <col min="2" max="2" width="10.140625" style="132" bestFit="1" customWidth="1"/>
    <col min="3" max="3" width="43.85546875" style="132" customWidth="1"/>
    <col min="4" max="4" width="32.7109375" style="238" customWidth="1"/>
    <col min="5" max="5" width="49.85546875" style="132" bestFit="1" customWidth="1"/>
    <col min="6" max="6" width="6.7109375" style="132" bestFit="1" customWidth="1"/>
    <col min="7" max="16384" width="11.28515625" style="132"/>
  </cols>
  <sheetData>
    <row r="1" spans="1:20">
      <c r="B1" s="257"/>
      <c r="C1" s="2" t="s">
        <v>0</v>
      </c>
      <c r="D1" s="132"/>
    </row>
    <row r="2" spans="1:20">
      <c r="C2" s="2" t="s">
        <v>525</v>
      </c>
      <c r="S2" s="132">
        <v>1</v>
      </c>
      <c r="T2" s="132" t="s">
        <v>487</v>
      </c>
    </row>
    <row r="3" spans="1:20">
      <c r="S3" s="132">
        <v>2</v>
      </c>
      <c r="T3" s="132" t="s">
        <v>486</v>
      </c>
    </row>
    <row r="4" spans="1:20">
      <c r="S4" s="132">
        <v>3</v>
      </c>
      <c r="T4" s="132" t="s">
        <v>485</v>
      </c>
    </row>
    <row r="5" spans="1:20">
      <c r="S5" s="132">
        <v>4</v>
      </c>
      <c r="T5" s="132" t="s">
        <v>484</v>
      </c>
    </row>
    <row r="6" spans="1:20">
      <c r="A6" s="257" t="s">
        <v>483</v>
      </c>
      <c r="B6" s="256">
        <v>44012</v>
      </c>
      <c r="S6" s="132">
        <v>5</v>
      </c>
      <c r="T6" s="132" t="s">
        <v>482</v>
      </c>
    </row>
    <row r="7" spans="1:20" ht="12.75" hidden="1" customHeight="1">
      <c r="A7" s="255"/>
      <c r="B7" s="255"/>
      <c r="C7" s="255"/>
      <c r="D7" s="254"/>
      <c r="S7" s="132">
        <v>6</v>
      </c>
      <c r="T7" s="132" t="s">
        <v>481</v>
      </c>
    </row>
    <row r="8" spans="1:20">
      <c r="A8" s="253"/>
      <c r="S8" s="132">
        <v>7</v>
      </c>
      <c r="T8" s="132" t="s">
        <v>480</v>
      </c>
    </row>
    <row r="9" spans="1:20" ht="26.25" customHeight="1">
      <c r="B9" s="252"/>
      <c r="C9" s="251" t="s">
        <v>479</v>
      </c>
      <c r="D9" s="250" t="s">
        <v>478</v>
      </c>
      <c r="S9" s="132">
        <v>8</v>
      </c>
      <c r="T9" s="132" t="s">
        <v>477</v>
      </c>
    </row>
    <row r="10" spans="1:20" ht="26.25" customHeight="1">
      <c r="B10" s="246" t="s">
        <v>561</v>
      </c>
      <c r="C10" s="287"/>
      <c r="D10" s="393" t="s">
        <v>728</v>
      </c>
    </row>
    <row r="11" spans="1:20" ht="26.25" customHeight="1">
      <c r="B11" s="244"/>
      <c r="C11" s="287"/>
      <c r="D11" s="248"/>
    </row>
    <row r="12" spans="1:20" ht="26.25" customHeight="1">
      <c r="B12" s="246" t="s">
        <v>560</v>
      </c>
      <c r="C12" s="249"/>
      <c r="D12" s="248"/>
      <c r="S12" s="132">
        <v>9</v>
      </c>
      <c r="T12" s="132" t="s">
        <v>476</v>
      </c>
    </row>
    <row r="13" spans="1:20" ht="15">
      <c r="A13" s="238"/>
      <c r="B13" s="244"/>
      <c r="C13" s="132" t="s">
        <v>473</v>
      </c>
      <c r="D13" s="245" t="s">
        <v>501</v>
      </c>
      <c r="S13" s="132">
        <v>10</v>
      </c>
      <c r="T13" s="132" t="s">
        <v>475</v>
      </c>
    </row>
    <row r="14" spans="1:20" ht="15">
      <c r="A14" s="238"/>
      <c r="B14" s="244"/>
      <c r="C14" s="132" t="s">
        <v>512</v>
      </c>
      <c r="D14" s="245" t="s">
        <v>510</v>
      </c>
      <c r="S14" s="132">
        <v>11</v>
      </c>
      <c r="T14" s="132" t="s">
        <v>474</v>
      </c>
    </row>
    <row r="15" spans="1:20" ht="15">
      <c r="A15" s="238"/>
      <c r="B15" s="244"/>
      <c r="C15" s="132" t="s">
        <v>513</v>
      </c>
      <c r="D15" s="245" t="s">
        <v>515</v>
      </c>
    </row>
    <row r="16" spans="1:20" ht="15">
      <c r="A16" s="238"/>
      <c r="B16" s="244"/>
      <c r="C16" s="132" t="s">
        <v>514</v>
      </c>
      <c r="D16" s="245" t="s">
        <v>510</v>
      </c>
    </row>
    <row r="17" spans="1:20" ht="15">
      <c r="A17" s="238"/>
      <c r="B17" s="244"/>
      <c r="C17" s="132" t="s">
        <v>516</v>
      </c>
      <c r="D17" s="245" t="s">
        <v>517</v>
      </c>
    </row>
    <row r="18" spans="1:20" ht="15">
      <c r="A18" s="238"/>
      <c r="B18" s="244"/>
      <c r="C18" s="132" t="s">
        <v>518</v>
      </c>
      <c r="D18" s="245" t="s">
        <v>519</v>
      </c>
    </row>
    <row r="19" spans="1:20" ht="15">
      <c r="A19" s="238"/>
      <c r="B19" s="244"/>
      <c r="C19" s="132" t="s">
        <v>520</v>
      </c>
      <c r="D19" s="245" t="s">
        <v>521</v>
      </c>
    </row>
    <row r="20" spans="1:20" ht="15">
      <c r="A20" s="238"/>
      <c r="B20" s="244"/>
      <c r="C20" s="132" t="s">
        <v>522</v>
      </c>
      <c r="D20" s="245"/>
    </row>
    <row r="21" spans="1:20" ht="15">
      <c r="A21" s="238"/>
      <c r="B21" s="244"/>
      <c r="C21" s="132" t="s">
        <v>523</v>
      </c>
      <c r="D21" s="245"/>
    </row>
    <row r="22" spans="1:20" ht="15">
      <c r="A22" s="238"/>
      <c r="B22" s="244"/>
      <c r="C22" s="132" t="s">
        <v>524</v>
      </c>
      <c r="D22" s="245"/>
    </row>
    <row r="23" spans="1:20" ht="15">
      <c r="A23" s="238"/>
      <c r="B23" s="244"/>
      <c r="D23" s="245"/>
    </row>
    <row r="24" spans="1:20" ht="15">
      <c r="A24" s="238"/>
      <c r="B24" s="246" t="s">
        <v>559</v>
      </c>
      <c r="D24" s="243"/>
      <c r="S24" s="132">
        <v>12</v>
      </c>
      <c r="T24" s="132" t="s">
        <v>472</v>
      </c>
    </row>
    <row r="25" spans="1:20">
      <c r="A25" s="238"/>
      <c r="B25" s="244"/>
    </row>
    <row r="26" spans="1:20" ht="15">
      <c r="A26" s="238"/>
      <c r="B26" s="244"/>
      <c r="C26" s="300" t="s">
        <v>528</v>
      </c>
      <c r="D26" s="245" t="s">
        <v>526</v>
      </c>
    </row>
    <row r="27" spans="1:20" ht="15">
      <c r="A27" s="238"/>
      <c r="B27" s="244"/>
      <c r="C27" s="300" t="s">
        <v>529</v>
      </c>
      <c r="D27" s="245" t="s">
        <v>526</v>
      </c>
    </row>
    <row r="28" spans="1:20" ht="15">
      <c r="A28" s="238"/>
      <c r="B28" s="244"/>
      <c r="C28" s="300" t="s">
        <v>530</v>
      </c>
      <c r="D28" s="245" t="s">
        <v>526</v>
      </c>
    </row>
    <row r="29" spans="1:20" ht="15">
      <c r="A29" s="238"/>
      <c r="B29" s="244"/>
      <c r="C29" s="300" t="s">
        <v>531</v>
      </c>
      <c r="D29" s="245" t="s">
        <v>526</v>
      </c>
    </row>
    <row r="30" spans="1:20">
      <c r="A30" s="238"/>
      <c r="B30" s="244"/>
      <c r="C30" s="300" t="s">
        <v>532</v>
      </c>
      <c r="D30" s="247"/>
    </row>
    <row r="31" spans="1:20" ht="15">
      <c r="A31" s="238"/>
      <c r="B31" s="244"/>
      <c r="C31" s="132" t="s">
        <v>533</v>
      </c>
      <c r="D31" s="299" t="s">
        <v>527</v>
      </c>
    </row>
    <row r="32" spans="1:20" ht="15">
      <c r="A32" s="238"/>
      <c r="B32" s="244"/>
      <c r="C32" s="132" t="s">
        <v>534</v>
      </c>
      <c r="D32" s="299" t="s">
        <v>527</v>
      </c>
    </row>
    <row r="33" spans="1:4" ht="15">
      <c r="A33" s="238"/>
      <c r="B33" s="244"/>
      <c r="C33" s="132" t="s">
        <v>535</v>
      </c>
      <c r="D33" s="299" t="s">
        <v>527</v>
      </c>
    </row>
    <row r="34" spans="1:4" ht="15">
      <c r="A34" s="238"/>
      <c r="B34" s="244"/>
      <c r="C34" s="132" t="s">
        <v>536</v>
      </c>
      <c r="D34" s="245" t="s">
        <v>571</v>
      </c>
    </row>
    <row r="35" spans="1:4" ht="15">
      <c r="A35" s="238"/>
      <c r="B35" s="244"/>
      <c r="C35" s="132" t="s">
        <v>537</v>
      </c>
      <c r="D35" s="245" t="s">
        <v>572</v>
      </c>
    </row>
    <row r="36" spans="1:4" ht="15">
      <c r="A36" s="238"/>
      <c r="B36" s="244"/>
      <c r="C36" s="132" t="s">
        <v>538</v>
      </c>
      <c r="D36" s="245" t="s">
        <v>573</v>
      </c>
    </row>
    <row r="37" spans="1:4" ht="15">
      <c r="A37" s="238"/>
      <c r="B37" s="244"/>
      <c r="C37" s="132" t="s">
        <v>539</v>
      </c>
      <c r="D37" s="245" t="s">
        <v>574</v>
      </c>
    </row>
    <row r="38" spans="1:4" ht="15">
      <c r="A38" s="238"/>
      <c r="B38" s="244"/>
      <c r="C38" s="132" t="s">
        <v>540</v>
      </c>
      <c r="D38" s="245" t="s">
        <v>575</v>
      </c>
    </row>
    <row r="39" spans="1:4" ht="15">
      <c r="A39" s="238"/>
      <c r="B39" s="244"/>
      <c r="C39" s="132" t="s">
        <v>541</v>
      </c>
      <c r="D39" s="245" t="s">
        <v>576</v>
      </c>
    </row>
    <row r="40" spans="1:4" ht="15">
      <c r="A40" s="238"/>
      <c r="B40" s="244"/>
      <c r="C40" s="132" t="s">
        <v>542</v>
      </c>
      <c r="D40" s="272" t="s">
        <v>577</v>
      </c>
    </row>
    <row r="41" spans="1:4" ht="15">
      <c r="A41" s="238"/>
      <c r="B41" s="244"/>
      <c r="C41" s="132" t="s">
        <v>543</v>
      </c>
      <c r="D41" s="245" t="s">
        <v>578</v>
      </c>
    </row>
    <row r="42" spans="1:4" ht="15">
      <c r="A42" s="238"/>
      <c r="B42" s="244"/>
      <c r="C42" s="132" t="s">
        <v>544</v>
      </c>
      <c r="D42" s="245" t="s">
        <v>579</v>
      </c>
    </row>
    <row r="43" spans="1:4" ht="15">
      <c r="A43" s="238"/>
      <c r="B43" s="244"/>
      <c r="C43" s="132" t="s">
        <v>545</v>
      </c>
      <c r="D43" s="245" t="s">
        <v>580</v>
      </c>
    </row>
    <row r="44" spans="1:4" ht="15">
      <c r="A44" s="238"/>
      <c r="B44" s="244"/>
      <c r="C44" s="132" t="s">
        <v>546</v>
      </c>
      <c r="D44" s="245" t="s">
        <v>580</v>
      </c>
    </row>
    <row r="45" spans="1:4" ht="15">
      <c r="A45" s="238"/>
      <c r="B45" s="244"/>
      <c r="C45" s="132" t="s">
        <v>547</v>
      </c>
      <c r="D45" s="245" t="s">
        <v>580</v>
      </c>
    </row>
    <row r="46" spans="1:4" ht="15">
      <c r="A46" s="238"/>
      <c r="B46" s="244"/>
      <c r="C46" s="132" t="s">
        <v>548</v>
      </c>
      <c r="D46" s="245" t="s">
        <v>580</v>
      </c>
    </row>
    <row r="47" spans="1:4" ht="15">
      <c r="A47" s="238"/>
      <c r="B47" s="244"/>
      <c r="C47" s="132" t="s">
        <v>549</v>
      </c>
      <c r="D47" s="245" t="s">
        <v>580</v>
      </c>
    </row>
    <row r="48" spans="1:4" ht="15">
      <c r="A48" s="238"/>
      <c r="B48" s="244"/>
      <c r="C48" s="132" t="s">
        <v>550</v>
      </c>
      <c r="D48" s="245" t="s">
        <v>581</v>
      </c>
    </row>
    <row r="49" spans="1:4" ht="15">
      <c r="A49" s="238"/>
      <c r="B49" s="244"/>
      <c r="C49" s="132" t="s">
        <v>551</v>
      </c>
      <c r="D49" s="245" t="s">
        <v>582</v>
      </c>
    </row>
    <row r="50" spans="1:4" ht="15">
      <c r="A50" s="238"/>
      <c r="B50" s="244"/>
      <c r="C50" s="132" t="s">
        <v>552</v>
      </c>
      <c r="D50" s="245" t="s">
        <v>583</v>
      </c>
    </row>
    <row r="51" spans="1:4" ht="15">
      <c r="A51" s="238"/>
      <c r="B51" s="244"/>
      <c r="C51" s="132" t="s">
        <v>553</v>
      </c>
      <c r="D51" s="245" t="s">
        <v>583</v>
      </c>
    </row>
    <row r="52" spans="1:4" ht="15">
      <c r="A52" s="238"/>
      <c r="B52" s="244"/>
      <c r="C52" s="132" t="s">
        <v>554</v>
      </c>
      <c r="D52" s="245" t="s">
        <v>584</v>
      </c>
    </row>
    <row r="53" spans="1:4" ht="15">
      <c r="A53" s="238"/>
      <c r="B53" s="246"/>
      <c r="C53" s="132" t="s">
        <v>555</v>
      </c>
      <c r="D53" s="245" t="s">
        <v>585</v>
      </c>
    </row>
    <row r="54" spans="1:4" ht="15">
      <c r="A54" s="238"/>
      <c r="B54" s="244"/>
      <c r="C54" s="132" t="s">
        <v>556</v>
      </c>
      <c r="D54" s="245" t="s">
        <v>586</v>
      </c>
    </row>
    <row r="55" spans="1:4" ht="15">
      <c r="A55" s="238"/>
      <c r="B55" s="244"/>
      <c r="C55" s="132" t="s">
        <v>557</v>
      </c>
      <c r="D55" s="245" t="s">
        <v>587</v>
      </c>
    </row>
    <row r="56" spans="1:4" ht="15">
      <c r="A56" s="238"/>
      <c r="B56" s="244"/>
      <c r="C56" s="132" t="s">
        <v>558</v>
      </c>
      <c r="D56" s="245" t="s">
        <v>588</v>
      </c>
    </row>
    <row r="57" spans="1:4" ht="15">
      <c r="A57" s="238"/>
      <c r="B57" s="244"/>
      <c r="D57" s="245"/>
    </row>
    <row r="58" spans="1:4" ht="15">
      <c r="A58" s="238"/>
      <c r="B58" s="244"/>
      <c r="C58" s="300" t="s">
        <v>562</v>
      </c>
      <c r="D58" s="301" t="s">
        <v>589</v>
      </c>
    </row>
    <row r="59" spans="1:4" ht="15">
      <c r="A59" s="238"/>
      <c r="B59" s="244"/>
      <c r="C59" s="132" t="s">
        <v>563</v>
      </c>
      <c r="D59" s="245"/>
    </row>
    <row r="60" spans="1:4" ht="15">
      <c r="A60" s="238"/>
      <c r="B60" s="244"/>
      <c r="C60" s="132" t="s">
        <v>564</v>
      </c>
      <c r="D60" s="245"/>
    </row>
    <row r="61" spans="1:4" ht="15">
      <c r="A61" s="238"/>
      <c r="B61" s="244"/>
      <c r="C61" s="132" t="s">
        <v>565</v>
      </c>
      <c r="D61" s="245"/>
    </row>
    <row r="62" spans="1:4" ht="15">
      <c r="A62" s="238"/>
      <c r="B62" s="244"/>
      <c r="C62" s="132" t="s">
        <v>566</v>
      </c>
      <c r="D62" s="245"/>
    </row>
    <row r="63" spans="1:4" ht="15">
      <c r="A63" s="238"/>
      <c r="B63" s="244"/>
      <c r="C63" s="132" t="s">
        <v>568</v>
      </c>
      <c r="D63" s="245"/>
    </row>
    <row r="64" spans="1:4" ht="15">
      <c r="A64" s="238"/>
      <c r="B64" s="244"/>
      <c r="C64" s="132" t="s">
        <v>567</v>
      </c>
      <c r="D64" s="245"/>
    </row>
    <row r="65" spans="1:4" ht="15">
      <c r="A65" s="238"/>
      <c r="B65" s="244"/>
      <c r="C65" s="132" t="s">
        <v>569</v>
      </c>
      <c r="D65" s="245"/>
    </row>
    <row r="66" spans="1:4" ht="15">
      <c r="A66" s="238"/>
      <c r="B66" s="244"/>
      <c r="C66" s="132" t="s">
        <v>570</v>
      </c>
      <c r="D66" s="245"/>
    </row>
    <row r="67" spans="1:4" ht="15">
      <c r="A67" s="238"/>
      <c r="B67" s="244"/>
      <c r="D67" s="245"/>
    </row>
    <row r="68" spans="1:4" ht="15">
      <c r="A68" s="238"/>
      <c r="B68" s="242"/>
      <c r="C68" s="241"/>
      <c r="D68" s="240"/>
    </row>
    <row r="69" spans="1:4" ht="21" customHeight="1">
      <c r="A69" s="142"/>
      <c r="D69" s="239"/>
    </row>
  </sheetData>
  <hyperlinks>
    <hyperlink ref="D13" location="'Balance Gral. Resol. 1'!A1" display="'Balance Gral. Resol. 1'!A1" xr:uid="{00000000-0004-0000-0000-000000000000}"/>
    <hyperlink ref="D14" location="'Estado de Resultado Resol. 1'!A1" display="'Estado de Resultado Resol. 1'!A1" xr:uid="{00000000-0004-0000-0000-000001000000}"/>
    <hyperlink ref="D15" location="'Flujo de Efectivo Resol. 950'!A1" display="'Flujo de Efectivo Resol. 950'!A1" xr:uid="{00000000-0004-0000-0000-000002000000}"/>
    <hyperlink ref="D16" location="'Estado de Resultado Resol. 1'!A1" display="'Estado de Resultado Resol. 1'!A1" xr:uid="{00000000-0004-0000-0000-000003000000}"/>
    <hyperlink ref="D17" location="'CALCULO DE IRACIS (2019)'!A1" display="'CALCULO DE IRACIS (2019)'!A1" xr:uid="{00000000-0004-0000-0000-000004000000}"/>
    <hyperlink ref="D18" location="'Balance Final 15'!A1" display="'Balance Final 15'!A1" xr:uid="{00000000-0004-0000-0000-000005000000}"/>
    <hyperlink ref="D19" location="'2018 (2)'!A1" display="'2018 (2)'!A1" xr:uid="{00000000-0004-0000-0000-000006000000}"/>
    <hyperlink ref="D31" location="'NOTA 5 A-C CRITERIOS ESPECIF.'!A1" display="'NOTA 5 A-C CRITERIOS ESPECIF.'!A1" xr:uid="{00000000-0004-0000-0000-000007000000}"/>
    <hyperlink ref="D32" location="'NOTA 5 A-C CRITERIOS ESPECIF.'!A1" display="'NOTA 5 A-C CRITERIOS ESPECIF.'!A1" xr:uid="{00000000-0004-0000-0000-000008000000}"/>
    <hyperlink ref="D33" location="'NOTA 5 A-C CRITERIOS ESPECIF.'!A1" display="'NOTA 5 A-C CRITERIOS ESPECIF.'!A1" xr:uid="{00000000-0004-0000-0000-000009000000}"/>
    <hyperlink ref="D34" location="'NOTA D - DISPONIBILIDADES'!A1" display="'NOTA D - DISPONIBILIDADES'!A1" xr:uid="{00000000-0004-0000-0000-00000A000000}"/>
    <hyperlink ref="D35" location="'NOTA E - INVERSIONES'!A1" display="'NOTA E - INVERSIONES'!A1" xr:uid="{00000000-0004-0000-0000-00000B000000}"/>
    <hyperlink ref="D36" location="'NOTA F - CREDITOS'!A1" display="'NOTA F - CREDITOS'!A1" xr:uid="{00000000-0004-0000-0000-00000C000000}"/>
    <hyperlink ref="D37" location="'NOTA G BIENES DE USO'!A1" display="'NOTA G BIENES DE USO'!A1" xr:uid="{00000000-0004-0000-0000-00000D000000}"/>
    <hyperlink ref="D38" location="'NOTA H CARGOS DIFERIDOS'!A1" display="'NOTA H CARGOS DIFERIDOS'!A1" xr:uid="{00000000-0004-0000-0000-00000E000000}"/>
    <hyperlink ref="D39" location="' NOTA I INTANGIBLES'!A1" display="' NOTA I INTANGIBLES'!A1" xr:uid="{00000000-0004-0000-0000-00000F000000}"/>
    <hyperlink ref="D40" location="'NOTA J OTROS ACTIVOS CTES Y NO '!A1" display="'NOTA J OTROS ACTIVOS CTES Y NO '!A1" xr:uid="{00000000-0004-0000-0000-000010000000}"/>
    <hyperlink ref="D41" location="'NOTA K PRESTAMOS'!A1" display="'NOTA K PRESTAMOS'!A1" xr:uid="{00000000-0004-0000-0000-000011000000}"/>
    <hyperlink ref="D42" location="'NOTA L DOCUMENTOS Y CTAS A PAGA'!A1" display="'NOTA L DOCUMENTOS Y CTAS A PAGA'!A1" xr:uid="{00000000-0004-0000-0000-000012000000}"/>
    <hyperlink ref="D43" location="'NOTAS M-Q ACREEDORES CTO PLAZO'!A1" display="'NOTAS M-Q ACREEDORES CTO PLAZO'!A1" xr:uid="{00000000-0004-0000-0000-000013000000}"/>
    <hyperlink ref="D44" location="'NOTAS M-Q ACREEDORES CTO PLAZO'!A1" display="'NOTAS M-Q ACREEDORES CTO PLAZO'!A1" xr:uid="{00000000-0004-0000-0000-000014000000}"/>
    <hyperlink ref="D45" location="'NOTAS M-Q ACREEDORES CTO PLAZO'!A1" display="'NOTAS M-Q ACREEDORES CTO PLAZO'!A1" xr:uid="{00000000-0004-0000-0000-000015000000}"/>
    <hyperlink ref="D46" location="'NOTAS M-Q ACREEDORES CTO PLAZO'!A1" display="'NOTAS M-Q ACREEDORES CTO PLAZO'!A1" xr:uid="{00000000-0004-0000-0000-000016000000}"/>
    <hyperlink ref="D47" location="'NOTAS M-Q ACREEDORES CTO PLAZO'!A1" display="'NOTAS M-Q ACREEDORES CTO PLAZO'!A1" xr:uid="{00000000-0004-0000-0000-000017000000}"/>
    <hyperlink ref="D48" location="'NOTA R SALDOS Y TRANSACCIONES '!A1" display="'NOTA R SALDOS Y TRANSACCIONES '!A1" xr:uid="{00000000-0004-0000-0000-000018000000}"/>
    <hyperlink ref="D49" location="'NOTA S RESULTADOS CON PERSONAS'!A1" display="'NOTA S RESULTADOS CON PERSONAS'!A1" xr:uid="{00000000-0004-0000-0000-000019000000}"/>
    <hyperlink ref="D50" location="' NOTA T PATRIMONIO'!A1" display="' NOTA T PATRIMONIO'!A1" xr:uid="{00000000-0004-0000-0000-00001A000000}"/>
    <hyperlink ref="D51" location="' NOTA T PATRIMONIO'!A1" display="' NOTA T PATRIMONIO'!A1" xr:uid="{00000000-0004-0000-0000-00001B000000}"/>
    <hyperlink ref="D52" location="'NOTA V INGRESOS OPERATIVOS'!A1" display="'NOTA V INGRESOS OPERATIVOS'!A1" xr:uid="{00000000-0004-0000-0000-00001C000000}"/>
    <hyperlink ref="D53" location="'NOTA W OTROS GASTOS OPERATIVOS'!A1" display="'NOTA W OTROS GASTOS OPERATIVOS'!A1" xr:uid="{00000000-0004-0000-0000-00001D000000}"/>
    <hyperlink ref="D54" location="'NOTA X OTROS INGRESOS Y EGRESOS'!A1" display="'NOTA X OTROS INGRESOS Y EGRESOS'!A1" xr:uid="{00000000-0004-0000-0000-00001E000000}"/>
    <hyperlink ref="D55" location="'NOTA Y RESULTADOS FINANCIEROS'!A1" display="'NOTA Y RESULTADOS FINANCIEROS'!A1" xr:uid="{00000000-0004-0000-0000-00001F000000}"/>
    <hyperlink ref="D56" location="'NOTA Z RESULT EXTRAORD'!A1" display="'NOTA Z RESULT EXTRAORD'!A1" xr:uid="{00000000-0004-0000-0000-000020000000}"/>
    <hyperlink ref="D58" location="'NOTA 6 INFORMACION REFERENTE'!A1" display="'NOTA 6 INFORMACION REFERENTE'!A1" xr:uid="{00000000-0004-0000-0000-000021000000}"/>
    <hyperlink ref="D26" location="'NOTA A LOS ESTADOS CONTA. 1-4'!A1" display="'NOTA A LOS ESTADOS CONTA. 1-4'!A1" xr:uid="{00000000-0004-0000-0000-000022000000}"/>
    <hyperlink ref="D27:D29" location="'NOTA A LOS ESTADOS CONTA. 1-4'!A1" display="'NOTA A LOS ESTADOS CONTA. 1-4'!A1" xr:uid="{00000000-0004-0000-0000-000023000000}"/>
    <hyperlink ref="D10" r:id="rId1" xr:uid="{00000000-0004-0000-0000-000024000000}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B3:H52"/>
  <sheetViews>
    <sheetView showGridLines="0" topLeftCell="A34" workbookViewId="0">
      <selection activeCell="B42" sqref="B8:D42"/>
    </sheetView>
  </sheetViews>
  <sheetFormatPr baseColWidth="10" defaultRowHeight="15"/>
  <cols>
    <col min="2" max="2" width="67.42578125" customWidth="1"/>
    <col min="3" max="3" width="14.42578125" bestFit="1" customWidth="1"/>
    <col min="4" max="4" width="22.85546875" bestFit="1" customWidth="1"/>
    <col min="6" max="6" width="13.28515625" bestFit="1" customWidth="1"/>
    <col min="7" max="7" width="14.140625" customWidth="1"/>
  </cols>
  <sheetData>
    <row r="3" spans="2:8">
      <c r="B3" s="81" t="s">
        <v>469</v>
      </c>
    </row>
    <row r="4" spans="2:8">
      <c r="B4" s="79"/>
    </row>
    <row r="5" spans="2:8" ht="25.5">
      <c r="B5" s="79" t="s">
        <v>729</v>
      </c>
    </row>
    <row r="8" spans="2:8">
      <c r="B8" s="443" t="s">
        <v>291</v>
      </c>
      <c r="C8" s="443"/>
      <c r="D8" s="443"/>
      <c r="E8" s="132"/>
      <c r="F8" s="132"/>
    </row>
    <row r="9" spans="2:8">
      <c r="B9" s="453" t="s">
        <v>292</v>
      </c>
      <c r="C9" s="454"/>
      <c r="D9" s="455"/>
      <c r="E9" s="132"/>
      <c r="F9" s="132"/>
    </row>
    <row r="10" spans="2:8" ht="25.5">
      <c r="B10" s="86" t="s">
        <v>243</v>
      </c>
      <c r="C10" s="86" t="s">
        <v>293</v>
      </c>
      <c r="D10" s="86" t="s">
        <v>294</v>
      </c>
      <c r="E10" s="133"/>
      <c r="F10" s="133"/>
      <c r="G10" s="134"/>
      <c r="H10" s="134"/>
    </row>
    <row r="11" spans="2:8">
      <c r="B11" s="135" t="s">
        <v>295</v>
      </c>
      <c r="C11" s="87">
        <v>459050969</v>
      </c>
      <c r="D11" s="136">
        <v>0</v>
      </c>
      <c r="E11" s="132"/>
      <c r="F11" s="132"/>
    </row>
    <row r="12" spans="2:8">
      <c r="B12" s="135" t="s">
        <v>296</v>
      </c>
      <c r="C12" s="87">
        <v>1275464217</v>
      </c>
      <c r="D12" s="136">
        <v>0</v>
      </c>
      <c r="E12" s="132"/>
      <c r="F12" s="132"/>
    </row>
    <row r="13" spans="2:8">
      <c r="B13" s="137" t="s">
        <v>730</v>
      </c>
      <c r="C13" s="89">
        <f>+C11+C12</f>
        <v>1734515186</v>
      </c>
      <c r="D13" s="136">
        <v>0</v>
      </c>
      <c r="E13" s="138"/>
      <c r="F13" s="139"/>
    </row>
    <row r="14" spans="2:8">
      <c r="B14" s="137" t="s">
        <v>774</v>
      </c>
      <c r="C14" s="89">
        <v>2454504298</v>
      </c>
      <c r="D14" s="267">
        <v>0</v>
      </c>
      <c r="E14" s="132"/>
      <c r="F14" s="132"/>
    </row>
    <row r="15" spans="2:8">
      <c r="B15" s="140"/>
      <c r="C15" s="141"/>
      <c r="D15" s="142"/>
      <c r="E15" s="132"/>
      <c r="F15" s="139"/>
    </row>
    <row r="16" spans="2:8">
      <c r="B16" s="443" t="str">
        <f>+'[4]Balance General Resol 950'!$C$18</f>
        <v>Documentos y  Cuentas a Cobrar</v>
      </c>
      <c r="C16" s="443"/>
      <c r="D16" s="443"/>
    </row>
    <row r="17" spans="2:7">
      <c r="B17" s="453" t="s">
        <v>292</v>
      </c>
      <c r="C17" s="454"/>
      <c r="D17" s="455"/>
    </row>
    <row r="18" spans="2:7" ht="25.5">
      <c r="B18" s="86" t="s">
        <v>243</v>
      </c>
      <c r="C18" s="86" t="s">
        <v>293</v>
      </c>
      <c r="D18" s="86" t="s">
        <v>294</v>
      </c>
    </row>
    <row r="19" spans="2:7">
      <c r="B19" s="135" t="s">
        <v>297</v>
      </c>
      <c r="C19" s="87">
        <v>892797700</v>
      </c>
      <c r="D19" s="136">
        <v>0</v>
      </c>
    </row>
    <row r="20" spans="2:7">
      <c r="B20" s="135" t="s">
        <v>298</v>
      </c>
      <c r="C20" s="268">
        <v>0</v>
      </c>
      <c r="D20" s="136">
        <v>0</v>
      </c>
    </row>
    <row r="21" spans="2:7">
      <c r="B21" s="135" t="s">
        <v>237</v>
      </c>
      <c r="C21" s="87">
        <v>253127771</v>
      </c>
      <c r="D21" s="136">
        <v>0</v>
      </c>
    </row>
    <row r="22" spans="2:7">
      <c r="B22" s="137" t="s">
        <v>730</v>
      </c>
      <c r="C22" s="89">
        <f>SUM(C19:C21)</f>
        <v>1145925471</v>
      </c>
      <c r="D22" s="136">
        <v>0</v>
      </c>
      <c r="F22" s="203"/>
      <c r="G22" s="203"/>
    </row>
    <row r="23" spans="2:7">
      <c r="B23" s="137" t="s">
        <v>774</v>
      </c>
      <c r="C23" s="89">
        <v>1292930691</v>
      </c>
      <c r="D23" s="136">
        <v>0</v>
      </c>
    </row>
    <row r="24" spans="2:7">
      <c r="B24" s="143"/>
      <c r="C24" s="144"/>
      <c r="D24" s="144"/>
    </row>
    <row r="25" spans="2:7">
      <c r="B25" s="443" t="str">
        <f>+'[4]Balance General Resol 950'!$C$21</f>
        <v>Cuentas por Cobrar a Personas y Emp. Relacionadas</v>
      </c>
      <c r="C25" s="443"/>
      <c r="D25" s="443"/>
    </row>
    <row r="26" spans="2:7">
      <c r="B26" s="453" t="s">
        <v>292</v>
      </c>
      <c r="C26" s="454"/>
      <c r="D26" s="455"/>
    </row>
    <row r="27" spans="2:7" ht="25.5">
      <c r="B27" s="86" t="s">
        <v>243</v>
      </c>
      <c r="C27" s="86" t="s">
        <v>293</v>
      </c>
      <c r="D27" s="86" t="s">
        <v>294</v>
      </c>
    </row>
    <row r="28" spans="2:7">
      <c r="B28" s="135" t="s">
        <v>299</v>
      </c>
      <c r="C28" s="87">
        <v>0</v>
      </c>
      <c r="D28" s="136">
        <v>0</v>
      </c>
      <c r="E28" s="145"/>
    </row>
    <row r="29" spans="2:7">
      <c r="B29" s="135" t="s">
        <v>300</v>
      </c>
      <c r="C29" s="269">
        <v>1592329205</v>
      </c>
      <c r="D29" s="136">
        <v>0</v>
      </c>
    </row>
    <row r="30" spans="2:7">
      <c r="B30" s="135" t="s">
        <v>301</v>
      </c>
      <c r="C30" s="269">
        <v>6956350</v>
      </c>
      <c r="D30" s="136">
        <v>0</v>
      </c>
    </row>
    <row r="31" spans="2:7">
      <c r="B31" s="135" t="s">
        <v>302</v>
      </c>
      <c r="C31" s="270">
        <v>0</v>
      </c>
      <c r="D31" s="136">
        <v>0</v>
      </c>
    </row>
    <row r="32" spans="2:7">
      <c r="B32" s="135" t="s">
        <v>303</v>
      </c>
      <c r="C32" s="270">
        <v>0</v>
      </c>
      <c r="D32" s="136">
        <v>0</v>
      </c>
    </row>
    <row r="33" spans="2:8">
      <c r="B33" s="135" t="s">
        <v>304</v>
      </c>
      <c r="C33" s="269">
        <v>0</v>
      </c>
      <c r="D33" s="136">
        <v>0</v>
      </c>
    </row>
    <row r="34" spans="2:8">
      <c r="B34" s="137" t="s">
        <v>730</v>
      </c>
      <c r="C34" s="89">
        <f>SUM(C28:C33)</f>
        <v>1599285555</v>
      </c>
      <c r="D34" s="136">
        <v>0</v>
      </c>
      <c r="F34" t="s">
        <v>305</v>
      </c>
    </row>
    <row r="35" spans="2:8">
      <c r="B35" s="137" t="s">
        <v>774</v>
      </c>
      <c r="C35" s="89">
        <v>546941922</v>
      </c>
      <c r="D35" s="136">
        <v>0</v>
      </c>
    </row>
    <row r="36" spans="2:8">
      <c r="B36" s="143"/>
      <c r="C36" s="146"/>
      <c r="D36" s="144"/>
    </row>
    <row r="37" spans="2:8">
      <c r="B37" s="443" t="s">
        <v>37</v>
      </c>
      <c r="C37" s="443"/>
      <c r="D37" s="443"/>
    </row>
    <row r="38" spans="2:8">
      <c r="B38" s="453" t="s">
        <v>292</v>
      </c>
      <c r="C38" s="454"/>
      <c r="D38" s="455"/>
    </row>
    <row r="39" spans="2:8" ht="25.5">
      <c r="B39" s="86" t="s">
        <v>243</v>
      </c>
      <c r="C39" s="86" t="s">
        <v>293</v>
      </c>
      <c r="D39" s="86" t="s">
        <v>294</v>
      </c>
    </row>
    <row r="40" spans="2:8">
      <c r="B40" s="135" t="s">
        <v>240</v>
      </c>
      <c r="C40" s="87">
        <v>10849315</v>
      </c>
      <c r="D40" s="136">
        <v>0</v>
      </c>
    </row>
    <row r="41" spans="2:8">
      <c r="B41" s="137" t="s">
        <v>730</v>
      </c>
      <c r="C41" s="267">
        <f>SUM(C39:C40)</f>
        <v>10849315</v>
      </c>
      <c r="D41" s="136">
        <v>0</v>
      </c>
    </row>
    <row r="42" spans="2:8">
      <c r="B42" s="137" t="s">
        <v>774</v>
      </c>
      <c r="C42" s="267">
        <v>0</v>
      </c>
      <c r="D42" s="180">
        <v>0</v>
      </c>
    </row>
    <row r="43" spans="2:8">
      <c r="B43" s="147"/>
    </row>
    <row r="44" spans="2:8">
      <c r="B44" s="147"/>
    </row>
    <row r="45" spans="2:8">
      <c r="B45" s="147"/>
    </row>
    <row r="46" spans="2:8" ht="15.75" thickBot="1">
      <c r="B46" s="147" t="s">
        <v>306</v>
      </c>
    </row>
    <row r="47" spans="2:8">
      <c r="B47" s="456" t="s">
        <v>255</v>
      </c>
      <c r="C47" s="456" t="s">
        <v>307</v>
      </c>
      <c r="D47" s="456" t="s">
        <v>308</v>
      </c>
      <c r="E47" s="148" t="s">
        <v>252</v>
      </c>
      <c r="F47" s="148" t="s">
        <v>309</v>
      </c>
      <c r="G47" s="456" t="s">
        <v>310</v>
      </c>
      <c r="H47" s="456"/>
    </row>
    <row r="48" spans="2:8" ht="25.5">
      <c r="B48" s="457"/>
      <c r="C48" s="457"/>
      <c r="D48" s="457"/>
      <c r="E48" s="149" t="s">
        <v>311</v>
      </c>
      <c r="F48" s="149" t="s">
        <v>312</v>
      </c>
      <c r="G48" s="457"/>
      <c r="H48" s="457"/>
    </row>
    <row r="49" spans="2:8" ht="26.25" thickBot="1">
      <c r="B49" s="458"/>
      <c r="C49" s="458"/>
      <c r="D49" s="458"/>
      <c r="E49" s="150"/>
      <c r="F49" s="151" t="s">
        <v>313</v>
      </c>
      <c r="G49" s="458"/>
      <c r="H49" s="458"/>
    </row>
    <row r="50" spans="2:8" ht="15.75" thickBot="1">
      <c r="B50" s="152"/>
      <c r="C50" s="459" t="s">
        <v>314</v>
      </c>
      <c r="D50" s="460"/>
      <c r="E50" s="460"/>
      <c r="F50" s="460"/>
      <c r="G50" s="461"/>
      <c r="H50" s="149"/>
    </row>
    <row r="51" spans="2:8" ht="15.75" thickBot="1">
      <c r="B51" s="152" t="s">
        <v>315</v>
      </c>
      <c r="C51" s="462"/>
      <c r="D51" s="463"/>
      <c r="E51" s="463"/>
      <c r="F51" s="463"/>
      <c r="G51" s="464"/>
      <c r="H51" s="153"/>
    </row>
    <row r="52" spans="2:8" ht="15.75" thickBot="1">
      <c r="B52" s="152" t="s">
        <v>316</v>
      </c>
      <c r="C52" s="465"/>
      <c r="D52" s="466"/>
      <c r="E52" s="466"/>
      <c r="F52" s="466"/>
      <c r="G52" s="467"/>
      <c r="H52" s="154"/>
    </row>
  </sheetData>
  <mergeCells count="14">
    <mergeCell ref="G47:G49"/>
    <mergeCell ref="H47:H49"/>
    <mergeCell ref="C50:G52"/>
    <mergeCell ref="B37:D37"/>
    <mergeCell ref="B38:D38"/>
    <mergeCell ref="B47:B49"/>
    <mergeCell ref="C47:C49"/>
    <mergeCell ref="D47:D49"/>
    <mergeCell ref="B26:D26"/>
    <mergeCell ref="B8:D8"/>
    <mergeCell ref="B9:D9"/>
    <mergeCell ref="B16:D16"/>
    <mergeCell ref="B17:D17"/>
    <mergeCell ref="B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B2:O18"/>
  <sheetViews>
    <sheetView showGridLines="0" topLeftCell="B1" workbookViewId="0">
      <selection activeCell="B4" sqref="B4:M16"/>
    </sheetView>
  </sheetViews>
  <sheetFormatPr baseColWidth="10" defaultRowHeight="15"/>
  <cols>
    <col min="1" max="1" width="2.42578125" customWidth="1"/>
    <col min="2" max="2" width="32.7109375" bestFit="1" customWidth="1"/>
    <col min="3" max="3" width="14.85546875" bestFit="1" customWidth="1"/>
    <col min="4" max="4" width="17.140625" bestFit="1" customWidth="1"/>
    <col min="5" max="5" width="17.28515625" bestFit="1" customWidth="1"/>
    <col min="6" max="6" width="10.42578125" bestFit="1" customWidth="1"/>
    <col min="7" max="7" width="15" bestFit="1" customWidth="1"/>
    <col min="8" max="8" width="13.42578125" customWidth="1"/>
    <col min="9" max="9" width="11.42578125" bestFit="1" customWidth="1"/>
    <col min="10" max="10" width="14.140625" bestFit="1" customWidth="1"/>
    <col min="11" max="11" width="9.28515625" bestFit="1" customWidth="1"/>
    <col min="12" max="12" width="14.28515625" customWidth="1"/>
    <col min="13" max="13" width="14.85546875" bestFit="1" customWidth="1"/>
    <col min="14" max="14" width="13.7109375" bestFit="1" customWidth="1"/>
  </cols>
  <sheetData>
    <row r="2" spans="2:15">
      <c r="C2" s="84"/>
    </row>
    <row r="3" spans="2:15">
      <c r="C3" s="163" t="s">
        <v>470</v>
      </c>
    </row>
    <row r="4" spans="2:15" s="76" customFormat="1" ht="20.25" customHeight="1">
      <c r="B4" s="155"/>
      <c r="C4" s="468" t="s">
        <v>317</v>
      </c>
      <c r="D4" s="469"/>
      <c r="E4" s="469"/>
      <c r="F4" s="469"/>
      <c r="G4" s="469"/>
      <c r="H4" s="468" t="s">
        <v>318</v>
      </c>
      <c r="I4" s="469"/>
      <c r="J4" s="469"/>
      <c r="K4" s="469"/>
      <c r="L4" s="469"/>
      <c r="M4" s="470"/>
    </row>
    <row r="5" spans="2:15" ht="38.25">
      <c r="B5" s="86" t="s">
        <v>236</v>
      </c>
      <c r="C5" s="156" t="s">
        <v>319</v>
      </c>
      <c r="D5" s="86" t="s">
        <v>320</v>
      </c>
      <c r="E5" s="86" t="s">
        <v>321</v>
      </c>
      <c r="F5" s="86" t="s">
        <v>322</v>
      </c>
      <c r="G5" s="86" t="s">
        <v>323</v>
      </c>
      <c r="H5" s="86" t="s">
        <v>324</v>
      </c>
      <c r="I5" s="86" t="s">
        <v>320</v>
      </c>
      <c r="J5" s="86" t="s">
        <v>321</v>
      </c>
      <c r="K5" s="86" t="s">
        <v>322</v>
      </c>
      <c r="L5" s="86" t="s">
        <v>325</v>
      </c>
      <c r="M5" s="86" t="s">
        <v>326</v>
      </c>
    </row>
    <row r="6" spans="2:15">
      <c r="B6" s="157" t="s">
        <v>327</v>
      </c>
      <c r="C6" s="268">
        <v>452869306</v>
      </c>
      <c r="D6" s="268">
        <f>+G6-C6</f>
        <v>8138455</v>
      </c>
      <c r="E6" s="268">
        <v>0</v>
      </c>
      <c r="F6" s="268">
        <v>0</v>
      </c>
      <c r="G6" s="268">
        <v>461007761</v>
      </c>
      <c r="H6" s="268">
        <v>92093910.107131451</v>
      </c>
      <c r="I6" s="159">
        <v>0</v>
      </c>
      <c r="J6" s="159">
        <v>0</v>
      </c>
      <c r="K6" s="159">
        <v>0</v>
      </c>
      <c r="L6" s="268">
        <v>92093910.107131451</v>
      </c>
      <c r="M6" s="268">
        <f>+G6-L6</f>
        <v>368913850.89286852</v>
      </c>
      <c r="N6" s="160"/>
      <c r="O6" s="160"/>
    </row>
    <row r="7" spans="2:15">
      <c r="B7" s="91" t="s">
        <v>328</v>
      </c>
      <c r="C7" s="268">
        <v>210957210</v>
      </c>
      <c r="D7" s="268">
        <f t="shared" ref="D7:D13" si="0">+G7-C7</f>
        <v>0</v>
      </c>
      <c r="E7" s="268">
        <v>0</v>
      </c>
      <c r="F7" s="268">
        <v>0</v>
      </c>
      <c r="G7" s="268">
        <v>210957210</v>
      </c>
      <c r="H7" s="159">
        <v>19490136.496434197</v>
      </c>
      <c r="I7" s="159">
        <v>0</v>
      </c>
      <c r="J7" s="159">
        <v>0</v>
      </c>
      <c r="K7" s="159">
        <v>0</v>
      </c>
      <c r="L7" s="159">
        <v>19490136.496434197</v>
      </c>
      <c r="M7" s="268">
        <f t="shared" ref="M7:M14" si="1">+G7-L7</f>
        <v>191467073.50356579</v>
      </c>
    </row>
    <row r="8" spans="2:15">
      <c r="B8" s="91" t="s">
        <v>329</v>
      </c>
      <c r="C8" s="268">
        <v>7058431</v>
      </c>
      <c r="D8" s="268">
        <f t="shared" si="0"/>
        <v>0</v>
      </c>
      <c r="E8" s="268">
        <v>0</v>
      </c>
      <c r="F8" s="268">
        <v>0</v>
      </c>
      <c r="G8" s="268">
        <v>7058431</v>
      </c>
      <c r="H8" s="268">
        <v>3731237.8583492143</v>
      </c>
      <c r="I8" s="159">
        <v>0</v>
      </c>
      <c r="J8" s="159">
        <v>0</v>
      </c>
      <c r="K8" s="159">
        <v>0</v>
      </c>
      <c r="L8" s="268">
        <v>3731237.8583492143</v>
      </c>
      <c r="M8" s="268">
        <f t="shared" si="1"/>
        <v>3327193.1416507857</v>
      </c>
    </row>
    <row r="9" spans="2:15">
      <c r="B9" s="91" t="s">
        <v>330</v>
      </c>
      <c r="C9" s="268">
        <v>31158573</v>
      </c>
      <c r="D9" s="268">
        <f t="shared" si="0"/>
        <v>0</v>
      </c>
      <c r="E9" s="268">
        <v>0</v>
      </c>
      <c r="F9" s="268">
        <v>0</v>
      </c>
      <c r="G9" s="268">
        <v>31158573</v>
      </c>
      <c r="H9" s="268">
        <v>8635807.3087511994</v>
      </c>
      <c r="I9" s="159">
        <v>0</v>
      </c>
      <c r="J9" s="159">
        <v>0</v>
      </c>
      <c r="K9" s="159">
        <v>0</v>
      </c>
      <c r="L9" s="268">
        <v>8635807.3087511994</v>
      </c>
      <c r="M9" s="268">
        <f t="shared" si="1"/>
        <v>22522765.691248801</v>
      </c>
      <c r="N9" s="160"/>
    </row>
    <row r="10" spans="2:15">
      <c r="B10" s="91" t="s">
        <v>331</v>
      </c>
      <c r="C10" s="268">
        <v>257639881</v>
      </c>
      <c r="D10" s="268">
        <f t="shared" si="0"/>
        <v>0</v>
      </c>
      <c r="E10" s="268"/>
      <c r="F10" s="268">
        <v>0</v>
      </c>
      <c r="G10" s="268">
        <v>257639881</v>
      </c>
      <c r="H10" s="268">
        <v>166982949.2368944</v>
      </c>
      <c r="I10" s="159">
        <v>0</v>
      </c>
      <c r="J10" s="159">
        <v>0</v>
      </c>
      <c r="K10" s="159">
        <v>0</v>
      </c>
      <c r="L10" s="268">
        <v>166982949.2368944</v>
      </c>
      <c r="M10" s="268">
        <f t="shared" si="1"/>
        <v>90656931.763105601</v>
      </c>
    </row>
    <row r="11" spans="2:15">
      <c r="B11" s="91" t="s">
        <v>499</v>
      </c>
      <c r="C11" s="268">
        <v>1953391900</v>
      </c>
      <c r="D11" s="268">
        <f>+G11-C11</f>
        <v>0</v>
      </c>
      <c r="E11" s="159">
        <v>0</v>
      </c>
      <c r="F11" s="159">
        <v>0</v>
      </c>
      <c r="G11" s="268">
        <v>1953391900</v>
      </c>
      <c r="H11" s="159">
        <v>31867918</v>
      </c>
      <c r="I11" s="159">
        <v>0</v>
      </c>
      <c r="J11" s="159">
        <v>0</v>
      </c>
      <c r="K11" s="159">
        <v>0</v>
      </c>
      <c r="L11" s="268">
        <v>31867918</v>
      </c>
      <c r="M11" s="268">
        <f t="shared" si="1"/>
        <v>1921523982</v>
      </c>
    </row>
    <row r="12" spans="2:15">
      <c r="B12" s="91" t="s">
        <v>498</v>
      </c>
      <c r="C12" s="268">
        <v>9804433363</v>
      </c>
      <c r="D12" s="268">
        <f t="shared" si="0"/>
        <v>0</v>
      </c>
      <c r="E12" s="159"/>
      <c r="F12" s="159"/>
      <c r="G12" s="268">
        <v>9804433363</v>
      </c>
      <c r="H12" s="159"/>
      <c r="I12" s="159">
        <v>0</v>
      </c>
      <c r="J12" s="159">
        <v>0</v>
      </c>
      <c r="K12" s="159">
        <v>0</v>
      </c>
      <c r="L12" s="268">
        <v>0</v>
      </c>
      <c r="M12" s="268">
        <f>+G12+L12</f>
        <v>9804433363</v>
      </c>
    </row>
    <row r="13" spans="2:15">
      <c r="B13" s="91" t="s">
        <v>332</v>
      </c>
      <c r="C13" s="268">
        <v>0</v>
      </c>
      <c r="D13" s="268">
        <f t="shared" si="0"/>
        <v>9427701</v>
      </c>
      <c r="E13" s="159">
        <v>0</v>
      </c>
      <c r="F13" s="159">
        <v>0</v>
      </c>
      <c r="G13" s="268">
        <v>9427701</v>
      </c>
      <c r="H13" s="268"/>
      <c r="I13" s="159">
        <v>0</v>
      </c>
      <c r="J13" s="159">
        <f>+H13</f>
        <v>0</v>
      </c>
      <c r="K13" s="159">
        <v>0</v>
      </c>
      <c r="L13" s="159">
        <v>0</v>
      </c>
      <c r="M13" s="268">
        <f>+G13+L13</f>
        <v>9427701</v>
      </c>
    </row>
    <row r="14" spans="2:15">
      <c r="B14" s="91" t="s">
        <v>333</v>
      </c>
      <c r="C14" s="159">
        <v>3492819</v>
      </c>
      <c r="D14" s="268">
        <v>3492819</v>
      </c>
      <c r="E14" s="159"/>
      <c r="F14" s="159"/>
      <c r="G14" s="268">
        <v>9583728</v>
      </c>
      <c r="H14" s="159">
        <v>0</v>
      </c>
      <c r="I14" s="159">
        <v>0</v>
      </c>
      <c r="J14" s="159">
        <v>0</v>
      </c>
      <c r="K14" s="159">
        <v>0</v>
      </c>
      <c r="L14" s="159">
        <f t="shared" ref="L14" si="2">+H14+I14</f>
        <v>0</v>
      </c>
      <c r="M14" s="268">
        <f t="shared" si="1"/>
        <v>9583728</v>
      </c>
    </row>
    <row r="15" spans="2:15">
      <c r="B15" s="137" t="s">
        <v>730</v>
      </c>
      <c r="C15" s="267">
        <f>SUM(C6:C14)</f>
        <v>12721001483</v>
      </c>
      <c r="D15" s="267">
        <f>SUM(D6:D14)</f>
        <v>21058975</v>
      </c>
      <c r="E15" s="159">
        <v>0</v>
      </c>
      <c r="F15" s="159">
        <v>0</v>
      </c>
      <c r="G15" s="267">
        <f>SUM(G6:G14)</f>
        <v>12744658548</v>
      </c>
      <c r="H15" s="267">
        <f>SUM(H6:H14)</f>
        <v>322801959.00756049</v>
      </c>
      <c r="I15" s="267">
        <f>SUM(I6:I14)</f>
        <v>0</v>
      </c>
      <c r="J15" s="159">
        <v>0</v>
      </c>
      <c r="K15" s="159">
        <v>0</v>
      </c>
      <c r="L15" s="267">
        <f>SUM(L6:L14)</f>
        <v>322801959.00756049</v>
      </c>
      <c r="M15" s="267">
        <f>SUM(M6:M14)</f>
        <v>12421856588.992439</v>
      </c>
      <c r="N15" s="160"/>
      <c r="O15" s="160"/>
    </row>
    <row r="16" spans="2:15">
      <c r="B16" s="137" t="s">
        <v>774</v>
      </c>
      <c r="C16" s="267">
        <v>11498752539</v>
      </c>
      <c r="D16" s="267">
        <v>1221051906</v>
      </c>
      <c r="E16" s="159">
        <v>0</v>
      </c>
      <c r="F16" s="267">
        <v>0</v>
      </c>
      <c r="G16" s="267">
        <v>12719804445</v>
      </c>
      <c r="H16" s="267">
        <v>212000132</v>
      </c>
      <c r="I16" s="267">
        <v>89575992.862770855</v>
      </c>
      <c r="J16" s="159">
        <v>0</v>
      </c>
      <c r="K16" s="159">
        <v>0</v>
      </c>
      <c r="L16" s="267">
        <v>301576124.86277086</v>
      </c>
      <c r="M16" s="267">
        <v>12418228320.137228</v>
      </c>
      <c r="N16" s="160"/>
    </row>
    <row r="17" spans="5:7">
      <c r="G17" s="160"/>
    </row>
    <row r="18" spans="5:7">
      <c r="E18" s="160"/>
      <c r="G18" s="160"/>
    </row>
  </sheetData>
  <mergeCells count="2">
    <mergeCell ref="C4:G4"/>
    <mergeCell ref="H4:M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249977111117893"/>
  </sheetPr>
  <dimension ref="B2:H9"/>
  <sheetViews>
    <sheetView showGridLines="0" workbookViewId="0">
      <selection activeCell="B5" sqref="B5:F9"/>
    </sheetView>
  </sheetViews>
  <sheetFormatPr baseColWidth="10" defaultRowHeight="15"/>
  <cols>
    <col min="1" max="1" width="6.42578125" customWidth="1"/>
    <col min="2" max="2" width="20.42578125" bestFit="1" customWidth="1"/>
    <col min="3" max="4" width="15" customWidth="1"/>
    <col min="5" max="5" width="17.7109375" bestFit="1" customWidth="1"/>
    <col min="6" max="6" width="19.140625" bestFit="1" customWidth="1"/>
    <col min="7" max="7" width="15.42578125" bestFit="1" customWidth="1"/>
  </cols>
  <sheetData>
    <row r="2" spans="2:8">
      <c r="B2" s="166" t="s">
        <v>338</v>
      </c>
    </row>
    <row r="5" spans="2:8">
      <c r="B5" s="164" t="s">
        <v>243</v>
      </c>
      <c r="C5" s="164" t="s">
        <v>334</v>
      </c>
      <c r="D5" s="164" t="s">
        <v>335</v>
      </c>
      <c r="E5" s="164" t="s">
        <v>336</v>
      </c>
      <c r="F5" s="164" t="s">
        <v>337</v>
      </c>
    </row>
    <row r="6" spans="2:8">
      <c r="B6" s="91" t="s">
        <v>239</v>
      </c>
      <c r="C6" s="268">
        <v>6267845.3102913247</v>
      </c>
      <c r="D6" s="268">
        <v>0</v>
      </c>
      <c r="E6" s="159">
        <v>0</v>
      </c>
      <c r="F6" s="268">
        <v>6267846</v>
      </c>
      <c r="H6" s="160"/>
    </row>
    <row r="7" spans="2:8">
      <c r="B7" s="91" t="s">
        <v>238</v>
      </c>
      <c r="C7" s="268">
        <v>238013955.37968212</v>
      </c>
      <c r="D7" s="268">
        <v>0</v>
      </c>
      <c r="E7" s="159">
        <v>0</v>
      </c>
      <c r="F7" s="268">
        <v>238013955</v>
      </c>
      <c r="G7" s="165"/>
      <c r="H7" s="162"/>
    </row>
    <row r="8" spans="2:8">
      <c r="B8" s="137" t="s">
        <v>730</v>
      </c>
      <c r="C8" s="267">
        <f>SUM(C6:C7)</f>
        <v>244281800.68997344</v>
      </c>
      <c r="D8" s="267">
        <f>SUM(D6:D7)</f>
        <v>0</v>
      </c>
      <c r="E8" s="180">
        <f>SUM(E6:E7)</f>
        <v>0</v>
      </c>
      <c r="F8" s="267">
        <f>SUM(F6:F7)</f>
        <v>244281801</v>
      </c>
      <c r="G8" s="160"/>
      <c r="H8" s="160"/>
    </row>
    <row r="9" spans="2:8">
      <c r="B9" s="137" t="s">
        <v>774</v>
      </c>
      <c r="C9" s="267">
        <v>257368123</v>
      </c>
      <c r="D9" s="267">
        <v>244054585</v>
      </c>
      <c r="E9" s="267">
        <v>0</v>
      </c>
      <c r="F9" s="267">
        <v>250877461</v>
      </c>
      <c r="G9" s="16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B3:N26"/>
  <sheetViews>
    <sheetView showGridLines="0" workbookViewId="0">
      <selection activeCell="B5" sqref="B5:D12"/>
    </sheetView>
  </sheetViews>
  <sheetFormatPr baseColWidth="10" defaultRowHeight="15"/>
  <cols>
    <col min="1" max="1" width="6.28515625" customWidth="1"/>
    <col min="2" max="2" width="23" bestFit="1" customWidth="1"/>
    <col min="3" max="3" width="27.42578125" bestFit="1" customWidth="1"/>
    <col min="4" max="4" width="15.140625" customWidth="1"/>
    <col min="6" max="7" width="13.42578125" bestFit="1" customWidth="1"/>
    <col min="8" max="8" width="12" bestFit="1" customWidth="1"/>
  </cols>
  <sheetData>
    <row r="3" spans="2:14">
      <c r="B3" s="171" t="s">
        <v>347</v>
      </c>
    </row>
    <row r="5" spans="2:14" ht="26.25">
      <c r="B5" s="86" t="s">
        <v>339</v>
      </c>
      <c r="C5" s="86" t="s">
        <v>243</v>
      </c>
      <c r="D5" s="167" t="s">
        <v>731</v>
      </c>
    </row>
    <row r="6" spans="2:14">
      <c r="B6" s="168" t="s">
        <v>340</v>
      </c>
      <c r="C6" s="168" t="s">
        <v>341</v>
      </c>
      <c r="D6" s="158">
        <v>0</v>
      </c>
    </row>
    <row r="7" spans="2:14">
      <c r="B7" s="168" t="s">
        <v>342</v>
      </c>
      <c r="C7" s="168" t="s">
        <v>343</v>
      </c>
      <c r="D7" s="169">
        <v>30289760</v>
      </c>
    </row>
    <row r="8" spans="2:14">
      <c r="B8" s="168" t="s">
        <v>344</v>
      </c>
      <c r="C8" s="168" t="s">
        <v>345</v>
      </c>
      <c r="D8" s="169">
        <v>451630228</v>
      </c>
    </row>
    <row r="9" spans="2:14">
      <c r="B9" s="168" t="s">
        <v>104</v>
      </c>
      <c r="C9" s="168" t="s">
        <v>104</v>
      </c>
      <c r="D9" s="169">
        <v>9923055</v>
      </c>
    </row>
    <row r="10" spans="2:14">
      <c r="B10" s="168" t="s">
        <v>346</v>
      </c>
      <c r="C10" s="168" t="s">
        <v>346</v>
      </c>
      <c r="D10" s="169">
        <v>48280383</v>
      </c>
    </row>
    <row r="11" spans="2:14">
      <c r="B11" s="137" t="s">
        <v>730</v>
      </c>
      <c r="C11" s="137"/>
      <c r="D11" s="170">
        <f>SUM(D6:D10)</f>
        <v>540123426</v>
      </c>
      <c r="E11" s="160"/>
      <c r="F11" s="160"/>
    </row>
    <row r="12" spans="2:14">
      <c r="B12" s="137" t="s">
        <v>774</v>
      </c>
      <c r="C12" s="170">
        <v>488087201</v>
      </c>
      <c r="D12" s="170"/>
      <c r="E12" s="160"/>
    </row>
    <row r="16" spans="2:14">
      <c r="G16" s="203"/>
      <c r="K16" t="s">
        <v>775</v>
      </c>
      <c r="N16" t="s">
        <v>775</v>
      </c>
    </row>
    <row r="17" spans="7:14">
      <c r="G17" s="203"/>
      <c r="K17" t="s">
        <v>775</v>
      </c>
      <c r="N17" t="s">
        <v>775</v>
      </c>
    </row>
    <row r="18" spans="7:14">
      <c r="G18" s="203"/>
      <c r="K18" t="s">
        <v>775</v>
      </c>
      <c r="N18" t="s">
        <v>775</v>
      </c>
    </row>
    <row r="19" spans="7:14">
      <c r="G19" s="203"/>
      <c r="K19" t="s">
        <v>775</v>
      </c>
      <c r="N19" t="s">
        <v>775</v>
      </c>
    </row>
    <row r="20" spans="7:14">
      <c r="G20" s="203"/>
      <c r="H20" s="225"/>
      <c r="K20" t="s">
        <v>775</v>
      </c>
      <c r="N20" t="s">
        <v>775</v>
      </c>
    </row>
    <row r="21" spans="7:14">
      <c r="G21" s="203"/>
      <c r="K21" t="s">
        <v>775</v>
      </c>
      <c r="N21" t="s">
        <v>775</v>
      </c>
    </row>
    <row r="22" spans="7:14">
      <c r="G22" s="203"/>
      <c r="H22" s="225"/>
      <c r="K22" t="s">
        <v>775</v>
      </c>
      <c r="N22" t="s">
        <v>775</v>
      </c>
    </row>
    <row r="23" spans="7:14">
      <c r="G23" s="203"/>
      <c r="K23" t="s">
        <v>775</v>
      </c>
      <c r="N23" t="s">
        <v>775</v>
      </c>
    </row>
    <row r="24" spans="7:14">
      <c r="G24" s="203"/>
      <c r="H24" s="225"/>
      <c r="K24" t="s">
        <v>775</v>
      </c>
      <c r="N24" t="s">
        <v>775</v>
      </c>
    </row>
    <row r="25" spans="7:14">
      <c r="G25" s="203"/>
      <c r="K25" t="s">
        <v>775</v>
      </c>
      <c r="N25" t="s">
        <v>775</v>
      </c>
    </row>
    <row r="26" spans="7:14">
      <c r="G26" s="203"/>
      <c r="H26" s="225"/>
      <c r="K26" t="s">
        <v>775</v>
      </c>
      <c r="N26" t="s">
        <v>775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249977111117893"/>
  </sheetPr>
  <dimension ref="B1:G10"/>
  <sheetViews>
    <sheetView showGridLines="0" workbookViewId="0">
      <selection activeCell="B3" sqref="B3:F10"/>
    </sheetView>
  </sheetViews>
  <sheetFormatPr baseColWidth="10" defaultRowHeight="15"/>
  <cols>
    <col min="1" max="1" width="6.42578125" customWidth="1"/>
    <col min="2" max="2" width="30.28515625" customWidth="1"/>
    <col min="3" max="4" width="15" customWidth="1"/>
    <col min="5" max="5" width="17.7109375" bestFit="1" customWidth="1"/>
    <col min="6" max="6" width="19.140625" bestFit="1" customWidth="1"/>
    <col min="7" max="7" width="14.85546875" bestFit="1" customWidth="1"/>
  </cols>
  <sheetData>
    <row r="1" spans="2:7">
      <c r="B1" s="166" t="s">
        <v>471</v>
      </c>
    </row>
    <row r="3" spans="2:7">
      <c r="B3" s="164" t="s">
        <v>243</v>
      </c>
      <c r="C3" s="164" t="s">
        <v>334</v>
      </c>
      <c r="D3" s="164" t="s">
        <v>335</v>
      </c>
      <c r="E3" s="164" t="s">
        <v>336</v>
      </c>
      <c r="F3" s="164" t="s">
        <v>337</v>
      </c>
    </row>
    <row r="4" spans="2:7">
      <c r="B4" s="91" t="s">
        <v>241</v>
      </c>
      <c r="C4" s="268">
        <v>0</v>
      </c>
      <c r="D4" s="268">
        <v>0</v>
      </c>
      <c r="E4" s="268">
        <v>0</v>
      </c>
      <c r="F4" s="268">
        <f>+C4+D4-E4</f>
        <v>0</v>
      </c>
    </row>
    <row r="5" spans="2:7">
      <c r="B5" s="91" t="s">
        <v>351</v>
      </c>
      <c r="C5" s="268">
        <v>0</v>
      </c>
      <c r="D5" s="268">
        <v>0</v>
      </c>
      <c r="E5" s="268">
        <v>0</v>
      </c>
      <c r="F5" s="268">
        <f t="shared" ref="F5:F9" si="0">+C5+D5-E5</f>
        <v>0</v>
      </c>
    </row>
    <row r="6" spans="2:7">
      <c r="B6" s="91" t="s">
        <v>350</v>
      </c>
      <c r="C6" s="268">
        <v>0</v>
      </c>
      <c r="D6" s="268">
        <v>0</v>
      </c>
      <c r="E6" s="268">
        <v>0</v>
      </c>
      <c r="F6" s="268">
        <f t="shared" si="0"/>
        <v>0</v>
      </c>
    </row>
    <row r="7" spans="2:7">
      <c r="B7" s="91" t="s">
        <v>349</v>
      </c>
      <c r="C7" s="268">
        <v>0</v>
      </c>
      <c r="D7" s="268">
        <v>0</v>
      </c>
      <c r="E7" s="268">
        <v>0</v>
      </c>
      <c r="F7" s="268">
        <f t="shared" si="0"/>
        <v>0</v>
      </c>
    </row>
    <row r="8" spans="2:7">
      <c r="B8" s="91" t="s">
        <v>348</v>
      </c>
      <c r="C8" s="268">
        <v>0</v>
      </c>
      <c r="D8" s="268">
        <v>0</v>
      </c>
      <c r="E8" s="268">
        <v>0</v>
      </c>
      <c r="F8" s="268">
        <f t="shared" si="0"/>
        <v>0</v>
      </c>
    </row>
    <row r="9" spans="2:7">
      <c r="B9" s="137" t="s">
        <v>730</v>
      </c>
      <c r="C9" s="267">
        <f>SUM(C4:C8)</f>
        <v>0</v>
      </c>
      <c r="D9" s="267">
        <f>SUM(D4:D8)</f>
        <v>0</v>
      </c>
      <c r="E9" s="267">
        <f>SUM(E4:E8)</f>
        <v>0</v>
      </c>
      <c r="F9" s="267">
        <f t="shared" si="0"/>
        <v>0</v>
      </c>
      <c r="G9" s="271">
        <f>+F9-'Balance Gral. Resol. 6'!D73</f>
        <v>0</v>
      </c>
    </row>
    <row r="10" spans="2:7">
      <c r="B10" s="137" t="s">
        <v>774</v>
      </c>
      <c r="C10" s="89">
        <v>12232788</v>
      </c>
      <c r="D10" s="172">
        <v>0</v>
      </c>
      <c r="E10" s="172">
        <v>18232788</v>
      </c>
      <c r="F10" s="267">
        <v>0</v>
      </c>
      <c r="G10" s="271">
        <f>+F10-'Balance Gral. Resol. 6'!E73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-0.249977111117893"/>
  </sheetPr>
  <dimension ref="B3:E11"/>
  <sheetViews>
    <sheetView showGridLines="0" zoomScale="125" workbookViewId="0">
      <selection activeCell="B5" sqref="B5:D11"/>
    </sheetView>
  </sheetViews>
  <sheetFormatPr baseColWidth="10" defaultRowHeight="15"/>
  <cols>
    <col min="2" max="2" width="23.85546875" customWidth="1"/>
    <col min="3" max="4" width="18.28515625" bestFit="1" customWidth="1"/>
    <col min="5" max="5" width="13" bestFit="1" customWidth="1"/>
  </cols>
  <sheetData>
    <row r="3" spans="2:5">
      <c r="B3" s="166" t="s">
        <v>358</v>
      </c>
    </row>
    <row r="5" spans="2:5">
      <c r="B5" s="85" t="s">
        <v>352</v>
      </c>
      <c r="C5" s="85" t="s">
        <v>353</v>
      </c>
      <c r="D5" s="85" t="s">
        <v>354</v>
      </c>
    </row>
    <row r="6" spans="2:5">
      <c r="B6" s="91" t="s">
        <v>355</v>
      </c>
      <c r="C6" s="268">
        <v>4320000000</v>
      </c>
      <c r="D6" s="159">
        <v>0</v>
      </c>
    </row>
    <row r="7" spans="2:5">
      <c r="B7" s="91" t="s">
        <v>356</v>
      </c>
      <c r="C7" s="268">
        <f>2500000000+1770000000</f>
        <v>4270000000</v>
      </c>
      <c r="D7" s="159">
        <v>0</v>
      </c>
    </row>
    <row r="8" spans="2:5">
      <c r="B8" s="91" t="s">
        <v>357</v>
      </c>
      <c r="C8" s="268">
        <v>0</v>
      </c>
      <c r="D8" s="159">
        <v>0</v>
      </c>
    </row>
    <row r="9" spans="2:5">
      <c r="B9" s="91" t="s">
        <v>28</v>
      </c>
      <c r="C9" s="268">
        <v>181320839</v>
      </c>
      <c r="D9" s="159">
        <v>0</v>
      </c>
    </row>
    <row r="10" spans="2:5">
      <c r="B10" s="137" t="s">
        <v>730</v>
      </c>
      <c r="C10" s="89">
        <f>SUM(C6:C9)</f>
        <v>8771320839</v>
      </c>
      <c r="D10" s="158">
        <v>0</v>
      </c>
      <c r="E10" s="203">
        <f>+C10-'Balance Gral. Resol. 6'!G19</f>
        <v>0</v>
      </c>
    </row>
    <row r="11" spans="2:5">
      <c r="B11" s="137" t="s">
        <v>774</v>
      </c>
      <c r="C11" s="89">
        <v>6927484208</v>
      </c>
      <c r="D11" s="158">
        <v>0</v>
      </c>
      <c r="E11" s="203">
        <f>+C11-'Balance Gral. Resol. 6'!H19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C1:I10"/>
  <sheetViews>
    <sheetView showGridLines="0" zoomScale="112" zoomScaleNormal="112" workbookViewId="0">
      <selection activeCell="C4" sqref="C4:E9"/>
    </sheetView>
  </sheetViews>
  <sheetFormatPr baseColWidth="10" defaultRowHeight="15"/>
  <cols>
    <col min="2" max="2" width="6.140625" customWidth="1"/>
    <col min="3" max="3" width="28" bestFit="1" customWidth="1"/>
    <col min="4" max="5" width="15" customWidth="1"/>
    <col min="6" max="6" width="13.42578125" customWidth="1"/>
    <col min="7" max="7" width="14" customWidth="1"/>
    <col min="8" max="8" width="23.28515625" customWidth="1"/>
    <col min="9" max="10" width="14.28515625" customWidth="1"/>
  </cols>
  <sheetData>
    <row r="1" spans="3:9">
      <c r="D1" s="272" t="s">
        <v>501</v>
      </c>
    </row>
    <row r="2" spans="3:9">
      <c r="C2" s="166" t="s">
        <v>359</v>
      </c>
    </row>
    <row r="4" spans="3:9" ht="34.5" customHeight="1">
      <c r="C4" s="85" t="s">
        <v>243</v>
      </c>
      <c r="D4" s="177" t="s">
        <v>353</v>
      </c>
      <c r="E4" s="177" t="s">
        <v>354</v>
      </c>
    </row>
    <row r="5" spans="3:9">
      <c r="C5" s="176" t="s">
        <v>500</v>
      </c>
      <c r="D5" s="268">
        <v>313286498</v>
      </c>
      <c r="E5" s="268"/>
      <c r="I5" s="175"/>
    </row>
    <row r="6" spans="3:9">
      <c r="C6" s="176" t="s">
        <v>829</v>
      </c>
      <c r="D6" s="268">
        <v>6941415861</v>
      </c>
      <c r="E6" s="268">
        <v>0</v>
      </c>
      <c r="I6" s="175"/>
    </row>
    <row r="7" spans="3:9">
      <c r="C7" s="176" t="s">
        <v>503</v>
      </c>
      <c r="D7" s="268">
        <v>0</v>
      </c>
      <c r="E7" s="268"/>
      <c r="I7" s="175"/>
    </row>
    <row r="8" spans="3:9">
      <c r="C8" s="137" t="s">
        <v>730</v>
      </c>
      <c r="D8" s="89">
        <f>SUM(D5:D7)</f>
        <v>7254702359</v>
      </c>
      <c r="E8" s="173">
        <v>0</v>
      </c>
      <c r="F8" s="203">
        <f>+D8-'Balance Gral. Resol. 6'!G10</f>
        <v>0</v>
      </c>
    </row>
    <row r="9" spans="3:9">
      <c r="C9" s="137" t="s">
        <v>774</v>
      </c>
      <c r="D9" s="267">
        <v>789471545</v>
      </c>
      <c r="E9" s="267">
        <v>0</v>
      </c>
      <c r="F9" s="203">
        <f>+D9-'Balance Gral. Resol. 6'!H10</f>
        <v>0</v>
      </c>
    </row>
    <row r="10" spans="3:9">
      <c r="D10" s="174"/>
      <c r="E10" s="174"/>
    </row>
  </sheetData>
  <hyperlinks>
    <hyperlink ref="D1" location="'Balance Gral. Resol. 1'!A1" display="'Balance Gral. Resol. 1'!A1" xr:uid="{00000000-0004-0000-0F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39997558519241921"/>
  </sheetPr>
  <dimension ref="B1:D29"/>
  <sheetViews>
    <sheetView showGridLines="0" zoomScale="85" zoomScaleNormal="85" workbookViewId="0">
      <selection activeCell="B14" sqref="B14:D17"/>
    </sheetView>
  </sheetViews>
  <sheetFormatPr baseColWidth="10" defaultRowHeight="15"/>
  <cols>
    <col min="2" max="2" width="38.7109375" customWidth="1"/>
    <col min="3" max="3" width="23.42578125" bestFit="1" customWidth="1"/>
    <col min="4" max="4" width="17.42578125" bestFit="1" customWidth="1"/>
  </cols>
  <sheetData>
    <row r="1" spans="2:4">
      <c r="C1" s="272" t="s">
        <v>501</v>
      </c>
    </row>
    <row r="2" spans="2:4">
      <c r="B2" s="166" t="s">
        <v>363</v>
      </c>
    </row>
    <row r="4" spans="2:4">
      <c r="B4" s="164" t="s">
        <v>243</v>
      </c>
      <c r="C4" s="164" t="s">
        <v>360</v>
      </c>
      <c r="D4" s="164" t="s">
        <v>361</v>
      </c>
    </row>
    <row r="5" spans="2:4">
      <c r="B5" s="168" t="s">
        <v>362</v>
      </c>
      <c r="C5" s="273">
        <v>2849441466</v>
      </c>
      <c r="D5" s="173">
        <v>0</v>
      </c>
    </row>
    <row r="6" spans="2:4">
      <c r="B6" s="137" t="s">
        <v>730</v>
      </c>
      <c r="C6" s="89">
        <f>SUM(C5:C5)</f>
        <v>2849441466</v>
      </c>
      <c r="D6" s="173">
        <v>0</v>
      </c>
    </row>
    <row r="7" spans="2:4">
      <c r="B7" s="137" t="s">
        <v>774</v>
      </c>
      <c r="C7" s="172">
        <v>538447726</v>
      </c>
      <c r="D7" s="173">
        <v>0</v>
      </c>
    </row>
    <row r="9" spans="2:4">
      <c r="B9" s="166" t="s">
        <v>366</v>
      </c>
    </row>
    <row r="10" spans="2:4">
      <c r="B10" s="178" t="s">
        <v>364</v>
      </c>
    </row>
    <row r="11" spans="2:4">
      <c r="B11" s="178"/>
    </row>
    <row r="12" spans="2:4">
      <c r="B12" s="166" t="s">
        <v>367</v>
      </c>
    </row>
    <row r="13" spans="2:4">
      <c r="B13" s="166"/>
    </row>
    <row r="14" spans="2:4">
      <c r="B14" s="258" t="s">
        <v>243</v>
      </c>
      <c r="C14" s="258" t="s">
        <v>360</v>
      </c>
      <c r="D14" s="258" t="s">
        <v>361</v>
      </c>
    </row>
    <row r="15" spans="2:4">
      <c r="B15" s="168" t="s">
        <v>502</v>
      </c>
      <c r="C15" s="273">
        <v>1127483228</v>
      </c>
      <c r="D15" s="173">
        <v>0</v>
      </c>
    </row>
    <row r="16" spans="2:4">
      <c r="B16" s="137" t="s">
        <v>730</v>
      </c>
      <c r="C16" s="89">
        <f>SUM(C15:C15)</f>
        <v>1127483228</v>
      </c>
      <c r="D16" s="173">
        <v>0</v>
      </c>
    </row>
    <row r="17" spans="2:4">
      <c r="B17" s="137" t="s">
        <v>774</v>
      </c>
      <c r="C17" s="172">
        <v>0</v>
      </c>
      <c r="D17" s="173">
        <v>0</v>
      </c>
    </row>
    <row r="18" spans="2:4">
      <c r="B18" s="274"/>
      <c r="C18" s="275"/>
      <c r="D18" s="276"/>
    </row>
    <row r="19" spans="2:4">
      <c r="B19" s="166" t="s">
        <v>368</v>
      </c>
    </row>
    <row r="20" spans="2:4">
      <c r="B20" s="178" t="s">
        <v>365</v>
      </c>
    </row>
    <row r="22" spans="2:4">
      <c r="B22" s="166" t="s">
        <v>373</v>
      </c>
    </row>
    <row r="24" spans="2:4">
      <c r="B24" s="85" t="s">
        <v>243</v>
      </c>
      <c r="C24" s="177" t="s">
        <v>369</v>
      </c>
      <c r="D24" s="177" t="s">
        <v>370</v>
      </c>
    </row>
    <row r="25" spans="2:4">
      <c r="B25" s="176" t="s">
        <v>371</v>
      </c>
      <c r="C25" s="87">
        <v>39199959</v>
      </c>
      <c r="D25" s="158">
        <v>0</v>
      </c>
    </row>
    <row r="26" spans="2:4">
      <c r="B26" s="176" t="s">
        <v>372</v>
      </c>
      <c r="C26" s="268">
        <v>0</v>
      </c>
      <c r="D26" s="158">
        <v>0</v>
      </c>
    </row>
    <row r="27" spans="2:4">
      <c r="B27" s="176" t="s">
        <v>242</v>
      </c>
      <c r="C27" s="270">
        <v>177672551</v>
      </c>
      <c r="D27" s="158">
        <v>0</v>
      </c>
    </row>
    <row r="28" spans="2:4">
      <c r="B28" s="137" t="s">
        <v>730</v>
      </c>
      <c r="C28" s="89">
        <f>SUM(C25:C27)</f>
        <v>216872510</v>
      </c>
      <c r="D28" s="158">
        <v>0</v>
      </c>
    </row>
    <row r="29" spans="2:4">
      <c r="B29" s="137" t="s">
        <v>774</v>
      </c>
      <c r="C29" s="277">
        <v>41125150</v>
      </c>
      <c r="D29" s="158">
        <v>0</v>
      </c>
    </row>
  </sheetData>
  <hyperlinks>
    <hyperlink ref="C1" location="'Balance Gral. Resol. 1'!A1" display="'Balance Gral. Resol. 1'!A1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B1:H39"/>
  <sheetViews>
    <sheetView showGridLines="0" topLeftCell="A13" zoomScale="97" zoomScaleNormal="97" workbookViewId="0">
      <selection activeCell="B33" sqref="B6:F33"/>
    </sheetView>
  </sheetViews>
  <sheetFormatPr baseColWidth="10" defaultRowHeight="15"/>
  <cols>
    <col min="2" max="2" width="37.7109375" customWidth="1"/>
    <col min="3" max="3" width="27" bestFit="1" customWidth="1"/>
    <col min="4" max="4" width="23.28515625" bestFit="1" customWidth="1"/>
    <col min="5" max="5" width="15.28515625" style="179" bestFit="1" customWidth="1"/>
    <col min="6" max="6" width="14.140625" style="179" bestFit="1" customWidth="1"/>
    <col min="7" max="8" width="12.42578125" bestFit="1" customWidth="1"/>
  </cols>
  <sheetData>
    <row r="1" spans="2:6">
      <c r="C1" s="272" t="s">
        <v>501</v>
      </c>
    </row>
    <row r="4" spans="2:6">
      <c r="B4" s="190" t="s">
        <v>383</v>
      </c>
    </row>
    <row r="5" spans="2:6" ht="15.75" thickBot="1"/>
    <row r="6" spans="2:6" ht="35.25" customHeight="1" thickBot="1">
      <c r="B6" s="189"/>
      <c r="C6" s="188"/>
      <c r="D6" s="187"/>
      <c r="E6" s="471" t="s">
        <v>382</v>
      </c>
      <c r="F6" s="472"/>
    </row>
    <row r="7" spans="2:6" ht="25.5">
      <c r="B7" s="186" t="s">
        <v>376</v>
      </c>
      <c r="C7" s="186" t="s">
        <v>375</v>
      </c>
      <c r="D7" s="186" t="s">
        <v>374</v>
      </c>
      <c r="E7" s="185" t="s">
        <v>731</v>
      </c>
      <c r="F7" s="185" t="s">
        <v>732</v>
      </c>
    </row>
    <row r="8" spans="2:6">
      <c r="B8" s="183" t="s">
        <v>779</v>
      </c>
      <c r="C8" s="183" t="s">
        <v>378</v>
      </c>
      <c r="D8" s="183" t="s">
        <v>377</v>
      </c>
      <c r="E8" s="278">
        <v>57519509</v>
      </c>
      <c r="F8" s="278">
        <v>28575635</v>
      </c>
    </row>
    <row r="9" spans="2:6">
      <c r="B9" s="183" t="s">
        <v>780</v>
      </c>
      <c r="C9" s="183" t="s">
        <v>379</v>
      </c>
      <c r="D9" s="183" t="s">
        <v>377</v>
      </c>
      <c r="E9" s="278">
        <v>7889773</v>
      </c>
      <c r="F9" s="278">
        <v>8891713</v>
      </c>
    </row>
    <row r="10" spans="2:6">
      <c r="B10" s="183" t="s">
        <v>782</v>
      </c>
      <c r="C10" s="183" t="s">
        <v>378</v>
      </c>
      <c r="D10" s="183" t="s">
        <v>377</v>
      </c>
      <c r="E10" s="278">
        <f>2724876+29524604</f>
        <v>32249480</v>
      </c>
      <c r="F10" s="278">
        <v>2706202</v>
      </c>
    </row>
    <row r="11" spans="2:6">
      <c r="B11" s="183" t="s">
        <v>288</v>
      </c>
      <c r="C11" s="183" t="s">
        <v>378</v>
      </c>
      <c r="D11" s="183" t="s">
        <v>377</v>
      </c>
      <c r="E11" s="278">
        <v>753742</v>
      </c>
      <c r="F11" s="278">
        <v>2200000</v>
      </c>
    </row>
    <row r="12" spans="2:6">
      <c r="B12" s="183" t="s">
        <v>779</v>
      </c>
      <c r="C12" s="183" t="s">
        <v>378</v>
      </c>
      <c r="D12" s="183" t="s">
        <v>377</v>
      </c>
      <c r="E12" s="278">
        <v>319644448</v>
      </c>
      <c r="F12" s="278">
        <v>54263047</v>
      </c>
    </row>
    <row r="13" spans="2:6">
      <c r="B13" s="183" t="s">
        <v>783</v>
      </c>
      <c r="C13" s="183" t="s">
        <v>381</v>
      </c>
      <c r="D13" s="183" t="s">
        <v>377</v>
      </c>
      <c r="E13" s="278">
        <v>140686646</v>
      </c>
      <c r="F13" s="278">
        <v>140686646</v>
      </c>
    </row>
    <row r="14" spans="2:6">
      <c r="B14" s="183" t="s">
        <v>784</v>
      </c>
      <c r="C14" s="183" t="s">
        <v>378</v>
      </c>
      <c r="D14" s="183" t="s">
        <v>785</v>
      </c>
      <c r="E14" s="278">
        <v>111599400</v>
      </c>
      <c r="F14" s="278">
        <v>111599400</v>
      </c>
    </row>
    <row r="15" spans="2:6">
      <c r="B15" s="183" t="s">
        <v>786</v>
      </c>
      <c r="C15" s="183" t="s">
        <v>379</v>
      </c>
      <c r="D15" s="183" t="s">
        <v>377</v>
      </c>
      <c r="E15" s="278">
        <v>200000000</v>
      </c>
      <c r="F15" s="278">
        <v>1460500</v>
      </c>
    </row>
    <row r="16" spans="2:6">
      <c r="B16" s="183" t="s">
        <v>787</v>
      </c>
      <c r="C16" s="183" t="s">
        <v>380</v>
      </c>
      <c r="D16" s="183" t="s">
        <v>788</v>
      </c>
      <c r="E16" s="278">
        <v>0</v>
      </c>
      <c r="F16" s="278">
        <v>3500001</v>
      </c>
    </row>
    <row r="17" spans="2:8">
      <c r="B17" s="183" t="s">
        <v>789</v>
      </c>
      <c r="C17" s="183" t="s">
        <v>380</v>
      </c>
      <c r="D17" s="183" t="s">
        <v>788</v>
      </c>
      <c r="E17" s="278">
        <v>0</v>
      </c>
      <c r="F17" s="278">
        <v>681920</v>
      </c>
    </row>
    <row r="18" spans="2:8">
      <c r="B18" s="183" t="s">
        <v>791</v>
      </c>
      <c r="C18" s="183" t="s">
        <v>380</v>
      </c>
      <c r="D18" s="183" t="s">
        <v>788</v>
      </c>
      <c r="E18" s="278">
        <v>0</v>
      </c>
      <c r="F18" s="278">
        <v>3160</v>
      </c>
    </row>
    <row r="19" spans="2:8">
      <c r="B19" s="183" t="s">
        <v>792</v>
      </c>
      <c r="C19" s="183" t="s">
        <v>378</v>
      </c>
      <c r="D19" s="183" t="s">
        <v>785</v>
      </c>
      <c r="E19" s="278">
        <v>0</v>
      </c>
      <c r="F19" s="278">
        <v>1000000</v>
      </c>
    </row>
    <row r="20" spans="2:8">
      <c r="B20" s="183" t="s">
        <v>793</v>
      </c>
      <c r="C20" s="183" t="s">
        <v>378</v>
      </c>
      <c r="D20" s="183" t="s">
        <v>785</v>
      </c>
      <c r="E20" s="278">
        <v>0</v>
      </c>
      <c r="F20" s="278">
        <v>5830228</v>
      </c>
    </row>
    <row r="21" spans="2:8">
      <c r="B21" s="183" t="s">
        <v>794</v>
      </c>
      <c r="C21" s="183" t="s">
        <v>378</v>
      </c>
      <c r="D21" s="183" t="s">
        <v>785</v>
      </c>
      <c r="E21" s="278">
        <v>0</v>
      </c>
      <c r="F21" s="278">
        <v>124200</v>
      </c>
    </row>
    <row r="22" spans="2:8">
      <c r="B22" s="183" t="s">
        <v>795</v>
      </c>
      <c r="C22" s="183" t="s">
        <v>378</v>
      </c>
      <c r="D22" s="183" t="s">
        <v>785</v>
      </c>
      <c r="E22" s="278">
        <v>0</v>
      </c>
      <c r="F22" s="278">
        <v>3235000</v>
      </c>
    </row>
    <row r="23" spans="2:8">
      <c r="B23" s="183" t="s">
        <v>796</v>
      </c>
      <c r="C23" s="183" t="s">
        <v>379</v>
      </c>
      <c r="D23" s="183" t="s">
        <v>377</v>
      </c>
      <c r="E23" s="278">
        <v>5326230</v>
      </c>
      <c r="F23" s="278">
        <v>5326230</v>
      </c>
    </row>
    <row r="24" spans="2:8">
      <c r="B24" s="183" t="s">
        <v>797</v>
      </c>
      <c r="C24" s="183" t="s">
        <v>378</v>
      </c>
      <c r="D24" s="183" t="s">
        <v>377</v>
      </c>
      <c r="E24" s="278">
        <v>59860685</v>
      </c>
      <c r="F24" s="278">
        <v>59860685</v>
      </c>
    </row>
    <row r="25" spans="2:8">
      <c r="B25" s="176" t="s">
        <v>798</v>
      </c>
      <c r="C25" s="183" t="s">
        <v>378</v>
      </c>
      <c r="D25" s="183" t="s">
        <v>377</v>
      </c>
      <c r="E25" s="278">
        <v>0</v>
      </c>
      <c r="F25" s="278">
        <v>27720000</v>
      </c>
    </row>
    <row r="26" spans="2:8">
      <c r="B26" s="176" t="s">
        <v>799</v>
      </c>
      <c r="C26" s="176" t="s">
        <v>378</v>
      </c>
      <c r="D26" s="183" t="s">
        <v>377</v>
      </c>
      <c r="E26" s="278">
        <v>345703128</v>
      </c>
      <c r="F26" s="278">
        <v>32958876</v>
      </c>
    </row>
    <row r="27" spans="2:8">
      <c r="B27" s="176" t="s">
        <v>288</v>
      </c>
      <c r="C27" s="176" t="s">
        <v>378</v>
      </c>
      <c r="D27" s="183" t="s">
        <v>377</v>
      </c>
      <c r="E27" s="278">
        <v>157908467</v>
      </c>
      <c r="F27" s="278">
        <v>0</v>
      </c>
    </row>
    <row r="28" spans="2:8">
      <c r="B28" s="183" t="s">
        <v>790</v>
      </c>
      <c r="C28" s="183" t="s">
        <v>379</v>
      </c>
      <c r="D28" s="183" t="s">
        <v>377</v>
      </c>
      <c r="E28" s="278">
        <v>228297129</v>
      </c>
      <c r="F28" s="278">
        <v>19900000</v>
      </c>
    </row>
    <row r="29" spans="2:8">
      <c r="B29" s="184" t="s">
        <v>816</v>
      </c>
      <c r="C29" s="183" t="s">
        <v>380</v>
      </c>
      <c r="D29" s="183" t="s">
        <v>377</v>
      </c>
      <c r="E29" s="278">
        <v>46187430</v>
      </c>
      <c r="F29" s="278">
        <v>0</v>
      </c>
    </row>
    <row r="30" spans="2:8">
      <c r="B30" s="184" t="s">
        <v>817</v>
      </c>
      <c r="C30" s="183" t="s">
        <v>380</v>
      </c>
      <c r="D30" s="183" t="s">
        <v>377</v>
      </c>
      <c r="E30" s="278">
        <v>46183258</v>
      </c>
      <c r="F30" s="278">
        <v>0</v>
      </c>
    </row>
    <row r="31" spans="2:8">
      <c r="B31" s="184" t="s">
        <v>781</v>
      </c>
      <c r="C31" s="183" t="s">
        <v>379</v>
      </c>
      <c r="D31" s="183" t="s">
        <v>377</v>
      </c>
      <c r="E31" s="278">
        <f>188937448+500000</f>
        <v>189437448</v>
      </c>
      <c r="F31" s="278">
        <v>284198</v>
      </c>
      <c r="G31" s="203"/>
      <c r="H31" s="225"/>
    </row>
    <row r="32" spans="2:8">
      <c r="B32" s="137" t="s">
        <v>730</v>
      </c>
      <c r="C32" s="182"/>
      <c r="D32" s="182"/>
      <c r="E32" s="180">
        <f>SUM(E8:E31)</f>
        <v>1949246773</v>
      </c>
      <c r="F32" s="180">
        <v>0</v>
      </c>
    </row>
    <row r="33" spans="2:8">
      <c r="B33" s="137" t="s">
        <v>774</v>
      </c>
      <c r="C33" s="182"/>
      <c r="D33" s="182"/>
      <c r="E33" s="180">
        <v>0</v>
      </c>
      <c r="F33" s="180">
        <f>SUM(F8:F32)</f>
        <v>510807641</v>
      </c>
    </row>
    <row r="36" spans="2:8" ht="38.25">
      <c r="B36" s="85" t="s">
        <v>376</v>
      </c>
      <c r="C36" s="177" t="s">
        <v>375</v>
      </c>
      <c r="D36" s="177" t="s">
        <v>374</v>
      </c>
      <c r="E36" s="177" t="s">
        <v>504</v>
      </c>
      <c r="F36" s="177" t="s">
        <v>312</v>
      </c>
      <c r="G36" s="177" t="s">
        <v>505</v>
      </c>
      <c r="H36" s="177" t="s">
        <v>506</v>
      </c>
    </row>
    <row r="37" spans="2:8">
      <c r="B37" s="176" t="s">
        <v>507</v>
      </c>
      <c r="C37" s="279" t="s">
        <v>508</v>
      </c>
      <c r="D37" s="279" t="s">
        <v>509</v>
      </c>
      <c r="E37" s="173">
        <v>0</v>
      </c>
      <c r="F37" s="280"/>
      <c r="G37" s="87">
        <v>0</v>
      </c>
      <c r="H37" s="173">
        <v>0</v>
      </c>
    </row>
    <row r="38" spans="2:8">
      <c r="B38" s="137" t="s">
        <v>730</v>
      </c>
      <c r="C38" s="173">
        <v>0</v>
      </c>
      <c r="D38" s="173">
        <v>0</v>
      </c>
      <c r="E38" s="173">
        <v>0</v>
      </c>
      <c r="F38" s="173">
        <v>0</v>
      </c>
      <c r="G38" s="89">
        <v>98330696.326666668</v>
      </c>
      <c r="H38" s="173">
        <v>0</v>
      </c>
    </row>
    <row r="39" spans="2:8">
      <c r="B39" s="137" t="s">
        <v>774</v>
      </c>
      <c r="C39" s="173">
        <v>0</v>
      </c>
      <c r="D39" s="173">
        <v>0</v>
      </c>
      <c r="E39" s="173">
        <v>0</v>
      </c>
      <c r="F39" s="173">
        <v>0</v>
      </c>
      <c r="G39" s="173">
        <v>0</v>
      </c>
      <c r="H39" s="173">
        <v>0</v>
      </c>
    </row>
  </sheetData>
  <mergeCells count="1">
    <mergeCell ref="E6:F6"/>
  </mergeCells>
  <hyperlinks>
    <hyperlink ref="C1" location="'Balance Gral. Resol. 1'!A1" display="'Balance Gral. Resol. 1'!A1" xr:uid="{00000000-0004-0000-11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-0.249977111117893"/>
  </sheetPr>
  <dimension ref="B1:O23"/>
  <sheetViews>
    <sheetView showGridLines="0" workbookViewId="0">
      <selection activeCell="D21" sqref="D21"/>
    </sheetView>
  </sheetViews>
  <sheetFormatPr baseColWidth="10" defaultRowHeight="15"/>
  <cols>
    <col min="2" max="2" width="36.42578125" customWidth="1"/>
    <col min="3" max="3" width="20" style="203" customWidth="1"/>
    <col min="4" max="4" width="16.42578125" bestFit="1" customWidth="1"/>
    <col min="9" max="9" width="12.42578125" bestFit="1" customWidth="1"/>
  </cols>
  <sheetData>
    <row r="1" spans="2:15">
      <c r="B1" s="272" t="s">
        <v>501</v>
      </c>
    </row>
    <row r="2" spans="2:15">
      <c r="B2" s="74"/>
    </row>
    <row r="3" spans="2:15">
      <c r="B3" s="166" t="s">
        <v>392</v>
      </c>
    </row>
    <row r="4" spans="2:15">
      <c r="B4" s="113" t="s">
        <v>384</v>
      </c>
      <c r="C4" s="191" t="s">
        <v>385</v>
      </c>
      <c r="D4" s="192" t="s">
        <v>386</v>
      </c>
    </row>
    <row r="5" spans="2:15">
      <c r="B5" s="193" t="s">
        <v>387</v>
      </c>
      <c r="C5" s="194">
        <f>310000*3</f>
        <v>930000</v>
      </c>
      <c r="D5" s="428">
        <v>87272727</v>
      </c>
    </row>
    <row r="6" spans="2:15">
      <c r="B6" s="193" t="s">
        <v>388</v>
      </c>
      <c r="C6" s="428">
        <v>0</v>
      </c>
      <c r="D6" s="428">
        <v>42000000</v>
      </c>
    </row>
    <row r="7" spans="2:15">
      <c r="B7" s="193" t="s">
        <v>389</v>
      </c>
      <c r="C7" s="428">
        <v>0</v>
      </c>
      <c r="D7" s="159">
        <v>89500000</v>
      </c>
    </row>
    <row r="8" spans="2:15">
      <c r="B8" s="193" t="s">
        <v>828</v>
      </c>
      <c r="C8" s="159">
        <f>17429135+15999831</f>
        <v>33428966</v>
      </c>
      <c r="D8" s="428">
        <v>9818182</v>
      </c>
      <c r="E8" s="160"/>
    </row>
    <row r="9" spans="2:15">
      <c r="B9" s="193" t="s">
        <v>827</v>
      </c>
      <c r="C9" s="159">
        <v>31554569</v>
      </c>
      <c r="D9" s="428">
        <v>0</v>
      </c>
      <c r="E9" s="160"/>
    </row>
    <row r="10" spans="2:15">
      <c r="B10" s="193" t="s">
        <v>390</v>
      </c>
      <c r="C10" s="159">
        <v>9098433</v>
      </c>
      <c r="D10" s="428">
        <v>0</v>
      </c>
      <c r="F10" s="195"/>
    </row>
    <row r="11" spans="2:15">
      <c r="B11" s="193" t="s">
        <v>391</v>
      </c>
      <c r="C11" s="159">
        <v>30071761</v>
      </c>
      <c r="D11" s="428">
        <v>0</v>
      </c>
    </row>
    <row r="12" spans="2:15">
      <c r="B12" s="137" t="s">
        <v>730</v>
      </c>
      <c r="C12" s="196">
        <f>SUM(C5:C11)</f>
        <v>105083729</v>
      </c>
      <c r="D12" s="196">
        <f>SUM(D5:D11)</f>
        <v>228590909</v>
      </c>
    </row>
    <row r="13" spans="2:15">
      <c r="B13" s="137" t="s">
        <v>774</v>
      </c>
      <c r="C13" s="197">
        <v>270645809.11950004</v>
      </c>
      <c r="D13" s="196">
        <v>391082620</v>
      </c>
    </row>
    <row r="16" spans="2:15">
      <c r="K16" s="198"/>
      <c r="L16" s="199"/>
      <c r="M16" s="200"/>
      <c r="N16" s="199"/>
      <c r="O16" s="200"/>
    </row>
    <row r="17" spans="7:15">
      <c r="K17" s="198"/>
      <c r="L17" s="199"/>
      <c r="M17" s="200"/>
      <c r="N17" s="199"/>
      <c r="O17" s="200"/>
    </row>
    <row r="18" spans="7:15">
      <c r="K18" s="198"/>
      <c r="L18" s="199"/>
      <c r="M18" s="200"/>
      <c r="N18" s="199"/>
      <c r="O18" s="201"/>
    </row>
    <row r="19" spans="7:15">
      <c r="K19" s="199"/>
      <c r="L19" s="199"/>
      <c r="M19" s="199"/>
      <c r="N19" s="199"/>
      <c r="O19" s="199"/>
    </row>
    <row r="23" spans="7:15">
      <c r="G23" s="202"/>
    </row>
  </sheetData>
  <hyperlinks>
    <hyperlink ref="B1" location="'Balance Gral. Resol. 1'!A1" display="'Balance Gral. Resol. 1'!A1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2:XFD148"/>
  <sheetViews>
    <sheetView showGridLines="0" tabSelected="1" topLeftCell="A36" zoomScaleNormal="100" workbookViewId="0">
      <selection activeCell="G83" sqref="G83"/>
    </sheetView>
  </sheetViews>
  <sheetFormatPr baseColWidth="10" defaultColWidth="11.42578125" defaultRowHeight="11.25"/>
  <cols>
    <col min="1" max="1" width="3.85546875" style="1" customWidth="1"/>
    <col min="2" max="2" width="20.85546875" style="1" hidden="1" customWidth="1"/>
    <col min="3" max="3" width="40.85546875" style="1" customWidth="1"/>
    <col min="4" max="4" width="13.85546875" style="1" customWidth="1"/>
    <col min="5" max="5" width="13.42578125" style="1" customWidth="1"/>
    <col min="6" max="6" width="40.85546875" style="1" customWidth="1"/>
    <col min="7" max="7" width="14.28515625" style="1" customWidth="1"/>
    <col min="8" max="8" width="13.140625" style="1" customWidth="1"/>
    <col min="9" max="16384" width="11.42578125" style="1"/>
  </cols>
  <sheetData>
    <row r="2" spans="2:8" ht="12">
      <c r="E2" s="2" t="s">
        <v>0</v>
      </c>
    </row>
    <row r="3" spans="2:8" ht="12">
      <c r="E3" s="2" t="s">
        <v>1</v>
      </c>
    </row>
    <row r="4" spans="2:8" ht="12">
      <c r="E4" s="2" t="s">
        <v>776</v>
      </c>
    </row>
    <row r="5" spans="2:8" ht="11.25" customHeight="1">
      <c r="D5" s="3"/>
      <c r="E5" s="4" t="s">
        <v>2</v>
      </c>
      <c r="F5" s="3"/>
    </row>
    <row r="6" spans="2:8" ht="30" customHeight="1">
      <c r="B6" s="402">
        <v>1</v>
      </c>
      <c r="C6" s="5" t="s">
        <v>3</v>
      </c>
      <c r="D6" s="403" t="s">
        <v>830</v>
      </c>
      <c r="E6" s="6" t="s">
        <v>831</v>
      </c>
      <c r="F6" s="7" t="s">
        <v>4</v>
      </c>
      <c r="G6" s="6" t="s">
        <v>830</v>
      </c>
      <c r="H6" s="6" t="s">
        <v>831</v>
      </c>
    </row>
    <row r="7" spans="2:8" ht="11.25" customHeight="1">
      <c r="C7" s="8" t="s">
        <v>5</v>
      </c>
      <c r="D7" s="9"/>
      <c r="E7" s="10"/>
      <c r="F7" s="7" t="s">
        <v>6</v>
      </c>
      <c r="G7" s="11"/>
      <c r="H7" s="12"/>
    </row>
    <row r="8" spans="2:8" ht="11.25" customHeight="1">
      <c r="B8" s="13" t="s">
        <v>7</v>
      </c>
      <c r="C8" s="8" t="s">
        <v>8</v>
      </c>
      <c r="D8" s="14"/>
      <c r="E8" s="12"/>
      <c r="F8" s="7" t="s">
        <v>9</v>
      </c>
      <c r="G8" s="11"/>
      <c r="H8" s="12"/>
    </row>
    <row r="9" spans="2:8" ht="11.25" customHeight="1">
      <c r="B9" s="15" t="s">
        <v>10</v>
      </c>
      <c r="C9" s="16" t="s">
        <v>11</v>
      </c>
      <c r="D9" s="14">
        <v>0</v>
      </c>
      <c r="E9" s="12">
        <v>0</v>
      </c>
      <c r="F9" s="17" t="s">
        <v>12</v>
      </c>
      <c r="G9" s="75">
        <v>2849441466</v>
      </c>
      <c r="H9" s="12">
        <v>538447726</v>
      </c>
    </row>
    <row r="10" spans="2:8" ht="11.25" customHeight="1">
      <c r="B10" s="15"/>
      <c r="C10" s="16" t="s">
        <v>13</v>
      </c>
      <c r="D10" s="14">
        <v>313531905</v>
      </c>
      <c r="E10" s="12">
        <v>326801065</v>
      </c>
      <c r="F10" s="17" t="s">
        <v>14</v>
      </c>
      <c r="G10" s="11">
        <v>7254702359</v>
      </c>
      <c r="H10" s="12">
        <v>789471545</v>
      </c>
    </row>
    <row r="11" spans="2:8" ht="11.25" customHeight="1">
      <c r="B11" s="15" t="s">
        <v>15</v>
      </c>
      <c r="C11" s="16" t="s">
        <v>16</v>
      </c>
      <c r="D11" s="14">
        <f>3670520394-D10+912747722</f>
        <v>4269736211</v>
      </c>
      <c r="E11" s="12">
        <v>1253102777</v>
      </c>
      <c r="F11" s="17" t="s">
        <v>17</v>
      </c>
      <c r="G11" s="12">
        <v>1127483228</v>
      </c>
      <c r="H11" s="18">
        <v>0</v>
      </c>
    </row>
    <row r="12" spans="2:8" ht="11.25" customHeight="1">
      <c r="B12" s="15" t="s">
        <v>18</v>
      </c>
      <c r="C12" s="19"/>
      <c r="D12" s="21">
        <f>SUM(D9:D11)</f>
        <v>4583268116</v>
      </c>
      <c r="E12" s="21">
        <f>SUM(E9:E11)</f>
        <v>1579903842</v>
      </c>
      <c r="F12" s="17" t="s">
        <v>19</v>
      </c>
      <c r="G12" s="11">
        <v>0</v>
      </c>
      <c r="H12" s="12">
        <v>0</v>
      </c>
    </row>
    <row r="13" spans="2:8" ht="11.25" customHeight="1">
      <c r="B13" s="15"/>
      <c r="C13" s="19"/>
      <c r="D13" s="14"/>
      <c r="E13" s="12"/>
      <c r="F13" s="17" t="s">
        <v>20</v>
      </c>
      <c r="G13" s="11">
        <v>0</v>
      </c>
      <c r="H13" s="12">
        <v>0</v>
      </c>
    </row>
    <row r="14" spans="2:8" ht="11.25" customHeight="1">
      <c r="B14" s="15"/>
      <c r="C14" s="19"/>
      <c r="D14" s="14"/>
      <c r="E14" s="12"/>
      <c r="F14" s="7"/>
      <c r="G14" s="21">
        <f>SUM(G9:G13)</f>
        <v>11231627053</v>
      </c>
      <c r="H14" s="21">
        <f>SUM(H9:H13)</f>
        <v>1327919271</v>
      </c>
    </row>
    <row r="15" spans="2:8" ht="11.25" customHeight="1">
      <c r="B15" s="15"/>
      <c r="C15" s="8" t="s">
        <v>21</v>
      </c>
      <c r="D15" s="14">
        <v>0</v>
      </c>
      <c r="E15" s="12">
        <v>0</v>
      </c>
      <c r="F15" s="7" t="s">
        <v>22</v>
      </c>
      <c r="G15" s="11"/>
      <c r="H15" s="12"/>
    </row>
    <row r="16" spans="2:8" ht="11.25" customHeight="1">
      <c r="B16" s="15"/>
      <c r="C16" s="19" t="s">
        <v>23</v>
      </c>
      <c r="D16" s="14">
        <v>0</v>
      </c>
      <c r="E16" s="12">
        <v>0</v>
      </c>
      <c r="F16" s="17" t="s">
        <v>24</v>
      </c>
      <c r="G16" s="11">
        <v>0</v>
      </c>
      <c r="H16" s="12">
        <v>158387550</v>
      </c>
    </row>
    <row r="17" spans="2:8 16384:16384" ht="11.25" customHeight="1">
      <c r="B17" s="15"/>
      <c r="C17" s="19" t="s">
        <v>25</v>
      </c>
      <c r="D17" s="14">
        <v>0</v>
      </c>
      <c r="E17" s="12">
        <v>0</v>
      </c>
      <c r="F17" s="17" t="s">
        <v>26</v>
      </c>
      <c r="G17" s="11">
        <v>8590000000</v>
      </c>
      <c r="H17" s="12">
        <v>6540000000</v>
      </c>
    </row>
    <row r="18" spans="2:8 16384:16384" ht="11.25" customHeight="1">
      <c r="B18" s="15"/>
      <c r="C18" s="22" t="s">
        <v>27</v>
      </c>
      <c r="D18" s="14">
        <v>0</v>
      </c>
      <c r="E18" s="12">
        <v>0</v>
      </c>
      <c r="F18" s="17" t="s">
        <v>28</v>
      </c>
      <c r="G18" s="404">
        <f>8771320839-G17</f>
        <v>181320839</v>
      </c>
      <c r="H18" s="405">
        <v>229096658</v>
      </c>
    </row>
    <row r="19" spans="2:8 16384:16384" ht="11.25" customHeight="1">
      <c r="B19" s="15" t="s">
        <v>29</v>
      </c>
      <c r="C19" s="19"/>
      <c r="D19" s="20">
        <v>0</v>
      </c>
      <c r="E19" s="21">
        <v>0</v>
      </c>
      <c r="F19" s="23"/>
      <c r="G19" s="406">
        <f>SUM(G16:G18)</f>
        <v>8771320839</v>
      </c>
      <c r="H19" s="406">
        <f>SUM(H16:H18)</f>
        <v>6927484208</v>
      </c>
    </row>
    <row r="20" spans="2:8 16384:16384" ht="11.25" customHeight="1">
      <c r="B20" s="15" t="s">
        <v>30</v>
      </c>
      <c r="C20" s="8" t="s">
        <v>31</v>
      </c>
      <c r="D20" s="14"/>
      <c r="E20" s="12"/>
      <c r="F20" s="7" t="s">
        <v>32</v>
      </c>
      <c r="G20" s="11"/>
      <c r="H20" s="12"/>
    </row>
    <row r="21" spans="2:8 16384:16384" ht="11.25" customHeight="1">
      <c r="B21" s="15"/>
      <c r="C21" s="16" t="s">
        <v>33</v>
      </c>
      <c r="D21" s="14">
        <v>1734515186</v>
      </c>
      <c r="E21" s="18">
        <v>2454504298</v>
      </c>
      <c r="F21" s="17" t="s">
        <v>34</v>
      </c>
      <c r="G21" s="11">
        <v>177672551</v>
      </c>
      <c r="H21" s="12">
        <v>0</v>
      </c>
    </row>
    <row r="22" spans="2:8 16384:16384" ht="11.25" customHeight="1">
      <c r="B22" s="15"/>
      <c r="C22" s="16" t="s">
        <v>35</v>
      </c>
      <c r="D22" s="14">
        <f>3050467517-D25</f>
        <v>1458138312</v>
      </c>
      <c r="E22" s="12">
        <v>1292930691</v>
      </c>
      <c r="F22" s="17" t="s">
        <v>36</v>
      </c>
      <c r="G22" s="11">
        <v>0</v>
      </c>
      <c r="H22" s="12">
        <v>0</v>
      </c>
    </row>
    <row r="23" spans="2:8 16384:16384" ht="11.25" customHeight="1">
      <c r="B23" s="15"/>
      <c r="C23" s="16" t="s">
        <v>37</v>
      </c>
      <c r="D23" s="14">
        <v>0</v>
      </c>
      <c r="E23" s="12">
        <v>0</v>
      </c>
      <c r="F23" s="17" t="s">
        <v>38</v>
      </c>
      <c r="G23" s="11">
        <v>0</v>
      </c>
      <c r="H23" s="12">
        <v>0</v>
      </c>
      <c r="XFD23" s="40"/>
    </row>
    <row r="24" spans="2:8 16384:16384" ht="11.25" customHeight="1">
      <c r="B24" s="15"/>
      <c r="C24" s="22" t="s">
        <v>39</v>
      </c>
      <c r="D24" s="14">
        <v>0</v>
      </c>
      <c r="E24" s="12">
        <v>0</v>
      </c>
      <c r="F24" s="17" t="s">
        <v>40</v>
      </c>
      <c r="G24" s="11">
        <v>39199959</v>
      </c>
      <c r="H24" s="12">
        <v>31125150</v>
      </c>
    </row>
    <row r="25" spans="2:8 16384:16384" ht="11.25" customHeight="1">
      <c r="B25" s="15"/>
      <c r="C25" s="16" t="s">
        <v>41</v>
      </c>
      <c r="D25" s="14">
        <v>1592329205</v>
      </c>
      <c r="E25" s="12">
        <v>546941922</v>
      </c>
      <c r="F25" s="17" t="s">
        <v>42</v>
      </c>
      <c r="G25" s="404">
        <v>0</v>
      </c>
      <c r="H25" s="405">
        <v>0</v>
      </c>
    </row>
    <row r="26" spans="2:8 16384:16384" ht="11.25" customHeight="1">
      <c r="B26" s="15"/>
      <c r="C26" s="22" t="s">
        <v>43</v>
      </c>
      <c r="D26" s="14">
        <v>0</v>
      </c>
      <c r="E26" s="12">
        <v>0</v>
      </c>
      <c r="F26" s="17"/>
      <c r="G26" s="406">
        <f>SUM(G21:G25)</f>
        <v>216872510</v>
      </c>
      <c r="H26" s="406">
        <f>SUM(H21:H25)</f>
        <v>31125150</v>
      </c>
    </row>
    <row r="27" spans="2:8 16384:16384" ht="14.1" customHeight="1">
      <c r="B27" s="15"/>
      <c r="C27" s="16" t="s">
        <v>44</v>
      </c>
      <c r="D27" s="14">
        <v>0</v>
      </c>
      <c r="E27" s="12">
        <v>0</v>
      </c>
      <c r="F27" s="17"/>
      <c r="G27" s="11"/>
      <c r="H27" s="12"/>
    </row>
    <row r="28" spans="2:8 16384:16384" ht="11.25" customHeight="1">
      <c r="B28" s="15"/>
      <c r="C28" s="16"/>
      <c r="D28" s="21">
        <f>SUM(D21:D27)</f>
        <v>4784982703</v>
      </c>
      <c r="E28" s="21">
        <f>SUM(E21:E27)</f>
        <v>4294376911</v>
      </c>
      <c r="F28" s="17"/>
      <c r="G28" s="11"/>
      <c r="H28" s="12"/>
    </row>
    <row r="29" spans="2:8 16384:16384" ht="11.25" customHeight="1">
      <c r="B29" s="15"/>
      <c r="C29" s="8" t="s">
        <v>45</v>
      </c>
      <c r="D29" s="14"/>
      <c r="E29" s="12"/>
      <c r="F29" s="7" t="s">
        <v>46</v>
      </c>
      <c r="G29" s="11"/>
      <c r="H29" s="12"/>
    </row>
    <row r="30" spans="2:8 16384:16384" ht="11.25" customHeight="1">
      <c r="B30" s="15" t="s">
        <v>47</v>
      </c>
      <c r="C30" s="24" t="s">
        <v>48</v>
      </c>
      <c r="D30" s="9"/>
      <c r="E30" s="10"/>
      <c r="F30" s="25"/>
      <c r="G30" s="26"/>
      <c r="H30" s="10"/>
    </row>
    <row r="31" spans="2:8 16384:16384" ht="11.25" customHeight="1">
      <c r="B31" s="15" t="s">
        <v>49</v>
      </c>
      <c r="C31" s="16" t="s">
        <v>50</v>
      </c>
      <c r="D31" s="14">
        <v>238013955</v>
      </c>
      <c r="E31" s="12">
        <v>229096654</v>
      </c>
      <c r="F31" s="17" t="s">
        <v>51</v>
      </c>
      <c r="G31" s="11">
        <v>0</v>
      </c>
      <c r="H31" s="12">
        <v>0</v>
      </c>
    </row>
    <row r="32" spans="2:8 16384:16384" ht="11.25" customHeight="1">
      <c r="B32" s="15" t="s">
        <v>52</v>
      </c>
      <c r="C32" s="16" t="s">
        <v>53</v>
      </c>
      <c r="D32" s="14">
        <v>6267846</v>
      </c>
      <c r="E32" s="12">
        <v>21780807</v>
      </c>
      <c r="F32" s="17" t="s">
        <v>54</v>
      </c>
      <c r="G32" s="11">
        <v>0</v>
      </c>
      <c r="H32" s="12">
        <v>0</v>
      </c>
    </row>
    <row r="33" spans="2:10" ht="11.25" customHeight="1">
      <c r="B33" s="15"/>
      <c r="C33" s="16"/>
      <c r="D33" s="14"/>
      <c r="E33" s="12"/>
      <c r="F33" s="17" t="s">
        <v>55</v>
      </c>
      <c r="G33" s="11">
        <v>0</v>
      </c>
      <c r="H33" s="12">
        <v>10000000</v>
      </c>
      <c r="J33" s="32"/>
    </row>
    <row r="34" spans="2:10" ht="11.25" customHeight="1">
      <c r="B34" s="15" t="s">
        <v>56</v>
      </c>
      <c r="C34" s="16"/>
      <c r="D34" s="14"/>
      <c r="E34" s="12"/>
      <c r="F34" s="17"/>
      <c r="G34" s="11"/>
      <c r="H34" s="405"/>
    </row>
    <row r="35" spans="2:10" ht="11.25" customHeight="1">
      <c r="B35" s="15" t="s">
        <v>57</v>
      </c>
      <c r="C35" s="8"/>
      <c r="D35" s="21">
        <f>SUM(D31:D34)</f>
        <v>244281801</v>
      </c>
      <c r="E35" s="21">
        <f>SUM(E31:E34)</f>
        <v>250877461</v>
      </c>
      <c r="F35" s="17"/>
      <c r="G35" s="406">
        <f>SUM(G31:G34)</f>
        <v>0</v>
      </c>
      <c r="H35" s="406">
        <f>SUM(H31:H34)</f>
        <v>10000000</v>
      </c>
    </row>
    <row r="36" spans="2:10" ht="11.25" customHeight="1" thickBot="1">
      <c r="B36" s="15" t="s">
        <v>58</v>
      </c>
      <c r="C36" s="27" t="s">
        <v>59</v>
      </c>
      <c r="D36" s="29">
        <f>+D12+D19+D28+D35</f>
        <v>9612532620</v>
      </c>
      <c r="E36" s="29">
        <f>+E12+E19+E28+E35</f>
        <v>6125158214</v>
      </c>
      <c r="F36" s="30" t="s">
        <v>60</v>
      </c>
      <c r="G36" s="28">
        <f>+G14+G19+G26+G35</f>
        <v>20219820402</v>
      </c>
      <c r="H36" s="28">
        <f>+H14+H19+H26+H35</f>
        <v>8296528629</v>
      </c>
      <c r="I36" s="32">
        <v>0</v>
      </c>
    </row>
    <row r="37" spans="2:10" ht="11.25" customHeight="1" thickTop="1">
      <c r="B37" s="15" t="s">
        <v>61</v>
      </c>
      <c r="C37" s="16"/>
      <c r="D37" s="33"/>
      <c r="E37" s="12"/>
      <c r="F37" s="23"/>
      <c r="G37" s="11"/>
      <c r="H37" s="12"/>
    </row>
    <row r="38" spans="2:10" ht="11.25" customHeight="1">
      <c r="B38" s="15"/>
      <c r="C38" s="8" t="s">
        <v>62</v>
      </c>
      <c r="D38" s="14"/>
      <c r="E38" s="12"/>
      <c r="F38" s="7" t="s">
        <v>63</v>
      </c>
      <c r="G38" s="11"/>
      <c r="H38" s="12"/>
    </row>
    <row r="39" spans="2:10" ht="11.25" customHeight="1">
      <c r="B39" s="15"/>
      <c r="C39" s="8" t="s">
        <v>64</v>
      </c>
      <c r="D39" s="14"/>
      <c r="E39" s="12"/>
      <c r="F39" s="7" t="s">
        <v>65</v>
      </c>
      <c r="G39" s="11"/>
      <c r="H39" s="12"/>
    </row>
    <row r="40" spans="2:10" ht="11.25" customHeight="1">
      <c r="B40" s="15" t="s">
        <v>66</v>
      </c>
      <c r="C40" s="16" t="s">
        <v>23</v>
      </c>
      <c r="D40" s="14">
        <f>3584724000+2800000000+2495451703+251000000</f>
        <v>9131175703</v>
      </c>
      <c r="E40" s="12">
        <f>2247187405+5129691864</f>
        <v>7376879269</v>
      </c>
      <c r="F40" s="17" t="s">
        <v>67</v>
      </c>
      <c r="G40" s="11">
        <v>0</v>
      </c>
      <c r="H40" s="12">
        <v>0</v>
      </c>
    </row>
    <row r="41" spans="2:10" ht="11.25" customHeight="1">
      <c r="B41" s="15"/>
      <c r="C41" s="16" t="s">
        <v>68</v>
      </c>
      <c r="D41" s="14">
        <f>8387396883+6088886942</f>
        <v>14476283825</v>
      </c>
      <c r="E41" s="12">
        <v>2674480990</v>
      </c>
      <c r="F41" s="17" t="s">
        <v>28</v>
      </c>
      <c r="G41" s="11">
        <v>0</v>
      </c>
      <c r="H41" s="12">
        <v>0</v>
      </c>
    </row>
    <row r="42" spans="2:10" ht="11.25" customHeight="1">
      <c r="B42" s="15" t="s">
        <v>69</v>
      </c>
      <c r="C42" s="16" t="s">
        <v>70</v>
      </c>
      <c r="D42" s="14">
        <v>750000000</v>
      </c>
      <c r="E42" s="12">
        <v>750000000</v>
      </c>
      <c r="F42" s="23"/>
      <c r="G42" s="21">
        <v>0</v>
      </c>
      <c r="H42" s="20">
        <v>0</v>
      </c>
    </row>
    <row r="43" spans="2:10" ht="11.25" customHeight="1">
      <c r="B43" s="15" t="s">
        <v>71</v>
      </c>
      <c r="C43" s="16" t="s">
        <v>72</v>
      </c>
      <c r="D43" s="14">
        <v>0</v>
      </c>
      <c r="E43" s="12">
        <v>919238960</v>
      </c>
      <c r="F43" s="7" t="s">
        <v>73</v>
      </c>
      <c r="G43" s="11"/>
      <c r="H43" s="12"/>
    </row>
    <row r="44" spans="2:10" ht="11.25" customHeight="1">
      <c r="B44" s="15"/>
      <c r="C44" s="16" t="s">
        <v>74</v>
      </c>
      <c r="D44" s="14">
        <v>594805500</v>
      </c>
      <c r="E44" s="12">
        <v>0</v>
      </c>
      <c r="F44" s="7"/>
      <c r="G44" s="11"/>
      <c r="H44" s="12"/>
    </row>
    <row r="45" spans="2:10" ht="11.25" customHeight="1">
      <c r="B45" s="15"/>
      <c r="C45" s="22" t="s">
        <v>39</v>
      </c>
      <c r="D45" s="14">
        <v>0</v>
      </c>
      <c r="E45" s="12">
        <v>0</v>
      </c>
      <c r="F45" s="17" t="s">
        <v>75</v>
      </c>
      <c r="G45" s="11">
        <v>0</v>
      </c>
      <c r="H45" s="12">
        <v>0</v>
      </c>
    </row>
    <row r="46" spans="2:10" ht="11.25" customHeight="1">
      <c r="B46" s="15"/>
      <c r="C46" s="19"/>
      <c r="D46" s="21">
        <f>SUM(D40:D45)</f>
        <v>24952265028</v>
      </c>
      <c r="E46" s="21">
        <f>SUM(E40:E45)</f>
        <v>11720599219</v>
      </c>
      <c r="F46" s="17" t="s">
        <v>76</v>
      </c>
      <c r="G46" s="11">
        <v>0</v>
      </c>
      <c r="H46" s="12">
        <v>0</v>
      </c>
    </row>
    <row r="47" spans="2:10" ht="11.25" customHeight="1">
      <c r="B47" s="15"/>
      <c r="C47" s="8" t="s">
        <v>77</v>
      </c>
      <c r="D47" s="14"/>
      <c r="E47" s="12"/>
      <c r="F47" s="17" t="s">
        <v>78</v>
      </c>
      <c r="G47" s="11"/>
      <c r="H47" s="12"/>
    </row>
    <row r="48" spans="2:10" ht="11.25" customHeight="1">
      <c r="B48" s="34" t="s">
        <v>79</v>
      </c>
      <c r="C48" s="16" t="s">
        <v>33</v>
      </c>
      <c r="D48" s="14"/>
      <c r="E48" s="12"/>
      <c r="F48" s="23"/>
      <c r="G48" s="11">
        <v>0</v>
      </c>
      <c r="H48" s="12">
        <v>0</v>
      </c>
    </row>
    <row r="49" spans="2:8" ht="11.25" customHeight="1">
      <c r="B49" s="15" t="s">
        <v>80</v>
      </c>
      <c r="C49" s="16" t="s">
        <v>37</v>
      </c>
      <c r="D49" s="14">
        <v>10849315</v>
      </c>
      <c r="E49" s="12">
        <v>0</v>
      </c>
      <c r="F49" s="23"/>
      <c r="G49" s="26"/>
      <c r="H49" s="10"/>
    </row>
    <row r="50" spans="2:8" ht="11.25" customHeight="1" thickBot="1">
      <c r="B50" s="15" t="s">
        <v>81</v>
      </c>
      <c r="C50" s="16" t="s">
        <v>82</v>
      </c>
      <c r="D50" s="14"/>
      <c r="E50" s="12"/>
      <c r="F50" s="30" t="s">
        <v>83</v>
      </c>
      <c r="G50" s="29">
        <v>0</v>
      </c>
      <c r="H50" s="29">
        <v>0</v>
      </c>
    </row>
    <row r="51" spans="2:8" ht="11.25" customHeight="1" thickTop="1">
      <c r="B51" s="15"/>
      <c r="C51" s="22" t="s">
        <v>39</v>
      </c>
      <c r="D51" s="14"/>
      <c r="E51" s="12"/>
      <c r="F51" s="35" t="s">
        <v>84</v>
      </c>
      <c r="G51" s="36">
        <f>+G50+G36</f>
        <v>20219820402</v>
      </c>
      <c r="H51" s="36">
        <f>+H50+H36</f>
        <v>8296528629</v>
      </c>
    </row>
    <row r="52" spans="2:8" ht="11.25" customHeight="1">
      <c r="B52" s="15"/>
      <c r="C52" s="16" t="s">
        <v>41</v>
      </c>
      <c r="D52" s="14"/>
      <c r="E52" s="12"/>
      <c r="F52" s="7" t="s">
        <v>85</v>
      </c>
      <c r="G52" s="11"/>
      <c r="H52" s="12"/>
    </row>
    <row r="53" spans="2:8" ht="11.25" customHeight="1">
      <c r="B53" s="15" t="s">
        <v>86</v>
      </c>
      <c r="C53" s="22" t="s">
        <v>43</v>
      </c>
      <c r="D53" s="14"/>
      <c r="E53" s="12"/>
      <c r="F53" s="7" t="s">
        <v>87</v>
      </c>
      <c r="G53" s="11"/>
      <c r="H53" s="12"/>
    </row>
    <row r="54" spans="2:8" ht="11.25" customHeight="1">
      <c r="B54" s="15" t="s">
        <v>88</v>
      </c>
      <c r="C54" s="16" t="s">
        <v>44</v>
      </c>
      <c r="D54" s="14"/>
      <c r="E54" s="12"/>
      <c r="F54" s="17" t="s">
        <v>89</v>
      </c>
      <c r="G54" s="11">
        <v>24288000001</v>
      </c>
      <c r="H54" s="12">
        <v>18400000000</v>
      </c>
    </row>
    <row r="55" spans="2:8" ht="11.25" customHeight="1">
      <c r="B55" s="15" t="s">
        <v>90</v>
      </c>
      <c r="C55" s="16"/>
      <c r="D55" s="14"/>
      <c r="E55" s="12"/>
      <c r="F55" s="17" t="s">
        <v>91</v>
      </c>
      <c r="G55" s="404">
        <v>0</v>
      </c>
      <c r="H55" s="405">
        <v>0</v>
      </c>
    </row>
    <row r="56" spans="2:8" ht="11.25" customHeight="1">
      <c r="B56" s="15" t="s">
        <v>92</v>
      </c>
      <c r="C56" s="19"/>
      <c r="D56" s="21">
        <f>SUM(D48:D55)</f>
        <v>10849315</v>
      </c>
      <c r="E56" s="21">
        <f>SUM(E48:E55)</f>
        <v>0</v>
      </c>
      <c r="F56" s="23"/>
      <c r="G56" s="21">
        <f>SUM(G54:G55)</f>
        <v>24288000001</v>
      </c>
      <c r="H56" s="21">
        <f>SUM(H54:H55)</f>
        <v>18400000000</v>
      </c>
    </row>
    <row r="57" spans="2:8" ht="11.25" customHeight="1">
      <c r="B57" s="15"/>
      <c r="C57" s="8" t="s">
        <v>93</v>
      </c>
      <c r="D57" s="14"/>
      <c r="E57" s="12"/>
      <c r="F57" s="7" t="s">
        <v>94</v>
      </c>
      <c r="G57" s="11"/>
      <c r="H57" s="12"/>
    </row>
    <row r="58" spans="2:8" ht="11.25" customHeight="1">
      <c r="B58" s="15"/>
      <c r="C58" s="16" t="s">
        <v>95</v>
      </c>
      <c r="D58" s="14">
        <f>12421856590-D59</f>
        <v>12744658548</v>
      </c>
      <c r="E58" s="12">
        <v>12719804445</v>
      </c>
      <c r="F58" s="17" t="s">
        <v>96</v>
      </c>
      <c r="G58" s="11">
        <f>838780147+283464405</f>
        <v>1122244552</v>
      </c>
      <c r="H58" s="12">
        <v>838780148</v>
      </c>
    </row>
    <row r="59" spans="2:8" ht="11.25" customHeight="1">
      <c r="B59" s="15"/>
      <c r="C59" s="16" t="s">
        <v>97</v>
      </c>
      <c r="D59" s="14">
        <v>-322801958</v>
      </c>
      <c r="E59" s="12">
        <v>-301576124</v>
      </c>
      <c r="F59" s="17" t="s">
        <v>98</v>
      </c>
      <c r="G59" s="11">
        <v>946670</v>
      </c>
      <c r="H59" s="14">
        <v>0</v>
      </c>
    </row>
    <row r="60" spans="2:8" ht="11.25" customHeight="1">
      <c r="B60" s="15" t="s">
        <v>99</v>
      </c>
      <c r="C60" s="16"/>
      <c r="D60" s="21">
        <f>SUM(D58:D59)</f>
        <v>12421856590</v>
      </c>
      <c r="E60" s="21">
        <f>SUM(E58:E59)</f>
        <v>12418228321</v>
      </c>
      <c r="F60" s="17" t="s">
        <v>100</v>
      </c>
      <c r="G60" s="11">
        <v>0</v>
      </c>
      <c r="H60" s="12">
        <v>435673535</v>
      </c>
    </row>
    <row r="61" spans="2:8" ht="11.25" customHeight="1">
      <c r="B61" s="15"/>
      <c r="C61" s="8" t="s">
        <v>101</v>
      </c>
      <c r="D61" s="14"/>
      <c r="E61" s="12"/>
      <c r="F61" s="17"/>
      <c r="G61" s="11"/>
      <c r="H61" s="12"/>
    </row>
    <row r="62" spans="2:8" ht="11.25" customHeight="1">
      <c r="B62" s="15"/>
      <c r="C62" s="16" t="s">
        <v>102</v>
      </c>
      <c r="D62" s="14">
        <v>157353207</v>
      </c>
      <c r="E62" s="12">
        <v>172100915</v>
      </c>
      <c r="F62" s="17"/>
      <c r="G62" s="21">
        <f>SUM(G58:G61)</f>
        <v>1123191222</v>
      </c>
      <c r="H62" s="21">
        <f>SUM(H58:H61)</f>
        <v>1274453683</v>
      </c>
    </row>
    <row r="63" spans="2:8" ht="11.25" customHeight="1">
      <c r="B63" s="15"/>
      <c r="C63" s="37" t="s">
        <v>103</v>
      </c>
      <c r="D63" s="14">
        <v>900000</v>
      </c>
      <c r="E63" s="12">
        <v>900000</v>
      </c>
      <c r="F63" s="17"/>
      <c r="G63" s="26"/>
      <c r="H63" s="26"/>
    </row>
    <row r="64" spans="2:8" ht="11.25" customHeight="1">
      <c r="B64" s="15"/>
      <c r="C64" s="16" t="s">
        <v>104</v>
      </c>
      <c r="D64" s="14">
        <v>27866433</v>
      </c>
      <c r="E64" s="12">
        <v>27866433</v>
      </c>
      <c r="F64" s="7" t="s">
        <v>105</v>
      </c>
      <c r="G64" s="26"/>
      <c r="H64" s="10"/>
    </row>
    <row r="65" spans="2:8" ht="11.25" customHeight="1">
      <c r="B65" s="15"/>
      <c r="C65" s="16" t="s">
        <v>106</v>
      </c>
      <c r="D65" s="14">
        <v>1234359736</v>
      </c>
      <c r="E65" s="12">
        <v>892716220</v>
      </c>
      <c r="F65" s="23" t="s">
        <v>107</v>
      </c>
      <c r="G65" s="11">
        <v>0</v>
      </c>
      <c r="H65" s="12">
        <v>0</v>
      </c>
    </row>
    <row r="66" spans="2:8" ht="11.25" customHeight="1">
      <c r="B66" s="15"/>
      <c r="C66" s="16" t="s">
        <v>108</v>
      </c>
      <c r="D66" s="407">
        <v>-880355950</v>
      </c>
      <c r="E66" s="405">
        <v>-605496367</v>
      </c>
      <c r="F66" s="23" t="s">
        <v>109</v>
      </c>
      <c r="G66" s="75">
        <v>1906615354</v>
      </c>
      <c r="H66" s="408">
        <v>2781090643</v>
      </c>
    </row>
    <row r="67" spans="2:8" ht="11.25" customHeight="1">
      <c r="B67" s="15"/>
      <c r="C67" s="19"/>
      <c r="D67" s="21">
        <f>SUM(D62:D66)</f>
        <v>540123426</v>
      </c>
      <c r="E67" s="21">
        <f>SUM(E62:E66)</f>
        <v>488087201</v>
      </c>
      <c r="F67" s="23"/>
      <c r="G67" s="409">
        <f>SUM(G65:G66)</f>
        <v>1906615354</v>
      </c>
      <c r="H67" s="409">
        <f>SUM(H65:H66)</f>
        <v>2781090643</v>
      </c>
    </row>
    <row r="68" spans="2:8" ht="11.25" customHeight="1">
      <c r="B68" s="15"/>
      <c r="C68" s="8" t="s">
        <v>45</v>
      </c>
      <c r="D68" s="14"/>
      <c r="E68" s="12"/>
      <c r="F68" s="410" t="s">
        <v>110</v>
      </c>
      <c r="G68" s="31">
        <f>+G56+G62+G67</f>
        <v>27317806577</v>
      </c>
      <c r="H68" s="31">
        <f>+H56+H62+H67</f>
        <v>22455544326</v>
      </c>
    </row>
    <row r="69" spans="2:8" ht="11.25" customHeight="1">
      <c r="B69" s="15"/>
      <c r="C69" s="8" t="s">
        <v>48</v>
      </c>
      <c r="D69" s="14"/>
      <c r="E69" s="12"/>
      <c r="F69" s="410" t="s">
        <v>111</v>
      </c>
      <c r="G69" s="411">
        <f>+G68+G51</f>
        <v>47537626979</v>
      </c>
      <c r="H69" s="411">
        <f>+H68+H51</f>
        <v>30752072955</v>
      </c>
    </row>
    <row r="70" spans="2:8" ht="11.25" customHeight="1">
      <c r="B70" s="15"/>
      <c r="C70" s="16" t="s">
        <v>112</v>
      </c>
      <c r="D70" s="14">
        <v>0</v>
      </c>
      <c r="E70" s="12">
        <v>0</v>
      </c>
      <c r="G70" s="38">
        <f>+G69-D75</f>
        <v>0</v>
      </c>
      <c r="H70" s="39"/>
    </row>
    <row r="71" spans="2:8" ht="11.25" customHeight="1">
      <c r="B71" s="15"/>
      <c r="C71" s="16" t="s">
        <v>113</v>
      </c>
      <c r="D71" s="14">
        <v>0</v>
      </c>
      <c r="E71" s="12">
        <v>0</v>
      </c>
      <c r="H71" s="40"/>
    </row>
    <row r="72" spans="2:8" ht="11.25" customHeight="1">
      <c r="B72" s="15" t="s">
        <v>114</v>
      </c>
      <c r="C72" s="16" t="s">
        <v>115</v>
      </c>
      <c r="D72" s="14">
        <v>0</v>
      </c>
      <c r="E72" s="12">
        <v>0</v>
      </c>
      <c r="H72" s="40"/>
    </row>
    <row r="73" spans="2:8" ht="11.25" customHeight="1">
      <c r="B73" s="15" t="s">
        <v>116</v>
      </c>
      <c r="C73" s="19"/>
      <c r="D73" s="41">
        <f>SUM(D70:D72)</f>
        <v>0</v>
      </c>
      <c r="E73" s="41">
        <f>SUM(E70:E72)</f>
        <v>0</v>
      </c>
      <c r="H73" s="40"/>
    </row>
    <row r="74" spans="2:8" ht="11.25" customHeight="1">
      <c r="B74" s="15"/>
      <c r="C74" s="412" t="s">
        <v>117</v>
      </c>
      <c r="D74" s="31">
        <f>+D73+D67+D60+D56+D46</f>
        <v>37925094359</v>
      </c>
      <c r="E74" s="31">
        <f>+E73+E67+E60+E56+E46</f>
        <v>24626914741</v>
      </c>
      <c r="H74" s="40"/>
    </row>
    <row r="75" spans="2:8" ht="11.25" customHeight="1">
      <c r="B75" s="15" t="s">
        <v>118</v>
      </c>
      <c r="C75" s="412" t="s">
        <v>119</v>
      </c>
      <c r="D75" s="411">
        <f>+D74+D36</f>
        <v>47537626979</v>
      </c>
      <c r="E75" s="411">
        <f>+E74+E36</f>
        <v>30752072955</v>
      </c>
      <c r="F75" s="413"/>
      <c r="G75" s="413"/>
      <c r="H75" s="414"/>
    </row>
    <row r="76" spans="2:8" ht="11.25" customHeight="1">
      <c r="B76" s="15" t="s">
        <v>120</v>
      </c>
      <c r="D76" s="32">
        <f>+D75-G69</f>
        <v>0</v>
      </c>
      <c r="E76" s="32">
        <f>+E75-H69</f>
        <v>0</v>
      </c>
    </row>
    <row r="77" spans="2:8" ht="11.25" customHeight="1">
      <c r="B77" s="15" t="s">
        <v>121</v>
      </c>
    </row>
    <row r="78" spans="2:8" ht="11.25" customHeight="1">
      <c r="B78" s="15" t="s">
        <v>122</v>
      </c>
      <c r="D78" s="32"/>
    </row>
    <row r="79" spans="2:8" ht="11.25" customHeight="1">
      <c r="B79" s="15" t="s">
        <v>123</v>
      </c>
    </row>
    <row r="80" spans="2:8" ht="11.25" customHeight="1">
      <c r="B80" s="15"/>
    </row>
    <row r="81" spans="1:8" ht="11.25" customHeight="1">
      <c r="B81" s="15" t="s">
        <v>124</v>
      </c>
    </row>
    <row r="82" spans="1:8" ht="11.25" customHeight="1">
      <c r="B82" s="15" t="s">
        <v>125</v>
      </c>
    </row>
    <row r="83" spans="1:8" ht="11.25" customHeight="1">
      <c r="B83" s="15" t="s">
        <v>126</v>
      </c>
    </row>
    <row r="84" spans="1:8" ht="11.25" customHeight="1">
      <c r="B84" s="15"/>
    </row>
    <row r="85" spans="1:8" ht="11.25" customHeight="1">
      <c r="B85" s="15" t="s">
        <v>127</v>
      </c>
    </row>
    <row r="86" spans="1:8" ht="11.25" customHeight="1">
      <c r="B86" s="15"/>
    </row>
    <row r="87" spans="1:8" ht="11.25" customHeight="1">
      <c r="B87" s="15"/>
    </row>
    <row r="88" spans="1:8" ht="11.25" customHeight="1">
      <c r="B88" s="15"/>
    </row>
    <row r="89" spans="1:8" ht="11.25" customHeight="1">
      <c r="B89" s="15"/>
    </row>
    <row r="90" spans="1:8" ht="11.25" customHeight="1">
      <c r="A90" s="415"/>
      <c r="B90" s="402">
        <v>2</v>
      </c>
    </row>
    <row r="91" spans="1:8" ht="11.25" customHeight="1">
      <c r="B91" s="42" t="s">
        <v>128</v>
      </c>
      <c r="C91" s="43"/>
      <c r="D91" s="44"/>
      <c r="E91" s="44"/>
      <c r="F91" s="45"/>
      <c r="G91" s="46"/>
      <c r="H91" s="45"/>
    </row>
    <row r="92" spans="1:8" ht="11.25" customHeight="1">
      <c r="B92" s="15" t="s">
        <v>129</v>
      </c>
    </row>
    <row r="93" spans="1:8" ht="11.25" customHeight="1">
      <c r="B93" s="15" t="s">
        <v>130</v>
      </c>
    </row>
    <row r="94" spans="1:8" ht="11.25" customHeight="1">
      <c r="B94" s="15" t="s">
        <v>131</v>
      </c>
    </row>
    <row r="95" spans="1:8" ht="11.25" customHeight="1">
      <c r="B95" s="15"/>
    </row>
    <row r="96" spans="1:8" ht="11.25" customHeight="1">
      <c r="B96" s="15" t="s">
        <v>132</v>
      </c>
    </row>
    <row r="97" spans="2:2" ht="11.25" customHeight="1">
      <c r="B97" s="15" t="s">
        <v>133</v>
      </c>
    </row>
    <row r="98" spans="2:2" ht="11.25" customHeight="1">
      <c r="B98" s="15" t="s">
        <v>134</v>
      </c>
    </row>
    <row r="99" spans="2:2" ht="11.25" customHeight="1">
      <c r="B99" s="15" t="s">
        <v>135</v>
      </c>
    </row>
    <row r="100" spans="2:2" ht="11.25" customHeight="1">
      <c r="B100" s="15"/>
    </row>
    <row r="101" spans="2:2" ht="11.25" customHeight="1">
      <c r="B101" s="15" t="s">
        <v>136</v>
      </c>
    </row>
    <row r="102" spans="2:2" ht="11.25" customHeight="1">
      <c r="B102" s="15" t="s">
        <v>137</v>
      </c>
    </row>
    <row r="103" spans="2:2" ht="11.25" customHeight="1">
      <c r="B103" s="15" t="s">
        <v>138</v>
      </c>
    </row>
    <row r="104" spans="2:2" ht="11.25" customHeight="1">
      <c r="B104" s="15" t="s">
        <v>139</v>
      </c>
    </row>
    <row r="105" spans="2:2" ht="11.25" customHeight="1">
      <c r="B105" s="15"/>
    </row>
    <row r="106" spans="2:2" ht="11.25" customHeight="1">
      <c r="B106" s="15" t="s">
        <v>140</v>
      </c>
    </row>
    <row r="107" spans="2:2" ht="11.25" customHeight="1">
      <c r="B107" s="15" t="s">
        <v>141</v>
      </c>
    </row>
    <row r="108" spans="2:2" ht="11.25" customHeight="1">
      <c r="B108" s="15"/>
    </row>
    <row r="109" spans="2:2" ht="11.25" customHeight="1">
      <c r="B109" s="15"/>
    </row>
    <row r="110" spans="2:2" ht="11.25" customHeight="1">
      <c r="B110" s="15"/>
    </row>
    <row r="111" spans="2:2" ht="11.25" customHeight="1">
      <c r="B111" s="15" t="s">
        <v>142</v>
      </c>
    </row>
    <row r="112" spans="2:2" ht="11.25" customHeight="1">
      <c r="B112" s="15"/>
    </row>
    <row r="113" spans="2:2" ht="11.25" customHeight="1">
      <c r="B113" s="15" t="s">
        <v>143</v>
      </c>
    </row>
    <row r="114" spans="2:2" ht="11.25" customHeight="1">
      <c r="B114" s="15" t="s">
        <v>144</v>
      </c>
    </row>
    <row r="115" spans="2:2" ht="11.25" customHeight="1">
      <c r="B115" s="15" t="s">
        <v>145</v>
      </c>
    </row>
    <row r="116" spans="2:2" ht="11.25" customHeight="1">
      <c r="B116" s="15"/>
    </row>
    <row r="117" spans="2:2" ht="11.25" customHeight="1">
      <c r="B117" s="15" t="s">
        <v>146</v>
      </c>
    </row>
    <row r="118" spans="2:2" ht="11.25" customHeight="1">
      <c r="B118" s="15" t="s">
        <v>147</v>
      </c>
    </row>
    <row r="119" spans="2:2" ht="11.25" customHeight="1">
      <c r="B119" s="15" t="s">
        <v>148</v>
      </c>
    </row>
    <row r="120" spans="2:2" ht="11.25" customHeight="1">
      <c r="B120" s="15"/>
    </row>
    <row r="121" spans="2:2" ht="11.25" customHeight="1">
      <c r="B121" s="15"/>
    </row>
    <row r="122" spans="2:2" ht="11.25" customHeight="1">
      <c r="B122" s="15"/>
    </row>
    <row r="123" spans="2:2" ht="11.25" customHeight="1">
      <c r="B123" s="15"/>
    </row>
    <row r="124" spans="2:2" ht="11.25" customHeight="1">
      <c r="B124" s="15"/>
    </row>
    <row r="125" spans="2:2" ht="11.25" customHeight="1">
      <c r="B125" s="15" t="s">
        <v>149</v>
      </c>
    </row>
    <row r="126" spans="2:2" ht="11.25" customHeight="1">
      <c r="B126" s="15" t="s">
        <v>150</v>
      </c>
    </row>
    <row r="127" spans="2:2" ht="11.25" customHeight="1">
      <c r="B127" s="15" t="s">
        <v>151</v>
      </c>
    </row>
    <row r="128" spans="2:2" ht="11.25" customHeight="1">
      <c r="B128" s="15" t="s">
        <v>152</v>
      </c>
    </row>
    <row r="129" spans="2:5" ht="11.25" customHeight="1">
      <c r="B129" s="15"/>
    </row>
    <row r="130" spans="2:5" ht="11.25" customHeight="1">
      <c r="B130" s="15" t="s">
        <v>153</v>
      </c>
    </row>
    <row r="131" spans="2:5" ht="11.25" customHeight="1">
      <c r="B131" s="15" t="s">
        <v>154</v>
      </c>
    </row>
    <row r="132" spans="2:5" ht="11.25" customHeight="1">
      <c r="B132" s="15" t="s">
        <v>155</v>
      </c>
    </row>
    <row r="133" spans="2:5" ht="11.25" customHeight="1">
      <c r="B133" s="15" t="s">
        <v>156</v>
      </c>
    </row>
    <row r="134" spans="2:5" ht="11.25" customHeight="1">
      <c r="B134" s="15" t="s">
        <v>157</v>
      </c>
    </row>
    <row r="135" spans="2:5" ht="11.25" customHeight="1">
      <c r="B135" s="15"/>
    </row>
    <row r="136" spans="2:5" ht="11.25" customHeight="1">
      <c r="B136" s="15" t="s">
        <v>158</v>
      </c>
    </row>
    <row r="137" spans="2:5" ht="11.25" customHeight="1">
      <c r="B137" s="15" t="s">
        <v>159</v>
      </c>
    </row>
    <row r="138" spans="2:5" ht="11.25" customHeight="1">
      <c r="B138" s="15" t="s">
        <v>160</v>
      </c>
    </row>
    <row r="139" spans="2:5" ht="11.25" customHeight="1">
      <c r="B139" s="15"/>
    </row>
    <row r="140" spans="2:5" ht="11.25" customHeight="1">
      <c r="B140" s="15"/>
    </row>
    <row r="141" spans="2:5" ht="11.25" customHeight="1">
      <c r="B141" s="15"/>
    </row>
    <row r="144" spans="2:5" ht="11.25" customHeight="1">
      <c r="D144" s="47"/>
      <c r="E144" s="47"/>
    </row>
    <row r="145" spans="4:5" ht="11.25" customHeight="1">
      <c r="D145" s="48">
        <v>0</v>
      </c>
      <c r="E145" s="47">
        <v>0</v>
      </c>
    </row>
    <row r="148" spans="4:5" ht="11.25" customHeight="1">
      <c r="D148" s="49"/>
    </row>
  </sheetData>
  <pageMargins left="0.25" right="0.25" top="0.75" bottom="0.75" header="0.3" footer="0.3"/>
  <pageSetup paperSize="9" scale="68" orientation="portrait" horizontalDpi="0" verticalDpi="0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-0.249977111117893"/>
  </sheetPr>
  <dimension ref="B1:H15"/>
  <sheetViews>
    <sheetView showGridLines="0" zoomScale="85" zoomScaleNormal="85" workbookViewId="0">
      <selection activeCell="B4" sqref="B4:F11"/>
    </sheetView>
  </sheetViews>
  <sheetFormatPr baseColWidth="10" defaultColWidth="11.42578125" defaultRowHeight="15"/>
  <cols>
    <col min="1" max="1" width="11.42578125" style="77"/>
    <col min="2" max="2" width="21.7109375" style="77" bestFit="1" customWidth="1"/>
    <col min="3" max="3" width="23.42578125" style="77" bestFit="1" customWidth="1"/>
    <col min="4" max="4" width="16.42578125" style="77" bestFit="1" customWidth="1"/>
    <col min="5" max="5" width="15.140625" style="77" bestFit="1" customWidth="1"/>
    <col min="6" max="6" width="15.42578125" style="77" customWidth="1"/>
    <col min="7" max="7" width="13.140625" style="77" bestFit="1" customWidth="1"/>
    <col min="8" max="9" width="12.140625" style="77" bestFit="1" customWidth="1"/>
    <col min="10" max="16384" width="11.42578125" style="77"/>
  </cols>
  <sheetData>
    <row r="1" spans="2:8">
      <c r="C1" s="281" t="s">
        <v>501</v>
      </c>
    </row>
    <row r="2" spans="2:8">
      <c r="B2" s="80" t="s">
        <v>397</v>
      </c>
    </row>
    <row r="4" spans="2:8" ht="25.5">
      <c r="B4" s="86" t="s">
        <v>243</v>
      </c>
      <c r="C4" s="86" t="s">
        <v>393</v>
      </c>
      <c r="D4" s="86" t="s">
        <v>335</v>
      </c>
      <c r="E4" s="86" t="s">
        <v>394</v>
      </c>
      <c r="F4" s="86" t="s">
        <v>733</v>
      </c>
    </row>
    <row r="5" spans="2:8">
      <c r="B5" s="204" t="s">
        <v>395</v>
      </c>
      <c r="C5" s="92">
        <v>18400000000</v>
      </c>
      <c r="D5" s="205">
        <f>+F5-C5</f>
        <v>5888000001</v>
      </c>
      <c r="E5" s="205"/>
      <c r="F5" s="432">
        <v>24288000001</v>
      </c>
      <c r="G5" s="207"/>
    </row>
    <row r="6" spans="2:8">
      <c r="B6" s="204" t="s">
        <v>396</v>
      </c>
      <c r="C6" s="206">
        <v>960000091</v>
      </c>
      <c r="D6" s="206"/>
      <c r="E6" s="205">
        <f>+C6</f>
        <v>960000091</v>
      </c>
      <c r="F6" s="432">
        <v>0</v>
      </c>
    </row>
    <row r="7" spans="2:8">
      <c r="B7" s="204" t="s">
        <v>94</v>
      </c>
      <c r="C7" s="92">
        <v>1625367533</v>
      </c>
      <c r="D7" s="433"/>
      <c r="E7" s="205">
        <f>+C7-F7</f>
        <v>502176311</v>
      </c>
      <c r="F7" s="432">
        <v>1123191222</v>
      </c>
      <c r="H7" s="207"/>
    </row>
    <row r="8" spans="2:8">
      <c r="B8" s="204" t="s">
        <v>107</v>
      </c>
      <c r="C8" s="206">
        <v>0</v>
      </c>
      <c r="D8" s="206"/>
      <c r="E8" s="205"/>
      <c r="F8" s="206">
        <f t="shared" ref="F8" si="0">SUM(C8:E8)</f>
        <v>0</v>
      </c>
    </row>
    <row r="9" spans="2:8">
      <c r="B9" s="204" t="s">
        <v>109</v>
      </c>
      <c r="C9" s="92">
        <v>5385823689</v>
      </c>
      <c r="D9" s="206"/>
      <c r="E9" s="205">
        <f>+C9</f>
        <v>5385823689</v>
      </c>
      <c r="F9" s="432">
        <v>1906615354</v>
      </c>
    </row>
    <row r="10" spans="2:8">
      <c r="B10" s="137" t="s">
        <v>730</v>
      </c>
      <c r="C10" s="208">
        <f>SUM(C5:C9)</f>
        <v>26371191313</v>
      </c>
      <c r="D10" s="208">
        <f>SUM(D5:D9)</f>
        <v>5888000001</v>
      </c>
      <c r="E10" s="208">
        <f>SUM(E5:E9)</f>
        <v>6848000091</v>
      </c>
      <c r="F10" s="208">
        <f>SUM(F5:F9)</f>
        <v>27317806577</v>
      </c>
    </row>
    <row r="11" spans="2:8">
      <c r="B11" s="137" t="s">
        <v>774</v>
      </c>
      <c r="C11" s="208">
        <v>19174432436</v>
      </c>
      <c r="D11" s="208">
        <v>7536764178</v>
      </c>
      <c r="E11" s="209">
        <v>-4255652289</v>
      </c>
      <c r="F11" s="208">
        <v>22455544325</v>
      </c>
    </row>
    <row r="12" spans="2:8">
      <c r="D12" s="207"/>
    </row>
    <row r="13" spans="2:8">
      <c r="D13" s="207"/>
      <c r="E13" s="210"/>
    </row>
    <row r="14" spans="2:8">
      <c r="B14" s="166" t="s">
        <v>399</v>
      </c>
      <c r="E14" s="207"/>
    </row>
    <row r="15" spans="2:8">
      <c r="B15" s="178" t="s">
        <v>398</v>
      </c>
      <c r="E15" s="210"/>
    </row>
  </sheetData>
  <hyperlinks>
    <hyperlink ref="C1" location="'Balance Gral. Resol. 1'!A1" display="'Balance Gral. Resol. 1'!A1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-0.249977111117893"/>
  </sheetPr>
  <dimension ref="B1:D22"/>
  <sheetViews>
    <sheetView showGridLines="0" zoomScale="85" zoomScaleNormal="85" workbookViewId="0">
      <selection activeCell="B16" sqref="B16:D20"/>
    </sheetView>
  </sheetViews>
  <sheetFormatPr baseColWidth="10" defaultRowHeight="15"/>
  <cols>
    <col min="2" max="2" width="37.140625" bestFit="1" customWidth="1"/>
    <col min="3" max="4" width="20.42578125" bestFit="1" customWidth="1"/>
  </cols>
  <sheetData>
    <row r="1" spans="2:4">
      <c r="B1" s="272" t="s">
        <v>510</v>
      </c>
    </row>
    <row r="3" spans="2:4">
      <c r="B3" s="166" t="s">
        <v>411</v>
      </c>
    </row>
    <row r="6" spans="2:4">
      <c r="B6" s="211" t="s">
        <v>400</v>
      </c>
      <c r="C6" s="132"/>
      <c r="D6" s="132"/>
    </row>
    <row r="7" spans="2:4">
      <c r="B7" s="164" t="s">
        <v>243</v>
      </c>
      <c r="C7" s="164" t="s">
        <v>734</v>
      </c>
      <c r="D7" s="164" t="s">
        <v>735</v>
      </c>
    </row>
    <row r="8" spans="2:4">
      <c r="B8" s="91" t="s">
        <v>401</v>
      </c>
      <c r="C8" s="270">
        <v>1659069</v>
      </c>
      <c r="D8" s="270">
        <v>9588098</v>
      </c>
    </row>
    <row r="9" spans="2:4">
      <c r="B9" s="91" t="s">
        <v>402</v>
      </c>
      <c r="C9" s="269">
        <v>12674657</v>
      </c>
      <c r="D9" s="269">
        <v>960605376</v>
      </c>
    </row>
    <row r="10" spans="2:4">
      <c r="B10" s="91" t="s">
        <v>403</v>
      </c>
      <c r="C10" s="269">
        <v>918582933</v>
      </c>
      <c r="D10" s="269">
        <v>1982480656</v>
      </c>
    </row>
    <row r="11" spans="2:4">
      <c r="B11" s="91" t="s">
        <v>404</v>
      </c>
      <c r="C11" s="269">
        <v>2002970315</v>
      </c>
      <c r="D11" s="270">
        <v>1603604433</v>
      </c>
    </row>
    <row r="12" spans="2:4">
      <c r="B12" s="91" t="s">
        <v>405</v>
      </c>
      <c r="C12" s="269">
        <v>406792968</v>
      </c>
      <c r="D12" s="270">
        <v>93517554</v>
      </c>
    </row>
    <row r="13" spans="2:4">
      <c r="B13" s="88" t="s">
        <v>406</v>
      </c>
      <c r="C13" s="282">
        <f>SUM(C8:C12)</f>
        <v>3342679942</v>
      </c>
      <c r="D13" s="282">
        <f>SUM(D8:D12)</f>
        <v>4649796117</v>
      </c>
    </row>
    <row r="14" spans="2:4">
      <c r="B14" s="212"/>
      <c r="C14" s="212"/>
      <c r="D14" s="212"/>
    </row>
    <row r="15" spans="2:4">
      <c r="B15" s="211" t="s">
        <v>181</v>
      </c>
      <c r="C15" s="212"/>
      <c r="D15" s="212"/>
    </row>
    <row r="16" spans="2:4">
      <c r="B16" s="164" t="s">
        <v>243</v>
      </c>
      <c r="C16" s="398" t="s">
        <v>734</v>
      </c>
      <c r="D16" s="398" t="s">
        <v>735</v>
      </c>
    </row>
    <row r="17" spans="2:4">
      <c r="B17" s="91" t="s">
        <v>407</v>
      </c>
      <c r="C17" s="159">
        <v>0</v>
      </c>
      <c r="D17" s="268">
        <v>0</v>
      </c>
    </row>
    <row r="18" spans="2:4">
      <c r="B18" s="91" t="s">
        <v>408</v>
      </c>
      <c r="C18" s="268"/>
      <c r="D18" s="159">
        <v>84371598</v>
      </c>
    </row>
    <row r="19" spans="2:4">
      <c r="B19" s="91" t="s">
        <v>409</v>
      </c>
      <c r="C19" s="268">
        <v>207931795</v>
      </c>
      <c r="D19" s="159">
        <v>57009917</v>
      </c>
    </row>
    <row r="20" spans="2:4">
      <c r="B20" s="88" t="s">
        <v>410</v>
      </c>
      <c r="C20" s="89">
        <f>SUM(C17:C19)</f>
        <v>207931795</v>
      </c>
      <c r="D20" s="89">
        <f>SUM(D17:D19)</f>
        <v>141381515</v>
      </c>
    </row>
    <row r="22" spans="2:4">
      <c r="C22" s="160"/>
      <c r="D22" s="160"/>
    </row>
  </sheetData>
  <hyperlinks>
    <hyperlink ref="B1" location="'Estado de Resultado Resol. 1'!A1" display="'Estado de Resultado Resol. 1'!A1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</sheetPr>
  <dimension ref="A1:O42"/>
  <sheetViews>
    <sheetView showGridLines="0" topLeftCell="L10" zoomScaleNormal="100" workbookViewId="0">
      <selection activeCell="M6" sqref="M6:O39"/>
    </sheetView>
  </sheetViews>
  <sheetFormatPr baseColWidth="10" defaultRowHeight="15"/>
  <cols>
    <col min="1" max="1" width="32.140625" hidden="1" customWidth="1"/>
    <col min="2" max="3" width="13.140625" hidden="1" customWidth="1"/>
    <col min="4" max="4" width="2" style="215" hidden="1" customWidth="1"/>
    <col min="5" max="5" width="32.140625" hidden="1" customWidth="1"/>
    <col min="6" max="6" width="13.140625" style="161" hidden="1" customWidth="1"/>
    <col min="7" max="7" width="13.140625" hidden="1" customWidth="1"/>
    <col min="8" max="8" width="2" hidden="1" customWidth="1"/>
    <col min="9" max="9" width="32.140625" hidden="1" customWidth="1"/>
    <col min="10" max="11" width="13.140625" hidden="1" customWidth="1"/>
    <col min="13" max="13" width="37.42578125" customWidth="1"/>
    <col min="14" max="14" width="17.28515625" bestFit="1" customWidth="1"/>
    <col min="15" max="15" width="16.28515625" bestFit="1" customWidth="1"/>
    <col min="16" max="16" width="15.140625" bestFit="1" customWidth="1"/>
  </cols>
  <sheetData>
    <row r="1" spans="1:15" s="227" customFormat="1">
      <c r="A1" s="473" t="s">
        <v>412</v>
      </c>
      <c r="B1" s="473"/>
      <c r="C1" s="473"/>
      <c r="D1" s="226"/>
      <c r="E1" s="474" t="s">
        <v>413</v>
      </c>
      <c r="F1" s="474"/>
      <c r="G1" s="474"/>
      <c r="I1" s="475" t="s">
        <v>414</v>
      </c>
      <c r="J1" s="475"/>
      <c r="K1" s="475"/>
      <c r="M1" s="476" t="s">
        <v>511</v>
      </c>
      <c r="N1" s="477"/>
      <c r="O1" s="477"/>
    </row>
    <row r="2" spans="1:15" s="227" customFormat="1">
      <c r="A2" s="228"/>
      <c r="B2" s="228"/>
      <c r="C2" s="228"/>
      <c r="D2" s="226"/>
      <c r="E2" s="229"/>
      <c r="F2" s="229"/>
      <c r="G2" s="229"/>
      <c r="I2" s="230"/>
      <c r="J2" s="230"/>
      <c r="K2" s="230"/>
      <c r="M2" s="231"/>
      <c r="N2" s="231"/>
      <c r="O2" s="231"/>
    </row>
    <row r="3" spans="1:15" s="227" customFormat="1">
      <c r="A3" s="228"/>
      <c r="B3" s="228"/>
      <c r="C3" s="228"/>
      <c r="D3" s="226"/>
      <c r="E3" s="229"/>
      <c r="F3" s="229"/>
      <c r="G3" s="229"/>
      <c r="I3" s="230"/>
      <c r="J3" s="230"/>
      <c r="K3" s="230"/>
      <c r="M3" s="80" t="s">
        <v>441</v>
      </c>
      <c r="N3" s="231"/>
      <c r="O3" s="231"/>
    </row>
    <row r="4" spans="1:15" s="227" customFormat="1">
      <c r="A4" s="228"/>
      <c r="B4" s="228"/>
      <c r="C4" s="228"/>
      <c r="D4" s="226"/>
      <c r="E4" s="229"/>
      <c r="F4" s="229"/>
      <c r="G4" s="229"/>
      <c r="I4" s="230"/>
      <c r="J4" s="230"/>
      <c r="K4" s="230"/>
      <c r="M4" s="231"/>
      <c r="N4" s="231"/>
      <c r="O4" s="231"/>
    </row>
    <row r="5" spans="1:15">
      <c r="A5" s="216"/>
      <c r="B5" s="216"/>
      <c r="C5" s="216"/>
      <c r="E5" s="217"/>
      <c r="F5" s="217"/>
      <c r="G5" s="217"/>
      <c r="I5" s="218"/>
      <c r="J5" s="218"/>
      <c r="K5" s="218"/>
      <c r="M5" s="219"/>
      <c r="N5" s="219"/>
      <c r="O5" s="219"/>
    </row>
    <row r="6" spans="1:15">
      <c r="A6" s="164" t="s">
        <v>243</v>
      </c>
      <c r="B6" s="164" t="s">
        <v>415</v>
      </c>
      <c r="C6" s="164" t="s">
        <v>416</v>
      </c>
      <c r="E6" s="164" t="s">
        <v>243</v>
      </c>
      <c r="F6" s="164" t="s">
        <v>415</v>
      </c>
      <c r="G6" s="164" t="s">
        <v>416</v>
      </c>
      <c r="H6" s="215"/>
      <c r="I6" s="164" t="s">
        <v>243</v>
      </c>
      <c r="J6" s="164" t="s">
        <v>415</v>
      </c>
      <c r="K6" s="164" t="s">
        <v>416</v>
      </c>
      <c r="M6" s="164" t="s">
        <v>243</v>
      </c>
      <c r="N6" s="398" t="s">
        <v>734</v>
      </c>
      <c r="O6" s="398" t="s">
        <v>735</v>
      </c>
    </row>
    <row r="7" spans="1:15">
      <c r="A7" s="88" t="s">
        <v>417</v>
      </c>
      <c r="B7" s="213"/>
      <c r="C7" s="213"/>
      <c r="E7" s="88" t="s">
        <v>417</v>
      </c>
      <c r="F7" s="213"/>
      <c r="G7" s="213"/>
      <c r="H7" s="215"/>
      <c r="I7" s="88" t="s">
        <v>417</v>
      </c>
      <c r="J7" s="213"/>
      <c r="K7" s="213"/>
      <c r="M7" s="88" t="s">
        <v>417</v>
      </c>
      <c r="N7" s="220">
        <f>SUM(N8:N11)</f>
        <v>702945098</v>
      </c>
      <c r="O7" s="220">
        <f>SUM(O8:O11)</f>
        <v>595985467</v>
      </c>
    </row>
    <row r="8" spans="1:15">
      <c r="A8" s="91" t="s">
        <v>418</v>
      </c>
      <c r="B8" s="213">
        <v>1304116</v>
      </c>
      <c r="C8" s="213">
        <v>3834483</v>
      </c>
      <c r="D8" s="215">
        <v>1</v>
      </c>
      <c r="E8" s="91" t="s">
        <v>418</v>
      </c>
      <c r="F8" s="213">
        <v>0</v>
      </c>
      <c r="G8" s="213">
        <v>3834483</v>
      </c>
      <c r="H8" s="215">
        <v>1</v>
      </c>
      <c r="I8" s="91" t="s">
        <v>418</v>
      </c>
      <c r="J8" s="213">
        <f>+B8+F8</f>
        <v>1304116</v>
      </c>
      <c r="K8" s="213">
        <v>3834483</v>
      </c>
      <c r="M8" s="91" t="s">
        <v>186</v>
      </c>
      <c r="N8" s="221">
        <v>572832098</v>
      </c>
      <c r="O8" s="181">
        <v>271759036</v>
      </c>
    </row>
    <row r="9" spans="1:15">
      <c r="A9" s="91" t="s">
        <v>419</v>
      </c>
      <c r="B9" s="213">
        <f>10055005+3727833</f>
        <v>13782838</v>
      </c>
      <c r="C9" s="213">
        <v>32784404</v>
      </c>
      <c r="D9" s="215">
        <v>2</v>
      </c>
      <c r="E9" s="91" t="s">
        <v>419</v>
      </c>
      <c r="F9" s="213">
        <f>6917265+3714900</f>
        <v>10632165</v>
      </c>
      <c r="G9" s="213">
        <v>32784404</v>
      </c>
      <c r="H9" s="215">
        <v>2</v>
      </c>
      <c r="I9" s="91" t="s">
        <v>419</v>
      </c>
      <c r="J9" s="213">
        <f>+B9+F9</f>
        <v>24415003</v>
      </c>
      <c r="K9" s="213">
        <v>32784404</v>
      </c>
      <c r="M9" s="91" t="s">
        <v>187</v>
      </c>
      <c r="N9" s="221">
        <v>130113000</v>
      </c>
      <c r="O9" s="181">
        <v>324226431</v>
      </c>
    </row>
    <row r="10" spans="1:15">
      <c r="A10" s="91"/>
      <c r="B10" s="213"/>
      <c r="C10" s="213"/>
      <c r="E10" s="91"/>
      <c r="F10" s="213"/>
      <c r="G10" s="213"/>
      <c r="H10" s="215"/>
      <c r="I10" s="91"/>
      <c r="J10" s="213"/>
      <c r="K10" s="213"/>
      <c r="M10" s="91" t="s">
        <v>420</v>
      </c>
      <c r="N10" s="221"/>
      <c r="O10" s="181"/>
    </row>
    <row r="11" spans="1:15">
      <c r="A11" s="91" t="s">
        <v>421</v>
      </c>
      <c r="B11" s="213">
        <f>2081449</f>
        <v>2081449</v>
      </c>
      <c r="C11" s="213">
        <v>23502676</v>
      </c>
      <c r="D11" s="215">
        <v>3</v>
      </c>
      <c r="E11" s="91" t="s">
        <v>421</v>
      </c>
      <c r="F11" s="213">
        <f>1578053+2600000</f>
        <v>4178053</v>
      </c>
      <c r="G11" s="213">
        <v>23502676</v>
      </c>
      <c r="H11" s="215">
        <v>3</v>
      </c>
      <c r="I11" s="91" t="s">
        <v>421</v>
      </c>
      <c r="J11" s="213">
        <f>+B11+F11</f>
        <v>6259502</v>
      </c>
      <c r="K11" s="213">
        <v>23502676</v>
      </c>
      <c r="M11" s="222" t="s">
        <v>417</v>
      </c>
      <c r="N11" s="270">
        <v>0</v>
      </c>
      <c r="O11" s="181">
        <v>0</v>
      </c>
    </row>
    <row r="12" spans="1:15">
      <c r="A12" s="88" t="s">
        <v>410</v>
      </c>
      <c r="B12" s="214">
        <f>SUM(B8:B11)</f>
        <v>17168403</v>
      </c>
      <c r="C12" s="214">
        <f>SUM(C8:C11)</f>
        <v>60121563</v>
      </c>
      <c r="E12" s="88" t="s">
        <v>410</v>
      </c>
      <c r="F12" s="214">
        <f>SUM(F8:F11)</f>
        <v>14810218</v>
      </c>
      <c r="G12" s="214">
        <f>SUM(G8:G11)</f>
        <v>60121563</v>
      </c>
      <c r="H12" s="215"/>
      <c r="I12" s="88" t="s">
        <v>410</v>
      </c>
      <c r="J12" s="214">
        <f>SUM(J8:J11)</f>
        <v>31978621</v>
      </c>
      <c r="K12" s="214">
        <f>SUM(K8:K11)</f>
        <v>60121563</v>
      </c>
      <c r="M12" s="88"/>
      <c r="N12" s="223"/>
      <c r="O12" s="181"/>
    </row>
    <row r="13" spans="1:15">
      <c r="A13" s="88" t="s">
        <v>422</v>
      </c>
      <c r="B13" s="213"/>
      <c r="C13" s="213"/>
      <c r="E13" s="88" t="s">
        <v>422</v>
      </c>
      <c r="F13" s="213"/>
      <c r="G13" s="213"/>
      <c r="H13" s="215"/>
      <c r="I13" s="88" t="s">
        <v>422</v>
      </c>
      <c r="J13" s="213"/>
      <c r="K13" s="213"/>
      <c r="M13" s="88" t="s">
        <v>190</v>
      </c>
      <c r="N13" s="224">
        <f>SUM(N14:N16)</f>
        <v>905619</v>
      </c>
      <c r="O13" s="224">
        <f>SUM(O14:O16)</f>
        <v>48218346</v>
      </c>
    </row>
    <row r="14" spans="1:15">
      <c r="A14" s="91" t="s">
        <v>423</v>
      </c>
      <c r="B14" s="213">
        <v>30130273</v>
      </c>
      <c r="C14" s="213">
        <v>9325455</v>
      </c>
      <c r="E14" s="91" t="s">
        <v>423</v>
      </c>
      <c r="F14" s="213">
        <v>0</v>
      </c>
      <c r="G14" s="213">
        <v>9325455</v>
      </c>
      <c r="H14" s="215"/>
      <c r="I14" s="91" t="s">
        <v>423</v>
      </c>
      <c r="J14" s="213">
        <v>118735091</v>
      </c>
      <c r="K14" s="213">
        <v>9325455</v>
      </c>
      <c r="M14" s="91" t="s">
        <v>191</v>
      </c>
      <c r="N14" s="221">
        <v>905619</v>
      </c>
      <c r="O14" s="181">
        <v>48218346</v>
      </c>
    </row>
    <row r="15" spans="1:15">
      <c r="A15" s="91" t="s">
        <v>424</v>
      </c>
      <c r="B15" s="213">
        <v>3202315</v>
      </c>
      <c r="C15" s="213">
        <v>12225897</v>
      </c>
      <c r="E15" s="91" t="s">
        <v>424</v>
      </c>
      <c r="F15" s="213">
        <v>4373014</v>
      </c>
      <c r="G15" s="213">
        <v>12225897</v>
      </c>
      <c r="H15" s="215"/>
      <c r="I15" s="91" t="s">
        <v>424</v>
      </c>
      <c r="J15" s="213">
        <v>17074877</v>
      </c>
      <c r="K15" s="213">
        <v>12225897</v>
      </c>
      <c r="M15" s="91" t="s">
        <v>192</v>
      </c>
      <c r="N15" s="221">
        <v>0</v>
      </c>
      <c r="O15" s="181"/>
    </row>
    <row r="16" spans="1:15">
      <c r="A16" s="91" t="s">
        <v>425</v>
      </c>
      <c r="B16" s="213">
        <f>2963306+847400</f>
        <v>3810706</v>
      </c>
      <c r="C16" s="213">
        <v>2196794</v>
      </c>
      <c r="D16" s="215">
        <v>4</v>
      </c>
      <c r="E16" s="91" t="s">
        <v>425</v>
      </c>
      <c r="F16" s="213">
        <f>1057700+462235</f>
        <v>1519935</v>
      </c>
      <c r="G16" s="213">
        <v>2196794</v>
      </c>
      <c r="H16" s="215">
        <v>4</v>
      </c>
      <c r="I16" s="91" t="s">
        <v>425</v>
      </c>
      <c r="J16" s="213">
        <f t="shared" ref="J16" si="0">+B16+F16</f>
        <v>5330641</v>
      </c>
      <c r="K16" s="213">
        <v>2196794</v>
      </c>
      <c r="M16" s="91" t="s">
        <v>193</v>
      </c>
      <c r="N16" s="221">
        <v>0</v>
      </c>
      <c r="O16" s="181"/>
    </row>
    <row r="17" spans="1:15">
      <c r="A17" s="88" t="s">
        <v>410</v>
      </c>
      <c r="B17" s="214">
        <f>SUM(B14:B16)</f>
        <v>37143294</v>
      </c>
      <c r="C17" s="214">
        <f>SUM(C14:C16)</f>
        <v>23748146</v>
      </c>
      <c r="E17" s="88" t="s">
        <v>410</v>
      </c>
      <c r="F17" s="214">
        <f>SUM(F14:F16)</f>
        <v>5892949</v>
      </c>
      <c r="G17" s="214">
        <f>SUM(G14:G16)</f>
        <v>23748146</v>
      </c>
      <c r="H17" s="215"/>
      <c r="I17" s="88" t="s">
        <v>410</v>
      </c>
      <c r="J17" s="214">
        <f>SUM(J14:J16)</f>
        <v>141140609</v>
      </c>
      <c r="K17" s="214">
        <f>SUM(K14:K16)</f>
        <v>23748146</v>
      </c>
      <c r="M17" s="88"/>
      <c r="N17" s="223"/>
      <c r="O17" s="181"/>
    </row>
    <row r="18" spans="1:15">
      <c r="A18" s="88" t="s">
        <v>206</v>
      </c>
      <c r="B18" s="213"/>
      <c r="C18" s="213"/>
      <c r="E18" s="88" t="s">
        <v>206</v>
      </c>
      <c r="F18" s="213"/>
      <c r="G18" s="213"/>
      <c r="H18" s="215"/>
      <c r="I18" s="88" t="s">
        <v>206</v>
      </c>
      <c r="J18" s="213"/>
      <c r="K18" s="213"/>
      <c r="M18" s="88" t="s">
        <v>194</v>
      </c>
      <c r="N18" s="224">
        <f>SUM(N19:N39)</f>
        <v>1141572994</v>
      </c>
      <c r="O18" s="224">
        <f>SUM(O19:O39)</f>
        <v>2257971125</v>
      </c>
    </row>
    <row r="19" spans="1:15">
      <c r="A19" s="91" t="s">
        <v>426</v>
      </c>
      <c r="B19" s="213">
        <v>42111493</v>
      </c>
      <c r="C19" s="213">
        <v>176537423</v>
      </c>
      <c r="E19" s="91" t="s">
        <v>426</v>
      </c>
      <c r="F19" s="213">
        <v>54072165</v>
      </c>
      <c r="G19" s="213">
        <v>176537423</v>
      </c>
      <c r="H19" s="215"/>
      <c r="I19" s="91" t="s">
        <v>426</v>
      </c>
      <c r="J19" s="213">
        <f>+B19+F19</f>
        <v>96183658</v>
      </c>
      <c r="K19" s="213">
        <v>176537423</v>
      </c>
      <c r="M19" s="91" t="s">
        <v>195</v>
      </c>
      <c r="N19" s="221">
        <v>440015406</v>
      </c>
      <c r="O19" s="181">
        <v>641169053</v>
      </c>
    </row>
    <row r="20" spans="1:15">
      <c r="A20" s="91" t="s">
        <v>427</v>
      </c>
      <c r="B20" s="213">
        <v>6948396</v>
      </c>
      <c r="C20" s="213">
        <v>29805924</v>
      </c>
      <c r="E20" s="91" t="s">
        <v>427</v>
      </c>
      <c r="F20" s="213">
        <v>8921907</v>
      </c>
      <c r="G20" s="213">
        <v>29805924</v>
      </c>
      <c r="H20" s="215"/>
      <c r="I20" s="91" t="s">
        <v>427</v>
      </c>
      <c r="J20" s="213">
        <f t="shared" ref="J20:J37" si="1">+B20+F20</f>
        <v>15870303</v>
      </c>
      <c r="K20" s="213">
        <v>29805924</v>
      </c>
      <c r="M20" s="91" t="s">
        <v>196</v>
      </c>
      <c r="N20" s="221">
        <v>72602542</v>
      </c>
      <c r="O20" s="181">
        <v>106647021</v>
      </c>
    </row>
    <row r="21" spans="1:15">
      <c r="A21" s="91"/>
      <c r="B21" s="213"/>
      <c r="C21" s="213"/>
      <c r="E21" s="91"/>
      <c r="F21" s="213"/>
      <c r="G21" s="213"/>
      <c r="H21" s="215"/>
      <c r="I21" s="91"/>
      <c r="J21" s="213"/>
      <c r="K21" s="213"/>
      <c r="M21" s="91" t="s">
        <v>197</v>
      </c>
      <c r="N21" s="221">
        <v>48730</v>
      </c>
      <c r="O21" s="181">
        <v>1088989</v>
      </c>
    </row>
    <row r="22" spans="1:15">
      <c r="A22" s="91" t="s">
        <v>428</v>
      </c>
      <c r="B22" s="213">
        <v>2180000</v>
      </c>
      <c r="C22" s="213">
        <v>13977537</v>
      </c>
      <c r="E22" s="91" t="s">
        <v>428</v>
      </c>
      <c r="F22" s="213">
        <v>0</v>
      </c>
      <c r="G22" s="213">
        <v>13977537</v>
      </c>
      <c r="H22" s="215"/>
      <c r="I22" s="91" t="s">
        <v>428</v>
      </c>
      <c r="J22" s="213">
        <f t="shared" si="1"/>
        <v>2180000</v>
      </c>
      <c r="K22" s="213">
        <v>13977537</v>
      </c>
      <c r="M22" s="91" t="s">
        <v>198</v>
      </c>
      <c r="N22" s="221">
        <v>1973556</v>
      </c>
      <c r="O22" s="181">
        <v>2851957</v>
      </c>
    </row>
    <row r="23" spans="1:15">
      <c r="A23" s="91" t="s">
        <v>429</v>
      </c>
      <c r="B23" s="213">
        <v>37329636</v>
      </c>
      <c r="C23" s="213">
        <v>153231429</v>
      </c>
      <c r="E23" s="91" t="s">
        <v>429</v>
      </c>
      <c r="F23" s="213">
        <v>37184415</v>
      </c>
      <c r="G23" s="213">
        <v>153231429</v>
      </c>
      <c r="H23" s="215"/>
      <c r="I23" s="91" t="s">
        <v>429</v>
      </c>
      <c r="J23" s="213">
        <f t="shared" si="1"/>
        <v>74514051</v>
      </c>
      <c r="K23" s="213">
        <v>153231429</v>
      </c>
      <c r="M23" s="91" t="s">
        <v>199</v>
      </c>
      <c r="N23" s="221">
        <v>0</v>
      </c>
      <c r="O23" s="181">
        <v>0</v>
      </c>
    </row>
    <row r="24" spans="1:15">
      <c r="A24" s="91"/>
      <c r="B24" s="213"/>
      <c r="C24" s="213"/>
      <c r="E24" s="91"/>
      <c r="F24" s="213"/>
      <c r="G24" s="213"/>
      <c r="H24" s="215"/>
      <c r="I24" s="91"/>
      <c r="J24" s="213"/>
      <c r="K24" s="213"/>
      <c r="M24" s="91" t="s">
        <v>200</v>
      </c>
      <c r="N24" s="221">
        <v>0</v>
      </c>
      <c r="O24" s="181">
        <v>3923717</v>
      </c>
    </row>
    <row r="25" spans="1:15">
      <c r="A25" s="91" t="s">
        <v>430</v>
      </c>
      <c r="B25" s="213"/>
      <c r="C25" s="213">
        <v>57608294</v>
      </c>
      <c r="E25" s="91" t="s">
        <v>430</v>
      </c>
      <c r="F25" s="213"/>
      <c r="G25" s="213">
        <v>57608294</v>
      </c>
      <c r="H25" s="215"/>
      <c r="I25" s="91" t="s">
        <v>430</v>
      </c>
      <c r="J25" s="213">
        <f t="shared" si="1"/>
        <v>0</v>
      </c>
      <c r="K25" s="213">
        <v>57608294</v>
      </c>
      <c r="M25" s="91" t="s">
        <v>201</v>
      </c>
      <c r="N25" s="221">
        <v>3047227</v>
      </c>
      <c r="O25" s="181">
        <v>0</v>
      </c>
    </row>
    <row r="26" spans="1:15">
      <c r="A26" s="91" t="s">
        <v>431</v>
      </c>
      <c r="B26" s="213">
        <v>5034443</v>
      </c>
      <c r="C26" s="213">
        <v>9660910</v>
      </c>
      <c r="E26" s="91" t="s">
        <v>431</v>
      </c>
      <c r="F26" s="213">
        <v>0</v>
      </c>
      <c r="G26" s="213">
        <v>9660910</v>
      </c>
      <c r="H26" s="215"/>
      <c r="I26" s="91" t="s">
        <v>431</v>
      </c>
      <c r="J26" s="213">
        <f t="shared" si="1"/>
        <v>5034443</v>
      </c>
      <c r="K26" s="213">
        <v>9660910</v>
      </c>
      <c r="M26" s="91" t="s">
        <v>202</v>
      </c>
      <c r="N26" s="221">
        <v>0</v>
      </c>
      <c r="O26" s="181">
        <v>1725281</v>
      </c>
    </row>
    <row r="27" spans="1:15">
      <c r="A27" s="91" t="s">
        <v>432</v>
      </c>
      <c r="B27" s="213">
        <v>183846</v>
      </c>
      <c r="C27" s="213">
        <v>5328452</v>
      </c>
      <c r="E27" s="91" t="s">
        <v>432</v>
      </c>
      <c r="F27" s="213">
        <v>11830139</v>
      </c>
      <c r="G27" s="213">
        <v>5328452</v>
      </c>
      <c r="H27" s="215"/>
      <c r="I27" s="91" t="s">
        <v>432</v>
      </c>
      <c r="J27" s="213">
        <v>18126480</v>
      </c>
      <c r="K27" s="213">
        <v>5328452</v>
      </c>
      <c r="M27" s="91" t="s">
        <v>203</v>
      </c>
      <c r="N27" s="221">
        <v>0</v>
      </c>
      <c r="O27" s="181">
        <v>14035929</v>
      </c>
    </row>
    <row r="28" spans="1:15">
      <c r="A28" s="91" t="s">
        <v>433</v>
      </c>
      <c r="B28" s="213">
        <v>2631100</v>
      </c>
      <c r="C28" s="213">
        <v>4946956</v>
      </c>
      <c r="E28" s="91" t="s">
        <v>433</v>
      </c>
      <c r="F28" s="213">
        <v>0</v>
      </c>
      <c r="G28" s="213">
        <v>4946956</v>
      </c>
      <c r="H28" s="215"/>
      <c r="I28" s="91" t="s">
        <v>433</v>
      </c>
      <c r="J28" s="213">
        <f t="shared" si="1"/>
        <v>2631100</v>
      </c>
      <c r="K28" s="213">
        <v>4946956</v>
      </c>
      <c r="M28" s="91" t="s">
        <v>204</v>
      </c>
      <c r="N28" s="221">
        <v>0</v>
      </c>
      <c r="O28" s="181">
        <v>11898200</v>
      </c>
    </row>
    <row r="29" spans="1:15">
      <c r="A29" s="91" t="s">
        <v>434</v>
      </c>
      <c r="B29" s="213">
        <f>2557240+5144442+6537619+8994085+420000+4551013+18126480+3723731+4016787+11605205+3051734</f>
        <v>68728336</v>
      </c>
      <c r="C29" s="213">
        <v>178982976</v>
      </c>
      <c r="D29" s="215">
        <v>5</v>
      </c>
      <c r="E29" s="91" t="s">
        <v>434</v>
      </c>
      <c r="F29" s="213">
        <f>2979582+21944658+520173+866500+6899046+689091+551636+24801036+2545205+1257988+71000+11801324+145+1045455+4629798+363636</f>
        <v>80966273</v>
      </c>
      <c r="G29" s="213">
        <v>178982976</v>
      </c>
      <c r="H29" s="215">
        <v>5</v>
      </c>
      <c r="I29" s="91" t="s">
        <v>434</v>
      </c>
      <c r="J29" s="213">
        <v>112381988</v>
      </c>
      <c r="K29" s="213">
        <v>178982976</v>
      </c>
      <c r="M29" s="91" t="s">
        <v>205</v>
      </c>
      <c r="N29" s="221">
        <v>29896200</v>
      </c>
      <c r="O29" s="181">
        <v>792211736</v>
      </c>
    </row>
    <row r="30" spans="1:15">
      <c r="A30" s="91" t="s">
        <v>435</v>
      </c>
      <c r="B30" s="213">
        <v>45865609</v>
      </c>
      <c r="C30" s="213">
        <v>226442873</v>
      </c>
      <c r="E30" s="91" t="s">
        <v>435</v>
      </c>
      <c r="F30" s="213">
        <v>29976971</v>
      </c>
      <c r="G30" s="213">
        <v>226442873</v>
      </c>
      <c r="H30" s="215"/>
      <c r="I30" s="91" t="s">
        <v>435</v>
      </c>
      <c r="J30" s="213">
        <v>79266320</v>
      </c>
      <c r="K30" s="213">
        <v>226442873</v>
      </c>
      <c r="M30" s="91" t="s">
        <v>206</v>
      </c>
      <c r="N30" s="221">
        <v>144122087</v>
      </c>
      <c r="O30" s="181">
        <v>162501624</v>
      </c>
    </row>
    <row r="31" spans="1:15">
      <c r="A31" s="91" t="s">
        <v>436</v>
      </c>
      <c r="B31" s="213">
        <v>120000000</v>
      </c>
      <c r="C31" s="213">
        <v>395433334</v>
      </c>
      <c r="E31" s="91" t="s">
        <v>436</v>
      </c>
      <c r="F31" s="213">
        <v>120000000</v>
      </c>
      <c r="G31" s="213">
        <v>395433334</v>
      </c>
      <c r="H31" s="215"/>
      <c r="I31" s="91" t="s">
        <v>436</v>
      </c>
      <c r="J31" s="213">
        <f t="shared" si="1"/>
        <v>240000000</v>
      </c>
      <c r="K31" s="213">
        <v>395433334</v>
      </c>
      <c r="M31" s="91" t="s">
        <v>207</v>
      </c>
      <c r="N31" s="221">
        <v>34887000</v>
      </c>
      <c r="O31" s="181">
        <v>168000000</v>
      </c>
    </row>
    <row r="32" spans="1:15">
      <c r="A32" s="91" t="s">
        <v>437</v>
      </c>
      <c r="B32" s="213">
        <v>48727274</v>
      </c>
      <c r="C32" s="213">
        <v>123333334</v>
      </c>
      <c r="E32" s="91" t="s">
        <v>437</v>
      </c>
      <c r="F32" s="213">
        <v>19636364</v>
      </c>
      <c r="G32" s="213">
        <v>123333334</v>
      </c>
      <c r="H32" s="215"/>
      <c r="I32" s="91" t="s">
        <v>437</v>
      </c>
      <c r="J32" s="213">
        <f t="shared" si="1"/>
        <v>68363638</v>
      </c>
      <c r="K32" s="213">
        <v>123333334</v>
      </c>
      <c r="M32" s="91" t="s">
        <v>208</v>
      </c>
      <c r="N32" s="221">
        <v>186272727</v>
      </c>
      <c r="O32" s="181">
        <v>0</v>
      </c>
    </row>
    <row r="33" spans="1:15">
      <c r="A33" s="91" t="s">
        <v>438</v>
      </c>
      <c r="B33" s="213">
        <v>5788050</v>
      </c>
      <c r="C33" s="213">
        <v>1154545</v>
      </c>
      <c r="E33" s="91" t="s">
        <v>438</v>
      </c>
      <c r="F33" s="213">
        <v>172727</v>
      </c>
      <c r="G33" s="213">
        <v>1154545</v>
      </c>
      <c r="H33" s="215"/>
      <c r="I33" s="91" t="s">
        <v>438</v>
      </c>
      <c r="J33" s="213">
        <f t="shared" si="1"/>
        <v>5960777</v>
      </c>
      <c r="K33" s="213">
        <v>1154545</v>
      </c>
      <c r="M33" s="91" t="s">
        <v>209</v>
      </c>
      <c r="N33" s="221">
        <v>109248481</v>
      </c>
      <c r="O33" s="181">
        <v>3636363</v>
      </c>
    </row>
    <row r="34" spans="1:15">
      <c r="A34" s="91" t="s">
        <v>439</v>
      </c>
      <c r="B34" s="213">
        <v>1747200</v>
      </c>
      <c r="C34" s="213">
        <v>1234487</v>
      </c>
      <c r="E34" s="91" t="s">
        <v>439</v>
      </c>
      <c r="F34" s="213">
        <v>0</v>
      </c>
      <c r="G34" s="213">
        <v>1234487</v>
      </c>
      <c r="H34" s="215"/>
      <c r="I34" s="91" t="s">
        <v>439</v>
      </c>
      <c r="J34" s="213">
        <f t="shared" si="1"/>
        <v>1747200</v>
      </c>
      <c r="K34" s="213">
        <v>1234487</v>
      </c>
      <c r="M34" s="91" t="s">
        <v>210</v>
      </c>
      <c r="N34" s="221">
        <v>863636</v>
      </c>
      <c r="O34" s="181">
        <v>113657379</v>
      </c>
    </row>
    <row r="35" spans="1:15">
      <c r="A35" s="91"/>
      <c r="B35" s="213"/>
      <c r="C35" s="213"/>
      <c r="E35" s="91"/>
      <c r="F35" s="213"/>
      <c r="G35" s="213"/>
      <c r="H35" s="215"/>
      <c r="I35" s="91"/>
      <c r="J35" s="213"/>
      <c r="K35" s="213"/>
      <c r="M35" s="91" t="s">
        <v>211</v>
      </c>
      <c r="N35" s="221">
        <v>118595402</v>
      </c>
      <c r="O35" s="181">
        <v>234623876</v>
      </c>
    </row>
    <row r="36" spans="1:15">
      <c r="A36" s="91"/>
      <c r="B36" s="213"/>
      <c r="C36" s="213"/>
      <c r="E36" s="91"/>
      <c r="F36" s="213"/>
      <c r="G36" s="213"/>
      <c r="H36" s="215"/>
      <c r="I36" s="91"/>
      <c r="J36" s="213"/>
      <c r="K36" s="213"/>
      <c r="M36" s="91" t="s">
        <v>212</v>
      </c>
      <c r="N36" s="221">
        <v>0</v>
      </c>
      <c r="O36" s="181">
        <v>0</v>
      </c>
    </row>
    <row r="37" spans="1:15">
      <c r="A37" s="91" t="s">
        <v>440</v>
      </c>
      <c r="B37" s="213"/>
      <c r="C37" s="213">
        <v>1000000</v>
      </c>
      <c r="E37" s="91" t="s">
        <v>440</v>
      </c>
      <c r="F37" s="213">
        <v>0</v>
      </c>
      <c r="G37" s="213">
        <v>1000000</v>
      </c>
      <c r="H37" s="215"/>
      <c r="I37" s="91" t="s">
        <v>440</v>
      </c>
      <c r="J37" s="213">
        <f t="shared" si="1"/>
        <v>0</v>
      </c>
      <c r="K37" s="213">
        <v>1000000</v>
      </c>
      <c r="M37" s="91" t="s">
        <v>213</v>
      </c>
      <c r="N37" s="221">
        <v>0</v>
      </c>
      <c r="O37" s="181">
        <v>0</v>
      </c>
    </row>
    <row r="38" spans="1:15">
      <c r="A38" s="91"/>
      <c r="B38" s="213"/>
      <c r="C38" s="213"/>
      <c r="E38" s="91"/>
      <c r="F38" s="213"/>
      <c r="G38" s="213"/>
      <c r="H38" s="215"/>
      <c r="I38" s="91"/>
      <c r="J38" s="213"/>
      <c r="K38" s="213"/>
      <c r="M38" s="91" t="s">
        <v>214</v>
      </c>
      <c r="N38" s="221">
        <v>0</v>
      </c>
      <c r="O38" s="181">
        <v>0</v>
      </c>
    </row>
    <row r="39" spans="1:15">
      <c r="A39" s="91"/>
      <c r="B39" s="213"/>
      <c r="C39" s="213"/>
      <c r="E39" s="91"/>
      <c r="F39" s="213"/>
      <c r="G39" s="213"/>
      <c r="H39" s="215"/>
      <c r="I39" s="91"/>
      <c r="J39" s="213"/>
      <c r="K39" s="213"/>
      <c r="M39" s="91" t="s">
        <v>215</v>
      </c>
      <c r="N39" s="221">
        <v>0</v>
      </c>
      <c r="O39" s="181">
        <v>0</v>
      </c>
    </row>
    <row r="40" spans="1:15">
      <c r="N40" s="225"/>
    </row>
    <row r="41" spans="1:15">
      <c r="N41" s="161"/>
    </row>
    <row r="42" spans="1:15">
      <c r="N42" s="225"/>
    </row>
  </sheetData>
  <mergeCells count="4">
    <mergeCell ref="A1:C1"/>
    <mergeCell ref="E1:G1"/>
    <mergeCell ref="I1:K1"/>
    <mergeCell ref="M1:O1"/>
  </mergeCells>
  <hyperlinks>
    <hyperlink ref="M1:O1" location="'Balance 14 04'!A1" display="'Balance 14 04'!A1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-0.249977111117893"/>
  </sheetPr>
  <dimension ref="B1:D8"/>
  <sheetViews>
    <sheetView showGridLines="0" zoomScaleNormal="100" workbookViewId="0">
      <selection activeCell="B5" sqref="B5:D8"/>
    </sheetView>
  </sheetViews>
  <sheetFormatPr baseColWidth="10" defaultRowHeight="15"/>
  <cols>
    <col min="2" max="2" width="37.7109375" bestFit="1" customWidth="1"/>
    <col min="3" max="3" width="13.7109375" bestFit="1" customWidth="1"/>
    <col min="4" max="4" width="13.28515625" bestFit="1" customWidth="1"/>
  </cols>
  <sheetData>
    <row r="1" spans="2:4">
      <c r="B1" s="272" t="s">
        <v>510</v>
      </c>
    </row>
    <row r="2" spans="2:4">
      <c r="B2" s="166" t="s">
        <v>442</v>
      </c>
    </row>
    <row r="5" spans="2:4">
      <c r="B5" s="164" t="s">
        <v>243</v>
      </c>
      <c r="C5" s="398" t="s">
        <v>734</v>
      </c>
      <c r="D5" s="398" t="s">
        <v>735</v>
      </c>
    </row>
    <row r="6" spans="2:4">
      <c r="B6" s="88" t="s">
        <v>219</v>
      </c>
      <c r="C6" s="213"/>
      <c r="D6" s="87"/>
    </row>
    <row r="7" spans="2:4">
      <c r="B7" s="91" t="s">
        <v>219</v>
      </c>
      <c r="C7" s="232">
        <v>0</v>
      </c>
      <c r="D7" s="268">
        <v>0</v>
      </c>
    </row>
    <row r="8" spans="2:4">
      <c r="B8" s="88" t="s">
        <v>410</v>
      </c>
      <c r="C8" s="233">
        <f>SUM(C7)</f>
        <v>0</v>
      </c>
      <c r="D8" s="267">
        <f>+D7</f>
        <v>0</v>
      </c>
    </row>
  </sheetData>
  <hyperlinks>
    <hyperlink ref="B1" location="'Estado de Resultado Resol. 1'!A1" display="'Estado de Resultado Resol. 1'!A1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</sheetPr>
  <dimension ref="B1:D13"/>
  <sheetViews>
    <sheetView showGridLines="0" zoomScale="115" zoomScaleNormal="115" workbookViewId="0">
      <selection activeCell="B5" sqref="B5:D13"/>
    </sheetView>
  </sheetViews>
  <sheetFormatPr baseColWidth="10" defaultRowHeight="15"/>
  <cols>
    <col min="2" max="2" width="37.7109375" bestFit="1" customWidth="1"/>
    <col min="3" max="4" width="14.28515625" bestFit="1" customWidth="1"/>
  </cols>
  <sheetData>
    <row r="1" spans="2:4">
      <c r="B1" s="272" t="s">
        <v>510</v>
      </c>
    </row>
    <row r="3" spans="2:4">
      <c r="B3" s="166" t="s">
        <v>447</v>
      </c>
    </row>
    <row r="5" spans="2:4">
      <c r="B5" s="164" t="s">
        <v>243</v>
      </c>
      <c r="C5" s="398" t="s">
        <v>734</v>
      </c>
      <c r="D5" s="398" t="s">
        <v>735</v>
      </c>
    </row>
    <row r="6" spans="2:4">
      <c r="B6" s="88" t="s">
        <v>443</v>
      </c>
      <c r="C6" s="87"/>
      <c r="D6" s="87"/>
    </row>
    <row r="7" spans="2:4">
      <c r="B7" s="91" t="s">
        <v>444</v>
      </c>
      <c r="C7" s="268">
        <v>0</v>
      </c>
      <c r="D7" s="268">
        <v>491000</v>
      </c>
    </row>
    <row r="8" spans="2:4">
      <c r="B8" s="91" t="s">
        <v>223</v>
      </c>
      <c r="C8" s="268">
        <v>517045069</v>
      </c>
      <c r="D8" s="159">
        <v>1787207215</v>
      </c>
    </row>
    <row r="9" spans="2:4">
      <c r="B9" s="88" t="s">
        <v>410</v>
      </c>
      <c r="C9" s="267">
        <f>SUM(C7:C8)</f>
        <v>517045069</v>
      </c>
      <c r="D9" s="267">
        <f>SUM(D7:D8)</f>
        <v>1787698215</v>
      </c>
    </row>
    <row r="10" spans="2:4">
      <c r="B10" s="88" t="s">
        <v>445</v>
      </c>
      <c r="C10" s="268"/>
      <c r="D10" s="268"/>
    </row>
    <row r="11" spans="2:4">
      <c r="B11" s="91" t="s">
        <v>446</v>
      </c>
      <c r="C11" s="159">
        <v>9312726</v>
      </c>
      <c r="D11" s="268">
        <v>766259197</v>
      </c>
    </row>
    <row r="12" spans="2:4">
      <c r="B12" s="91" t="s">
        <v>223</v>
      </c>
      <c r="C12" s="159">
        <v>334213015</v>
      </c>
      <c r="D12" s="159">
        <v>129350869</v>
      </c>
    </row>
    <row r="13" spans="2:4">
      <c r="B13" s="88" t="s">
        <v>410</v>
      </c>
      <c r="C13" s="223">
        <f>SUM(C11:C12)</f>
        <v>343525741</v>
      </c>
      <c r="D13" s="267">
        <f>SUM(D11:D12)</f>
        <v>895610066</v>
      </c>
    </row>
  </sheetData>
  <hyperlinks>
    <hyperlink ref="B1" location="'Estado de Resultado Resol. 1'!A1" display="'Estado de Resultado Resol. 1'!A1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-0.249977111117893"/>
  </sheetPr>
  <dimension ref="B1:D11"/>
  <sheetViews>
    <sheetView showGridLines="0" zoomScaleNormal="100" workbookViewId="0">
      <selection activeCell="B5" sqref="B5"/>
    </sheetView>
  </sheetViews>
  <sheetFormatPr baseColWidth="10" defaultRowHeight="15"/>
  <cols>
    <col min="2" max="2" width="37.7109375" bestFit="1" customWidth="1"/>
    <col min="3" max="3" width="13.7109375" bestFit="1" customWidth="1"/>
    <col min="4" max="4" width="13.28515625" bestFit="1" customWidth="1"/>
  </cols>
  <sheetData>
    <row r="1" spans="2:4">
      <c r="B1" s="272" t="s">
        <v>510</v>
      </c>
    </row>
    <row r="3" spans="2:4">
      <c r="B3" t="s">
        <v>452</v>
      </c>
    </row>
    <row r="5" spans="2:4">
      <c r="B5" s="164" t="s">
        <v>243</v>
      </c>
      <c r="C5" s="398" t="s">
        <v>734</v>
      </c>
      <c r="D5" s="398" t="s">
        <v>735</v>
      </c>
    </row>
    <row r="6" spans="2:4">
      <c r="B6" s="88" t="s">
        <v>448</v>
      </c>
      <c r="C6" s="88"/>
      <c r="D6" s="88"/>
    </row>
    <row r="7" spans="2:4">
      <c r="B7" s="91" t="s">
        <v>449</v>
      </c>
      <c r="C7" s="284">
        <v>0</v>
      </c>
      <c r="D7" s="232">
        <v>0</v>
      </c>
    </row>
    <row r="8" spans="2:4">
      <c r="B8" s="88" t="s">
        <v>410</v>
      </c>
      <c r="C8" s="283">
        <f>SUM(C7)</f>
        <v>0</v>
      </c>
      <c r="D8" s="283">
        <f>SUM(D7)</f>
        <v>0</v>
      </c>
    </row>
    <row r="9" spans="2:4">
      <c r="B9" s="88" t="s">
        <v>450</v>
      </c>
      <c r="C9" s="88"/>
      <c r="D9" s="88"/>
    </row>
    <row r="10" spans="2:4">
      <c r="B10" s="91" t="s">
        <v>451</v>
      </c>
      <c r="C10" s="284">
        <v>0</v>
      </c>
      <c r="D10" s="284">
        <v>0</v>
      </c>
    </row>
    <row r="11" spans="2:4">
      <c r="B11" s="88" t="s">
        <v>410</v>
      </c>
      <c r="C11" s="283">
        <f>SUM(C10)</f>
        <v>0</v>
      </c>
      <c r="D11" s="283">
        <f t="shared" ref="D11" si="0">SUM(D10)</f>
        <v>0</v>
      </c>
    </row>
  </sheetData>
  <hyperlinks>
    <hyperlink ref="B1" location="'Estado de Resultado Resol. 1'!A1" display="'Estado de Resultado Resol. 1'!A1" xr:uid="{00000000-0004-0000-1800-000000000000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C1:C20"/>
  <sheetViews>
    <sheetView showGridLines="0" zoomScaleNormal="100" workbookViewId="0"/>
  </sheetViews>
  <sheetFormatPr baseColWidth="10" defaultRowHeight="15"/>
  <cols>
    <col min="3" max="3" width="93.140625" style="234" customWidth="1"/>
  </cols>
  <sheetData>
    <row r="1" spans="3:3">
      <c r="C1" s="285" t="s">
        <v>501</v>
      </c>
    </row>
    <row r="3" spans="3:3">
      <c r="C3" s="82" t="s">
        <v>453</v>
      </c>
    </row>
    <row r="4" spans="3:3">
      <c r="C4" s="78" t="s">
        <v>454</v>
      </c>
    </row>
    <row r="5" spans="3:3">
      <c r="C5" s="83" t="s">
        <v>455</v>
      </c>
    </row>
    <row r="6" spans="3:3">
      <c r="C6" s="78" t="s">
        <v>456</v>
      </c>
    </row>
    <row r="7" spans="3:3">
      <c r="C7" s="83" t="s">
        <v>455</v>
      </c>
    </row>
    <row r="8" spans="3:3">
      <c r="C8" s="78" t="s">
        <v>457</v>
      </c>
    </row>
    <row r="9" spans="3:3" ht="54.75" customHeight="1">
      <c r="C9" s="235" t="s">
        <v>458</v>
      </c>
    </row>
    <row r="10" spans="3:3">
      <c r="C10" s="78" t="s">
        <v>459</v>
      </c>
    </row>
    <row r="11" spans="3:3">
      <c r="C11" s="83" t="s">
        <v>460</v>
      </c>
    </row>
    <row r="12" spans="3:3">
      <c r="C12" s="78" t="s">
        <v>461</v>
      </c>
    </row>
    <row r="13" spans="3:3">
      <c r="C13" s="83" t="s">
        <v>462</v>
      </c>
    </row>
    <row r="14" spans="3:3">
      <c r="C14" s="78" t="s">
        <v>463</v>
      </c>
    </row>
    <row r="15" spans="3:3">
      <c r="C15" s="83" t="s">
        <v>462</v>
      </c>
    </row>
    <row r="16" spans="3:3">
      <c r="C16" s="78" t="s">
        <v>464</v>
      </c>
    </row>
    <row r="17" spans="3:3">
      <c r="C17" s="83" t="s">
        <v>462</v>
      </c>
    </row>
    <row r="18" spans="3:3">
      <c r="C18" s="83"/>
    </row>
    <row r="19" spans="3:3">
      <c r="C19" s="78" t="s">
        <v>465</v>
      </c>
    </row>
    <row r="20" spans="3:3">
      <c r="C20" s="83" t="s">
        <v>466</v>
      </c>
    </row>
  </sheetData>
  <hyperlinks>
    <hyperlink ref="C1" location="'Balance Gral. Resol. 1'!A1" display="'Balance Gral. Resol. 1'!A1" xr:uid="{00000000-0004-0000-19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C3:J103"/>
  <sheetViews>
    <sheetView showGridLines="0" topLeftCell="B82" zoomScale="181" workbookViewId="0">
      <selection activeCell="C74" sqref="C74:F100"/>
    </sheetView>
  </sheetViews>
  <sheetFormatPr baseColWidth="10" defaultColWidth="11.42578125" defaultRowHeight="9"/>
  <cols>
    <col min="1" max="2" width="11.42578125" style="50"/>
    <col min="3" max="3" width="44.85546875" style="50" customWidth="1"/>
    <col min="4" max="4" width="0.28515625" style="50" customWidth="1"/>
    <col min="5" max="6" width="11.85546875" style="50" customWidth="1"/>
    <col min="7" max="7" width="14.28515625" style="50" bestFit="1" customWidth="1"/>
    <col min="8" max="8" width="13.85546875" style="51" bestFit="1" customWidth="1"/>
    <col min="9" max="9" width="12.28515625" style="50" bestFit="1" customWidth="1"/>
    <col min="10" max="16384" width="11.42578125" style="50"/>
  </cols>
  <sheetData>
    <row r="3" spans="3:6" ht="12">
      <c r="E3" s="2" t="s">
        <v>0</v>
      </c>
    </row>
    <row r="4" spans="3:6" ht="12">
      <c r="E4" s="2" t="s">
        <v>161</v>
      </c>
    </row>
    <row r="5" spans="3:6" ht="12">
      <c r="E5" s="2" t="s">
        <v>777</v>
      </c>
    </row>
    <row r="6" spans="3:6" ht="12">
      <c r="E6" s="52"/>
    </row>
    <row r="7" spans="3:6" ht="12">
      <c r="E7" s="4" t="s">
        <v>162</v>
      </c>
    </row>
    <row r="9" spans="3:6" ht="9.75" customHeight="1">
      <c r="C9" s="416"/>
      <c r="D9" s="417"/>
      <c r="E9" s="434">
        <v>43921</v>
      </c>
      <c r="F9" s="434">
        <v>43646</v>
      </c>
    </row>
    <row r="10" spans="3:6" ht="9.75" customHeight="1">
      <c r="C10" s="53" t="s">
        <v>163</v>
      </c>
      <c r="D10" s="54"/>
      <c r="E10" s="55"/>
      <c r="F10" s="55"/>
    </row>
    <row r="11" spans="3:6" ht="9.75" customHeight="1">
      <c r="C11" s="53" t="s">
        <v>164</v>
      </c>
      <c r="D11" s="54"/>
      <c r="E11" s="56">
        <f>SUM(E12:E13)</f>
        <v>14333726</v>
      </c>
      <c r="F11" s="56">
        <f>SUM(F12:F13)</f>
        <v>970193474</v>
      </c>
    </row>
    <row r="12" spans="3:6" ht="9.75" customHeight="1">
      <c r="C12" s="50" t="s">
        <v>165</v>
      </c>
      <c r="D12" s="54"/>
      <c r="E12" s="55">
        <v>1659069</v>
      </c>
      <c r="F12" s="55">
        <v>9588098</v>
      </c>
    </row>
    <row r="13" spans="3:6" ht="9.75" customHeight="1">
      <c r="C13" s="50" t="s">
        <v>166</v>
      </c>
      <c r="D13" s="54"/>
      <c r="E13" s="55">
        <v>12674657</v>
      </c>
      <c r="F13" s="55">
        <v>960605376</v>
      </c>
    </row>
    <row r="14" spans="3:6" ht="9.75" customHeight="1">
      <c r="D14" s="54"/>
      <c r="E14" s="55"/>
      <c r="F14" s="55"/>
    </row>
    <row r="15" spans="3:6" ht="9.75" customHeight="1">
      <c r="C15" s="53" t="s">
        <v>167</v>
      </c>
      <c r="D15" s="54"/>
      <c r="E15" s="55"/>
      <c r="F15" s="55"/>
    </row>
    <row r="16" spans="3:6" ht="9.75" customHeight="1">
      <c r="C16" s="50" t="s">
        <v>168</v>
      </c>
      <c r="D16" s="54"/>
      <c r="E16" s="55">
        <v>0</v>
      </c>
      <c r="F16" s="55">
        <v>0</v>
      </c>
    </row>
    <row r="17" spans="3:6" ht="9.75" customHeight="1">
      <c r="C17" s="50" t="s">
        <v>169</v>
      </c>
      <c r="D17" s="54"/>
      <c r="E17" s="55">
        <v>0</v>
      </c>
      <c r="F17" s="55">
        <v>0</v>
      </c>
    </row>
    <row r="18" spans="3:6" ht="9.75" customHeight="1">
      <c r="D18" s="54"/>
      <c r="E18" s="55"/>
      <c r="F18" s="55"/>
    </row>
    <row r="19" spans="3:6" ht="9.75" customHeight="1">
      <c r="C19" s="53" t="s">
        <v>170</v>
      </c>
      <c r="D19" s="54"/>
      <c r="E19" s="55"/>
      <c r="F19" s="55"/>
    </row>
    <row r="20" spans="3:6" ht="9.75" customHeight="1">
      <c r="C20" s="50" t="s">
        <v>171</v>
      </c>
      <c r="D20" s="54"/>
      <c r="E20" s="55">
        <v>0</v>
      </c>
      <c r="F20" s="55">
        <v>0</v>
      </c>
    </row>
    <row r="21" spans="3:6" ht="9.75" customHeight="1">
      <c r="C21" s="50" t="s">
        <v>172</v>
      </c>
      <c r="D21" s="54"/>
      <c r="E21" s="55">
        <v>0</v>
      </c>
      <c r="F21" s="55">
        <v>0</v>
      </c>
    </row>
    <row r="22" spans="3:6" ht="9.75" customHeight="1">
      <c r="D22" s="54"/>
      <c r="E22" s="55"/>
      <c r="F22" s="55"/>
    </row>
    <row r="23" spans="3:6" ht="9.75" customHeight="1">
      <c r="C23" s="53" t="s">
        <v>173</v>
      </c>
      <c r="D23" s="54"/>
      <c r="E23" s="55">
        <v>0</v>
      </c>
      <c r="F23" s="55">
        <v>0</v>
      </c>
    </row>
    <row r="24" spans="3:6" ht="9.75" customHeight="1">
      <c r="C24" s="53" t="s">
        <v>174</v>
      </c>
      <c r="D24" s="54"/>
      <c r="E24" s="55">
        <v>0</v>
      </c>
      <c r="F24" s="55">
        <v>0</v>
      </c>
    </row>
    <row r="25" spans="3:6" ht="9.75" customHeight="1">
      <c r="C25" s="53" t="s">
        <v>175</v>
      </c>
      <c r="D25" s="54"/>
      <c r="E25" s="56">
        <v>918582933</v>
      </c>
      <c r="F25" s="56">
        <v>1982480656</v>
      </c>
    </row>
    <row r="26" spans="3:6" ht="9.75" customHeight="1">
      <c r="C26" s="53" t="s">
        <v>176</v>
      </c>
      <c r="D26" s="54"/>
      <c r="E26" s="56">
        <v>406792968</v>
      </c>
      <c r="F26" s="56">
        <v>93517554</v>
      </c>
    </row>
    <row r="27" spans="3:6" ht="9.75" customHeight="1">
      <c r="C27" s="53" t="s">
        <v>177</v>
      </c>
      <c r="D27" s="54"/>
      <c r="E27" s="56">
        <f>27908000+2002970315</f>
        <v>2030878315</v>
      </c>
      <c r="F27" s="56">
        <v>1603604433</v>
      </c>
    </row>
    <row r="28" spans="3:6" ht="9.75" customHeight="1">
      <c r="C28" s="53" t="s">
        <v>178</v>
      </c>
      <c r="D28" s="54"/>
      <c r="E28" s="55">
        <v>0</v>
      </c>
      <c r="F28" s="55">
        <v>0</v>
      </c>
    </row>
    <row r="29" spans="3:6" ht="9.75" customHeight="1">
      <c r="C29" s="53" t="s">
        <v>179</v>
      </c>
      <c r="D29" s="54"/>
      <c r="E29" s="55">
        <v>0</v>
      </c>
      <c r="F29" s="55">
        <v>0</v>
      </c>
    </row>
    <row r="30" spans="3:6" ht="9.75" customHeight="1">
      <c r="E30" s="55"/>
      <c r="F30" s="55"/>
    </row>
    <row r="31" spans="3:6" ht="9.75" customHeight="1">
      <c r="C31" s="53" t="s">
        <v>180</v>
      </c>
      <c r="D31" s="54"/>
      <c r="E31" s="55">
        <v>0</v>
      </c>
      <c r="F31" s="55">
        <v>0</v>
      </c>
    </row>
    <row r="32" spans="3:6" ht="9.75" customHeight="1">
      <c r="C32" s="53"/>
      <c r="D32" s="54"/>
      <c r="E32" s="55"/>
      <c r="F32" s="55"/>
    </row>
    <row r="33" spans="3:9" ht="9.75" customHeight="1">
      <c r="C33" s="53" t="s">
        <v>181</v>
      </c>
      <c r="D33" s="54"/>
      <c r="E33" s="56">
        <f>SUM(E34:E36)</f>
        <v>207931795</v>
      </c>
      <c r="F33" s="56">
        <f>SUM(F34:F36)</f>
        <v>141381315</v>
      </c>
      <c r="G33" s="57"/>
      <c r="I33" s="57"/>
    </row>
    <row r="34" spans="3:9" ht="9.75" customHeight="1">
      <c r="C34" s="50" t="s">
        <v>182</v>
      </c>
      <c r="D34" s="54"/>
      <c r="E34" s="56">
        <v>0</v>
      </c>
      <c r="F34" s="55">
        <v>0</v>
      </c>
    </row>
    <row r="35" spans="3:9" ht="9.75" customHeight="1">
      <c r="C35" s="58" t="s">
        <v>183</v>
      </c>
      <c r="D35" s="59"/>
      <c r="E35" s="55">
        <v>0</v>
      </c>
      <c r="F35" s="55">
        <v>84371598</v>
      </c>
    </row>
    <row r="36" spans="3:9" ht="9.75" customHeight="1">
      <c r="C36" s="58" t="s">
        <v>184</v>
      </c>
      <c r="D36" s="59"/>
      <c r="E36" s="55">
        <f>139401665+2748126+33393368+32388636</f>
        <v>207931795</v>
      </c>
      <c r="F36" s="55">
        <v>57009717</v>
      </c>
      <c r="G36" s="51"/>
    </row>
    <row r="37" spans="3:9" ht="9.75" customHeight="1">
      <c r="D37" s="59"/>
      <c r="E37" s="55"/>
      <c r="F37" s="55"/>
      <c r="H37" s="51">
        <f>+E33+E25+E26+E27+E11</f>
        <v>3578519737</v>
      </c>
    </row>
    <row r="38" spans="3:9" ht="9.75" customHeight="1">
      <c r="C38" s="53" t="s">
        <v>185</v>
      </c>
      <c r="D38" s="59"/>
      <c r="E38" s="56">
        <f>SUM(E39:E41)</f>
        <v>702945098</v>
      </c>
      <c r="F38" s="56">
        <f>SUM(F39:F41)</f>
        <v>595985467</v>
      </c>
    </row>
    <row r="39" spans="3:9" ht="9.75" customHeight="1">
      <c r="C39" s="50" t="s">
        <v>186</v>
      </c>
      <c r="D39" s="59"/>
      <c r="E39" s="55">
        <v>572832098</v>
      </c>
      <c r="F39" s="55">
        <v>271759036</v>
      </c>
    </row>
    <row r="40" spans="3:9" ht="9.75" customHeight="1">
      <c r="C40" s="50" t="s">
        <v>187</v>
      </c>
      <c r="D40" s="59"/>
      <c r="E40" s="55">
        <v>130113000</v>
      </c>
      <c r="F40" s="55">
        <v>324226431</v>
      </c>
    </row>
    <row r="41" spans="3:9" ht="9.75" customHeight="1">
      <c r="C41" s="50" t="s">
        <v>188</v>
      </c>
      <c r="D41" s="59"/>
      <c r="E41" s="55">
        <v>0</v>
      </c>
      <c r="F41" s="55">
        <v>0</v>
      </c>
    </row>
    <row r="42" spans="3:9" ht="9.75" customHeight="1">
      <c r="C42" s="418"/>
      <c r="D42" s="419"/>
      <c r="E42" s="420"/>
      <c r="F42" s="420"/>
    </row>
    <row r="43" spans="3:9" ht="15.95" customHeight="1">
      <c r="C43" s="60" t="s">
        <v>189</v>
      </c>
      <c r="D43" s="61"/>
      <c r="E43" s="62">
        <f>+E11+E25+E26+E33-E38+E27</f>
        <v>2875574639</v>
      </c>
      <c r="F43" s="62">
        <f>+F11+F25+F26+F33-F38+F27</f>
        <v>4195191965</v>
      </c>
    </row>
    <row r="44" spans="3:9" ht="9.75" customHeight="1">
      <c r="D44" s="59"/>
      <c r="E44" s="55"/>
      <c r="F44" s="55"/>
    </row>
    <row r="45" spans="3:9" ht="9.75" customHeight="1">
      <c r="C45" s="63" t="s">
        <v>190</v>
      </c>
      <c r="D45" s="54"/>
      <c r="E45" s="56">
        <f>SUM(E46:E48)</f>
        <v>905619</v>
      </c>
      <c r="F45" s="56">
        <f>SUM(F46:F48)</f>
        <v>48218346</v>
      </c>
    </row>
    <row r="46" spans="3:9" ht="9.75" customHeight="1">
      <c r="C46" s="58" t="s">
        <v>191</v>
      </c>
      <c r="D46" s="54"/>
      <c r="E46" s="55">
        <v>905619</v>
      </c>
      <c r="F46" s="55">
        <v>48218346</v>
      </c>
    </row>
    <row r="47" spans="3:9" ht="9.75" customHeight="1">
      <c r="C47" s="58" t="s">
        <v>192</v>
      </c>
      <c r="D47" s="54"/>
      <c r="E47" s="55">
        <v>0</v>
      </c>
      <c r="F47" s="55">
        <v>0</v>
      </c>
    </row>
    <row r="48" spans="3:9" ht="9.75" customHeight="1">
      <c r="C48" s="58" t="s">
        <v>193</v>
      </c>
      <c r="D48" s="54"/>
      <c r="E48" s="55">
        <v>0</v>
      </c>
      <c r="F48" s="55">
        <v>0</v>
      </c>
    </row>
    <row r="49" spans="3:10" ht="9.75" customHeight="1">
      <c r="C49" s="58"/>
      <c r="D49" s="59"/>
      <c r="E49" s="55"/>
      <c r="F49" s="55"/>
    </row>
    <row r="50" spans="3:10" ht="9.75" customHeight="1">
      <c r="C50" s="63" t="s">
        <v>194</v>
      </c>
      <c r="D50" s="59"/>
      <c r="E50" s="56">
        <f>SUM(E51:E71)</f>
        <v>1141572994</v>
      </c>
      <c r="F50" s="56">
        <f>SUM(F51:F71)</f>
        <v>2257971125</v>
      </c>
      <c r="G50" s="59"/>
      <c r="I50" s="57"/>
      <c r="J50" s="64"/>
    </row>
    <row r="51" spans="3:10" ht="9.75" customHeight="1">
      <c r="C51" s="58" t="s">
        <v>195</v>
      </c>
      <c r="D51" s="59"/>
      <c r="E51" s="55">
        <v>440015406</v>
      </c>
      <c r="F51" s="236">
        <v>641169053</v>
      </c>
      <c r="G51" s="57"/>
    </row>
    <row r="52" spans="3:10" ht="9.75" customHeight="1">
      <c r="C52" s="58" t="s">
        <v>196</v>
      </c>
      <c r="D52" s="59"/>
      <c r="E52" s="55">
        <v>72602542</v>
      </c>
      <c r="F52" s="236">
        <v>106647021</v>
      </c>
      <c r="G52" s="57"/>
    </row>
    <row r="53" spans="3:10" ht="9.75" customHeight="1">
      <c r="C53" s="58" t="s">
        <v>197</v>
      </c>
      <c r="D53" s="59"/>
      <c r="E53" s="55">
        <v>48730</v>
      </c>
      <c r="F53" s="236">
        <v>1088989</v>
      </c>
      <c r="G53" s="57"/>
    </row>
    <row r="54" spans="3:10" ht="9.75" customHeight="1">
      <c r="C54" s="58" t="s">
        <v>198</v>
      </c>
      <c r="D54" s="59"/>
      <c r="E54" s="55">
        <v>1973556</v>
      </c>
      <c r="F54" s="236">
        <v>2851957</v>
      </c>
      <c r="G54" s="57"/>
    </row>
    <row r="55" spans="3:10" ht="9.75" customHeight="1">
      <c r="C55" s="58" t="s">
        <v>199</v>
      </c>
      <c r="D55" s="59"/>
      <c r="E55" s="55">
        <v>0</v>
      </c>
      <c r="F55" s="236">
        <v>0</v>
      </c>
      <c r="G55" s="57"/>
    </row>
    <row r="56" spans="3:10" ht="9.75" customHeight="1">
      <c r="C56" s="58" t="s">
        <v>200</v>
      </c>
      <c r="D56" s="59"/>
      <c r="E56" s="55">
        <v>0</v>
      </c>
      <c r="F56" s="55">
        <v>3923717</v>
      </c>
      <c r="G56" s="59"/>
    </row>
    <row r="57" spans="3:10" ht="9.75" customHeight="1">
      <c r="C57" s="58" t="s">
        <v>201</v>
      </c>
      <c r="D57" s="59"/>
      <c r="E57" s="55">
        <v>3047227</v>
      </c>
      <c r="F57" s="55">
        <v>0</v>
      </c>
      <c r="G57" s="59"/>
    </row>
    <row r="58" spans="3:10" ht="9.75" customHeight="1">
      <c r="C58" s="58" t="s">
        <v>202</v>
      </c>
      <c r="D58" s="59"/>
      <c r="E58" s="55">
        <v>0</v>
      </c>
      <c r="F58" s="55">
        <v>1725281</v>
      </c>
      <c r="G58" s="59"/>
    </row>
    <row r="59" spans="3:10" ht="9.75" customHeight="1">
      <c r="C59" s="58" t="s">
        <v>203</v>
      </c>
      <c r="D59" s="59"/>
      <c r="E59" s="55">
        <v>0</v>
      </c>
      <c r="F59" s="55">
        <v>14035929</v>
      </c>
      <c r="G59" s="59"/>
    </row>
    <row r="60" spans="3:10" ht="9.75" customHeight="1">
      <c r="C60" s="58" t="s">
        <v>204</v>
      </c>
      <c r="D60" s="59"/>
      <c r="E60" s="55">
        <v>0</v>
      </c>
      <c r="F60" s="55">
        <v>11898200</v>
      </c>
      <c r="G60" s="59"/>
    </row>
    <row r="61" spans="3:10" ht="9.75" customHeight="1">
      <c r="C61" s="58" t="s">
        <v>205</v>
      </c>
      <c r="D61" s="59"/>
      <c r="E61" s="55">
        <v>29896200</v>
      </c>
      <c r="F61" s="55">
        <v>792211736</v>
      </c>
      <c r="G61" s="59"/>
    </row>
    <row r="62" spans="3:10" ht="9.75" customHeight="1">
      <c r="C62" s="58" t="s">
        <v>206</v>
      </c>
      <c r="D62" s="59"/>
      <c r="E62" s="55">
        <f>140826855+3295197+35</f>
        <v>144122087</v>
      </c>
      <c r="F62" s="55">
        <v>162501624</v>
      </c>
      <c r="G62" s="59"/>
    </row>
    <row r="63" spans="3:10" ht="9.75" customHeight="1">
      <c r="C63" s="58" t="s">
        <v>207</v>
      </c>
      <c r="D63" s="59"/>
      <c r="E63" s="55">
        <v>34887000</v>
      </c>
      <c r="F63" s="55">
        <v>168000000</v>
      </c>
      <c r="G63" s="59"/>
    </row>
    <row r="64" spans="3:10" ht="9.75" customHeight="1">
      <c r="C64" s="58" t="s">
        <v>208</v>
      </c>
      <c r="D64" s="59"/>
      <c r="E64" s="55">
        <v>186272727</v>
      </c>
      <c r="F64" s="55">
        <v>0</v>
      </c>
      <c r="G64" s="59"/>
    </row>
    <row r="65" spans="3:7" ht="9.75" customHeight="1">
      <c r="C65" s="58" t="s">
        <v>209</v>
      </c>
      <c r="D65" s="59"/>
      <c r="E65" s="55">
        <v>109248481</v>
      </c>
      <c r="F65" s="55">
        <v>3636363</v>
      </c>
      <c r="G65" s="59"/>
    </row>
    <row r="66" spans="3:7" ht="9.75" customHeight="1">
      <c r="C66" s="58" t="s">
        <v>210</v>
      </c>
      <c r="D66" s="59"/>
      <c r="E66" s="55">
        <v>863636</v>
      </c>
      <c r="F66" s="55">
        <v>113657379</v>
      </c>
      <c r="G66" s="59"/>
    </row>
    <row r="67" spans="3:7" ht="9.75" customHeight="1">
      <c r="C67" s="58" t="s">
        <v>211</v>
      </c>
      <c r="D67" s="59"/>
      <c r="E67" s="55">
        <v>118595402</v>
      </c>
      <c r="F67" s="55">
        <v>234623876</v>
      </c>
      <c r="G67" s="59"/>
    </row>
    <row r="68" spans="3:7" ht="9.75" customHeight="1">
      <c r="C68" s="58" t="s">
        <v>212</v>
      </c>
      <c r="D68" s="59"/>
      <c r="E68" s="55"/>
      <c r="F68" s="55">
        <v>0</v>
      </c>
      <c r="G68" s="59"/>
    </row>
    <row r="69" spans="3:7" ht="9.75" customHeight="1">
      <c r="C69" s="58" t="s">
        <v>213</v>
      </c>
      <c r="D69" s="59"/>
      <c r="E69" s="55">
        <v>0</v>
      </c>
      <c r="F69" s="55">
        <v>0</v>
      </c>
      <c r="G69" s="59"/>
    </row>
    <row r="70" spans="3:7" ht="9.75" customHeight="1">
      <c r="C70" s="58" t="s">
        <v>214</v>
      </c>
      <c r="D70" s="59"/>
      <c r="E70" s="55">
        <v>0</v>
      </c>
      <c r="F70" s="55">
        <v>0</v>
      </c>
      <c r="G70" s="59"/>
    </row>
    <row r="71" spans="3:7" ht="9.75" customHeight="1">
      <c r="C71" s="421" t="s">
        <v>215</v>
      </c>
      <c r="D71" s="419"/>
      <c r="E71" s="420"/>
      <c r="F71" s="420">
        <v>0</v>
      </c>
      <c r="G71" s="59"/>
    </row>
    <row r="72" spans="3:7" ht="15" customHeight="1">
      <c r="C72" s="60" t="s">
        <v>216</v>
      </c>
      <c r="D72" s="61"/>
      <c r="E72" s="62">
        <f>+E43-E45-E50</f>
        <v>1733096026</v>
      </c>
      <c r="F72" s="62">
        <f>+F43-F45-F50</f>
        <v>1889002494</v>
      </c>
      <c r="G72" s="59"/>
    </row>
    <row r="73" spans="3:7" ht="9.75" customHeight="1">
      <c r="C73" s="58"/>
      <c r="D73" s="59"/>
      <c r="E73" s="55"/>
      <c r="F73" s="55"/>
      <c r="G73" s="59"/>
    </row>
    <row r="74" spans="3:7" ht="9.75" customHeight="1">
      <c r="C74" s="63" t="s">
        <v>217</v>
      </c>
      <c r="D74" s="54"/>
      <c r="E74" s="56">
        <v>0</v>
      </c>
      <c r="F74" s="56">
        <f>SUM(F75:F76)*-1</f>
        <v>0</v>
      </c>
      <c r="G74" s="54"/>
    </row>
    <row r="75" spans="3:7" ht="9.75" customHeight="1">
      <c r="C75" s="58" t="s">
        <v>218</v>
      </c>
      <c r="D75" s="54"/>
      <c r="E75" s="56">
        <v>0</v>
      </c>
      <c r="F75" s="56">
        <v>0</v>
      </c>
      <c r="G75" s="54"/>
    </row>
    <row r="76" spans="3:7" ht="9.75" customHeight="1">
      <c r="C76" s="58" t="s">
        <v>219</v>
      </c>
      <c r="D76" s="59"/>
      <c r="E76" s="422">
        <v>0</v>
      </c>
      <c r="F76" s="422">
        <v>0</v>
      </c>
      <c r="G76" s="54"/>
    </row>
    <row r="77" spans="3:7" ht="9.75" customHeight="1">
      <c r="C77" s="63"/>
      <c r="D77" s="59"/>
      <c r="E77" s="55"/>
      <c r="F77" s="55"/>
    </row>
    <row r="78" spans="3:7" ht="9.75" customHeight="1">
      <c r="C78" s="63" t="s">
        <v>220</v>
      </c>
      <c r="D78" s="59"/>
      <c r="E78" s="56">
        <f>+E80+E83</f>
        <v>173519328</v>
      </c>
      <c r="F78" s="56">
        <f>+F80+F83</f>
        <v>892088149</v>
      </c>
    </row>
    <row r="79" spans="3:7" ht="9.75" customHeight="1">
      <c r="C79" s="63"/>
      <c r="D79" s="59"/>
      <c r="E79" s="56"/>
      <c r="F79" s="56"/>
    </row>
    <row r="80" spans="3:7" ht="9.75" customHeight="1">
      <c r="C80" s="63" t="s">
        <v>221</v>
      </c>
      <c r="D80" s="59"/>
      <c r="E80" s="56">
        <f>SUM(E81:E82)</f>
        <v>517045069</v>
      </c>
      <c r="F80" s="56">
        <f>SUM(F81:F82)</f>
        <v>1787698215</v>
      </c>
    </row>
    <row r="81" spans="3:9" ht="9.75" customHeight="1">
      <c r="C81" s="58" t="s">
        <v>222</v>
      </c>
      <c r="D81" s="59"/>
      <c r="E81" s="55">
        <v>0</v>
      </c>
      <c r="F81" s="55">
        <v>491000</v>
      </c>
    </row>
    <row r="82" spans="3:9" ht="9.75" customHeight="1">
      <c r="C82" s="58" t="s">
        <v>223</v>
      </c>
      <c r="D82" s="59"/>
      <c r="E82" s="55">
        <v>517045069</v>
      </c>
      <c r="F82" s="55">
        <v>1787207215</v>
      </c>
    </row>
    <row r="83" spans="3:9" ht="9.75" customHeight="1">
      <c r="C83" s="63" t="s">
        <v>224</v>
      </c>
      <c r="D83" s="59"/>
      <c r="E83" s="56">
        <f>SUM(E84:E85)*-1</f>
        <v>-343525741</v>
      </c>
      <c r="F83" s="56">
        <f>SUM(F84:F85)*-1</f>
        <v>-895610066</v>
      </c>
    </row>
    <row r="84" spans="3:9" ht="9.75" customHeight="1">
      <c r="C84" s="58" t="s">
        <v>225</v>
      </c>
      <c r="D84" s="59"/>
      <c r="E84" s="55">
        <v>9312726</v>
      </c>
      <c r="F84" s="55">
        <v>766259197</v>
      </c>
      <c r="G84" s="65"/>
      <c r="H84" s="66"/>
      <c r="I84" s="66"/>
    </row>
    <row r="85" spans="3:9" ht="9.75" customHeight="1">
      <c r="C85" s="58" t="s">
        <v>223</v>
      </c>
      <c r="D85" s="59"/>
      <c r="E85" s="55">
        <v>334213015</v>
      </c>
      <c r="F85" s="55">
        <v>129350869</v>
      </c>
    </row>
    <row r="86" spans="3:9" ht="9.75" customHeight="1">
      <c r="C86" s="58"/>
      <c r="D86" s="59"/>
      <c r="E86" s="55"/>
      <c r="F86" s="55"/>
      <c r="G86" s="57"/>
    </row>
    <row r="87" spans="3:9" ht="9.75" customHeight="1">
      <c r="C87" s="53" t="s">
        <v>226</v>
      </c>
      <c r="D87" s="54"/>
      <c r="E87" s="56">
        <f>+E88-E89</f>
        <v>0</v>
      </c>
      <c r="F87" s="56">
        <f>+F88-F89</f>
        <v>0</v>
      </c>
      <c r="G87" s="57"/>
    </row>
    <row r="88" spans="3:9" ht="9.75" customHeight="1">
      <c r="C88" s="50" t="s">
        <v>227</v>
      </c>
      <c r="D88" s="59"/>
      <c r="E88" s="55">
        <v>0</v>
      </c>
      <c r="F88" s="55">
        <v>0</v>
      </c>
      <c r="G88" s="57"/>
    </row>
    <row r="89" spans="3:9" ht="9.75" customHeight="1">
      <c r="C89" s="50" t="s">
        <v>228</v>
      </c>
      <c r="D89" s="59"/>
      <c r="E89" s="55">
        <v>0</v>
      </c>
      <c r="F89" s="55">
        <v>0</v>
      </c>
    </row>
    <row r="90" spans="3:9" ht="9.75" customHeight="1">
      <c r="D90" s="59"/>
      <c r="E90" s="67"/>
      <c r="F90" s="67"/>
    </row>
    <row r="91" spans="3:9" ht="9.75" customHeight="1">
      <c r="C91" s="53" t="s">
        <v>229</v>
      </c>
      <c r="D91" s="54"/>
      <c r="E91" s="56">
        <v>0</v>
      </c>
      <c r="F91" s="56">
        <v>0</v>
      </c>
    </row>
    <row r="92" spans="3:9" ht="9.75" customHeight="1">
      <c r="C92" s="50" t="s">
        <v>230</v>
      </c>
      <c r="D92" s="59"/>
      <c r="E92" s="55">
        <v>0</v>
      </c>
      <c r="F92" s="55">
        <v>0</v>
      </c>
    </row>
    <row r="93" spans="3:9" ht="9.75" customHeight="1">
      <c r="C93" s="50" t="s">
        <v>231</v>
      </c>
      <c r="D93" s="59"/>
      <c r="E93" s="55"/>
      <c r="F93" s="55"/>
    </row>
    <row r="94" spans="3:9" ht="9.75" customHeight="1">
      <c r="D94" s="59"/>
      <c r="E94" s="55"/>
      <c r="F94" s="55"/>
    </row>
    <row r="95" spans="3:9">
      <c r="C95" s="68" t="s">
        <v>232</v>
      </c>
      <c r="D95" s="69"/>
      <c r="E95" s="70">
        <f>+E72+E78+E87+E91</f>
        <v>1906615354</v>
      </c>
      <c r="F95" s="70">
        <f>+F72+F78+F87+F91</f>
        <v>2781090643</v>
      </c>
      <c r="G95" s="57"/>
    </row>
    <row r="96" spans="3:9">
      <c r="D96" s="59"/>
      <c r="E96" s="55"/>
      <c r="F96" s="55"/>
    </row>
    <row r="97" spans="3:7">
      <c r="C97" s="53" t="s">
        <v>233</v>
      </c>
      <c r="D97" s="54"/>
      <c r="E97" s="55">
        <v>0</v>
      </c>
      <c r="F97" s="55">
        <v>0</v>
      </c>
    </row>
    <row r="98" spans="3:7">
      <c r="C98" s="53" t="s">
        <v>96</v>
      </c>
      <c r="D98" s="59"/>
      <c r="E98" s="55">
        <v>0</v>
      </c>
      <c r="F98" s="55">
        <v>0</v>
      </c>
      <c r="G98" s="57"/>
    </row>
    <row r="99" spans="3:7" ht="11.1" customHeight="1" thickBot="1">
      <c r="C99" s="53" t="s">
        <v>234</v>
      </c>
      <c r="D99" s="54"/>
      <c r="E99" s="71">
        <f>+E95-E97-E98</f>
        <v>1906615354</v>
      </c>
      <c r="F99" s="71">
        <f>+F95-F97-F98</f>
        <v>2781090643</v>
      </c>
      <c r="G99" s="59"/>
    </row>
    <row r="100" spans="3:7" ht="9.75" customHeight="1" thickTop="1">
      <c r="E100" s="237">
        <f>+'[3]Balance Gral. Resol. 6'!G66-E99</f>
        <v>0</v>
      </c>
      <c r="F100" s="237">
        <f>+F99-'[3]Balance Gral. Resol. 6'!H67</f>
        <v>0</v>
      </c>
    </row>
    <row r="101" spans="3:7" ht="9.75" customHeight="1">
      <c r="E101" s="72"/>
      <c r="F101" s="72"/>
    </row>
    <row r="103" spans="3:7" ht="9.75" customHeight="1">
      <c r="E103" s="73"/>
    </row>
  </sheetData>
  <pageMargins left="0.25" right="0.25" top="0.75" bottom="0.75" header="0.3" footer="0.3"/>
  <pageSetup paperSize="9" scale="76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E1:H62"/>
  <sheetViews>
    <sheetView showGridLines="0" topLeftCell="A29" workbookViewId="0">
      <selection activeCell="K49" sqref="K49"/>
    </sheetView>
  </sheetViews>
  <sheetFormatPr baseColWidth="10" defaultColWidth="11.42578125" defaultRowHeight="11.25"/>
  <cols>
    <col min="1" max="1" width="11.42578125" style="1"/>
    <col min="2" max="4" width="8.140625" style="1" customWidth="1"/>
    <col min="5" max="5" width="77.7109375" style="1" bestFit="1" customWidth="1"/>
    <col min="6" max="6" width="16.85546875" style="1" customWidth="1"/>
    <col min="7" max="7" width="18.85546875" style="1" customWidth="1"/>
    <col min="8" max="8" width="14.28515625" style="1" bestFit="1" customWidth="1"/>
    <col min="9" max="16384" width="11.42578125" style="1"/>
  </cols>
  <sheetData>
    <row r="1" spans="5:8" ht="14.25">
      <c r="E1" s="302" t="s">
        <v>0</v>
      </c>
    </row>
    <row r="2" spans="5:8" ht="14.25">
      <c r="E2" s="302" t="s">
        <v>590</v>
      </c>
    </row>
    <row r="3" spans="5:8" ht="14.25">
      <c r="E3" s="302" t="s">
        <v>824</v>
      </c>
    </row>
    <row r="4" spans="5:8" ht="12.75">
      <c r="E4" s="74" t="s">
        <v>2</v>
      </c>
    </row>
    <row r="8" spans="5:8" ht="38.25">
      <c r="E8" s="303"/>
      <c r="F8" s="304" t="s">
        <v>833</v>
      </c>
      <c r="G8" s="304" t="s">
        <v>832</v>
      </c>
    </row>
    <row r="9" spans="5:8" ht="12.75">
      <c r="E9" s="305" t="s">
        <v>591</v>
      </c>
      <c r="F9" s="306"/>
      <c r="G9" s="307"/>
    </row>
    <row r="10" spans="5:8" ht="12.75">
      <c r="E10" s="308"/>
      <c r="F10" s="309"/>
      <c r="G10" s="310"/>
    </row>
    <row r="11" spans="5:8" ht="12.75">
      <c r="E11" s="308" t="s">
        <v>592</v>
      </c>
      <c r="F11" s="310">
        <f>+'[3]2018 (2)'!B63</f>
        <v>-2226879814</v>
      </c>
      <c r="G11" s="311">
        <v>4809857079</v>
      </c>
    </row>
    <row r="12" spans="5:8" ht="12.75">
      <c r="E12" s="308" t="s">
        <v>593</v>
      </c>
      <c r="F12" s="310">
        <f>+'[3]2018 (2)'!B66</f>
        <v>-440015406</v>
      </c>
      <c r="G12" s="311">
        <v>-828113719</v>
      </c>
    </row>
    <row r="13" spans="5:8" ht="12.75">
      <c r="E13" s="308" t="s">
        <v>594</v>
      </c>
      <c r="F13" s="310">
        <f>+'[3]2018 (2)'!B64+'[3]2018 (2)'!B67</f>
        <v>7529804676</v>
      </c>
      <c r="G13" s="311">
        <v>-7667254738</v>
      </c>
      <c r="H13" s="49"/>
    </row>
    <row r="14" spans="5:8" ht="12.75">
      <c r="E14" s="308"/>
      <c r="F14" s="310"/>
      <c r="G14" s="311"/>
      <c r="H14" s="49"/>
    </row>
    <row r="15" spans="5:8" ht="12.6" customHeight="1">
      <c r="E15" s="312" t="s">
        <v>595</v>
      </c>
      <c r="F15" s="313"/>
      <c r="G15" s="314"/>
    </row>
    <row r="16" spans="5:8" ht="12.75">
      <c r="E16" s="312" t="s">
        <v>596</v>
      </c>
      <c r="F16" s="315">
        <f>SUM(F11:F14)</f>
        <v>4862909456</v>
      </c>
      <c r="G16" s="316">
        <v>-3685511378</v>
      </c>
    </row>
    <row r="17" spans="5:7" ht="12.75">
      <c r="E17" s="317"/>
      <c r="F17" s="313"/>
      <c r="G17" s="314"/>
    </row>
    <row r="18" spans="5:7" ht="12.75">
      <c r="E18" s="312" t="s">
        <v>597</v>
      </c>
      <c r="F18" s="313"/>
      <c r="G18" s="314"/>
    </row>
    <row r="19" spans="5:7" ht="12.75">
      <c r="E19" s="317"/>
      <c r="F19" s="313"/>
      <c r="G19" s="314"/>
    </row>
    <row r="20" spans="5:7" ht="12.75">
      <c r="E20" s="317" t="s">
        <v>598</v>
      </c>
      <c r="F20" s="313">
        <v>0</v>
      </c>
      <c r="G20" s="314">
        <v>0</v>
      </c>
    </row>
    <row r="21" spans="5:7" ht="12.75">
      <c r="E21" s="317"/>
      <c r="F21" s="315">
        <f>SUM(F19:F20)</f>
        <v>0</v>
      </c>
      <c r="G21" s="316">
        <v>0</v>
      </c>
    </row>
    <row r="22" spans="5:7" ht="12.75">
      <c r="E22" s="312" t="s">
        <v>599</v>
      </c>
      <c r="F22" s="313"/>
      <c r="G22" s="314"/>
    </row>
    <row r="23" spans="5:7" ht="12.75">
      <c r="E23" s="317" t="s">
        <v>600</v>
      </c>
      <c r="F23" s="313">
        <v>0</v>
      </c>
      <c r="G23" s="314">
        <v>0</v>
      </c>
    </row>
    <row r="24" spans="5:7" ht="12.75">
      <c r="E24" s="317"/>
      <c r="F24" s="313"/>
      <c r="G24" s="314"/>
    </row>
    <row r="25" spans="5:7" ht="12.75">
      <c r="E25" s="312" t="s">
        <v>601</v>
      </c>
      <c r="F25" s="315">
        <f>F16+F21+F23</f>
        <v>4862909456</v>
      </c>
      <c r="G25" s="316">
        <v>-3685511378</v>
      </c>
    </row>
    <row r="26" spans="5:7" ht="12.75">
      <c r="E26" s="317"/>
      <c r="F26" s="313"/>
      <c r="G26" s="314"/>
    </row>
    <row r="27" spans="5:7" ht="12.75">
      <c r="E27" s="317" t="s">
        <v>233</v>
      </c>
      <c r="F27" s="313">
        <f>+'[3]2018 (2)'!B68</f>
        <v>0</v>
      </c>
      <c r="G27" s="314">
        <v>0</v>
      </c>
    </row>
    <row r="28" spans="5:7" ht="12.75">
      <c r="E28" s="317"/>
      <c r="F28" s="313"/>
      <c r="G28" s="314"/>
    </row>
    <row r="29" spans="5:7" ht="12.75">
      <c r="E29" s="312" t="s">
        <v>602</v>
      </c>
      <c r="F29" s="315">
        <f>+F25+F27</f>
        <v>4862909456</v>
      </c>
      <c r="G29" s="316">
        <v>-3685511378</v>
      </c>
    </row>
    <row r="30" spans="5:7" ht="12.75">
      <c r="E30" s="312"/>
      <c r="F30" s="318"/>
      <c r="G30" s="319"/>
    </row>
    <row r="31" spans="5:7" ht="12.75">
      <c r="E31" s="312" t="s">
        <v>603</v>
      </c>
      <c r="F31" s="313"/>
      <c r="G31" s="314"/>
    </row>
    <row r="32" spans="5:7" ht="12.75">
      <c r="E32" s="312"/>
      <c r="F32" s="313"/>
      <c r="G32" s="314"/>
    </row>
    <row r="33" spans="5:7" ht="12.75">
      <c r="E33" s="317" t="s">
        <v>604</v>
      </c>
      <c r="F33" s="313">
        <f>+'[3]2018 (2)'!B72</f>
        <v>0</v>
      </c>
      <c r="G33" s="314">
        <v>1892497595</v>
      </c>
    </row>
    <row r="34" spans="5:7" ht="12.75">
      <c r="E34" s="317" t="s">
        <v>21</v>
      </c>
      <c r="F34" s="313">
        <v>0</v>
      </c>
      <c r="G34" s="314">
        <v>0</v>
      </c>
    </row>
    <row r="35" spans="5:7" ht="12.75">
      <c r="E35" s="317" t="s">
        <v>605</v>
      </c>
      <c r="F35" s="313">
        <v>0</v>
      </c>
      <c r="G35" s="314">
        <v>0</v>
      </c>
    </row>
    <row r="36" spans="5:7" ht="12.75">
      <c r="E36" s="317" t="s">
        <v>606</v>
      </c>
      <c r="F36" s="313">
        <f>+'[3]2018 (2)'!B73</f>
        <v>-50929793</v>
      </c>
      <c r="G36" s="314">
        <v>-1329765379</v>
      </c>
    </row>
    <row r="37" spans="5:7" ht="12.75">
      <c r="E37" s="317" t="s">
        <v>607</v>
      </c>
      <c r="F37" s="313">
        <f>+'[3]2018 (2)'!B74</f>
        <v>-1785735128</v>
      </c>
      <c r="G37" s="314">
        <v>4061288582</v>
      </c>
    </row>
    <row r="38" spans="5:7" ht="12.75">
      <c r="E38" s="317" t="s">
        <v>608</v>
      </c>
      <c r="F38" s="313">
        <v>0</v>
      </c>
      <c r="G38" s="314">
        <v>0</v>
      </c>
    </row>
    <row r="39" spans="5:7" ht="12.75">
      <c r="E39" s="317" t="s">
        <v>609</v>
      </c>
      <c r="F39" s="313">
        <v>0</v>
      </c>
      <c r="G39" s="314">
        <v>0</v>
      </c>
    </row>
    <row r="40" spans="5:7" ht="12.75">
      <c r="E40" s="317"/>
      <c r="F40" s="313"/>
      <c r="G40" s="314"/>
    </row>
    <row r="41" spans="5:7" ht="12.75">
      <c r="E41" s="312" t="s">
        <v>610</v>
      </c>
      <c r="F41" s="315">
        <f>SUM(F33:F39)</f>
        <v>-1836664921</v>
      </c>
      <c r="G41" s="316">
        <v>4624020798</v>
      </c>
    </row>
    <row r="42" spans="5:7" ht="12.75">
      <c r="E42" s="312"/>
      <c r="F42" s="318"/>
      <c r="G42" s="319"/>
    </row>
    <row r="43" spans="5:7" ht="12.75">
      <c r="E43" s="312" t="s">
        <v>611</v>
      </c>
      <c r="F43" s="313"/>
      <c r="G43" s="314"/>
    </row>
    <row r="44" spans="5:7" ht="12.75">
      <c r="E44" s="312"/>
      <c r="F44" s="313"/>
      <c r="G44" s="314"/>
    </row>
    <row r="45" spans="5:7" ht="12.75">
      <c r="E45" s="317" t="s">
        <v>612</v>
      </c>
      <c r="F45" s="313">
        <f>+'[3]2018 (2)'!B86</f>
        <v>0</v>
      </c>
      <c r="G45" s="314">
        <v>0</v>
      </c>
    </row>
    <row r="46" spans="5:7" ht="12.75">
      <c r="E46" s="317" t="s">
        <v>613</v>
      </c>
      <c r="F46" s="313">
        <f>+'[3]2018 (2)'!B84</f>
        <v>-114014081</v>
      </c>
      <c r="G46" s="314">
        <v>-1165058902</v>
      </c>
    </row>
    <row r="47" spans="5:7" ht="12.75">
      <c r="E47" s="317" t="s">
        <v>614</v>
      </c>
      <c r="F47" s="313">
        <v>0</v>
      </c>
      <c r="G47" s="314">
        <v>0</v>
      </c>
    </row>
    <row r="48" spans="5:7" ht="12.75">
      <c r="E48" s="317" t="s">
        <v>225</v>
      </c>
      <c r="F48" s="313">
        <v>0</v>
      </c>
      <c r="G48" s="314">
        <v>0</v>
      </c>
    </row>
    <row r="49" spans="5:8" ht="12.75">
      <c r="E49" s="317"/>
      <c r="F49" s="313"/>
      <c r="G49" s="314"/>
    </row>
    <row r="50" spans="5:8" ht="12.75">
      <c r="E50" s="312" t="s">
        <v>615</v>
      </c>
      <c r="F50" s="315">
        <f>SUM(F45:F49)</f>
        <v>-114014081</v>
      </c>
      <c r="G50" s="316">
        <v>-1165058902</v>
      </c>
    </row>
    <row r="51" spans="5:8" ht="12.75" customHeight="1">
      <c r="E51" s="317"/>
      <c r="F51" s="313"/>
      <c r="G51" s="314"/>
    </row>
    <row r="52" spans="5:8" ht="12.75" customHeight="1">
      <c r="E52" s="312" t="s">
        <v>616</v>
      </c>
      <c r="F52" s="313"/>
      <c r="G52" s="314"/>
    </row>
    <row r="53" spans="5:8" ht="12.75" customHeight="1">
      <c r="E53" s="312"/>
      <c r="F53" s="313"/>
      <c r="G53" s="314"/>
    </row>
    <row r="54" spans="5:8" ht="12.75">
      <c r="E54" s="317" t="s">
        <v>617</v>
      </c>
      <c r="F54" s="320">
        <f>+F25+F27+F41+F50</f>
        <v>2912230454</v>
      </c>
      <c r="G54" s="319">
        <v>-226549482</v>
      </c>
    </row>
    <row r="55" spans="5:8" ht="12.75">
      <c r="E55" s="321" t="s">
        <v>618</v>
      </c>
      <c r="F55" s="322">
        <f>+'[3]2018 (2)'!C91</f>
        <v>1671037663</v>
      </c>
      <c r="G55" s="323">
        <v>1806453323</v>
      </c>
    </row>
    <row r="56" spans="5:8" ht="13.5" thickBot="1">
      <c r="E56" s="426" t="s">
        <v>619</v>
      </c>
      <c r="F56" s="324">
        <f>F54+F55</f>
        <v>4583268117</v>
      </c>
      <c r="G56" s="324">
        <f>G54+G55</f>
        <v>1579903841</v>
      </c>
    </row>
    <row r="57" spans="5:8" ht="16.5" customHeight="1" thickTop="1">
      <c r="E57" s="325"/>
      <c r="F57" s="326"/>
      <c r="G57" s="327"/>
      <c r="H57" s="328"/>
    </row>
    <row r="58" spans="5:8" ht="12.75">
      <c r="E58" s="329"/>
      <c r="F58" s="435">
        <f>+F56-'[3]Balance Gral. Resol. 6'!D12</f>
        <v>1</v>
      </c>
      <c r="G58" s="436">
        <f>+G56-'[3]Balance Gral. Resol. 6'!E12</f>
        <v>-1</v>
      </c>
    </row>
    <row r="59" spans="5:8" ht="12.75">
      <c r="E59" s="329"/>
      <c r="F59" s="330"/>
      <c r="G59" s="329"/>
    </row>
    <row r="60" spans="5:8" ht="12.75">
      <c r="E60" s="329"/>
      <c r="F60" s="329"/>
      <c r="G60" s="329"/>
    </row>
    <row r="61" spans="5:8" ht="12.75">
      <c r="E61" s="329"/>
      <c r="F61" s="329"/>
      <c r="G61" s="329"/>
    </row>
    <row r="62" spans="5:8" ht="12.75">
      <c r="E62" s="329"/>
      <c r="F62" s="329"/>
      <c r="G62" s="3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B2:K30"/>
  <sheetViews>
    <sheetView showGridLines="0" workbookViewId="0">
      <selection activeCell="D30" sqref="D30"/>
    </sheetView>
  </sheetViews>
  <sheetFormatPr baseColWidth="10" defaultColWidth="11.42578125" defaultRowHeight="15"/>
  <cols>
    <col min="2" max="2" width="26" customWidth="1"/>
    <col min="3" max="3" width="16.7109375" customWidth="1"/>
    <col min="4" max="4" width="18" customWidth="1"/>
    <col min="5" max="5" width="15" customWidth="1"/>
    <col min="6" max="6" width="14.42578125" customWidth="1"/>
    <col min="7" max="7" width="13" customWidth="1"/>
    <col min="8" max="8" width="16.28515625" customWidth="1"/>
    <col min="9" max="9" width="14.42578125" customWidth="1"/>
    <col min="10" max="10" width="15" customWidth="1"/>
    <col min="11" max="11" width="16.7109375" customWidth="1"/>
  </cols>
  <sheetData>
    <row r="2" spans="2:11">
      <c r="G2" s="302" t="s">
        <v>0</v>
      </c>
    </row>
    <row r="3" spans="2:11">
      <c r="G3" s="302" t="s">
        <v>620</v>
      </c>
    </row>
    <row r="4" spans="2:11">
      <c r="G4" s="302" t="s">
        <v>778</v>
      </c>
    </row>
    <row r="5" spans="2:11">
      <c r="G5" s="74" t="s">
        <v>2</v>
      </c>
    </row>
    <row r="6" spans="2:11" ht="15.75" thickBot="1">
      <c r="B6" s="331"/>
      <c r="C6" s="331"/>
    </row>
    <row r="7" spans="2:11" ht="15.75" thickBot="1">
      <c r="B7" s="332"/>
      <c r="C7" s="437" t="s">
        <v>235</v>
      </c>
      <c r="D7" s="438"/>
      <c r="E7" s="439" t="s">
        <v>621</v>
      </c>
      <c r="F7" s="437"/>
      <c r="G7" s="440"/>
      <c r="H7" s="441" t="s">
        <v>622</v>
      </c>
      <c r="I7" s="440"/>
      <c r="J7" s="441" t="s">
        <v>623</v>
      </c>
      <c r="K7" s="440"/>
    </row>
    <row r="8" spans="2:11" ht="15.75" thickBot="1">
      <c r="B8" s="332"/>
      <c r="C8" s="333"/>
      <c r="D8" s="334"/>
      <c r="E8" s="335"/>
      <c r="F8" s="333"/>
      <c r="G8" s="336"/>
      <c r="H8" s="335"/>
      <c r="I8" s="336"/>
      <c r="J8" s="335"/>
      <c r="K8" s="336"/>
    </row>
    <row r="9" spans="2:11" ht="27" thickBot="1">
      <c r="B9" s="337" t="s">
        <v>236</v>
      </c>
      <c r="C9" s="338" t="s">
        <v>624</v>
      </c>
      <c r="D9" s="339" t="s">
        <v>625</v>
      </c>
      <c r="E9" s="340" t="s">
        <v>626</v>
      </c>
      <c r="F9" s="340" t="s">
        <v>627</v>
      </c>
      <c r="G9" s="339" t="s">
        <v>628</v>
      </c>
      <c r="H9" s="340" t="s">
        <v>629</v>
      </c>
      <c r="I9" s="341" t="s">
        <v>630</v>
      </c>
      <c r="J9" s="338" t="s">
        <v>631</v>
      </c>
      <c r="K9" s="338" t="s">
        <v>632</v>
      </c>
    </row>
    <row r="10" spans="2:11">
      <c r="B10" s="342"/>
      <c r="C10" s="343"/>
      <c r="D10" s="344"/>
      <c r="E10" s="343"/>
      <c r="F10" s="343"/>
      <c r="G10" s="344"/>
      <c r="H10" s="343"/>
      <c r="I10" s="344"/>
      <c r="J10" s="343"/>
      <c r="K10" s="343"/>
    </row>
    <row r="11" spans="2:11">
      <c r="B11" s="342" t="s">
        <v>633</v>
      </c>
      <c r="C11" s="345">
        <v>960000091</v>
      </c>
      <c r="D11" s="346">
        <v>18400000001</v>
      </c>
      <c r="E11" s="345">
        <v>1122244552</v>
      </c>
      <c r="F11" s="345">
        <v>435673535</v>
      </c>
      <c r="G11" s="346">
        <v>67449446</v>
      </c>
      <c r="H11" s="347">
        <v>0</v>
      </c>
      <c r="I11" s="346">
        <v>5385823689</v>
      </c>
      <c r="J11" s="348">
        <f>SUM(C11:I11)</f>
        <v>26371191314</v>
      </c>
      <c r="K11" s="348">
        <v>19174432436</v>
      </c>
    </row>
    <row r="12" spans="2:11">
      <c r="B12" s="342"/>
      <c r="C12" s="345"/>
      <c r="D12" s="346"/>
      <c r="E12" s="345"/>
      <c r="F12" s="345"/>
      <c r="G12" s="346"/>
      <c r="H12" s="347"/>
      <c r="I12" s="346"/>
      <c r="J12" s="349">
        <f t="shared" ref="J12:J14" si="0">SUM(C12:I12)</f>
        <v>0</v>
      </c>
      <c r="K12" s="348">
        <v>0</v>
      </c>
    </row>
    <row r="13" spans="2:11">
      <c r="B13" s="350" t="s">
        <v>635</v>
      </c>
      <c r="C13" s="345"/>
      <c r="D13" s="346"/>
      <c r="E13" s="345"/>
      <c r="F13" s="347"/>
      <c r="G13" s="351"/>
      <c r="H13" s="347"/>
      <c r="I13" s="346"/>
      <c r="J13" s="349">
        <f t="shared" si="0"/>
        <v>0</v>
      </c>
      <c r="K13" s="348">
        <v>0</v>
      </c>
    </row>
    <row r="14" spans="2:11">
      <c r="B14" s="342"/>
      <c r="C14" s="345"/>
      <c r="D14" s="346"/>
      <c r="E14" s="345"/>
      <c r="F14" s="347"/>
      <c r="G14" s="351"/>
      <c r="H14" s="347"/>
      <c r="I14" s="346"/>
      <c r="J14" s="349">
        <f t="shared" si="0"/>
        <v>0</v>
      </c>
      <c r="K14" s="348">
        <v>0</v>
      </c>
    </row>
    <row r="15" spans="2:11">
      <c r="B15" s="342" t="s">
        <v>636</v>
      </c>
      <c r="C15" s="345" t="s">
        <v>634</v>
      </c>
      <c r="D15" s="346" t="s">
        <v>634</v>
      </c>
      <c r="E15" s="352">
        <f>+E27-E11</f>
        <v>0</v>
      </c>
      <c r="F15" s="347">
        <v>0</v>
      </c>
      <c r="G15" s="351" t="s">
        <v>634</v>
      </c>
      <c r="H15" s="347" t="s">
        <v>634</v>
      </c>
      <c r="I15" s="346" t="s">
        <v>634</v>
      </c>
      <c r="J15" s="348">
        <f>SUM(C15:I15)</f>
        <v>0</v>
      </c>
      <c r="K15" s="348">
        <v>719137940</v>
      </c>
    </row>
    <row r="16" spans="2:11">
      <c r="B16" s="342"/>
      <c r="C16" s="345"/>
      <c r="D16" s="346"/>
      <c r="E16" s="352"/>
      <c r="F16" s="347"/>
      <c r="G16" s="351"/>
      <c r="H16" s="353"/>
      <c r="I16" s="346"/>
      <c r="J16" s="349">
        <f t="shared" ref="J16:J26" si="1">SUM(C16:I16)</f>
        <v>0</v>
      </c>
      <c r="K16" s="348">
        <v>0</v>
      </c>
    </row>
    <row r="17" spans="2:11">
      <c r="B17" s="342" t="s">
        <v>637</v>
      </c>
      <c r="C17" s="345" t="s">
        <v>634</v>
      </c>
      <c r="D17" s="346" t="s">
        <v>634</v>
      </c>
      <c r="E17" s="352" t="s">
        <v>634</v>
      </c>
      <c r="F17" s="353" t="s">
        <v>634</v>
      </c>
      <c r="G17" s="351">
        <f>+G27-G11-G25</f>
        <v>0</v>
      </c>
      <c r="H17" s="347" t="s">
        <v>634</v>
      </c>
      <c r="I17" s="346" t="s">
        <v>634</v>
      </c>
      <c r="J17" s="349">
        <f t="shared" si="1"/>
        <v>0</v>
      </c>
      <c r="K17" s="354">
        <v>67449446</v>
      </c>
    </row>
    <row r="18" spans="2:11">
      <c r="B18" s="342"/>
      <c r="C18" s="345"/>
      <c r="D18" s="346"/>
      <c r="E18" s="352"/>
      <c r="F18" s="347"/>
      <c r="G18" s="351"/>
      <c r="H18" s="353"/>
      <c r="I18" s="346"/>
      <c r="J18" s="349">
        <f t="shared" si="1"/>
        <v>0</v>
      </c>
      <c r="K18" s="348">
        <v>0</v>
      </c>
    </row>
    <row r="19" spans="2:11">
      <c r="B19" s="342" t="s">
        <v>107</v>
      </c>
      <c r="C19" s="345" t="s">
        <v>634</v>
      </c>
      <c r="D19" s="346" t="s">
        <v>634</v>
      </c>
      <c r="E19" s="352" t="s">
        <v>634</v>
      </c>
      <c r="F19" s="353" t="s">
        <v>634</v>
      </c>
      <c r="G19" s="351" t="s">
        <v>634</v>
      </c>
      <c r="H19" s="347" t="s">
        <v>634</v>
      </c>
      <c r="I19" s="346" t="s">
        <v>634</v>
      </c>
      <c r="J19" s="349">
        <f t="shared" si="1"/>
        <v>0</v>
      </c>
      <c r="K19" s="348">
        <v>0</v>
      </c>
    </row>
    <row r="20" spans="2:11">
      <c r="B20" s="342"/>
      <c r="C20" s="345"/>
      <c r="D20" s="346"/>
      <c r="E20" s="352"/>
      <c r="F20" s="353"/>
      <c r="G20" s="351"/>
      <c r="H20" s="353"/>
      <c r="I20" s="346"/>
      <c r="J20" s="349">
        <f t="shared" si="1"/>
        <v>0</v>
      </c>
      <c r="K20" s="348">
        <v>0</v>
      </c>
    </row>
    <row r="21" spans="2:11">
      <c r="B21" s="342" t="s">
        <v>638</v>
      </c>
      <c r="C21" s="345">
        <f>+C27-C11</f>
        <v>-960000091</v>
      </c>
      <c r="D21" s="346" t="s">
        <v>634</v>
      </c>
      <c r="E21" s="355">
        <v>0</v>
      </c>
      <c r="F21" s="353" t="s">
        <v>634</v>
      </c>
      <c r="G21" s="351" t="s">
        <v>634</v>
      </c>
      <c r="H21" s="347" t="s">
        <v>634</v>
      </c>
      <c r="I21" s="346" t="s">
        <v>634</v>
      </c>
      <c r="J21" s="349">
        <f t="shared" si="1"/>
        <v>-960000091</v>
      </c>
      <c r="K21" s="348">
        <v>960000091</v>
      </c>
    </row>
    <row r="22" spans="2:11">
      <c r="B22" s="342"/>
      <c r="C22" s="345"/>
      <c r="D22" s="346"/>
      <c r="E22" s="352"/>
      <c r="F22" s="353"/>
      <c r="G22" s="351"/>
      <c r="H22" s="353"/>
      <c r="I22" s="346"/>
      <c r="J22" s="349">
        <f t="shared" si="1"/>
        <v>0</v>
      </c>
      <c r="K22" s="348">
        <v>0</v>
      </c>
    </row>
    <row r="23" spans="2:11">
      <c r="B23" s="342" t="s">
        <v>639</v>
      </c>
      <c r="C23" s="345" t="s">
        <v>634</v>
      </c>
      <c r="D23" s="346" t="s">
        <v>634</v>
      </c>
      <c r="E23" s="352" t="s">
        <v>634</v>
      </c>
      <c r="F23" s="353" t="s">
        <v>634</v>
      </c>
      <c r="G23" s="351" t="s">
        <v>634</v>
      </c>
      <c r="H23" s="347" t="s">
        <v>634</v>
      </c>
      <c r="I23" s="346" t="s">
        <v>634</v>
      </c>
      <c r="J23" s="349">
        <f t="shared" si="1"/>
        <v>0</v>
      </c>
      <c r="K23" s="348">
        <v>0</v>
      </c>
    </row>
    <row r="24" spans="2:11">
      <c r="B24" s="342"/>
      <c r="C24" s="345"/>
      <c r="D24" s="346"/>
      <c r="E24" s="352"/>
      <c r="F24" s="347"/>
      <c r="G24" s="351"/>
      <c r="H24" s="347"/>
      <c r="I24" s="346"/>
      <c r="J24" s="349">
        <f t="shared" si="1"/>
        <v>0</v>
      </c>
      <c r="K24" s="348">
        <v>0</v>
      </c>
    </row>
    <row r="25" spans="2:11">
      <c r="B25" s="342" t="s">
        <v>640</v>
      </c>
      <c r="C25" s="345">
        <v>0</v>
      </c>
      <c r="D25" s="346">
        <f>+D27-D11</f>
        <v>5888000000</v>
      </c>
      <c r="E25" s="355">
        <v>0</v>
      </c>
      <c r="F25" s="353">
        <f>+F27-F11</f>
        <v>-435673535</v>
      </c>
      <c r="G25" s="351">
        <f>+G27-G11</f>
        <v>-66502776</v>
      </c>
      <c r="H25" s="353" t="s">
        <v>825</v>
      </c>
      <c r="I25" s="346">
        <f>-I11</f>
        <v>-5385823689</v>
      </c>
      <c r="J25" s="349">
        <f>SUM(C25:I25)</f>
        <v>0</v>
      </c>
      <c r="K25" s="348">
        <v>64347712</v>
      </c>
    </row>
    <row r="26" spans="2:11" ht="15.75" thickBot="1">
      <c r="B26" s="356" t="s">
        <v>109</v>
      </c>
      <c r="C26" s="357" t="s">
        <v>634</v>
      </c>
      <c r="D26" s="358" t="s">
        <v>634</v>
      </c>
      <c r="E26" s="359" t="s">
        <v>634</v>
      </c>
      <c r="F26" s="360" t="s">
        <v>634</v>
      </c>
      <c r="G26" s="358" t="s">
        <v>634</v>
      </c>
      <c r="H26" s="353"/>
      <c r="I26" s="358">
        <f>+I27</f>
        <v>1906615354</v>
      </c>
      <c r="J26" s="349">
        <f t="shared" si="1"/>
        <v>1906615354</v>
      </c>
      <c r="K26" s="348">
        <v>5385823689</v>
      </c>
    </row>
    <row r="27" spans="2:11" ht="15.75" thickBot="1">
      <c r="B27" s="361" t="s">
        <v>733</v>
      </c>
      <c r="C27" s="362">
        <f>+'[3]Balance Gral. Resol. 6'!G55</f>
        <v>0</v>
      </c>
      <c r="D27" s="362">
        <f>+'[3]Balance Gral. Resol. 6'!G54</f>
        <v>24288000001</v>
      </c>
      <c r="E27" s="363">
        <f>+'[3]Balance Gral. Resol. 6'!G58</f>
        <v>1122244552</v>
      </c>
      <c r="F27" s="363">
        <f>+'[3]Balance Gral. Resol. 6'!G60</f>
        <v>0</v>
      </c>
      <c r="G27" s="362">
        <f>+'[3]Balance Gral. Resol. 6'!G59</f>
        <v>946670</v>
      </c>
      <c r="H27" s="363">
        <f>+'[3]Balance Gral. Resol. 6'!G65</f>
        <v>0</v>
      </c>
      <c r="I27" s="362">
        <f>+'[3]Balance Gral. Resol. 6'!G66</f>
        <v>1906615354</v>
      </c>
      <c r="J27" s="364">
        <f>SUM(C27:I27)</f>
        <v>27317806577</v>
      </c>
      <c r="K27" s="364" t="s">
        <v>634</v>
      </c>
    </row>
    <row r="28" spans="2:11" ht="15.75" thickBot="1">
      <c r="B28" s="361" t="s">
        <v>834</v>
      </c>
      <c r="C28" s="365">
        <f>+C11</f>
        <v>960000091</v>
      </c>
      <c r="D28" s="365">
        <f t="shared" ref="D28:I28" si="2">+D11</f>
        <v>18400000001</v>
      </c>
      <c r="E28" s="365">
        <f t="shared" si="2"/>
        <v>1122244552</v>
      </c>
      <c r="F28" s="365">
        <f>+F11</f>
        <v>435673535</v>
      </c>
      <c r="G28" s="365">
        <f t="shared" si="2"/>
        <v>67449446</v>
      </c>
      <c r="H28" s="365">
        <f>+H11</f>
        <v>0</v>
      </c>
      <c r="I28" s="365">
        <f t="shared" si="2"/>
        <v>5385823689</v>
      </c>
      <c r="J28" s="365">
        <v>0</v>
      </c>
      <c r="K28" s="366">
        <f>SUM(C28:J28)</f>
        <v>26371191314</v>
      </c>
    </row>
    <row r="30" spans="2:11">
      <c r="J30" s="225">
        <f>+'[3]Balance Gral. Resol. 6'!G68-J27</f>
        <v>0</v>
      </c>
      <c r="K30" s="225"/>
    </row>
  </sheetData>
  <mergeCells count="4">
    <mergeCell ref="C7:D7"/>
    <mergeCell ref="E7:G7"/>
    <mergeCell ref="H7:I7"/>
    <mergeCell ref="J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B1:E61"/>
  <sheetViews>
    <sheetView showGridLines="0" topLeftCell="A10" zoomScale="143" workbookViewId="0">
      <selection activeCell="C11" sqref="C11"/>
    </sheetView>
  </sheetViews>
  <sheetFormatPr baseColWidth="10" defaultColWidth="11.42578125" defaultRowHeight="15"/>
  <cols>
    <col min="3" max="3" width="74.42578125" customWidth="1"/>
  </cols>
  <sheetData>
    <row r="1" spans="2:5">
      <c r="C1" s="367" t="s">
        <v>641</v>
      </c>
    </row>
    <row r="2" spans="2:5">
      <c r="B2" s="367"/>
      <c r="C2" s="78"/>
    </row>
    <row r="3" spans="2:5">
      <c r="B3" s="78"/>
      <c r="C3" s="78" t="s">
        <v>642</v>
      </c>
      <c r="D3" s="78"/>
      <c r="E3" s="78"/>
    </row>
    <row r="4" spans="2:5">
      <c r="B4" s="78"/>
      <c r="C4" s="78"/>
    </row>
    <row r="5" spans="2:5" ht="51">
      <c r="B5" s="78"/>
      <c r="C5" s="79" t="s">
        <v>826</v>
      </c>
    </row>
    <row r="6" spans="2:5">
      <c r="B6" s="79"/>
      <c r="C6" s="79"/>
    </row>
    <row r="7" spans="2:5">
      <c r="B7" s="79"/>
      <c r="C7" s="78" t="s">
        <v>643</v>
      </c>
      <c r="D7" s="78"/>
      <c r="E7" s="78"/>
    </row>
    <row r="8" spans="2:5">
      <c r="B8" s="78"/>
      <c r="C8" s="79"/>
    </row>
    <row r="9" spans="2:5">
      <c r="B9" s="79"/>
      <c r="C9" s="81" t="s">
        <v>644</v>
      </c>
    </row>
    <row r="10" spans="2:5">
      <c r="B10" s="81"/>
      <c r="C10" s="81"/>
    </row>
    <row r="11" spans="2:5" ht="76.5">
      <c r="B11" s="81"/>
      <c r="C11" s="81" t="s">
        <v>645</v>
      </c>
    </row>
    <row r="12" spans="2:5">
      <c r="B12" s="81"/>
      <c r="C12" s="79"/>
    </row>
    <row r="13" spans="2:5" ht="38.25">
      <c r="B13" s="79"/>
      <c r="C13" s="79" t="s">
        <v>646</v>
      </c>
    </row>
    <row r="14" spans="2:5">
      <c r="B14" s="79"/>
      <c r="C14" s="79"/>
    </row>
    <row r="15" spans="2:5">
      <c r="B15" s="79"/>
      <c r="C15" s="79" t="s">
        <v>647</v>
      </c>
      <c r="E15" s="79"/>
    </row>
    <row r="16" spans="2:5" ht="25.5">
      <c r="C16" s="79" t="s">
        <v>648</v>
      </c>
    </row>
    <row r="17" spans="2:3" ht="25.5">
      <c r="B17" s="79"/>
      <c r="C17" s="79" t="s">
        <v>649</v>
      </c>
    </row>
    <row r="18" spans="2:3" ht="25.5">
      <c r="B18" s="79"/>
      <c r="C18" s="79" t="s">
        <v>650</v>
      </c>
    </row>
    <row r="19" spans="2:3" ht="25.5">
      <c r="B19" s="79"/>
      <c r="C19" s="79" t="s">
        <v>651</v>
      </c>
    </row>
    <row r="20" spans="2:3">
      <c r="B20" s="79"/>
      <c r="C20" s="79" t="s">
        <v>652</v>
      </c>
    </row>
    <row r="21" spans="2:3">
      <c r="B21" s="79"/>
      <c r="C21" s="79" t="s">
        <v>653</v>
      </c>
    </row>
    <row r="22" spans="2:3" ht="38.25">
      <c r="B22" s="79"/>
      <c r="C22" s="79" t="s">
        <v>654</v>
      </c>
    </row>
    <row r="23" spans="2:3" ht="38.25">
      <c r="B23" s="79"/>
      <c r="C23" s="79" t="s">
        <v>655</v>
      </c>
    </row>
    <row r="24" spans="2:3" ht="25.5">
      <c r="B24" s="79"/>
      <c r="C24" s="79" t="s">
        <v>656</v>
      </c>
    </row>
    <row r="25" spans="2:3" ht="38.25">
      <c r="B25" s="79"/>
      <c r="C25" s="79" t="s">
        <v>657</v>
      </c>
    </row>
    <row r="26" spans="2:3">
      <c r="B26" s="79"/>
      <c r="C26" s="81"/>
    </row>
    <row r="27" spans="2:3">
      <c r="B27" s="81"/>
      <c r="C27" s="81" t="s">
        <v>658</v>
      </c>
    </row>
    <row r="28" spans="2:3">
      <c r="B28" s="81"/>
      <c r="C28" s="368"/>
    </row>
    <row r="29" spans="2:3" ht="38.25">
      <c r="B29" s="368"/>
      <c r="C29" s="79" t="s">
        <v>659</v>
      </c>
    </row>
    <row r="30" spans="2:3">
      <c r="B30" s="79"/>
      <c r="C30" s="79"/>
    </row>
    <row r="31" spans="2:3" ht="38.25">
      <c r="B31" s="79"/>
      <c r="C31" s="79" t="s">
        <v>660</v>
      </c>
    </row>
    <row r="32" spans="2:3">
      <c r="B32" s="79"/>
      <c r="C32" s="79"/>
    </row>
    <row r="33" spans="2:5" ht="38.25">
      <c r="B33" s="79"/>
      <c r="C33" s="79" t="s">
        <v>661</v>
      </c>
    </row>
    <row r="34" spans="2:5">
      <c r="B34" s="79"/>
      <c r="C34" s="79"/>
    </row>
    <row r="35" spans="2:5">
      <c r="B35" s="79"/>
      <c r="C35" s="79"/>
    </row>
    <row r="36" spans="2:5">
      <c r="B36" s="79"/>
      <c r="C36" s="79"/>
    </row>
    <row r="37" spans="2:5">
      <c r="B37" s="79"/>
      <c r="C37" s="79"/>
    </row>
    <row r="38" spans="2:5">
      <c r="B38" s="79"/>
      <c r="C38" s="78" t="s">
        <v>662</v>
      </c>
      <c r="D38" s="78"/>
      <c r="E38" s="78"/>
    </row>
    <row r="39" spans="2:5">
      <c r="B39" s="78"/>
      <c r="C39" s="79"/>
    </row>
    <row r="40" spans="2:5">
      <c r="B40" s="79"/>
      <c r="C40" s="81" t="s">
        <v>663</v>
      </c>
    </row>
    <row r="41" spans="2:5" ht="25.5">
      <c r="B41" s="81"/>
      <c r="C41" s="79" t="s">
        <v>664</v>
      </c>
    </row>
    <row r="42" spans="2:5">
      <c r="B42" s="79"/>
      <c r="C42" s="79"/>
    </row>
    <row r="43" spans="2:5">
      <c r="B43" s="79"/>
      <c r="C43" s="81" t="s">
        <v>665</v>
      </c>
    </row>
    <row r="44" spans="2:5" ht="38.25">
      <c r="B44" s="81"/>
      <c r="C44" s="79" t="s">
        <v>666</v>
      </c>
    </row>
    <row r="45" spans="2:5">
      <c r="B45" s="79"/>
      <c r="C45" s="79"/>
    </row>
    <row r="46" spans="2:5">
      <c r="B46" s="79"/>
      <c r="C46" s="81" t="s">
        <v>667</v>
      </c>
    </row>
    <row r="47" spans="2:5">
      <c r="B47" s="81"/>
      <c r="C47" s="79" t="s">
        <v>668</v>
      </c>
    </row>
    <row r="48" spans="2:5">
      <c r="B48" s="79"/>
      <c r="C48" s="81"/>
    </row>
    <row r="49" spans="2:5">
      <c r="B49" s="81"/>
      <c r="C49" s="81" t="s">
        <v>669</v>
      </c>
    </row>
    <row r="50" spans="2:5" ht="25.5">
      <c r="B50" s="81"/>
      <c r="C50" s="79" t="s">
        <v>670</v>
      </c>
    </row>
    <row r="51" spans="2:5" ht="25.5">
      <c r="B51" s="79"/>
      <c r="C51" s="79" t="s">
        <v>671</v>
      </c>
    </row>
    <row r="52" spans="2:5">
      <c r="B52" s="79"/>
      <c r="C52" s="79"/>
    </row>
    <row r="53" spans="2:5">
      <c r="B53" s="79"/>
      <c r="C53" s="81" t="s">
        <v>672</v>
      </c>
    </row>
    <row r="54" spans="2:5" ht="38.25">
      <c r="B54" s="81"/>
      <c r="C54" s="79" t="s">
        <v>673</v>
      </c>
    </row>
    <row r="55" spans="2:5">
      <c r="B55" s="79"/>
      <c r="C55" s="79"/>
    </row>
    <row r="56" spans="2:5">
      <c r="B56" s="79"/>
      <c r="C56" s="81" t="s">
        <v>674</v>
      </c>
    </row>
    <row r="57" spans="2:5" ht="38.25">
      <c r="B57" s="81"/>
      <c r="C57" s="79" t="s">
        <v>675</v>
      </c>
    </row>
    <row r="58" spans="2:5">
      <c r="B58" s="79"/>
      <c r="C58" s="82"/>
    </row>
    <row r="59" spans="2:5">
      <c r="B59" s="82"/>
      <c r="C59" s="82" t="s">
        <v>676</v>
      </c>
      <c r="D59" s="82"/>
      <c r="E59" s="82"/>
    </row>
    <row r="60" spans="2:5">
      <c r="B60" s="82"/>
      <c r="C60" s="83" t="s">
        <v>677</v>
      </c>
    </row>
    <row r="61" spans="2:5">
      <c r="B61" s="83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C1:J95"/>
  <sheetViews>
    <sheetView showGridLines="0" zoomScale="87" zoomScaleNormal="87" workbookViewId="0">
      <selection activeCell="D90" sqref="D90"/>
    </sheetView>
  </sheetViews>
  <sheetFormatPr baseColWidth="10" defaultRowHeight="15"/>
  <cols>
    <col min="3" max="3" width="50.7109375" customWidth="1"/>
    <col min="4" max="4" width="12.42578125" bestFit="1" customWidth="1"/>
    <col min="5" max="5" width="17" customWidth="1"/>
    <col min="7" max="7" width="15.140625" bestFit="1" customWidth="1"/>
    <col min="8" max="8" width="12.85546875" bestFit="1" customWidth="1"/>
    <col min="10" max="10" width="12.7109375" bestFit="1" customWidth="1"/>
  </cols>
  <sheetData>
    <row r="1" spans="3:5">
      <c r="C1" s="272" t="s">
        <v>501</v>
      </c>
    </row>
    <row r="3" spans="3:5">
      <c r="C3" s="82" t="s">
        <v>678</v>
      </c>
      <c r="D3" s="82"/>
    </row>
    <row r="4" spans="3:5" ht="18.75" customHeight="1">
      <c r="C4" s="369" t="s">
        <v>679</v>
      </c>
    </row>
    <row r="5" spans="3:5">
      <c r="C5" s="370"/>
    </row>
    <row r="6" spans="3:5">
      <c r="C6" s="371" t="s">
        <v>680</v>
      </c>
      <c r="D6" s="399">
        <v>43921</v>
      </c>
      <c r="E6" s="399">
        <v>43646</v>
      </c>
    </row>
    <row r="7" spans="3:5">
      <c r="C7" s="372" t="s">
        <v>681</v>
      </c>
      <c r="D7" s="373">
        <v>6554.28</v>
      </c>
      <c r="E7" s="373">
        <v>6183.21</v>
      </c>
    </row>
    <row r="8" spans="3:5">
      <c r="C8" s="182" t="s">
        <v>682</v>
      </c>
      <c r="D8" s="373">
        <v>6571.73</v>
      </c>
      <c r="E8" s="373">
        <v>6197.68</v>
      </c>
    </row>
    <row r="9" spans="3:5">
      <c r="C9" s="84"/>
    </row>
    <row r="15" spans="3:5">
      <c r="C15" s="81" t="s">
        <v>683</v>
      </c>
    </row>
    <row r="16" spans="3:5">
      <c r="C16" s="81"/>
    </row>
    <row r="17" spans="3:10">
      <c r="C17" s="374" t="s">
        <v>684</v>
      </c>
    </row>
    <row r="20" spans="3:10" ht="60">
      <c r="C20" s="85" t="s">
        <v>685</v>
      </c>
      <c r="D20" s="375" t="s">
        <v>686</v>
      </c>
      <c r="E20" s="375" t="s">
        <v>687</v>
      </c>
      <c r="F20" s="375" t="s">
        <v>737</v>
      </c>
      <c r="G20" s="375" t="s">
        <v>686</v>
      </c>
      <c r="H20" s="375" t="s">
        <v>687</v>
      </c>
      <c r="I20" s="375" t="s">
        <v>736</v>
      </c>
    </row>
    <row r="21" spans="3:10">
      <c r="C21" s="376" t="s">
        <v>3</v>
      </c>
      <c r="D21" s="377"/>
      <c r="E21" s="377"/>
      <c r="F21" s="377"/>
      <c r="G21" s="377"/>
      <c r="H21" s="377"/>
      <c r="I21" s="377"/>
    </row>
    <row r="22" spans="3:10">
      <c r="C22" s="376" t="s">
        <v>688</v>
      </c>
      <c r="D22" s="377"/>
      <c r="E22" s="377"/>
      <c r="F22" s="377"/>
      <c r="G22" s="377"/>
      <c r="H22" s="377"/>
      <c r="I22" s="377"/>
    </row>
    <row r="23" spans="3:10">
      <c r="C23" s="376" t="s">
        <v>689</v>
      </c>
      <c r="D23" s="377"/>
      <c r="E23" s="378"/>
      <c r="F23" s="377"/>
      <c r="G23" s="377"/>
      <c r="H23" s="378"/>
      <c r="I23" s="377"/>
      <c r="J23" s="203"/>
    </row>
    <row r="24" spans="3:10">
      <c r="C24" s="377" t="s">
        <v>11</v>
      </c>
      <c r="D24" s="379" t="s">
        <v>690</v>
      </c>
      <c r="E24" s="400">
        <v>0</v>
      </c>
      <c r="F24" s="380">
        <v>6554.28</v>
      </c>
      <c r="G24" s="379" t="s">
        <v>690</v>
      </c>
      <c r="H24" s="400">
        <v>0</v>
      </c>
      <c r="I24" s="380">
        <v>6183.21</v>
      </c>
    </row>
    <row r="25" spans="3:10">
      <c r="C25" s="377" t="s">
        <v>16</v>
      </c>
      <c r="D25" s="379" t="s">
        <v>690</v>
      </c>
      <c r="E25" s="400">
        <f>837246351/F25</f>
        <v>127740.40031857046</v>
      </c>
      <c r="F25" s="380">
        <v>6554.28</v>
      </c>
      <c r="G25" s="379" t="s">
        <v>690</v>
      </c>
      <c r="H25" s="400">
        <v>190506.78983893478</v>
      </c>
      <c r="I25" s="380">
        <v>6183.21</v>
      </c>
    </row>
    <row r="26" spans="3:10">
      <c r="C26" s="376" t="s">
        <v>77</v>
      </c>
      <c r="D26" s="377"/>
      <c r="E26" s="400"/>
      <c r="F26" s="381"/>
      <c r="G26" s="377"/>
      <c r="H26" s="400"/>
      <c r="I26" s="377"/>
    </row>
    <row r="27" spans="3:10">
      <c r="C27" s="377" t="s">
        <v>33</v>
      </c>
      <c r="D27" s="379" t="s">
        <v>690</v>
      </c>
      <c r="E27" s="400">
        <v>79948.25</v>
      </c>
      <c r="F27" s="380">
        <v>6554.28</v>
      </c>
      <c r="G27" s="379" t="s">
        <v>690</v>
      </c>
      <c r="H27" s="400">
        <v>80810.09</v>
      </c>
      <c r="I27" s="380">
        <v>6183.21</v>
      </c>
    </row>
    <row r="28" spans="3:10">
      <c r="C28" s="377" t="s">
        <v>691</v>
      </c>
      <c r="D28" s="379" t="s">
        <v>690</v>
      </c>
      <c r="E28" s="400">
        <v>0</v>
      </c>
      <c r="F28" s="380">
        <v>6554.28</v>
      </c>
      <c r="G28" s="379" t="s">
        <v>690</v>
      </c>
      <c r="H28" s="400">
        <v>0</v>
      </c>
      <c r="I28" s="380">
        <v>6183.21</v>
      </c>
    </row>
    <row r="29" spans="3:10">
      <c r="C29" s="377" t="s">
        <v>692</v>
      </c>
      <c r="D29" s="379" t="s">
        <v>690</v>
      </c>
      <c r="E29" s="400">
        <v>0</v>
      </c>
      <c r="F29" s="380">
        <v>6554.28</v>
      </c>
      <c r="G29" s="379" t="s">
        <v>690</v>
      </c>
      <c r="H29" s="400">
        <v>0</v>
      </c>
      <c r="I29" s="380">
        <v>6183.21</v>
      </c>
    </row>
    <row r="30" spans="3:10">
      <c r="C30" s="377" t="s">
        <v>693</v>
      </c>
      <c r="D30" s="379" t="s">
        <v>690</v>
      </c>
      <c r="E30" s="400">
        <v>0</v>
      </c>
      <c r="F30" s="380">
        <v>6554.28</v>
      </c>
      <c r="G30" s="379" t="s">
        <v>690</v>
      </c>
      <c r="H30" s="400">
        <v>0</v>
      </c>
      <c r="I30" s="380">
        <v>6183.21</v>
      </c>
    </row>
    <row r="31" spans="3:10">
      <c r="C31" s="377" t="s">
        <v>694</v>
      </c>
      <c r="D31" s="379" t="s">
        <v>690</v>
      </c>
      <c r="E31" s="400">
        <v>0</v>
      </c>
      <c r="F31" s="380">
        <v>6554.28</v>
      </c>
      <c r="G31" s="379" t="s">
        <v>690</v>
      </c>
      <c r="H31" s="400">
        <v>0</v>
      </c>
      <c r="I31" s="380">
        <v>6183.21</v>
      </c>
    </row>
    <row r="32" spans="3:10">
      <c r="C32" s="376" t="s">
        <v>695</v>
      </c>
      <c r="D32" s="377"/>
      <c r="E32" s="400"/>
      <c r="F32" s="381"/>
      <c r="G32" s="377"/>
      <c r="H32" s="400"/>
      <c r="I32" s="377"/>
    </row>
    <row r="33" spans="3:9">
      <c r="C33" s="377" t="s">
        <v>237</v>
      </c>
      <c r="D33" s="379" t="s">
        <v>690</v>
      </c>
      <c r="E33" s="400">
        <v>0</v>
      </c>
      <c r="F33" s="380">
        <v>6554.28</v>
      </c>
      <c r="G33" s="379" t="s">
        <v>690</v>
      </c>
      <c r="H33" s="400">
        <v>0</v>
      </c>
      <c r="I33" s="380">
        <v>6183.21</v>
      </c>
    </row>
    <row r="34" spans="3:9">
      <c r="C34" s="377" t="s">
        <v>696</v>
      </c>
      <c r="D34" s="379" t="s">
        <v>690</v>
      </c>
      <c r="E34" s="400">
        <v>0</v>
      </c>
      <c r="F34" s="380">
        <v>6554.28</v>
      </c>
      <c r="G34" s="379" t="s">
        <v>690</v>
      </c>
      <c r="H34" s="400">
        <v>0</v>
      </c>
      <c r="I34" s="380">
        <v>6183.21</v>
      </c>
    </row>
    <row r="35" spans="3:9">
      <c r="C35" s="376" t="s">
        <v>45</v>
      </c>
      <c r="D35" s="377"/>
      <c r="E35" s="400"/>
      <c r="F35" s="381"/>
      <c r="G35" s="377"/>
      <c r="H35" s="400"/>
      <c r="I35" s="377"/>
    </row>
    <row r="36" spans="3:9">
      <c r="C36" s="377" t="s">
        <v>238</v>
      </c>
      <c r="D36" s="379" t="s">
        <v>690</v>
      </c>
      <c r="E36" s="400">
        <v>0</v>
      </c>
      <c r="F36" s="380">
        <v>6554.28</v>
      </c>
      <c r="G36" s="379" t="s">
        <v>690</v>
      </c>
      <c r="H36" s="400">
        <v>0</v>
      </c>
      <c r="I36" s="380">
        <v>6183.21</v>
      </c>
    </row>
    <row r="37" spans="3:9">
      <c r="C37" s="377" t="s">
        <v>239</v>
      </c>
      <c r="D37" s="379" t="s">
        <v>690</v>
      </c>
      <c r="E37" s="400">
        <v>0</v>
      </c>
      <c r="F37" s="380">
        <v>6554.28</v>
      </c>
      <c r="G37" s="379" t="s">
        <v>690</v>
      </c>
      <c r="H37" s="400">
        <v>0</v>
      </c>
      <c r="I37" s="380">
        <v>6183.21</v>
      </c>
    </row>
    <row r="38" spans="3:9">
      <c r="C38" s="382" t="s">
        <v>62</v>
      </c>
      <c r="D38" s="379"/>
      <c r="E38" s="400"/>
      <c r="F38" s="380"/>
      <c r="G38" s="379"/>
      <c r="H38" s="400"/>
      <c r="I38" s="380"/>
    </row>
    <row r="39" spans="3:9">
      <c r="C39" s="383" t="s">
        <v>77</v>
      </c>
      <c r="D39" s="384"/>
      <c r="E39" s="400"/>
      <c r="F39" s="381"/>
      <c r="G39" s="384"/>
      <c r="H39" s="400"/>
      <c r="I39" s="384"/>
    </row>
    <row r="40" spans="3:9">
      <c r="C40" s="384" t="s">
        <v>240</v>
      </c>
      <c r="D40" s="385" t="s">
        <v>690</v>
      </c>
      <c r="E40" s="400">
        <v>0</v>
      </c>
      <c r="F40" s="380">
        <v>6554.28</v>
      </c>
      <c r="G40" s="385" t="s">
        <v>690</v>
      </c>
      <c r="H40" s="400">
        <v>0</v>
      </c>
      <c r="I40" s="380">
        <v>6183.21</v>
      </c>
    </row>
    <row r="41" spans="3:9">
      <c r="C41" s="383" t="s">
        <v>697</v>
      </c>
      <c r="D41" s="384"/>
      <c r="E41" s="400"/>
      <c r="F41" s="381"/>
      <c r="G41" s="384"/>
      <c r="H41" s="400"/>
      <c r="I41" s="384"/>
    </row>
    <row r="42" spans="3:9">
      <c r="C42" s="384" t="s">
        <v>698</v>
      </c>
      <c r="D42" s="385" t="s">
        <v>690</v>
      </c>
      <c r="E42" s="400">
        <v>0</v>
      </c>
      <c r="F42" s="380">
        <v>6554.28</v>
      </c>
      <c r="G42" s="385" t="s">
        <v>690</v>
      </c>
      <c r="H42" s="400">
        <v>0</v>
      </c>
      <c r="I42" s="380">
        <v>6183.21</v>
      </c>
    </row>
    <row r="43" spans="3:9">
      <c r="C43" s="384" t="s">
        <v>699</v>
      </c>
      <c r="D43" s="385" t="s">
        <v>690</v>
      </c>
      <c r="E43" s="400">
        <v>0</v>
      </c>
      <c r="F43" s="380">
        <v>6554.28</v>
      </c>
      <c r="G43" s="385" t="s">
        <v>690</v>
      </c>
      <c r="H43" s="400">
        <v>19000</v>
      </c>
      <c r="I43" s="380">
        <v>6183.21</v>
      </c>
    </row>
    <row r="44" spans="3:9">
      <c r="C44" s="384" t="s">
        <v>700</v>
      </c>
      <c r="D44" s="385" t="s">
        <v>690</v>
      </c>
      <c r="E44" s="400">
        <v>0</v>
      </c>
      <c r="F44" s="380">
        <v>6554.28</v>
      </c>
      <c r="G44" s="385" t="s">
        <v>690</v>
      </c>
      <c r="H44" s="400">
        <v>0</v>
      </c>
      <c r="I44" s="380">
        <v>6183.21</v>
      </c>
    </row>
    <row r="45" spans="3:9">
      <c r="C45" s="383" t="s">
        <v>701</v>
      </c>
      <c r="D45" s="384"/>
      <c r="E45" s="400"/>
      <c r="F45" s="381"/>
      <c r="G45" s="384"/>
      <c r="H45" s="400"/>
      <c r="I45" s="381"/>
    </row>
    <row r="46" spans="3:9">
      <c r="C46" s="384" t="s">
        <v>702</v>
      </c>
      <c r="D46" s="385" t="s">
        <v>690</v>
      </c>
      <c r="E46" s="400">
        <v>0</v>
      </c>
      <c r="F46" s="380">
        <v>6554.28</v>
      </c>
      <c r="G46" s="385" t="s">
        <v>690</v>
      </c>
      <c r="H46" s="400"/>
      <c r="I46" s="380">
        <v>6183.21</v>
      </c>
    </row>
    <row r="47" spans="3:9">
      <c r="C47" s="384" t="s">
        <v>703</v>
      </c>
      <c r="D47" s="385" t="s">
        <v>690</v>
      </c>
      <c r="E47" s="400">
        <v>0</v>
      </c>
      <c r="F47" s="380">
        <v>6554.28</v>
      </c>
      <c r="G47" s="385" t="s">
        <v>690</v>
      </c>
      <c r="H47" s="400"/>
      <c r="I47" s="380">
        <v>6183.21</v>
      </c>
    </row>
    <row r="48" spans="3:9">
      <c r="C48" s="383" t="s">
        <v>704</v>
      </c>
      <c r="D48" s="384"/>
      <c r="E48" s="400"/>
      <c r="F48" s="381"/>
      <c r="G48" s="384"/>
      <c r="H48" s="400"/>
      <c r="I48" s="381"/>
    </row>
    <row r="49" spans="3:9">
      <c r="C49" s="384" t="s">
        <v>102</v>
      </c>
      <c r="D49" s="385" t="s">
        <v>690</v>
      </c>
      <c r="E49" s="400">
        <v>0</v>
      </c>
      <c r="F49" s="380">
        <v>6554.28</v>
      </c>
      <c r="G49" s="385" t="s">
        <v>690</v>
      </c>
      <c r="H49" s="400">
        <v>0</v>
      </c>
      <c r="I49" s="380">
        <v>6183.21</v>
      </c>
    </row>
    <row r="50" spans="3:9">
      <c r="C50" s="384" t="s">
        <v>103</v>
      </c>
      <c r="D50" s="385" t="s">
        <v>690</v>
      </c>
      <c r="E50" s="400">
        <v>0</v>
      </c>
      <c r="F50" s="380">
        <v>6554.28</v>
      </c>
      <c r="G50" s="385" t="s">
        <v>690</v>
      </c>
      <c r="H50" s="400">
        <v>0</v>
      </c>
      <c r="I50" s="380">
        <v>6183.21</v>
      </c>
    </row>
    <row r="51" spans="3:9">
      <c r="C51" s="384" t="s">
        <v>106</v>
      </c>
      <c r="D51" s="385" t="s">
        <v>690</v>
      </c>
      <c r="E51" s="400">
        <v>0</v>
      </c>
      <c r="F51" s="380">
        <v>6554.28</v>
      </c>
      <c r="G51" s="385" t="s">
        <v>690</v>
      </c>
      <c r="H51" s="400">
        <v>0</v>
      </c>
      <c r="I51" s="380">
        <v>6183.21</v>
      </c>
    </row>
    <row r="52" spans="3:9">
      <c r="C52" s="384" t="s">
        <v>705</v>
      </c>
      <c r="D52" s="385" t="s">
        <v>690</v>
      </c>
      <c r="E52" s="400">
        <v>0</v>
      </c>
      <c r="F52" s="380">
        <v>6554.28</v>
      </c>
      <c r="G52" s="385" t="s">
        <v>690</v>
      </c>
      <c r="H52" s="400">
        <v>0</v>
      </c>
      <c r="I52" s="380">
        <v>6183.21</v>
      </c>
    </row>
    <row r="53" spans="3:9">
      <c r="C53" s="384" t="s">
        <v>108</v>
      </c>
      <c r="D53" s="385" t="s">
        <v>690</v>
      </c>
      <c r="E53" s="400">
        <v>0</v>
      </c>
      <c r="F53" s="380">
        <v>6554.28</v>
      </c>
      <c r="G53" s="385" t="s">
        <v>690</v>
      </c>
      <c r="H53" s="400">
        <v>0</v>
      </c>
      <c r="I53" s="380">
        <v>6183.21</v>
      </c>
    </row>
    <row r="54" spans="3:9">
      <c r="C54" s="382" t="s">
        <v>45</v>
      </c>
      <c r="D54" s="386"/>
      <c r="E54" s="400"/>
      <c r="F54" s="387"/>
      <c r="G54" s="386"/>
      <c r="H54" s="400"/>
      <c r="I54" s="387"/>
    </row>
    <row r="55" spans="3:9">
      <c r="C55" s="384" t="s">
        <v>241</v>
      </c>
      <c r="D55" s="385" t="s">
        <v>690</v>
      </c>
      <c r="E55" s="400">
        <v>0</v>
      </c>
      <c r="F55" s="380">
        <v>6554.28</v>
      </c>
      <c r="G55" s="385" t="s">
        <v>690</v>
      </c>
      <c r="H55" s="400">
        <v>0</v>
      </c>
      <c r="I55" s="380">
        <v>6183.21</v>
      </c>
    </row>
    <row r="59" spans="3:9" ht="60">
      <c r="C59" s="85" t="s">
        <v>685</v>
      </c>
      <c r="D59" s="375" t="s">
        <v>686</v>
      </c>
      <c r="E59" s="375" t="s">
        <v>687</v>
      </c>
      <c r="F59" s="375" t="s">
        <v>737</v>
      </c>
      <c r="G59" s="375" t="s">
        <v>686</v>
      </c>
      <c r="H59" s="375" t="s">
        <v>687</v>
      </c>
      <c r="I59" s="375" t="s">
        <v>736</v>
      </c>
    </row>
    <row r="60" spans="3:9">
      <c r="C60" s="382" t="s">
        <v>4</v>
      </c>
      <c r="D60" s="386"/>
      <c r="E60" s="386"/>
      <c r="F60" s="386"/>
      <c r="G60" s="386"/>
      <c r="H60" s="386"/>
      <c r="I60" s="386"/>
    </row>
    <row r="61" spans="3:9">
      <c r="C61" s="382" t="s">
        <v>6</v>
      </c>
      <c r="D61" s="386"/>
      <c r="E61" s="386"/>
      <c r="F61" s="386"/>
      <c r="G61" s="386"/>
      <c r="H61" s="386"/>
      <c r="I61" s="386"/>
    </row>
    <row r="62" spans="3:9">
      <c r="C62" s="376" t="s">
        <v>706</v>
      </c>
      <c r="D62" s="377"/>
      <c r="E62" s="378"/>
      <c r="F62" s="388"/>
      <c r="G62" s="377"/>
      <c r="H62" s="378"/>
      <c r="I62" s="377"/>
    </row>
    <row r="63" spans="3:9">
      <c r="C63" s="377" t="s">
        <v>707</v>
      </c>
      <c r="D63" s="379" t="s">
        <v>690</v>
      </c>
      <c r="E63" s="400">
        <v>0</v>
      </c>
      <c r="F63" s="380">
        <v>6571.73</v>
      </c>
      <c r="G63" s="379" t="s">
        <v>690</v>
      </c>
      <c r="H63" s="400">
        <v>2442.92</v>
      </c>
      <c r="I63" s="380">
        <v>6197.68</v>
      </c>
    </row>
    <row r="64" spans="3:9">
      <c r="C64" s="377" t="s">
        <v>708</v>
      </c>
      <c r="D64" s="379" t="s">
        <v>690</v>
      </c>
      <c r="E64" s="400">
        <v>166739</v>
      </c>
      <c r="F64" s="380">
        <v>6571.73</v>
      </c>
      <c r="G64" s="379" t="s">
        <v>690</v>
      </c>
      <c r="H64" s="400">
        <v>86878.91</v>
      </c>
      <c r="I64" s="380">
        <v>6197.68</v>
      </c>
    </row>
    <row r="65" spans="3:9">
      <c r="C65" s="377" t="s">
        <v>709</v>
      </c>
      <c r="D65" s="379" t="s">
        <v>690</v>
      </c>
      <c r="E65" s="400">
        <v>0</v>
      </c>
      <c r="F65" s="380">
        <v>6571.73</v>
      </c>
      <c r="G65" s="379" t="s">
        <v>690</v>
      </c>
      <c r="H65" s="400">
        <v>0</v>
      </c>
      <c r="I65" s="380">
        <v>6197.68</v>
      </c>
    </row>
    <row r="66" spans="3:9">
      <c r="C66" s="377" t="s">
        <v>710</v>
      </c>
      <c r="D66" s="379" t="s">
        <v>690</v>
      </c>
      <c r="E66" s="400">
        <v>0</v>
      </c>
      <c r="F66" s="380">
        <v>6571.73</v>
      </c>
      <c r="G66" s="379" t="s">
        <v>690</v>
      </c>
      <c r="H66" s="400">
        <v>0</v>
      </c>
      <c r="I66" s="380">
        <v>6197.68</v>
      </c>
    </row>
    <row r="67" spans="3:9">
      <c r="C67" s="376" t="s">
        <v>65</v>
      </c>
      <c r="D67" s="377"/>
      <c r="E67" s="400"/>
      <c r="F67" s="388"/>
      <c r="G67" s="377"/>
      <c r="H67" s="400"/>
      <c r="I67" s="388"/>
    </row>
    <row r="68" spans="3:9">
      <c r="C68" s="377" t="s">
        <v>711</v>
      </c>
      <c r="D68" s="379" t="s">
        <v>690</v>
      </c>
      <c r="E68" s="400">
        <v>0</v>
      </c>
      <c r="F68" s="380">
        <v>6571.73</v>
      </c>
      <c r="G68" s="379" t="s">
        <v>690</v>
      </c>
      <c r="H68" s="400">
        <v>0</v>
      </c>
      <c r="I68" s="380">
        <v>6197.68</v>
      </c>
    </row>
    <row r="69" spans="3:9">
      <c r="C69" s="377" t="s">
        <v>712</v>
      </c>
      <c r="D69" s="379" t="s">
        <v>690</v>
      </c>
      <c r="E69" s="400">
        <v>0</v>
      </c>
      <c r="F69" s="380">
        <v>6571.73</v>
      </c>
      <c r="G69" s="379" t="s">
        <v>690</v>
      </c>
      <c r="H69" s="400">
        <v>0</v>
      </c>
      <c r="I69" s="380">
        <v>6197.68</v>
      </c>
    </row>
    <row r="70" spans="3:9">
      <c r="C70" s="377" t="s">
        <v>24</v>
      </c>
      <c r="D70" s="379" t="s">
        <v>690</v>
      </c>
      <c r="E70" s="400">
        <v>0</v>
      </c>
      <c r="F70" s="380">
        <v>6571.73</v>
      </c>
      <c r="G70" s="379" t="s">
        <v>690</v>
      </c>
      <c r="H70" s="400">
        <v>0</v>
      </c>
      <c r="I70" s="380">
        <v>6197.68</v>
      </c>
    </row>
    <row r="71" spans="3:9">
      <c r="C71" s="376" t="s">
        <v>32</v>
      </c>
      <c r="D71" s="377"/>
      <c r="E71" s="400"/>
      <c r="F71" s="388"/>
      <c r="G71" s="377"/>
      <c r="H71" s="400"/>
      <c r="I71" s="388"/>
    </row>
    <row r="72" spans="3:9">
      <c r="C72" s="377" t="s">
        <v>242</v>
      </c>
      <c r="D72" s="379" t="s">
        <v>690</v>
      </c>
      <c r="E72" s="400">
        <v>0</v>
      </c>
      <c r="F72" s="380">
        <v>6571.73</v>
      </c>
      <c r="G72" s="379" t="s">
        <v>690</v>
      </c>
      <c r="H72" s="400">
        <v>0</v>
      </c>
      <c r="I72" s="380">
        <v>6197.68</v>
      </c>
    </row>
    <row r="73" spans="3:9">
      <c r="C73" s="377" t="s">
        <v>713</v>
      </c>
      <c r="D73" s="379" t="s">
        <v>690</v>
      </c>
      <c r="E73" s="400">
        <v>0</v>
      </c>
      <c r="F73" s="380">
        <v>6571.73</v>
      </c>
      <c r="G73" s="379" t="s">
        <v>690</v>
      </c>
      <c r="H73" s="400">
        <v>0</v>
      </c>
      <c r="I73" s="380">
        <v>6197.68</v>
      </c>
    </row>
    <row r="74" spans="3:9">
      <c r="C74" s="377" t="s">
        <v>40</v>
      </c>
      <c r="D74" s="379" t="s">
        <v>690</v>
      </c>
      <c r="E74" s="400">
        <v>0</v>
      </c>
      <c r="F74" s="380">
        <v>6571.73</v>
      </c>
      <c r="G74" s="379" t="s">
        <v>690</v>
      </c>
      <c r="H74" s="400">
        <v>0</v>
      </c>
      <c r="I74" s="380">
        <v>6197.68</v>
      </c>
    </row>
    <row r="75" spans="3:9">
      <c r="C75" s="377" t="s">
        <v>54</v>
      </c>
      <c r="D75" s="379" t="s">
        <v>690</v>
      </c>
      <c r="E75" s="400">
        <v>0</v>
      </c>
      <c r="F75" s="380">
        <v>6571.73</v>
      </c>
      <c r="G75" s="379" t="s">
        <v>690</v>
      </c>
      <c r="H75" s="400">
        <v>0</v>
      </c>
      <c r="I75" s="380">
        <v>6197.68</v>
      </c>
    </row>
    <row r="76" spans="3:9">
      <c r="C76" s="377" t="s">
        <v>714</v>
      </c>
      <c r="D76" s="379" t="s">
        <v>690</v>
      </c>
      <c r="E76" s="400">
        <v>0</v>
      </c>
      <c r="F76" s="388">
        <v>6571.73</v>
      </c>
      <c r="G76" s="379" t="s">
        <v>690</v>
      </c>
      <c r="H76" s="400">
        <v>0</v>
      </c>
      <c r="I76" s="388">
        <v>6197.68</v>
      </c>
    </row>
    <row r="77" spans="3:9">
      <c r="C77" s="382" t="s">
        <v>715</v>
      </c>
      <c r="D77" s="386"/>
      <c r="E77" s="400"/>
      <c r="F77" s="388"/>
      <c r="G77" s="386"/>
      <c r="H77" s="400"/>
      <c r="I77" s="388"/>
    </row>
    <row r="78" spans="3:9">
      <c r="C78" s="376" t="s">
        <v>65</v>
      </c>
      <c r="D78" s="377"/>
      <c r="E78" s="400"/>
      <c r="F78" s="388"/>
      <c r="G78" s="377"/>
      <c r="H78" s="400"/>
      <c r="I78" s="388"/>
    </row>
    <row r="79" spans="3:9">
      <c r="C79" s="377" t="s">
        <v>711</v>
      </c>
      <c r="D79" s="379" t="s">
        <v>690</v>
      </c>
      <c r="E79" s="400">
        <v>0</v>
      </c>
      <c r="F79" s="380">
        <v>6571.73</v>
      </c>
      <c r="G79" s="379" t="s">
        <v>690</v>
      </c>
      <c r="H79" s="400">
        <v>0</v>
      </c>
      <c r="I79" s="380">
        <v>6197.68</v>
      </c>
    </row>
    <row r="80" spans="3:9">
      <c r="C80" s="377" t="s">
        <v>712</v>
      </c>
      <c r="D80" s="379" t="s">
        <v>690</v>
      </c>
      <c r="E80" s="400">
        <v>0</v>
      </c>
      <c r="F80" s="380">
        <v>6571.73</v>
      </c>
      <c r="G80" s="379" t="s">
        <v>690</v>
      </c>
      <c r="H80" s="400">
        <v>0</v>
      </c>
      <c r="I80" s="380">
        <v>6197.68</v>
      </c>
    </row>
    <row r="81" spans="3:9">
      <c r="C81" s="376" t="s">
        <v>46</v>
      </c>
      <c r="D81" s="377"/>
      <c r="E81" s="400"/>
      <c r="F81" s="388"/>
      <c r="G81" s="377"/>
      <c r="H81" s="400"/>
      <c r="I81" s="388"/>
    </row>
    <row r="82" spans="3:9">
      <c r="C82" s="377" t="s">
        <v>28</v>
      </c>
      <c r="D82" s="379" t="s">
        <v>690</v>
      </c>
      <c r="E82" s="400">
        <v>0</v>
      </c>
      <c r="F82" s="380">
        <v>6571.73</v>
      </c>
      <c r="G82" s="379" t="s">
        <v>690</v>
      </c>
      <c r="H82" s="400">
        <v>0</v>
      </c>
      <c r="I82" s="380">
        <v>6197.68</v>
      </c>
    </row>
    <row r="83" spans="3:9">
      <c r="C83" s="377" t="s">
        <v>716</v>
      </c>
      <c r="D83" s="379" t="s">
        <v>690</v>
      </c>
      <c r="E83" s="400">
        <v>0</v>
      </c>
      <c r="F83" s="380">
        <v>6571.73</v>
      </c>
      <c r="G83" s="379" t="s">
        <v>690</v>
      </c>
      <c r="H83" s="400">
        <v>0</v>
      </c>
      <c r="I83" s="380">
        <v>6197.68</v>
      </c>
    </row>
    <row r="84" spans="3:9">
      <c r="C84" s="377" t="s">
        <v>717</v>
      </c>
      <c r="D84" s="379" t="s">
        <v>690</v>
      </c>
      <c r="E84" s="400">
        <v>0</v>
      </c>
      <c r="F84" s="380">
        <v>6571.73</v>
      </c>
      <c r="G84" s="379" t="s">
        <v>690</v>
      </c>
      <c r="H84" s="400">
        <v>0</v>
      </c>
      <c r="I84" s="380">
        <v>0</v>
      </c>
    </row>
    <row r="87" spans="3:9">
      <c r="C87" s="369" t="s">
        <v>718</v>
      </c>
    </row>
    <row r="89" spans="3:9">
      <c r="C89" s="88"/>
      <c r="D89" s="442">
        <v>43921</v>
      </c>
      <c r="E89" s="443"/>
      <c r="F89" s="442">
        <v>43646</v>
      </c>
      <c r="G89" s="443"/>
    </row>
    <row r="90" spans="3:9" ht="51.75">
      <c r="C90" s="86" t="s">
        <v>243</v>
      </c>
      <c r="D90" s="389" t="s">
        <v>719</v>
      </c>
      <c r="E90" s="389" t="s">
        <v>720</v>
      </c>
      <c r="F90" s="389" t="s">
        <v>721</v>
      </c>
      <c r="G90" s="389" t="s">
        <v>722</v>
      </c>
    </row>
    <row r="91" spans="3:9" ht="25.5" customHeight="1">
      <c r="C91" s="390" t="s">
        <v>723</v>
      </c>
      <c r="D91" s="391">
        <f>+D7</f>
        <v>6554.28</v>
      </c>
      <c r="E91" s="268">
        <f>501083376+15757968</f>
        <v>516841344</v>
      </c>
      <c r="F91" s="392">
        <v>6183.21</v>
      </c>
      <c r="G91" s="268">
        <v>1657377309</v>
      </c>
    </row>
    <row r="92" spans="3:9" ht="25.5" customHeight="1">
      <c r="C92" s="390" t="s">
        <v>724</v>
      </c>
      <c r="D92" s="391">
        <f>+D8</f>
        <v>6571.73</v>
      </c>
      <c r="E92" s="268">
        <v>203725</v>
      </c>
      <c r="F92" s="392">
        <v>6197.68</v>
      </c>
      <c r="G92" s="268">
        <v>129829906</v>
      </c>
    </row>
    <row r="93" spans="3:9" ht="25.5" customHeight="1">
      <c r="C93" s="390" t="s">
        <v>725</v>
      </c>
      <c r="D93" s="391">
        <f>+D91</f>
        <v>6554.28</v>
      </c>
      <c r="E93" s="268">
        <v>334213015</v>
      </c>
      <c r="F93" s="392">
        <v>6183.21</v>
      </c>
      <c r="G93" s="268">
        <v>123996218</v>
      </c>
    </row>
    <row r="94" spans="3:9" ht="25.5" customHeight="1">
      <c r="C94" s="390" t="s">
        <v>726</v>
      </c>
      <c r="D94" s="391">
        <f>+D92</f>
        <v>6571.73</v>
      </c>
      <c r="E94" s="268">
        <v>0</v>
      </c>
      <c r="F94" s="392">
        <v>6197.68</v>
      </c>
      <c r="G94" s="268">
        <v>5354651</v>
      </c>
    </row>
    <row r="95" spans="3:9">
      <c r="C95" s="88" t="s">
        <v>727</v>
      </c>
      <c r="D95" s="89"/>
      <c r="E95" s="89">
        <f>+E91+E92-E93-E94</f>
        <v>182832054</v>
      </c>
      <c r="F95" s="89"/>
      <c r="G95" s="89">
        <f>+G91+G92-G93-G94</f>
        <v>1657856346</v>
      </c>
    </row>
  </sheetData>
  <mergeCells count="2">
    <mergeCell ref="D89:E89"/>
    <mergeCell ref="F89:G89"/>
  </mergeCells>
  <hyperlinks>
    <hyperlink ref="C1" location="'Estado de Resultado Resol. 1'!A1" display="Balance Gral. Resol. 1'!A1" xr:uid="{00000000-0004-0000-06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B1:F105"/>
  <sheetViews>
    <sheetView showGridLines="0" zoomScale="125" workbookViewId="0">
      <selection activeCell="B28" sqref="B28:D55"/>
    </sheetView>
  </sheetViews>
  <sheetFormatPr baseColWidth="10" defaultRowHeight="15"/>
  <cols>
    <col min="2" max="2" width="58.28515625" bestFit="1" customWidth="1"/>
    <col min="3" max="3" width="14.7109375" bestFit="1" customWidth="1"/>
    <col min="4" max="4" width="14.140625" bestFit="1" customWidth="1"/>
    <col min="5" max="5" width="32.42578125" style="199" bestFit="1" customWidth="1"/>
    <col min="6" max="6" width="11.7109375" style="199" bestFit="1" customWidth="1"/>
  </cols>
  <sheetData>
    <row r="1" spans="2:6">
      <c r="B1" s="272" t="s">
        <v>501</v>
      </c>
    </row>
    <row r="4" spans="2:6">
      <c r="B4" s="81" t="s">
        <v>467</v>
      </c>
    </row>
    <row r="5" spans="2:6" ht="25.5">
      <c r="B5" s="79" t="s">
        <v>738</v>
      </c>
    </row>
    <row r="8" spans="2:6" s="212" customFormat="1" ht="12.75">
      <c r="B8" s="427" t="s">
        <v>244</v>
      </c>
      <c r="C8" s="286">
        <v>43921</v>
      </c>
      <c r="D8" s="90">
        <v>43646</v>
      </c>
    </row>
    <row r="9" spans="2:6" s="212" customFormat="1" ht="12.75">
      <c r="B9" s="88" t="s">
        <v>245</v>
      </c>
      <c r="C9" s="429"/>
      <c r="D9" s="430"/>
    </row>
    <row r="10" spans="2:6" s="212" customFormat="1" ht="12.75">
      <c r="B10" s="262" t="s">
        <v>740</v>
      </c>
      <c r="C10" s="260">
        <v>313531905</v>
      </c>
      <c r="D10" s="260">
        <v>24942063</v>
      </c>
    </row>
    <row r="11" spans="2:6" s="212" customFormat="1" ht="12.75">
      <c r="B11" s="262" t="s">
        <v>741</v>
      </c>
      <c r="C11" s="260">
        <v>0</v>
      </c>
      <c r="D11" s="260">
        <v>259630816</v>
      </c>
    </row>
    <row r="12" spans="2:6" s="212" customFormat="1" ht="12.75">
      <c r="B12" s="401" t="s">
        <v>742</v>
      </c>
      <c r="C12" s="260">
        <v>0</v>
      </c>
      <c r="D12" s="260">
        <v>42228186</v>
      </c>
    </row>
    <row r="13" spans="2:6" s="212" customFormat="1" ht="12.75">
      <c r="B13" s="262" t="s">
        <v>743</v>
      </c>
      <c r="C13" s="260">
        <v>0</v>
      </c>
      <c r="D13" s="260">
        <v>0</v>
      </c>
    </row>
    <row r="14" spans="2:6" s="212" customFormat="1" ht="12.75">
      <c r="B14" s="262" t="s">
        <v>744</v>
      </c>
      <c r="C14" s="261">
        <v>347877209</v>
      </c>
      <c r="D14" s="261">
        <v>0</v>
      </c>
    </row>
    <row r="15" spans="2:6" s="212" customFormat="1" ht="12.75">
      <c r="B15" s="262" t="s">
        <v>745</v>
      </c>
      <c r="C15" s="261">
        <v>5000000</v>
      </c>
      <c r="D15" s="261">
        <v>3065000</v>
      </c>
      <c r="F15" s="431"/>
    </row>
    <row r="16" spans="2:6" s="212" customFormat="1" ht="12.75">
      <c r="B16" s="262" t="s">
        <v>746</v>
      </c>
      <c r="C16" s="261">
        <v>9201008</v>
      </c>
      <c r="D16" s="261">
        <v>198446</v>
      </c>
      <c r="E16" s="212" t="s">
        <v>775</v>
      </c>
    </row>
    <row r="17" spans="2:6" s="212" customFormat="1" ht="12.75">
      <c r="B17" s="262" t="s">
        <v>747</v>
      </c>
      <c r="C17" s="261">
        <v>503181</v>
      </c>
      <c r="D17" s="261">
        <v>202446</v>
      </c>
      <c r="F17" s="431"/>
    </row>
    <row r="18" spans="2:6" s="212" customFormat="1" ht="12.75">
      <c r="B18" s="262" t="s">
        <v>748</v>
      </c>
      <c r="C18" s="261">
        <v>50625161</v>
      </c>
      <c r="D18" s="261">
        <v>488749</v>
      </c>
      <c r="E18" s="212" t="s">
        <v>775</v>
      </c>
      <c r="F18" s="431"/>
    </row>
    <row r="19" spans="2:6" s="212" customFormat="1" ht="12.75">
      <c r="B19" s="262" t="s">
        <v>749</v>
      </c>
      <c r="C19" s="261">
        <v>39450</v>
      </c>
      <c r="D19" s="261">
        <v>3000000</v>
      </c>
      <c r="E19" s="212" t="s">
        <v>775</v>
      </c>
    </row>
    <row r="20" spans="2:6" s="212" customFormat="1" ht="12.75">
      <c r="B20" s="262" t="s">
        <v>750</v>
      </c>
      <c r="C20" s="261">
        <v>100000</v>
      </c>
      <c r="D20" s="261">
        <v>177812</v>
      </c>
      <c r="F20" s="431"/>
    </row>
    <row r="21" spans="2:6" s="212" customFormat="1" ht="12.75">
      <c r="B21" s="262" t="s">
        <v>751</v>
      </c>
      <c r="C21" s="261">
        <v>100000</v>
      </c>
      <c r="D21" s="261">
        <v>21000000</v>
      </c>
      <c r="E21" s="212" t="s">
        <v>775</v>
      </c>
    </row>
    <row r="22" spans="2:6" s="212" customFormat="1" ht="12.75">
      <c r="B22" s="262" t="s">
        <v>752</v>
      </c>
      <c r="C22" s="261">
        <v>4747877</v>
      </c>
      <c r="D22" s="261">
        <v>1000000</v>
      </c>
      <c r="F22" s="431"/>
    </row>
    <row r="23" spans="2:6" s="212" customFormat="1" ht="12.75">
      <c r="B23" s="262" t="s">
        <v>753</v>
      </c>
      <c r="C23" s="261">
        <v>3065000</v>
      </c>
      <c r="D23" s="261">
        <v>928385</v>
      </c>
      <c r="E23" s="212" t="s">
        <v>775</v>
      </c>
    </row>
    <row r="24" spans="2:6" s="212" customFormat="1" ht="12.75">
      <c r="B24" s="262" t="s">
        <v>754</v>
      </c>
      <c r="C24" s="261">
        <v>442927</v>
      </c>
      <c r="D24" s="261">
        <v>9864</v>
      </c>
      <c r="F24" s="431"/>
    </row>
    <row r="25" spans="2:6" s="212" customFormat="1" ht="12.75">
      <c r="B25" s="262" t="s">
        <v>755</v>
      </c>
      <c r="C25" s="431">
        <v>2310515</v>
      </c>
      <c r="D25" s="260">
        <v>4417724</v>
      </c>
      <c r="E25" s="212" t="s">
        <v>775</v>
      </c>
    </row>
    <row r="26" spans="2:6" s="212" customFormat="1" ht="12.75">
      <c r="B26" s="262" t="s">
        <v>756</v>
      </c>
      <c r="C26" s="261">
        <v>1129400</v>
      </c>
      <c r="D26" s="260">
        <v>40670863</v>
      </c>
      <c r="F26" s="431"/>
    </row>
    <row r="27" spans="2:6" s="212" customFormat="1" ht="12.75">
      <c r="B27" s="262" t="s">
        <v>814</v>
      </c>
      <c r="C27" s="261">
        <v>40000</v>
      </c>
      <c r="D27" s="260">
        <v>0</v>
      </c>
      <c r="F27" s="431"/>
    </row>
    <row r="28" spans="2:6" s="212" customFormat="1" ht="12.75">
      <c r="B28" s="262" t="s">
        <v>800</v>
      </c>
      <c r="C28" s="261">
        <v>6327576</v>
      </c>
      <c r="D28" s="260"/>
      <c r="F28" s="431"/>
    </row>
    <row r="29" spans="2:6" s="212" customFormat="1" ht="12.75">
      <c r="B29" s="262" t="s">
        <v>757</v>
      </c>
      <c r="C29" s="261">
        <v>-12504449</v>
      </c>
      <c r="D29" s="261">
        <v>0</v>
      </c>
      <c r="E29" s="212" t="s">
        <v>775</v>
      </c>
    </row>
    <row r="30" spans="2:6" s="212" customFormat="1" ht="12.75">
      <c r="B30" s="262" t="s">
        <v>758</v>
      </c>
      <c r="C30" s="261">
        <v>22244315</v>
      </c>
      <c r="D30" s="261">
        <v>0</v>
      </c>
      <c r="F30" s="431"/>
    </row>
    <row r="31" spans="2:6" s="212" customFormat="1" ht="12.75">
      <c r="B31" s="262" t="s">
        <v>759</v>
      </c>
      <c r="C31" s="261">
        <v>8887604</v>
      </c>
      <c r="D31" s="261">
        <v>5132064</v>
      </c>
      <c r="E31" s="212" t="s">
        <v>775</v>
      </c>
      <c r="F31" s="431"/>
    </row>
    <row r="32" spans="2:6" s="212" customFormat="1" ht="12.75">
      <c r="B32" s="262" t="s">
        <v>760</v>
      </c>
      <c r="C32" s="261">
        <v>314314102</v>
      </c>
      <c r="D32" s="261">
        <v>132345427</v>
      </c>
      <c r="F32" s="431"/>
    </row>
    <row r="33" spans="2:6" s="212" customFormat="1" ht="12.75">
      <c r="B33" s="262" t="s">
        <v>761</v>
      </c>
      <c r="C33" s="261">
        <v>52594689</v>
      </c>
      <c r="D33" s="261">
        <v>18141538</v>
      </c>
      <c r="E33" s="212" t="s">
        <v>775</v>
      </c>
      <c r="F33" s="431"/>
    </row>
    <row r="34" spans="2:6" s="212" customFormat="1" ht="12.75">
      <c r="B34" s="262" t="s">
        <v>762</v>
      </c>
      <c r="C34" s="261">
        <v>12870115</v>
      </c>
      <c r="D34" s="261">
        <v>26384746</v>
      </c>
      <c r="F34" s="431"/>
    </row>
    <row r="35" spans="2:6" s="212" customFormat="1" ht="12.75">
      <c r="B35" s="262" t="s">
        <v>763</v>
      </c>
      <c r="C35" s="261">
        <v>655428</v>
      </c>
      <c r="D35" s="261">
        <v>3091605</v>
      </c>
      <c r="E35" s="212" t="s">
        <v>775</v>
      </c>
      <c r="F35" s="431"/>
    </row>
    <row r="36" spans="2:6" s="212" customFormat="1" ht="12.75">
      <c r="B36" s="262" t="s">
        <v>764</v>
      </c>
      <c r="C36" s="261">
        <v>13580403</v>
      </c>
      <c r="D36" s="260">
        <v>632599763</v>
      </c>
      <c r="F36" s="431"/>
    </row>
    <row r="37" spans="2:6" s="212" customFormat="1" ht="12.75">
      <c r="B37" s="262" t="s">
        <v>765</v>
      </c>
      <c r="C37" s="261">
        <v>301497</v>
      </c>
      <c r="D37" s="260">
        <v>2114658</v>
      </c>
      <c r="E37" s="212" t="s">
        <v>775</v>
      </c>
      <c r="F37" s="431"/>
    </row>
    <row r="38" spans="2:6" s="212" customFormat="1" ht="12.75">
      <c r="B38" s="262" t="s">
        <v>766</v>
      </c>
      <c r="C38" s="261">
        <v>667619</v>
      </c>
      <c r="D38" s="261">
        <v>1727156</v>
      </c>
      <c r="F38" s="431"/>
    </row>
    <row r="39" spans="2:6" s="212" customFormat="1" ht="12.75">
      <c r="B39" s="262" t="s">
        <v>767</v>
      </c>
      <c r="C39" s="261">
        <v>153323617</v>
      </c>
      <c r="D39" s="261">
        <v>279440716</v>
      </c>
      <c r="E39" s="212" t="s">
        <v>775</v>
      </c>
      <c r="F39" s="431"/>
    </row>
    <row r="40" spans="2:6" s="212" customFormat="1" ht="12.75">
      <c r="B40" s="262" t="s">
        <v>768</v>
      </c>
      <c r="C40" s="261">
        <v>6989288</v>
      </c>
      <c r="D40" s="261">
        <v>76228900</v>
      </c>
      <c r="F40" s="431"/>
    </row>
    <row r="41" spans="2:6" s="212" customFormat="1" ht="12.75">
      <c r="B41" s="262" t="s">
        <v>769</v>
      </c>
      <c r="C41" s="261">
        <v>655428</v>
      </c>
      <c r="D41" s="261">
        <v>618321</v>
      </c>
      <c r="E41" s="212" t="s">
        <v>775</v>
      </c>
      <c r="F41" s="431"/>
    </row>
    <row r="42" spans="2:6" s="212" customFormat="1" ht="12.75">
      <c r="B42" s="262" t="s">
        <v>770</v>
      </c>
      <c r="C42" s="261">
        <v>34273969</v>
      </c>
      <c r="D42" s="260">
        <v>58555</v>
      </c>
      <c r="F42" s="431"/>
    </row>
    <row r="43" spans="2:6" s="212" customFormat="1" ht="12.75">
      <c r="B43" s="262" t="s">
        <v>771</v>
      </c>
      <c r="C43" s="261">
        <v>38543492</v>
      </c>
      <c r="D43" s="260">
        <v>60039</v>
      </c>
      <c r="E43" s="212" t="s">
        <v>775</v>
      </c>
      <c r="F43" s="431"/>
    </row>
    <row r="44" spans="2:6" s="212" customFormat="1" ht="12.75">
      <c r="B44" s="262" t="s">
        <v>772</v>
      </c>
      <c r="C44" s="261">
        <v>15371163</v>
      </c>
      <c r="D44" s="261">
        <v>0</v>
      </c>
      <c r="F44" s="431"/>
    </row>
    <row r="45" spans="2:6" s="212" customFormat="1" ht="12.75">
      <c r="B45" s="262" t="s">
        <v>813</v>
      </c>
      <c r="C45" s="261">
        <v>7299305</v>
      </c>
      <c r="D45" s="261">
        <v>0</v>
      </c>
      <c r="F45" s="431"/>
    </row>
    <row r="46" spans="2:6" s="212" customFormat="1" ht="12.75">
      <c r="B46" s="262" t="s">
        <v>801</v>
      </c>
      <c r="C46" s="261">
        <v>65845870</v>
      </c>
      <c r="D46" s="261">
        <v>0</v>
      </c>
      <c r="E46" s="212" t="s">
        <v>775</v>
      </c>
      <c r="F46" s="431"/>
    </row>
    <row r="47" spans="2:6" s="212" customFormat="1" ht="12.75">
      <c r="B47" s="262" t="s">
        <v>773</v>
      </c>
      <c r="C47" s="261">
        <v>43155805</v>
      </c>
      <c r="D47" s="261">
        <v>0</v>
      </c>
    </row>
    <row r="48" spans="2:6" s="212" customFormat="1" ht="12.75">
      <c r="B48" s="262" t="s">
        <v>802</v>
      </c>
      <c r="C48" s="261">
        <v>14444388</v>
      </c>
      <c r="D48" s="261">
        <v>0</v>
      </c>
      <c r="F48" s="431"/>
    </row>
    <row r="49" spans="2:6" s="212" customFormat="1" ht="12.75">
      <c r="B49" s="262" t="s">
        <v>803</v>
      </c>
      <c r="C49" s="261">
        <v>2002633614</v>
      </c>
      <c r="D49" s="261">
        <v>0</v>
      </c>
      <c r="F49" s="431"/>
    </row>
    <row r="50" spans="2:6" s="212" customFormat="1" ht="12.75">
      <c r="B50" s="262" t="s">
        <v>804</v>
      </c>
      <c r="C50" s="261">
        <v>12315170</v>
      </c>
      <c r="D50" s="261">
        <v>0</v>
      </c>
      <c r="F50" s="431"/>
    </row>
    <row r="51" spans="2:6" s="212" customFormat="1" ht="12.75">
      <c r="B51" s="262" t="s">
        <v>805</v>
      </c>
      <c r="C51" s="261">
        <v>1985771</v>
      </c>
      <c r="D51" s="261">
        <v>0</v>
      </c>
      <c r="F51" s="431"/>
    </row>
    <row r="52" spans="2:6" s="212" customFormat="1" ht="12.75">
      <c r="B52" s="262" t="s">
        <v>806</v>
      </c>
      <c r="C52" s="261">
        <v>5760014</v>
      </c>
      <c r="D52" s="261">
        <v>0</v>
      </c>
      <c r="F52" s="431"/>
    </row>
    <row r="53" spans="2:6" s="212" customFormat="1" ht="12.75">
      <c r="B53" s="262" t="s">
        <v>807</v>
      </c>
      <c r="C53" s="261">
        <v>51162054</v>
      </c>
      <c r="D53" s="261">
        <v>0</v>
      </c>
      <c r="F53" s="431"/>
    </row>
    <row r="54" spans="2:6" s="212" customFormat="1" ht="12.75">
      <c r="B54" s="262" t="s">
        <v>815</v>
      </c>
      <c r="C54" s="261">
        <f>58108914+912747722</f>
        <v>970856636</v>
      </c>
      <c r="D54" s="261">
        <v>0</v>
      </c>
      <c r="F54" s="431"/>
    </row>
    <row r="55" spans="2:6" s="212" customFormat="1" ht="12.75">
      <c r="B55" s="88" t="s">
        <v>246</v>
      </c>
      <c r="C55" s="208">
        <f>SUM(C10:C54)</f>
        <v>4583268116</v>
      </c>
      <c r="D55" s="89">
        <f>SUM(D10:D47)</f>
        <v>1579903842</v>
      </c>
      <c r="F55" s="431"/>
    </row>
    <row r="56" spans="2:6">
      <c r="C56" s="203">
        <f>+'Balance Gral. Resol. 6'!D11-'NOTA D - DISPONIBILIDADES'!C55+'Balance Gral. Resol. 6'!D10</f>
        <v>0</v>
      </c>
      <c r="D56" s="203">
        <f>+D55-'Balance Gral. Resol. 6'!E12</f>
        <v>0</v>
      </c>
      <c r="F56" s="423"/>
    </row>
    <row r="57" spans="2:6">
      <c r="F57" s="423"/>
    </row>
    <row r="58" spans="2:6">
      <c r="F58" s="423"/>
    </row>
    <row r="59" spans="2:6">
      <c r="F59" s="423"/>
    </row>
    <row r="60" spans="2:6">
      <c r="F60" s="423"/>
    </row>
    <row r="63" spans="2:6">
      <c r="E63" s="199" t="s">
        <v>775</v>
      </c>
      <c r="F63" s="423"/>
    </row>
    <row r="65" spans="6:6">
      <c r="F65" s="423"/>
    </row>
    <row r="66" spans="6:6">
      <c r="F66" s="423"/>
    </row>
    <row r="95" spans="5:6">
      <c r="E95" s="199" t="s">
        <v>775</v>
      </c>
      <c r="F95" s="423"/>
    </row>
    <row r="96" spans="5:6">
      <c r="E96" s="199" t="s">
        <v>775</v>
      </c>
      <c r="F96" s="423"/>
    </row>
    <row r="97" spans="5:6">
      <c r="E97" s="199" t="s">
        <v>808</v>
      </c>
      <c r="F97" s="423">
        <v>-12504449</v>
      </c>
    </row>
    <row r="98" spans="5:6">
      <c r="E98" s="199" t="s">
        <v>775</v>
      </c>
      <c r="F98" s="423"/>
    </row>
    <row r="99" spans="5:6">
      <c r="E99" s="199" t="s">
        <v>809</v>
      </c>
      <c r="F99" s="423">
        <v>153323617</v>
      </c>
    </row>
    <row r="100" spans="5:6">
      <c r="E100" s="199" t="s">
        <v>775</v>
      </c>
      <c r="F100" s="423"/>
    </row>
    <row r="101" spans="5:6">
      <c r="E101" s="199" t="s">
        <v>810</v>
      </c>
      <c r="F101" s="423">
        <v>6989288</v>
      </c>
    </row>
    <row r="102" spans="5:6">
      <c r="E102" s="199" t="s">
        <v>775</v>
      </c>
      <c r="F102" s="423"/>
    </row>
    <row r="103" spans="5:6">
      <c r="E103" s="199" t="s">
        <v>811</v>
      </c>
      <c r="F103" s="423">
        <v>22244315</v>
      </c>
    </row>
    <row r="104" spans="5:6">
      <c r="E104" s="199" t="s">
        <v>775</v>
      </c>
      <c r="F104" s="423"/>
    </row>
    <row r="105" spans="5:6">
      <c r="E105" s="199" t="s">
        <v>812</v>
      </c>
      <c r="F105" s="423">
        <v>655428</v>
      </c>
    </row>
  </sheetData>
  <hyperlinks>
    <hyperlink ref="B1" location="'Balance Gral. Resol. 1'!A1" display="'Balance Gral. Resol. 1'!A1" xr:uid="{00000000-0004-0000-07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C1:J84"/>
  <sheetViews>
    <sheetView showGridLines="0" topLeftCell="A58" workbookViewId="0">
      <selection activeCell="C73" sqref="C10:J73"/>
    </sheetView>
  </sheetViews>
  <sheetFormatPr baseColWidth="10" defaultRowHeight="15"/>
  <cols>
    <col min="3" max="3" width="77.42578125" bestFit="1" customWidth="1"/>
    <col min="4" max="4" width="14.85546875" bestFit="1" customWidth="1"/>
    <col min="5" max="5" width="13.85546875" customWidth="1"/>
    <col min="6" max="6" width="16.7109375" bestFit="1" customWidth="1"/>
    <col min="7" max="7" width="18.140625" bestFit="1" customWidth="1"/>
    <col min="8" max="8" width="17.28515625" bestFit="1" customWidth="1"/>
    <col min="9" max="9" width="16.7109375" bestFit="1" customWidth="1"/>
    <col min="10" max="10" width="17.7109375" bestFit="1" customWidth="1"/>
  </cols>
  <sheetData>
    <row r="1" spans="3:10">
      <c r="C1" s="272" t="s">
        <v>501</v>
      </c>
    </row>
    <row r="3" spans="3:10">
      <c r="C3" s="84"/>
    </row>
    <row r="4" spans="3:10">
      <c r="C4" s="81" t="s">
        <v>468</v>
      </c>
    </row>
    <row r="5" spans="3:10">
      <c r="C5" s="81"/>
    </row>
    <row r="6" spans="3:10">
      <c r="C6" s="93" t="s">
        <v>247</v>
      </c>
    </row>
    <row r="10" spans="3:10">
      <c r="C10" s="444" t="s">
        <v>248</v>
      </c>
      <c r="D10" s="445"/>
      <c r="E10" s="445"/>
      <c r="F10" s="447"/>
      <c r="G10" s="448" t="s">
        <v>739</v>
      </c>
      <c r="H10" s="448"/>
      <c r="I10" s="448"/>
      <c r="J10" s="448"/>
    </row>
    <row r="11" spans="3:10">
      <c r="C11" s="444" t="s">
        <v>249</v>
      </c>
      <c r="D11" s="445"/>
      <c r="E11" s="445"/>
      <c r="F11" s="445"/>
      <c r="G11" s="445"/>
      <c r="H11" s="445"/>
      <c r="I11" s="445"/>
      <c r="J11" s="447"/>
    </row>
    <row r="12" spans="3:10">
      <c r="C12" s="94"/>
      <c r="D12" s="95" t="s">
        <v>250</v>
      </c>
      <c r="E12" s="95" t="s">
        <v>251</v>
      </c>
      <c r="F12" s="95" t="s">
        <v>252</v>
      </c>
      <c r="G12" s="95" t="s">
        <v>252</v>
      </c>
      <c r="H12" s="95" t="s">
        <v>235</v>
      </c>
      <c r="I12" s="95" t="s">
        <v>253</v>
      </c>
      <c r="J12" s="95" t="s">
        <v>254</v>
      </c>
    </row>
    <row r="13" spans="3:10">
      <c r="C13" s="96" t="s">
        <v>255</v>
      </c>
      <c r="D13" s="96" t="s">
        <v>256</v>
      </c>
      <c r="E13" s="96" t="s">
        <v>257</v>
      </c>
      <c r="F13" s="96" t="s">
        <v>258</v>
      </c>
      <c r="G13" s="96" t="s">
        <v>259</v>
      </c>
      <c r="H13" s="97"/>
      <c r="I13" s="97"/>
      <c r="J13" s="97"/>
    </row>
    <row r="14" spans="3:10">
      <c r="C14" s="98" t="s">
        <v>269</v>
      </c>
      <c r="D14" s="98" t="s">
        <v>260</v>
      </c>
      <c r="E14" s="264"/>
      <c r="F14" s="265">
        <v>750000000</v>
      </c>
      <c r="G14" s="265">
        <f>+F14</f>
        <v>750000000</v>
      </c>
      <c r="H14" s="99">
        <v>1720989299372</v>
      </c>
      <c r="I14" s="99">
        <v>88450575461</v>
      </c>
      <c r="J14" s="99">
        <v>30974444633</v>
      </c>
    </row>
    <row r="15" spans="3:10">
      <c r="C15" s="98" t="s">
        <v>267</v>
      </c>
      <c r="D15" s="98" t="s">
        <v>260</v>
      </c>
      <c r="E15" s="264"/>
      <c r="F15" s="265">
        <v>1310856000</v>
      </c>
      <c r="G15" s="265">
        <f t="shared" ref="G15:G29" si="0">+F15</f>
        <v>1310856000</v>
      </c>
      <c r="H15" s="99">
        <v>330000000000</v>
      </c>
      <c r="I15" s="99">
        <v>31516307247</v>
      </c>
      <c r="J15" s="99">
        <v>840823644653</v>
      </c>
    </row>
    <row r="16" spans="3:10">
      <c r="C16" s="98" t="s">
        <v>818</v>
      </c>
      <c r="D16" s="98" t="s">
        <v>260</v>
      </c>
      <c r="E16" s="264"/>
      <c r="F16" s="265">
        <v>460000000</v>
      </c>
      <c r="G16" s="265">
        <f t="shared" si="0"/>
        <v>460000000</v>
      </c>
      <c r="H16" s="99">
        <v>684460278503</v>
      </c>
      <c r="I16" s="99">
        <v>35730025942</v>
      </c>
      <c r="J16" s="99">
        <v>1053056002112</v>
      </c>
    </row>
    <row r="17" spans="3:10">
      <c r="C17" s="98" t="s">
        <v>819</v>
      </c>
      <c r="D17" s="98" t="s">
        <v>260</v>
      </c>
      <c r="E17" s="264"/>
      <c r="F17" s="265">
        <v>720970800</v>
      </c>
      <c r="G17" s="265">
        <f t="shared" si="0"/>
        <v>720970800</v>
      </c>
      <c r="H17" s="99">
        <v>750000000000</v>
      </c>
      <c r="I17" s="99">
        <v>144325327072</v>
      </c>
      <c r="J17" s="99">
        <v>2854575823103</v>
      </c>
    </row>
    <row r="18" spans="3:10">
      <c r="C18" s="98" t="s">
        <v>820</v>
      </c>
      <c r="D18" s="98" t="s">
        <v>260</v>
      </c>
      <c r="E18" s="264"/>
      <c r="F18" s="265">
        <v>398483844.35839975</v>
      </c>
      <c r="G18" s="265">
        <f t="shared" si="0"/>
        <v>398483844.35839975</v>
      </c>
      <c r="H18" s="99">
        <v>1151242860000</v>
      </c>
      <c r="I18" s="99">
        <v>2173308721</v>
      </c>
      <c r="J18" s="99">
        <v>1739139780668</v>
      </c>
    </row>
    <row r="19" spans="3:10">
      <c r="C19" s="98" t="s">
        <v>270</v>
      </c>
      <c r="D19" s="98" t="s">
        <v>260</v>
      </c>
      <c r="E19" s="264"/>
      <c r="F19" s="265">
        <v>557349950</v>
      </c>
      <c r="G19" s="265">
        <f t="shared" si="0"/>
        <v>557349950</v>
      </c>
      <c r="H19" s="99">
        <v>348339600000</v>
      </c>
      <c r="I19" s="99">
        <v>2799575036</v>
      </c>
      <c r="J19" s="99">
        <v>381904225189</v>
      </c>
    </row>
    <row r="20" spans="3:10">
      <c r="C20" s="98" t="s">
        <v>821</v>
      </c>
      <c r="D20" s="98" t="s">
        <v>260</v>
      </c>
      <c r="E20" s="264"/>
      <c r="F20" s="265">
        <v>1810856000</v>
      </c>
      <c r="G20" s="265">
        <f t="shared" si="0"/>
        <v>1810856000</v>
      </c>
      <c r="H20" s="99">
        <v>178568000000</v>
      </c>
      <c r="I20" s="99">
        <v>5625314707</v>
      </c>
      <c r="J20" s="99">
        <v>221067611535</v>
      </c>
    </row>
    <row r="21" spans="3:10">
      <c r="C21" s="98" t="s">
        <v>822</v>
      </c>
      <c r="D21" s="98" t="s">
        <v>260</v>
      </c>
      <c r="E21" s="264"/>
      <c r="F21" s="265">
        <f>2611084600-2530714252</f>
        <v>80370348</v>
      </c>
      <c r="G21" s="265">
        <f t="shared" si="0"/>
        <v>80370348</v>
      </c>
      <c r="H21" s="99">
        <v>38218670454</v>
      </c>
      <c r="I21" s="99">
        <v>-2872805789</v>
      </c>
      <c r="J21" s="99">
        <v>55461739550</v>
      </c>
    </row>
    <row r="22" spans="3:10">
      <c r="C22" s="98" t="s">
        <v>489</v>
      </c>
      <c r="D22" s="98" t="s">
        <v>261</v>
      </c>
      <c r="E22" s="264"/>
      <c r="F22" s="265">
        <v>662909256</v>
      </c>
      <c r="G22" s="265">
        <f t="shared" si="0"/>
        <v>662909256</v>
      </c>
      <c r="H22" s="99">
        <v>178200000000</v>
      </c>
      <c r="I22" s="99">
        <v>9741274173</v>
      </c>
      <c r="J22" s="99">
        <v>302679098372</v>
      </c>
    </row>
    <row r="23" spans="3:10">
      <c r="C23" s="98" t="s">
        <v>490</v>
      </c>
      <c r="D23" s="98" t="s">
        <v>261</v>
      </c>
      <c r="E23" s="264"/>
      <c r="F23" s="265">
        <f>1355315647.524+1942010747</f>
        <v>3297326394.5240002</v>
      </c>
      <c r="G23" s="265">
        <f t="shared" si="0"/>
        <v>3297326394.5240002</v>
      </c>
      <c r="H23" s="99">
        <v>1151242860000</v>
      </c>
      <c r="I23" s="99">
        <v>2173308721</v>
      </c>
      <c r="J23" s="99">
        <v>1739139780668</v>
      </c>
    </row>
    <row r="24" spans="3:10">
      <c r="C24" s="98" t="s">
        <v>491</v>
      </c>
      <c r="D24" s="98" t="s">
        <v>261</v>
      </c>
      <c r="E24" s="264"/>
      <c r="F24" s="265">
        <v>3034191</v>
      </c>
      <c r="G24" s="265">
        <f t="shared" si="0"/>
        <v>3034191</v>
      </c>
      <c r="H24" s="99">
        <v>70819500000</v>
      </c>
      <c r="I24" s="99">
        <v>2522922820</v>
      </c>
      <c r="J24" s="99">
        <v>107246146055</v>
      </c>
    </row>
    <row r="25" spans="3:10">
      <c r="C25" s="98" t="s">
        <v>492</v>
      </c>
      <c r="D25" s="98" t="s">
        <v>261</v>
      </c>
      <c r="E25" s="264"/>
      <c r="F25" s="265">
        <v>38696939</v>
      </c>
      <c r="G25" s="265">
        <f t="shared" si="0"/>
        <v>38696939</v>
      </c>
      <c r="H25" s="99">
        <v>64109200000</v>
      </c>
      <c r="I25" s="99">
        <v>-2587465323.0833082</v>
      </c>
      <c r="J25" s="99">
        <v>68123206969.769997</v>
      </c>
    </row>
    <row r="26" spans="3:10">
      <c r="C26" s="98" t="s">
        <v>493</v>
      </c>
      <c r="D26" s="98" t="s">
        <v>261</v>
      </c>
      <c r="E26" s="264"/>
      <c r="F26" s="265">
        <v>513520252</v>
      </c>
      <c r="G26" s="265">
        <f t="shared" si="0"/>
        <v>513520252</v>
      </c>
      <c r="H26" s="99">
        <v>146400000000</v>
      </c>
      <c r="I26" s="99">
        <v>26519000000</v>
      </c>
      <c r="J26" s="99">
        <v>759940000000</v>
      </c>
    </row>
    <row r="27" spans="3:10">
      <c r="C27" s="98" t="s">
        <v>823</v>
      </c>
      <c r="D27" s="98" t="s">
        <v>261</v>
      </c>
      <c r="E27" s="264"/>
      <c r="F27" s="265">
        <v>399811080</v>
      </c>
      <c r="G27" s="265">
        <f t="shared" si="0"/>
        <v>399811080</v>
      </c>
      <c r="H27" s="99">
        <v>476000000000</v>
      </c>
      <c r="I27" s="99">
        <v>1175282647</v>
      </c>
      <c r="J27" s="99">
        <v>573326388163</v>
      </c>
    </row>
    <row r="28" spans="3:10">
      <c r="C28" s="98" t="s">
        <v>494</v>
      </c>
      <c r="D28" s="98" t="s">
        <v>261</v>
      </c>
      <c r="E28" s="264"/>
      <c r="F28" s="265">
        <v>3373846878</v>
      </c>
      <c r="G28" s="265">
        <f t="shared" si="0"/>
        <v>3373846878</v>
      </c>
      <c r="H28" s="99">
        <v>164008000000</v>
      </c>
      <c r="I28" s="99">
        <v>211007000000</v>
      </c>
      <c r="J28" s="99">
        <v>675541000000</v>
      </c>
    </row>
    <row r="29" spans="3:10">
      <c r="C29" s="98" t="s">
        <v>488</v>
      </c>
      <c r="D29" s="98" t="s">
        <v>261</v>
      </c>
      <c r="E29" s="264"/>
      <c r="F29" s="265">
        <v>98251892.744399995</v>
      </c>
      <c r="G29" s="265">
        <f t="shared" si="0"/>
        <v>98251892.744399995</v>
      </c>
      <c r="H29" s="99">
        <v>399238301862</v>
      </c>
      <c r="I29" s="99">
        <v>5887049368</v>
      </c>
      <c r="J29" s="99">
        <v>625575828145</v>
      </c>
    </row>
    <row r="30" spans="3:10">
      <c r="C30" s="100" t="s">
        <v>730</v>
      </c>
      <c r="D30" s="100"/>
      <c r="E30" s="100"/>
      <c r="F30" s="101">
        <f>SUM(F14:F29)</f>
        <v>14476283825.626801</v>
      </c>
      <c r="G30" s="101">
        <f>SUM(G14:G29)</f>
        <v>14476283825.626801</v>
      </c>
      <c r="H30" s="394"/>
      <c r="I30" s="394"/>
      <c r="J30" s="394"/>
    </row>
    <row r="31" spans="3:10">
      <c r="C31" s="102" t="s">
        <v>774</v>
      </c>
      <c r="D31" s="102"/>
      <c r="E31" s="102"/>
      <c r="F31" s="263">
        <v>6735769572.5179996</v>
      </c>
      <c r="G31" s="263">
        <v>6735769572.5179996</v>
      </c>
      <c r="H31" s="104"/>
      <c r="I31" s="104"/>
      <c r="J31" s="104"/>
    </row>
    <row r="32" spans="3:10">
      <c r="C32" s="105"/>
      <c r="D32" s="424"/>
      <c r="E32" s="105"/>
      <c r="F32" s="106"/>
      <c r="G32" s="106"/>
      <c r="H32" s="107"/>
      <c r="I32" s="107"/>
      <c r="J32" s="107"/>
    </row>
    <row r="33" spans="3:10">
      <c r="C33" s="108"/>
      <c r="D33" s="425"/>
      <c r="E33" s="108"/>
      <c r="F33" s="106"/>
      <c r="G33" s="108"/>
      <c r="H33" s="108"/>
      <c r="I33" s="108"/>
      <c r="J33" s="108"/>
    </row>
    <row r="34" spans="3:10">
      <c r="C34" s="444" t="s">
        <v>248</v>
      </c>
      <c r="D34" s="445"/>
      <c r="E34" s="445"/>
      <c r="F34" s="446"/>
      <c r="G34" s="449" t="str">
        <f>+G10</f>
        <v xml:space="preserve"> INFORMACION SOBRE EL EMISOR AL 31/03/2020</v>
      </c>
      <c r="H34" s="445"/>
      <c r="I34" s="445"/>
      <c r="J34" s="447"/>
    </row>
    <row r="35" spans="3:10">
      <c r="C35" s="444" t="s">
        <v>249</v>
      </c>
      <c r="D35" s="445"/>
      <c r="E35" s="445"/>
      <c r="F35" s="445"/>
      <c r="G35" s="445"/>
      <c r="H35" s="445"/>
      <c r="I35" s="445"/>
      <c r="J35" s="446"/>
    </row>
    <row r="36" spans="3:10" ht="15" customHeight="1">
      <c r="C36" s="288"/>
      <c r="D36" s="289" t="s">
        <v>250</v>
      </c>
      <c r="E36" s="289" t="s">
        <v>251</v>
      </c>
      <c r="F36" s="289" t="s">
        <v>252</v>
      </c>
      <c r="G36" s="289" t="s">
        <v>252</v>
      </c>
      <c r="H36" s="289" t="s">
        <v>235</v>
      </c>
      <c r="I36" s="289" t="s">
        <v>253</v>
      </c>
      <c r="J36" s="289" t="s">
        <v>254</v>
      </c>
    </row>
    <row r="37" spans="3:10">
      <c r="C37" s="259" t="s">
        <v>255</v>
      </c>
      <c r="D37" s="290" t="s">
        <v>256</v>
      </c>
      <c r="E37" s="290" t="s">
        <v>257</v>
      </c>
      <c r="F37" s="290" t="s">
        <v>258</v>
      </c>
      <c r="G37" s="290" t="s">
        <v>259</v>
      </c>
      <c r="H37" s="291"/>
      <c r="I37" s="291"/>
      <c r="J37" s="291"/>
    </row>
    <row r="38" spans="3:10">
      <c r="C38" s="98" t="s">
        <v>495</v>
      </c>
      <c r="D38" s="292" t="s">
        <v>277</v>
      </c>
      <c r="E38" s="293">
        <v>1750</v>
      </c>
      <c r="F38" s="294">
        <v>175000000</v>
      </c>
      <c r="G38" s="294">
        <f>+F38</f>
        <v>175000000</v>
      </c>
      <c r="H38" s="395">
        <v>66333000375</v>
      </c>
      <c r="I38" s="395">
        <v>1254533476</v>
      </c>
      <c r="J38" s="395">
        <v>80951103774</v>
      </c>
    </row>
    <row r="39" spans="3:10">
      <c r="C39" s="98" t="s">
        <v>270</v>
      </c>
      <c r="D39" s="292" t="s">
        <v>277</v>
      </c>
      <c r="E39" s="293">
        <f>+F39/100000</f>
        <v>100</v>
      </c>
      <c r="F39" s="294">
        <v>10000000</v>
      </c>
      <c r="G39" s="294">
        <f>+F39</f>
        <v>10000000</v>
      </c>
      <c r="H39" s="395">
        <v>348339600000</v>
      </c>
      <c r="I39" s="395">
        <v>2799575036</v>
      </c>
      <c r="J39" s="395">
        <v>381904225189</v>
      </c>
    </row>
    <row r="40" spans="3:10">
      <c r="C40" s="295" t="s">
        <v>496</v>
      </c>
      <c r="D40" s="296" t="s">
        <v>277</v>
      </c>
      <c r="E40" s="297">
        <v>41577</v>
      </c>
      <c r="F40" s="298">
        <v>415770000</v>
      </c>
      <c r="G40" s="294">
        <f t="shared" ref="G40:G41" si="1">+F40</f>
        <v>415770000</v>
      </c>
      <c r="H40" s="396">
        <v>330000000000</v>
      </c>
      <c r="I40" s="396">
        <v>31516307247</v>
      </c>
      <c r="J40" s="396">
        <v>840823644653</v>
      </c>
    </row>
    <row r="41" spans="3:10">
      <c r="C41" s="295" t="s">
        <v>497</v>
      </c>
      <c r="D41" s="296" t="s">
        <v>277</v>
      </c>
      <c r="E41" s="297">
        <v>9922</v>
      </c>
      <c r="F41" s="298">
        <v>2983954000</v>
      </c>
      <c r="G41" s="294">
        <f t="shared" si="1"/>
        <v>2983954000</v>
      </c>
      <c r="H41" s="394">
        <v>1720989299372</v>
      </c>
      <c r="I41" s="394">
        <v>88450575461</v>
      </c>
      <c r="J41" s="394">
        <v>30974444633</v>
      </c>
    </row>
    <row r="42" spans="3:10">
      <c r="C42" s="100" t="s">
        <v>730</v>
      </c>
      <c r="D42" s="100"/>
      <c r="E42" s="100"/>
      <c r="F42" s="101">
        <f>SUM(F38:F41)</f>
        <v>3584724000</v>
      </c>
      <c r="G42" s="101">
        <f>SUM(G37:G41)</f>
        <v>3584724000</v>
      </c>
      <c r="H42" s="397"/>
      <c r="I42" s="397"/>
      <c r="J42" s="397"/>
    </row>
    <row r="43" spans="3:10">
      <c r="C43" s="102" t="s">
        <v>774</v>
      </c>
      <c r="D43" s="102"/>
      <c r="E43" s="102"/>
      <c r="F43" s="266">
        <v>9269376864</v>
      </c>
      <c r="G43" s="266">
        <v>9269376864</v>
      </c>
      <c r="H43" s="397"/>
      <c r="I43" s="397"/>
      <c r="J43" s="397"/>
    </row>
    <row r="44" spans="3:10">
      <c r="C44" s="108"/>
      <c r="D44" s="108"/>
      <c r="E44" s="108"/>
      <c r="F44" s="108"/>
      <c r="G44" s="112"/>
      <c r="H44" s="108"/>
      <c r="I44" s="108"/>
      <c r="J44" s="108"/>
    </row>
    <row r="45" spans="3:10">
      <c r="C45" s="108"/>
      <c r="D45" s="108"/>
      <c r="E45" s="108"/>
      <c r="F45" s="108"/>
      <c r="G45" s="108"/>
      <c r="H45" s="108"/>
      <c r="I45" s="108"/>
      <c r="J45" s="108"/>
    </row>
    <row r="46" spans="3:10">
      <c r="C46" s="448" t="s">
        <v>271</v>
      </c>
      <c r="D46" s="448"/>
      <c r="E46" s="448"/>
      <c r="F46" s="448"/>
      <c r="G46" s="448"/>
      <c r="H46" s="448"/>
      <c r="I46" s="448"/>
      <c r="J46" s="108"/>
    </row>
    <row r="47" spans="3:10" ht="25.5">
      <c r="C47" s="113" t="s">
        <v>272</v>
      </c>
      <c r="D47" s="113" t="s">
        <v>273</v>
      </c>
      <c r="E47" s="113" t="s">
        <v>265</v>
      </c>
      <c r="F47" s="113" t="s">
        <v>274</v>
      </c>
      <c r="G47" s="113" t="s">
        <v>275</v>
      </c>
      <c r="H47" s="113" t="s">
        <v>253</v>
      </c>
      <c r="I47" s="113" t="s">
        <v>254</v>
      </c>
      <c r="J47" s="108"/>
    </row>
    <row r="48" spans="3:10">
      <c r="C48" s="94" t="s">
        <v>276</v>
      </c>
      <c r="D48" s="94" t="s">
        <v>277</v>
      </c>
      <c r="E48" s="114">
        <v>200000000</v>
      </c>
      <c r="F48" s="114">
        <v>361481649</v>
      </c>
      <c r="G48" s="115">
        <v>750000000</v>
      </c>
      <c r="H48" s="114"/>
      <c r="I48" s="114"/>
      <c r="J48" s="108"/>
    </row>
    <row r="49" spans="3:10">
      <c r="C49" s="102" t="s">
        <v>730</v>
      </c>
      <c r="D49" s="102"/>
      <c r="E49" s="103">
        <f>SUM(E48:E48)</f>
        <v>200000000</v>
      </c>
      <c r="F49" s="103">
        <f>SUM(F48:F48)</f>
        <v>361481649</v>
      </c>
      <c r="G49" s="103">
        <f>+G48</f>
        <v>750000000</v>
      </c>
      <c r="H49" s="103"/>
      <c r="I49" s="103"/>
      <c r="J49" s="108"/>
    </row>
    <row r="50" spans="3:10">
      <c r="C50" s="102" t="s">
        <v>774</v>
      </c>
      <c r="D50" s="102"/>
      <c r="E50" s="263">
        <v>245088000</v>
      </c>
      <c r="F50" s="263">
        <v>359414165</v>
      </c>
      <c r="G50" s="103">
        <f>+F50</f>
        <v>359414165</v>
      </c>
      <c r="H50" s="103"/>
      <c r="I50" s="103"/>
      <c r="J50" s="108"/>
    </row>
    <row r="51" spans="3:10">
      <c r="C51" s="116"/>
      <c r="D51" s="116"/>
      <c r="E51" s="116"/>
      <c r="F51" s="117"/>
      <c r="G51" s="116"/>
      <c r="H51" s="116"/>
      <c r="I51" s="116"/>
      <c r="J51" s="116"/>
    </row>
    <row r="52" spans="3:10">
      <c r="C52" s="116"/>
      <c r="D52" s="116"/>
      <c r="E52" s="116"/>
      <c r="F52" s="116"/>
      <c r="G52" s="116"/>
      <c r="H52" s="116"/>
      <c r="I52" s="116"/>
      <c r="J52" s="116"/>
    </row>
    <row r="53" spans="3:10">
      <c r="C53" s="105"/>
      <c r="D53" s="120"/>
      <c r="E53" s="120"/>
      <c r="F53" s="121"/>
      <c r="G53" s="121"/>
      <c r="H53" s="122"/>
      <c r="I53" s="122"/>
      <c r="J53" s="122"/>
    </row>
    <row r="54" spans="3:10">
      <c r="C54" s="105"/>
      <c r="D54" s="120"/>
      <c r="E54" s="120"/>
      <c r="F54" s="121"/>
      <c r="G54" s="121"/>
      <c r="H54" s="122"/>
      <c r="I54" s="122"/>
      <c r="J54" s="122"/>
    </row>
    <row r="55" spans="3:10">
      <c r="C55" s="451" t="s">
        <v>282</v>
      </c>
      <c r="D55" s="451"/>
      <c r="E55" s="451"/>
      <c r="F55" s="451"/>
      <c r="G55" s="451"/>
      <c r="H55" s="451"/>
      <c r="I55" s="451"/>
      <c r="J55" s="77"/>
    </row>
    <row r="56" spans="3:10" ht="25.5">
      <c r="C56" s="113" t="s">
        <v>272</v>
      </c>
      <c r="D56" s="113" t="s">
        <v>273</v>
      </c>
      <c r="E56" s="113" t="s">
        <v>265</v>
      </c>
      <c r="F56" s="113" t="s">
        <v>274</v>
      </c>
      <c r="G56" s="113" t="s">
        <v>275</v>
      </c>
      <c r="H56" s="113" t="s">
        <v>253</v>
      </c>
      <c r="I56" s="113" t="s">
        <v>254</v>
      </c>
      <c r="J56" s="77"/>
    </row>
    <row r="57" spans="3:10" ht="51">
      <c r="C57" s="94" t="s">
        <v>281</v>
      </c>
      <c r="D57" s="123" t="s">
        <v>283</v>
      </c>
      <c r="E57" s="115">
        <v>0</v>
      </c>
      <c r="F57" s="115">
        <v>0</v>
      </c>
      <c r="G57" s="124" t="s">
        <v>281</v>
      </c>
      <c r="H57" s="124" t="s">
        <v>284</v>
      </c>
      <c r="I57" s="115">
        <v>0</v>
      </c>
      <c r="J57" s="108"/>
    </row>
    <row r="58" spans="3:10" ht="51">
      <c r="C58" s="94" t="s">
        <v>281</v>
      </c>
      <c r="D58" s="123" t="s">
        <v>285</v>
      </c>
      <c r="E58" s="115">
        <v>594805500</v>
      </c>
      <c r="F58" s="115">
        <f>+E58</f>
        <v>594805500</v>
      </c>
      <c r="G58" s="124" t="s">
        <v>281</v>
      </c>
      <c r="H58" s="124" t="s">
        <v>284</v>
      </c>
      <c r="I58" s="115">
        <v>0</v>
      </c>
      <c r="J58" s="108"/>
    </row>
    <row r="59" spans="3:10">
      <c r="C59" s="102" t="s">
        <v>730</v>
      </c>
      <c r="D59" s="102"/>
      <c r="E59" s="102"/>
      <c r="F59" s="109">
        <f>SUM(F57:F58)</f>
        <v>594805500</v>
      </c>
      <c r="G59" s="109"/>
      <c r="H59" s="110"/>
      <c r="I59" s="110"/>
      <c r="J59" s="122"/>
    </row>
    <row r="60" spans="3:10">
      <c r="C60" s="102" t="s">
        <v>774</v>
      </c>
      <c r="D60" s="111"/>
      <c r="E60" s="111"/>
      <c r="F60" s="109">
        <f>SUM(F58:F59)</f>
        <v>1189611000</v>
      </c>
      <c r="G60" s="109"/>
      <c r="H60" s="110"/>
      <c r="I60" s="110"/>
      <c r="J60" s="122"/>
    </row>
    <row r="61" spans="3:10">
      <c r="C61" s="116"/>
      <c r="D61" s="116"/>
      <c r="E61" s="116"/>
      <c r="F61" s="116"/>
      <c r="G61" s="116"/>
      <c r="H61" s="116"/>
      <c r="I61" s="116"/>
      <c r="J61" s="116"/>
    </row>
    <row r="62" spans="3:10">
      <c r="C62" s="116"/>
      <c r="D62" s="116"/>
      <c r="E62" s="116"/>
      <c r="F62" s="116"/>
      <c r="G62" s="116"/>
      <c r="H62" s="116"/>
      <c r="I62" s="116"/>
      <c r="J62" s="116"/>
    </row>
    <row r="63" spans="3:10">
      <c r="C63" s="444" t="s">
        <v>262</v>
      </c>
      <c r="D63" s="445"/>
      <c r="E63" s="445"/>
      <c r="F63" s="447"/>
      <c r="G63" s="444" t="str">
        <f>+G79</f>
        <v xml:space="preserve"> INFORMACION SOBRE EL EMISOR AL 31/03/2020</v>
      </c>
      <c r="H63" s="445"/>
      <c r="I63" s="445"/>
      <c r="J63" s="447"/>
    </row>
    <row r="64" spans="3:10">
      <c r="C64" s="444" t="s">
        <v>286</v>
      </c>
      <c r="D64" s="445"/>
      <c r="E64" s="445"/>
      <c r="F64" s="445"/>
      <c r="G64" s="445"/>
      <c r="H64" s="445"/>
      <c r="I64" s="445"/>
      <c r="J64" s="447"/>
    </row>
    <row r="65" spans="3:10">
      <c r="C65" s="448" t="s">
        <v>255</v>
      </c>
      <c r="D65" s="452" t="s">
        <v>263</v>
      </c>
      <c r="E65" s="452" t="s">
        <v>264</v>
      </c>
      <c r="F65" s="452" t="s">
        <v>265</v>
      </c>
      <c r="G65" s="452" t="s">
        <v>266</v>
      </c>
      <c r="H65" s="450" t="s">
        <v>235</v>
      </c>
      <c r="I65" s="450" t="s">
        <v>253</v>
      </c>
      <c r="J65" s="450" t="s">
        <v>254</v>
      </c>
    </row>
    <row r="66" spans="3:10">
      <c r="C66" s="448"/>
      <c r="D66" s="452"/>
      <c r="E66" s="452"/>
      <c r="F66" s="452"/>
      <c r="G66" s="452"/>
      <c r="H66" s="450"/>
      <c r="I66" s="450"/>
      <c r="J66" s="450"/>
    </row>
    <row r="67" spans="3:10">
      <c r="C67" s="125" t="s">
        <v>287</v>
      </c>
      <c r="D67" s="125" t="s">
        <v>268</v>
      </c>
      <c r="E67" s="125">
        <v>2348</v>
      </c>
      <c r="F67" s="126">
        <v>2329691864</v>
      </c>
      <c r="G67" s="126">
        <v>2495451703</v>
      </c>
      <c r="H67" s="127">
        <v>2760000000</v>
      </c>
      <c r="I67" s="127">
        <v>112098826</v>
      </c>
      <c r="J67" s="127">
        <v>2789481337</v>
      </c>
    </row>
    <row r="68" spans="3:10">
      <c r="C68" s="128" t="s">
        <v>288</v>
      </c>
      <c r="D68" s="125" t="s">
        <v>268</v>
      </c>
      <c r="E68" s="125">
        <v>25000</v>
      </c>
      <c r="F68" s="126">
        <v>2800000000</v>
      </c>
      <c r="G68" s="126">
        <v>2800000000</v>
      </c>
      <c r="H68" s="127">
        <v>2501000000</v>
      </c>
      <c r="I68" s="127">
        <v>-35646095</v>
      </c>
      <c r="J68" s="127">
        <v>2747133603</v>
      </c>
    </row>
    <row r="69" spans="3:10">
      <c r="C69" s="128" t="s">
        <v>289</v>
      </c>
      <c r="D69" s="125" t="s">
        <v>268</v>
      </c>
      <c r="E69" s="125">
        <v>251</v>
      </c>
      <c r="F69" s="126">
        <v>251000000</v>
      </c>
      <c r="G69" s="126">
        <v>251000000</v>
      </c>
      <c r="H69" s="127">
        <v>500000000</v>
      </c>
      <c r="I69" s="127"/>
      <c r="J69" s="127">
        <f>+H69</f>
        <v>500000000</v>
      </c>
    </row>
    <row r="70" spans="3:10">
      <c r="C70" s="102" t="s">
        <v>730</v>
      </c>
      <c r="D70" s="102"/>
      <c r="E70" s="102"/>
      <c r="F70" s="109">
        <f>SUM(F67:F69)</f>
        <v>5380691864</v>
      </c>
      <c r="G70" s="109">
        <f>SUM(G67:G69)</f>
        <v>5546451703</v>
      </c>
      <c r="H70" s="110"/>
      <c r="I70" s="110"/>
      <c r="J70" s="110"/>
    </row>
    <row r="71" spans="3:10">
      <c r="C71" s="102" t="s">
        <v>774</v>
      </c>
      <c r="D71" s="111"/>
      <c r="E71" s="111"/>
      <c r="F71" s="109"/>
      <c r="G71" s="109"/>
      <c r="H71" s="110"/>
      <c r="I71" s="110"/>
      <c r="J71" s="110"/>
    </row>
    <row r="72" spans="3:10">
      <c r="C72" s="77"/>
      <c r="D72" s="77"/>
      <c r="E72" s="77"/>
      <c r="F72" s="77"/>
      <c r="G72" s="77"/>
      <c r="H72" s="77"/>
      <c r="I72" s="77"/>
      <c r="J72" s="77"/>
    </row>
    <row r="73" spans="3:10" ht="15.75" thickBot="1">
      <c r="C73" s="129" t="s">
        <v>290</v>
      </c>
      <c r="D73" s="130"/>
      <c r="E73" s="130"/>
      <c r="F73" s="131"/>
      <c r="G73" s="131">
        <f>+G70+G49+G42+G30+F59</f>
        <v>24952265028.626801</v>
      </c>
      <c r="H73" s="130"/>
      <c r="I73" s="130"/>
      <c r="J73" s="130"/>
    </row>
    <row r="74" spans="3:10" ht="15.75" thickTop="1">
      <c r="G74" s="162">
        <f>+G73-'Balance Gral. Resol. 6'!D46</f>
        <v>0.626800537109375</v>
      </c>
    </row>
    <row r="79" spans="3:10">
      <c r="C79" s="444" t="s">
        <v>262</v>
      </c>
      <c r="D79" s="445"/>
      <c r="E79" s="445"/>
      <c r="F79" s="447"/>
      <c r="G79" s="444" t="str">
        <f>+G34</f>
        <v xml:space="preserve"> INFORMACION SOBRE EL EMISOR AL 31/03/2020</v>
      </c>
      <c r="H79" s="445"/>
      <c r="I79" s="445"/>
      <c r="J79" s="447"/>
    </row>
    <row r="80" spans="3:10">
      <c r="C80" s="444" t="s">
        <v>278</v>
      </c>
      <c r="D80" s="445"/>
      <c r="E80" s="445"/>
      <c r="F80" s="445"/>
      <c r="G80" s="445"/>
      <c r="H80" s="445"/>
      <c r="I80" s="445"/>
      <c r="J80" s="447"/>
    </row>
    <row r="81" spans="3:10" ht="25.5">
      <c r="C81" s="113" t="s">
        <v>255</v>
      </c>
      <c r="D81" s="113" t="s">
        <v>273</v>
      </c>
      <c r="E81" s="113" t="s">
        <v>264</v>
      </c>
      <c r="F81" s="113" t="s">
        <v>265</v>
      </c>
      <c r="G81" s="113" t="s">
        <v>266</v>
      </c>
      <c r="H81" s="113" t="s">
        <v>235</v>
      </c>
      <c r="I81" s="113" t="s">
        <v>253</v>
      </c>
      <c r="J81" s="113" t="s">
        <v>254</v>
      </c>
    </row>
    <row r="82" spans="3:10">
      <c r="C82" s="111" t="s">
        <v>279</v>
      </c>
      <c r="D82" s="94" t="s">
        <v>280</v>
      </c>
      <c r="E82" s="94" t="s">
        <v>281</v>
      </c>
      <c r="F82" s="118">
        <v>912747722</v>
      </c>
      <c r="G82" s="119">
        <f>+F82</f>
        <v>912747722</v>
      </c>
      <c r="H82" s="94" t="s">
        <v>281</v>
      </c>
      <c r="I82" s="94" t="s">
        <v>281</v>
      </c>
      <c r="J82" s="94" t="s">
        <v>281</v>
      </c>
    </row>
    <row r="83" spans="3:10">
      <c r="C83" s="102" t="s">
        <v>730</v>
      </c>
      <c r="D83" s="102"/>
      <c r="E83" s="102"/>
      <c r="F83" s="109">
        <f>SUM(F82:F82)</f>
        <v>912747722</v>
      </c>
      <c r="G83" s="109">
        <f>SUM(G82:G82)</f>
        <v>912747722</v>
      </c>
      <c r="H83" s="110"/>
      <c r="I83" s="110"/>
      <c r="J83" s="110"/>
    </row>
    <row r="84" spans="3:10">
      <c r="C84" s="102" t="s">
        <v>774</v>
      </c>
      <c r="D84" s="111"/>
      <c r="E84" s="111"/>
      <c r="F84" s="109">
        <v>874150960</v>
      </c>
      <c r="G84" s="109">
        <v>874150960</v>
      </c>
      <c r="H84" s="110"/>
      <c r="I84" s="110"/>
      <c r="J84" s="110"/>
    </row>
  </sheetData>
  <mergeCells count="22">
    <mergeCell ref="C80:J80"/>
    <mergeCell ref="C46:I46"/>
    <mergeCell ref="C79:F79"/>
    <mergeCell ref="G79:J79"/>
    <mergeCell ref="I65:I66"/>
    <mergeCell ref="J65:J66"/>
    <mergeCell ref="C55:I55"/>
    <mergeCell ref="C63:F63"/>
    <mergeCell ref="G63:J63"/>
    <mergeCell ref="C64:J64"/>
    <mergeCell ref="C65:C66"/>
    <mergeCell ref="D65:D66"/>
    <mergeCell ref="E65:E66"/>
    <mergeCell ref="F65:F66"/>
    <mergeCell ref="G65:G66"/>
    <mergeCell ref="H65:H66"/>
    <mergeCell ref="C35:J35"/>
    <mergeCell ref="C10:F10"/>
    <mergeCell ref="G10:J10"/>
    <mergeCell ref="C11:J11"/>
    <mergeCell ref="C34:F34"/>
    <mergeCell ref="G34:J34"/>
  </mergeCells>
  <hyperlinks>
    <hyperlink ref="C1" location="'Balance Gral. Resol. 1'!A1" display="'Balance Gral. Resol. 1'!A1" xr:uid="{00000000-0004-0000-0800-000000000000}"/>
  </hyperlink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Q992phU91Rt+NQP4S0ahOrzs/vA400Fmqmr9ylhBnKk=</DigestValue>
    </Reference>
    <Reference Type="http://www.w3.org/2000/09/xmldsig#Object" URI="#idOfficeObject">
      <DigestMethod Algorithm="http://www.w3.org/2001/04/xmlenc#sha256"/>
      <DigestValue>n3T5bym0cr8O9rya2gQeNcFp0mYuA+h2kT9S1cLoHNU=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syQM2riDnfUzZ9kC0s4h8duotbJxFfkMueZBZ1uMUTQ=</DigestValue>
    </Reference>
    <Reference Type="http://www.w3.org/2000/09/xmldsig#Object" URI="#idValidSigLnImg">
      <DigestMethod Algorithm="http://www.w3.org/2001/04/xmlenc#sha256"/>
      <DigestValue>f3dDcerIlEB5hOy6EGh3N+NDJbMdOjG+7XKm5YZrwNw=</DigestValue>
    </Reference>
    <Reference Type="http://www.w3.org/2000/09/xmldsig#Object" URI="#idInvalidSigLnImg">
      <DigestMethod Algorithm="http://www.w3.org/2001/04/xmlenc#sha256"/>
      <DigestValue>P11gtfoJz03s2uD/Gm1vC5ZmlS2YR03iaNhsri7L0uU=</DigestValue>
    </Reference>
  </SignedInfo>
  <SignatureValue>GHsGEhxBYkijZvCp0GYlba/tqTPYwk3hufRiXcG4HlbcE8I1oLG/0G0tm2BYDIRtylxMlxY+a68y
gJqPW0wqjW59iLVkRhKw6H/wPHISH/pf+0CEaD/azUBkeHFqelzo6JDcSCsJ6VGR1Ux8Baa6He6x
VuR8cL43wn4Sk6jJa44gQFc5j5ocyQxtvGZsfe3J4EU4g0NsKwZW93AQK/05a5e5a6C0W9b3OW7c
ieZ5VvUg0owdTpSJSicHe7ihBy5ZVgahQPZnml8KhDr3Y/ZmGOqiIBJfZkYpSZrV205dZPW20IZ1
vctmRgPRCZiurJ2PLOqmH+zbY0lyqaxOMThiOA==</SignatureValue>
  <KeyInfo>
    <X509Data>
      <X509Certificate>MIID8jCCAtqgAwIBAgIQh3MS+HxWSqBG0W9xePbWETANBgkqhkiG9w0BAQsFADB4MXYwEQYKCZImiZPyLGQBGRYDbmV0MBUGCgmSJomT8ixkARkWB3dpbmRvd3MwHQYDVQQDExZNUy1Pcmdhbml6YXRpb24tQWNjZXNzMCsGA1UECxMkODJkYmFjYTQtM2U4MS00NmNhLTljNzMtMDk1MGMxZWFjYTk3MB4XDTE5MDYyMTE4MDkyM1oXDTI5MDYyMTE4MzkyM1owLzEtMCsGA1UEAxMkYTRiYjgwMzctNzg0Mi00YmY2LWJmNjktNTUwMDgwNGIxMTQwMIIBIjANBgkqhkiG9w0BAQEFAAOCAQ8AMIIBCgKCAQEA3dbf1783OVIRXH2EHxgBhcJB4e4zTZF6iDx5JFVYdbczx6U71NjmWSktx4iZzscobYZtX61zkaqCP5/Av7AtRk4mffaeLCnG1veI2wk/u14Wno51iy2gfzDF98gtw0w8PG33dH1SxkVVkBQnSlisXJ6pypSuUnvP4hGaIF7/gXUhFZ5sXd7S83IkEYEmy/ruZzcr81zTosv0GiWQ+dA5LYLR6VXJNXTd/UqaizZRNJcQcYOZKgFc1GChviMvm1TGtYWv2w5cT0LvuaEKu4qxaSkGQgcOHeMWHLtrbAOSVrtffCovnHutNnwv5WQl4oWt53IvNoCnok4YNXOBL3JMnwIDAQABo4HAMIG9MAwGA1UdEwEB/wQCMAAwFgYDVR0lAQH/BAwwCgYIKwYBBQUHAwIwIgYLKoZIhvcUAQWCHAIEEwSBEDeAu6RCePZLv2lVAIBLEUAwIgYLKoZIhvcUAQWCHAMEEwSBEOdiFu2Om9ZOp2+hFpdq/TowIgYLKoZIhvcUAQWCHAUEEwSBENtQLXUQ4WNMkzxjOS8EBIowFAYLKoZIhvcUAQWCHAgEBQSBAlNBMBMGCyqGSIb3FAEFghwHBAQEgQEwMA0GCSqGSIb3DQEBCwUAA4IBAQB3XoljpungRGzDCDCvNS6y6LXxmfs3ZH+NnVoypWPyyX5IgDJR9Y5J9PtfWekLvZLODzm9X7c5TYcqZYfHw6W/d3D0PPIO5jNcLS9Kb+j/fnDHvpEMd3LRNoXsg0A1GSPz1i1CiqeSQk5WuvcXb/CVwv4ZgpnNIvMEomcdWXYeLS14S+aYxWDEPjaPkNtqRNJAqoUFIHPfeOslDxfKW16do5F16VL3T3iboqzt/4BNo3S1NT+An8Mg0EjRy2YZusswuvkGQljumW7EP85Cv30g5AON/QeZZql8RIgXT4R1pzv48UsNznH0GvL3jRcdI80PlApv2F1/kOU3tjMmzbm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</Transform>
          <Transform Algorithm="http://www.w3.org/TR/2001/REC-xml-c14n-20010315"/>
        </Transforms>
        <DigestMethod Algorithm="http://www.w3.org/2001/04/xmlenc#sha256"/>
        <DigestValue>CQWBrWZEkze+W4vmkz/s3Bo/UxuyeqopmHZM507EKeI=</DigestValue>
      </Reference>
      <Reference URI="/xl/calcChain.xml?ContentType=application/vnd.openxmlformats-officedocument.spreadsheetml.calcChain+xml">
        <DigestMethod Algorithm="http://www.w3.org/2001/04/xmlenc#sha256"/>
        <DigestValue>e930DYPJcpH8M3odjr/uc6UAxPSBc5/Xumzby/bolRo=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fELFnqMc531iehO8E10qUnjU3FFGSSVfKvsVGL702GU=</DigestValue>
      </Reference>
      <Reference URI="/xl/drawings/drawing1.xml?ContentType=application/vnd.openxmlformats-officedocument.drawing+xml">
        <DigestMethod Algorithm="http://www.w3.org/2001/04/xmlenc#sha256"/>
        <DigestValue>4WISZZ26/9hPct0KnzzD9CPr3s5hWP051biKzF4T4do=</DigestValue>
      </Reference>
      <Reference URI="/xl/drawings/vmlDrawing1.vml?ContentType=application/vnd.openxmlformats-officedocument.vmlDrawing">
        <DigestMethod Algorithm="http://www.w3.org/2001/04/xmlenc#sha256"/>
        <DigestValue>dHUdiJSGFaSOdFqUaMcNgeKEC3OLFQ7mmwN2zjB5Q8I=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HRHPvb1+UX5W9CR5NPUeU1tgfIlLEbsfsxPSvQDlX/c=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U00eCu9YsSMz9sEcBYmkLwmTGs7DXb5pWnZ/NOn3Ub4=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WjFOSBQIheZGzTPMx+9yS7bNS1MUwOwCg3POZH1/nUM=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YKp4EJZuJxht4Ft7IT+9lclLk3UIjcrPQUubsO/Sr9E=</DigestValue>
      </Reference>
      <Reference URI="/xl/media/image1.png?ContentType=image/png">
        <DigestMethod Algorithm="http://www.w3.org/2001/04/xmlenc#sha256"/>
        <DigestValue>RJZkomf18YALunTB7k5cnr+rzZEe72Am0ekk+OYIV2g=</DigestValue>
      </Reference>
      <Reference URI="/xl/media/image2.emf?ContentType=image/x-emf">
        <DigestMethod Algorithm="http://www.w3.org/2001/04/xmlenc#sha256"/>
        <DigestValue>OOoSl5G7RyPLQ3YrzErZcEpyzNikIHa3OnFfmuSI7Rw=</DigestValue>
      </Reference>
      <Reference URI="/xl/media/image3.emf?ContentType=image/x-emf">
        <DigestMethod Algorithm="http://www.w3.org/2001/04/xmlenc#sha256"/>
        <DigestValue>aniL7eupNebQsS4Z2eAiChuMx1dHRPE5qkxK14AgTMg=</DigestValue>
      </Reference>
      <Reference URI="/xl/media/image4.emf?ContentType=image/x-emf">
        <DigestMethod Algorithm="http://www.w3.org/2001/04/xmlenc#sha256"/>
        <DigestValue>ycBsnnduRxWgmYcrx82bI0rBCzwExCo1WtJA2rtRkbQ=</DigestValue>
      </Reference>
      <Reference URI="/xl/media/image5.emf?ContentType=image/x-emf">
        <DigestMethod Algorithm="http://www.w3.org/2001/04/xmlenc#sha256"/>
        <DigestValue>afj49RotFC7wwGNTA4iOrxhpm93uVMSOdwlquJgcC/g=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NJOPursJYaxU0Kdf6+A8kREnXPIHc2X+HMLM/usSuxI=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Z1yPB/+JMC3XU7ndIU1PHnpyNevivIZSZay+wUuZLcI=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82CWjG14gjPTXYzaQ5EeiMNpaiRJfrnQuQyg9+P6+Jg=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82CWjG14gjPTXYzaQ5EeiMNpaiRJfrnQuQyg9+P6+Jg=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82CWjG14gjPTXYzaQ5EeiMNpaiRJfrnQuQyg9+P6+Jg=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OdzX+FE65lCPU3ycmPLF7TRK7uRZmzrHejsN8fFzhME=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82CWjG14gjPTXYzaQ5EeiMNpaiRJfrnQuQyg9+P6+Jg=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xbKD5L6ZNApQunU00xqAhOKyD0SApehgMLJGSmgbFaU=</DigestValue>
      </Reference>
      <Reference URI="/xl/styles.xml?ContentType=application/vnd.openxmlformats-officedocument.spreadsheetml.styles+xml">
        <DigestMethod Algorithm="http://www.w3.org/2001/04/xmlenc#sha256"/>
        <DigestValue>AXxo4dCogpQaXQZLUCBUR/41KUYNzHtxm88/oASa2cI=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Zlttlr0iIqiLyIzqAqJZNoacLJXSYTcrRGEdRlOzCpw=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FuhtMCXyAFvaPZaaKGtcLPz+6Mjz4DdebGCvq4QW6FQ=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bka0CIrXp6Wltt1ACQhaqKRF7rKSNvIVUVyWJY8Ac5I=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zksgPvcDYqJmzf9mAHaDQD5KXhAez1NrSsGsJsLgdxM=</DigestValue>
      </Reference>
      <Reference URI="/xl/worksheets/sheet10.xml?ContentType=application/vnd.openxmlformats-officedocument.spreadsheetml.worksheet+xml">
        <DigestMethod Algorithm="http://www.w3.org/2001/04/xmlenc#sha256"/>
        <DigestValue>fUvZDO6DJYx5dtq+kerTZafTWRFFkiziTz/8wftXsrY=</DigestValue>
      </Reference>
      <Reference URI="/xl/worksheets/sheet11.xml?ContentType=application/vnd.openxmlformats-officedocument.spreadsheetml.worksheet+xml">
        <DigestMethod Algorithm="http://www.w3.org/2001/04/xmlenc#sha256"/>
        <DigestValue>Yt+iF5Eax6o+8W9TCTlUBL2ULDpyykF+7wiiuaZOdoM=</DigestValue>
      </Reference>
      <Reference URI="/xl/worksheets/sheet12.xml?ContentType=application/vnd.openxmlformats-officedocument.spreadsheetml.worksheet+xml">
        <DigestMethod Algorithm="http://www.w3.org/2001/04/xmlenc#sha256"/>
        <DigestValue>zRF4JFKEwOoFNvXu+1EqAD8Y4pSrPxm+8yq0b0hxmlk=</DigestValue>
      </Reference>
      <Reference URI="/xl/worksheets/sheet13.xml?ContentType=application/vnd.openxmlformats-officedocument.spreadsheetml.worksheet+xml">
        <DigestMethod Algorithm="http://www.w3.org/2001/04/xmlenc#sha256"/>
        <DigestValue>yqjAsuhTf3NpgyfCDq9Nm/I2YvXiAhUG+iE+ySXQQpw=</DigestValue>
      </Reference>
      <Reference URI="/xl/worksheets/sheet14.xml?ContentType=application/vnd.openxmlformats-officedocument.spreadsheetml.worksheet+xml">
        <DigestMethod Algorithm="http://www.w3.org/2001/04/xmlenc#sha256"/>
        <DigestValue>MBuIyUSop4F5/mqOJUqq3UJyke+qwIfDtGwp8vucxoo=</DigestValue>
      </Reference>
      <Reference URI="/xl/worksheets/sheet15.xml?ContentType=application/vnd.openxmlformats-officedocument.spreadsheetml.worksheet+xml">
        <DigestMethod Algorithm="http://www.w3.org/2001/04/xmlenc#sha256"/>
        <DigestValue>hcTQHuJaEY5xjI8Z2zxxyVr7wJfQk0irjI4BHEQ1qFA=</DigestValue>
      </Reference>
      <Reference URI="/xl/worksheets/sheet16.xml?ContentType=application/vnd.openxmlformats-officedocument.spreadsheetml.worksheet+xml">
        <DigestMethod Algorithm="http://www.w3.org/2001/04/xmlenc#sha256"/>
        <DigestValue>QShtvbME4bZjXGxMzk6OtKIB3tRmHGKNySr0eTKkJ6Q=</DigestValue>
      </Reference>
      <Reference URI="/xl/worksheets/sheet17.xml?ContentType=application/vnd.openxmlformats-officedocument.spreadsheetml.worksheet+xml">
        <DigestMethod Algorithm="http://www.w3.org/2001/04/xmlenc#sha256"/>
        <DigestValue>tnTbmCeygwhbv2FN6XLjLQnMHtnf82IT0k4To850fHI=</DigestValue>
      </Reference>
      <Reference URI="/xl/worksheets/sheet18.xml?ContentType=application/vnd.openxmlformats-officedocument.spreadsheetml.worksheet+xml">
        <DigestMethod Algorithm="http://www.w3.org/2001/04/xmlenc#sha256"/>
        <DigestValue>U2w6DngYGM978LwfHeWh467waVUepSObH9w/Njr2Gg0=</DigestValue>
      </Reference>
      <Reference URI="/xl/worksheets/sheet19.xml?ContentType=application/vnd.openxmlformats-officedocument.spreadsheetml.worksheet+xml">
        <DigestMethod Algorithm="http://www.w3.org/2001/04/xmlenc#sha256"/>
        <DigestValue>anGkQJpNn3ddBdp8DmzXr9JK59punE9FUqS+YKX2QVE=</DigestValue>
      </Reference>
      <Reference URI="/xl/worksheets/sheet2.xml?ContentType=application/vnd.openxmlformats-officedocument.spreadsheetml.worksheet+xml">
        <DigestMethod Algorithm="http://www.w3.org/2001/04/xmlenc#sha256"/>
        <DigestValue>g+TllbxzHHMK1cWIAvA4YKb9JbSFCR2J+BDWRmT5ArQ=</DigestValue>
      </Reference>
      <Reference URI="/xl/worksheets/sheet20.xml?ContentType=application/vnd.openxmlformats-officedocument.spreadsheetml.worksheet+xml">
        <DigestMethod Algorithm="http://www.w3.org/2001/04/xmlenc#sha256"/>
        <DigestValue>wf/MPpeFL6c7KscEAUO1IdGb2Dk0EdIuKSB5M2A8mUw=</DigestValue>
      </Reference>
      <Reference URI="/xl/worksheets/sheet21.xml?ContentType=application/vnd.openxmlformats-officedocument.spreadsheetml.worksheet+xml">
        <DigestMethod Algorithm="http://www.w3.org/2001/04/xmlenc#sha256"/>
        <DigestValue>Zkiy6qMr8evtlKTrBaVKpekCCtyYxd6fxmxYc51WwwI=</DigestValue>
      </Reference>
      <Reference URI="/xl/worksheets/sheet22.xml?ContentType=application/vnd.openxmlformats-officedocument.spreadsheetml.worksheet+xml">
        <DigestMethod Algorithm="http://www.w3.org/2001/04/xmlenc#sha256"/>
        <DigestValue>SFwljZZ+UNPZ9bTEWDwUkVeg/fySXyCpFxnhUVhEqzw=</DigestValue>
      </Reference>
      <Reference URI="/xl/worksheets/sheet23.xml?ContentType=application/vnd.openxmlformats-officedocument.spreadsheetml.worksheet+xml">
        <DigestMethod Algorithm="http://www.w3.org/2001/04/xmlenc#sha256"/>
        <DigestValue>OrhQvtWMcA4VYqIzWT8hp6yQS9k1ebsAnbmGhvw1gTI=</DigestValue>
      </Reference>
      <Reference URI="/xl/worksheets/sheet24.xml?ContentType=application/vnd.openxmlformats-officedocument.spreadsheetml.worksheet+xml">
        <DigestMethod Algorithm="http://www.w3.org/2001/04/xmlenc#sha256"/>
        <DigestValue>UpoU1T8In7xV1xXYdf78Vg6u5Q0FXNzb4BnV16CwJc4=</DigestValue>
      </Reference>
      <Reference URI="/xl/worksheets/sheet25.xml?ContentType=application/vnd.openxmlformats-officedocument.spreadsheetml.worksheet+xml">
        <DigestMethod Algorithm="http://www.w3.org/2001/04/xmlenc#sha256"/>
        <DigestValue>j32/TugYFJB2Wa4a/+Zd6Kv5MV/DAQAyDd7G+63iwzk=</DigestValue>
      </Reference>
      <Reference URI="/xl/worksheets/sheet26.xml?ContentType=application/vnd.openxmlformats-officedocument.spreadsheetml.worksheet+xml">
        <DigestMethod Algorithm="http://www.w3.org/2001/04/xmlenc#sha256"/>
        <DigestValue>PMhYwmAfIMt9YLCtyVFYgCe1qekF5iEYUgI8wsncWMw=</DigestValue>
      </Reference>
      <Reference URI="/xl/worksheets/sheet3.xml?ContentType=application/vnd.openxmlformats-officedocument.spreadsheetml.worksheet+xml">
        <DigestMethod Algorithm="http://www.w3.org/2001/04/xmlenc#sha256"/>
        <DigestValue>uT/tehjM8MteAPIyGncKYkAtUyO3+g9Rh4Pu3tHx6mI=</DigestValue>
      </Reference>
      <Reference URI="/xl/worksheets/sheet4.xml?ContentType=application/vnd.openxmlformats-officedocument.spreadsheetml.worksheet+xml">
        <DigestMethod Algorithm="http://www.w3.org/2001/04/xmlenc#sha256"/>
        <DigestValue>zqwmTuN5EB67kxUnSTQ6m2joBo0to2nHtD7yX6gN0a4=</DigestValue>
      </Reference>
      <Reference URI="/xl/worksheets/sheet5.xml?ContentType=application/vnd.openxmlformats-officedocument.spreadsheetml.worksheet+xml">
        <DigestMethod Algorithm="http://www.w3.org/2001/04/xmlenc#sha256"/>
        <DigestValue>HTgzI8aaUE6EbQPcQopDNAMR5UtNgPk7c/YuKLakecE=</DigestValue>
      </Reference>
      <Reference URI="/xl/worksheets/sheet6.xml?ContentType=application/vnd.openxmlformats-officedocument.spreadsheetml.worksheet+xml">
        <DigestMethod Algorithm="http://www.w3.org/2001/04/xmlenc#sha256"/>
        <DigestValue>FeRsYtRE2UJeDZanFfSVtYAu1+E9QTcOjCPeJah9h5I=</DigestValue>
      </Reference>
      <Reference URI="/xl/worksheets/sheet7.xml?ContentType=application/vnd.openxmlformats-officedocument.spreadsheetml.worksheet+xml">
        <DigestMethod Algorithm="http://www.w3.org/2001/04/xmlenc#sha256"/>
        <DigestValue>2B86aIWdNk4XZOG8jYCBsSb9WcOf1BjSb4eQ1M+3Kq0=</DigestValue>
      </Reference>
      <Reference URI="/xl/worksheets/sheet8.xml?ContentType=application/vnd.openxmlformats-officedocument.spreadsheetml.worksheet+xml">
        <DigestMethod Algorithm="http://www.w3.org/2001/04/xmlenc#sha256"/>
        <DigestValue>2DD0Y3TPGUOohtiNmBqnDLrfzUZ6HajVSGaeAN1pSfU=</DigestValue>
      </Reference>
      <Reference URI="/xl/worksheets/sheet9.xml?ContentType=application/vnd.openxmlformats-officedocument.spreadsheetml.worksheet+xml">
        <DigestMethod Algorithm="http://www.w3.org/2001/04/xmlenc#sha256"/>
        <DigestValue>tTnO99ajttZxnG6k/JSoeP8UmPsbG++gYEXA4MrLC9s=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2020-07-06T20:16:57Z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{1E22C5FD-11F6-4174-9396-0CC112D8ABB4}</SetupID>
          <SignatureText>Sady Pereira</SignatureText>
          <SignatureImage/>
          <SignatureComments/>
          <WindowsVersion>10.0</WindowsVersion>
          <OfficeVersion>16.0.12827/20</OfficeVersion>
          <ApplicationVersion>16.0.12827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2020-07-06T20:16:57Z</xd:SigningTime>
          <xd:SigningCertificate>
            <xd:Cert>
              <xd:CertDigest>
                <DigestMethod Algorithm="http://www.w3.org/2001/04/xmlenc#sha256"/>
                <DigestValue>odqxcgpmavEeRAism/01UYDurMUUGHs4iR5D/1GTVP8=</DigestValue>
              </xd:CertDigest>
              <xd:IssuerSerial>
                <X509IssuerName>DC=net + DC=windows + CN=MS-Organization-Access + OU=82dbaca4-3e81-46ca-9c73-0950c1eaca97</X509IssuerName>
                <X509SerialNumber>180043278340132778536953727629240227345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CkBAAB/AAAAAAAAAAAAAACXHwAAkQ0AACBFTUYAAAEArBsAAKoAAAAGAAAAAAAAAAAAAAAAAAAAgAcAADgEAAAJAgAAJQEAAAAAAAAAAAAAAAAAACjzBwCIeAQ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pAQAAfwAAAAAAAAAAAAAAKgEAAIAAAAAhAPAAAAAAAAAAAAAAAIA/AAAAAAAAAAAAAIA/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/AAAAAAAAAAAAAAAqAQAAgAAAACEA8AAAAAAAAAAAAAAAgD8AAAAAAAAAAAAAgD8AAAAAAAAAAAAAAAAAAAAAAAAAAAAAAAAAAAAAAAAAACUAAAAMAAAAAAAAgCgAAAAMAAAAAQAAACcAAAAYAAAAAQAAAAAAAADw8PAAAAAAACUAAAAMAAAAAQAAAEwAAABkAAAAAAAAAAAAAAApAQAAfwAAAAAAAAAAAAAAKgEAAIAAAAAhAPAAAAAAAAAAAAAAAIA/AAAAAAAAAAAAAIA/AAAAAAAAAAAAAAAAAAAAAAAAAAAAAAAAAAAAAAAAAAAlAAAADAAAAAAAAIAoAAAADAAAAAEAAAAnAAAAGAAAAAEAAAAAAAAA////AAAAAAAlAAAADAAAAAEAAABMAAAAZAAAAAAAAAAAAAAAKQEAAH8AAAAAAAAAAAAAACoBAACAAAAAIQDwAAAAAAAAAAAAAACAPwAAAAAAAAAAAACAPwAAAAAAAAAAAAAAAAAAAAAAAAAAAAAAAAAAAAAAAAAAJQAAAAwAAAAAAACAKAAAAAwAAAABAAAAJwAAABgAAAABAAAAAAAAAP///wAAAAAAJQAAAAwAAAABAAAATAAAAGQAAAAAAAAAAAAAACkBAAB/AAAAAAAAAAAAAAAq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AABlH/p/AABNax7p+X8AACBCZR/6fwAAvMyI6fl/AADYFAAAAAAAAEAAAMD5fwAAAABlH/p/AAAJbh7p+X8AAAQAAAAAAAAAIEJlH/p/AACorVB8MAAAALzMiOn5fwAASAAAAPl/AAC8zIjp+X8AAMgjqun5fwAAQNGI6QAAAAABAAAAAAAAAKr1iOn5fwAAAABlH/p/AAAAAAAAAAAAAAAAAAAwAAAAIRQVHvp/AAAAAAAAAAAAAHALAAAAAAAAYJydJHEBAADIr1B8MAAAAAAAAAAAAAAAAAAAAAAAAAAAAAAAAAAAAAAAAAAAAAAAKa9QfDAAAAB8Xh7pZHYACAAAAAAlAAAADAAAAAEAAAAYAAAADAAAAAAAAAASAAAADAAAAAEAAAAeAAAAGAAAAL0AAAAEAAAA9wAAABEAAAAlAAAADAAAAAEAAABUAAAAiAAAAL4AAAAEAAAA9QAAABAAAAABAAAAVRXZQXsJ2UG+AAAABAAAAAoAAABMAAAAAAAAAAAAAAAAAAAA//////////9gAAAAMAA2AC8AMAA3AC8AMgAwADIAMAAGAAAABgAAAAQAAAAGAAAABgAAAAQAAAAGAAAABgAAAAYAAAAGAAAASwAAAEAAAAAwAAAABQAAACAAAAABAAAAAQAAABAAAAAAAAAAAAAAACoBAACAAAAAAAAAAAAAAAAqAQAAgAAAAFIAAABwAQAAAgAAABAAAAAHAAAAAAAAAAAAAAC8AgAAAAAAAAECAiJTAHkAcwB0AGUAbQAAAAAAAAAAAAAAAAAAAAAAAAAAAAAAAAAAAAAAAAAAAAAAAAAAAAAAAAAAAAAAAAAAAAAAAAAAAAkAAAABAAAAaMssHvp/AAAFAAAAcQEAAEieOB76fwAAAAAAAAAAAAAAAAAAAAAAAJivUHwwAAAABQAAAPp/AAAAAAAAAAAAAAAAAAAAAAAAPF6xAnmsAADQoDQ0cQEAAPDnNDRxAQAAcQWKAAAAAABgnJ0kcQEAAOCwUHwAAAAA2LRQfDAAAAAHAAAAAAAAAAAAAAAAAAAAHLBQfDAAAABZsFB8MAAAACEUFR76fwAAcFs4NHEBAAA2TBgeAAAAAO/CmGqYIgAARVNQIAAAAAAcsFB8MAAAAAcAAAAAAAAAAAAAAAAAAAAAAAAAAAAAAAAAAAAAAAAAAg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UO7VJHEBAABoyywe+n8AAFDu1SRxAQAASJ44Hvp/AAAAAAAAAAAAAAAAAAAAAAAA/v////////8CAAAAAAAAAAAAAAAAAAAAAAAAAAAAAAAs264CeawAAAIAAAAAAAAAiEe06Pl/AADg////AAAAAGCcnSRxAQAACCxPfAAAAAAAAAAAAAAAAAYAAAAAAAAAAAAAAAAAAAAsK098MAAAAGkrT3wwAAAAIRQVHvp/AACRAd0AAAAAADAAAAAAAAAAqlAdV0FSAACo+bTo+X8AACwrT3wwAAAABgAAAPp/AAAAAAAAAAAAAAAAAAAAAAAAAAAAAAAAAAAgAAAAZHYACAAAAAAlAAAADAAAAAMAAAAYAAAADAAAAAAAAAASAAAADAAAAAEAAAAWAAAADAAAAAgAAABUAAAAVAAAAAoAAAAnAAAAHgAAAEoAAAABAAAAVRXZQXsJ2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BAAAARwAAACkAAAAzAAAAWQAAABUAAAAhAPAAAAAAAAAAAAAAAIA/AAAAAAAAAAAAAIA/AAAAAAAAAAAAAAAAAAAAAAAAAAAAAAAAAAAAAAAAAAAlAAAADAAAAAAAAIAoAAAADAAAAAQAAABSAAAAcAEAAAQAAADw////AAAAAAAAAAAAAAAAkAEAAAAAAAEAAAAAcwBlAGcAbwBlACAAdQBpAAAAAAAAAAAAAAAAAAAAAAAAAAAAAAAAAAAAAAAAAAAAAAAAAAAAAAAAAAAAAAAAAAAAAADIYtw1cQEAAGjLLB76fwAAyGLcNXEBAABInjge+n8AAAAAAAAAAAAAAAAAAAAAAAAAAAAAAACAPwAAAAAAAIA/AAAAAAAAAAAAAAAAAAAAAGzargJ5rAAAo0c56AAAAAAAAAAAcQEAAPD///8AAAAAYJydJHEBAADILE98AAAAAAAAAAAAAAAACQAAAAAAAAAAAAAAAAAAAOwrT3wwAAAAKSxPfDAAAAAhFBUe+n8AAAAAAABxAQAAAAAAAAAAAABqUB1XQVIAAMDPdzhxAQAA7CtPfDAAAAAJAAAA+n8AAAAAAAAAAAAAAAAAAAAAAAAAAAAAAAAAACAAAABkdgAIAAAAACUAAAAMAAAABAAAABgAAAAMAAAAAAAAABIAAAAMAAAAAQAAAB4AAAAYAAAAKQAAADMAAACCAAAASAAAACUAAAAMAAAABAAAAFQAAACUAAAAKgAAADMAAACAAAAARwAAAAEAAABVFdlBewnZQSoAAAAzAAAADAAAAEwAAAAAAAAAAAAAAAAAAAD//////////2QAAABTAGEAZAB5ACAAUABlAHIAZQBpAHIAYQAJAAAACAAAAAkAAAAIAAAABAAAAAkAAAAIAAAABgAAAAgAAAAEAAAABgAAAAgAAABLAAAAQAAAADAAAAAFAAAAIAAAAAEAAAABAAAAEAAAAAAAAAAAAAAAKgEAAIAAAAAAAAAAAAAAACoBAACAAAAAJQAAAAwAAAACAAAAJwAAABgAAAAFAAAAAAAAAP///wAAAAAAJQAAAAwAAAAFAAAATAAAAGQAAAAAAAAAUAAAACkBAAB8AAAAAAAAAFAAAAAq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ASAAAADAAAAAEAAAAeAAAAGAAAAAkAAABQAAAAAAEAAF0AAAAlAAAADAAAAAEAAABUAAAAlAAAAAoAAABQAAAARwAAAFwAAAABAAAAVRXZQXsJ2UEKAAAAUAAAAAwAAABMAAAAAAAAAAAAAAAAAAAA//////////9kAAAAUwBhAGQAeQAgAFAAZQByAGUAaQByAGEABgAAAAYAAAAHAAAABQAAAAMAAAAGAAAABgAAAAQAAAAGAAAAAwAAAAQAAAAGAAAASwAAAEAAAAAwAAAABQAAACAAAAABAAAAAQAAABAAAAAAAAAAAAAAACoBAACAAAAAAAAAAAAAAAAqAQAAgAAAACUAAAAMAAAAAgAAACcAAAAYAAAABQAAAAAAAAD///8AAAAAACUAAAAMAAAABQAAAEwAAABkAAAACQAAAGAAAAD/AAAAbAAAAAkAAABgAAAA9wAAAA0AAAAhAPAAAAAAAAAAAAAAAIA/AAAAAAAAAAAAAIA/AAAAAAAAAAAAAAAAAAAAAAAAAAAAAAAAAAAAAAAAAAAlAAAADAAAAAAAAIAoAAAADAAAAAUAAAAlAAAADAAAAAEAAAAYAAAADAAAAAAAAAASAAAADAAAAAEAAAAeAAAAGAAAAAkAAABgAAAAAAEAAG0AAAAlAAAADAAAAAEAAABUAAAAfAAAAAoAAABgAAAAOgAAAGwAAAABAAAAVRXZQXsJ2UEKAAAAYAAAAAgAAABMAAAAAAAAAAAAAAAAAAAA//////////9cAAAAQwBvAG4AdABhAGQAbwByAAcAAAAHAAAABwAAAAQAAAAGAAAABwAAAAcAAAAEAAAASwAAAEAAAAAwAAAABQAAACAAAAABAAAAAQAAABAAAAAAAAAAAAAAACoBAACAAAAAAAAAAAAAAAAqAQAAgAAAACUAAAAMAAAAAgAAACcAAAAYAAAABQAAAAAAAAD///8AAAAAACUAAAAMAAAABQAAAEwAAABkAAAACQAAAHAAAAAgAQAAfAAAAAkAAABwAAAAGAEAAA0AAAAhAPAAAAAAAAAAAAAAAIA/AAAAAAAAAAAAAIA/AAAAAAAAAAAAAAAAAAAAAAAAAAAAAAAAAAAAAAAAAAAlAAAADAAAAAAAAIAoAAAADAAAAAUAAAAlAAAADAAAAAEAAAAYAAAADAAAAAAAAAASAAAADAAAAAEAAAAWAAAADAAAAAAAAABUAAAAdAEAAAoAAABwAAAAHwEAAHwAAAABAAAAVRXZQXsJ2UEKAAAAcAAAADEAAABMAAAABAAAAAkAAABwAAAAIQEAAH0AAACwAAAARgBpAHIAbQBhAGQAbwAgAHAAbwByADoAIABhADQAYgBiADgAMAAzADcALQA3ADgANAAyAC0ANABiAGYANgAtAGIAZgA2ADkALQA1ADUAMAAwADgAMAA0AGIAMQAxADQAMAAAAAYAAAADAAAABAAAAAkAAAAGAAAABwAAAAcAAAADAAAABwAAAAcAAAAEAAAAAwAAAAMAAAAGAAAABgAAAAcAAAAHAAAABgAAAAYAAAAGAAAABgAAAAQAAAAGAAAABgAAAAYAAAAGAAAABAAAAAYAAAAHAAAABAAAAAYAAAAEAAAABwAAAAQAAAAGAAAABgAAAAQAAAAGAAAABgAAAAYAAAAGAAAABgAAAAYAAAAGAAAABwAAAAYAAAAGAAAABgAAAAYAAAAWAAAADAAAAAAAAAAlAAAADAAAAAIAAAAOAAAAFAAAAAAAAAAQAAAAFAAAAA==</Object>
  <Object Id="idInvalidSigLnImg">AQAAAGwAAAAAAAAAAAAAACkBAAB/AAAAAAAAAAAAAACXHwAAkQ0AACBFTUYAAAEAGCEAALEAAAAGAAAAAAAAAAAAAAAAAAAAgAcAADgEAAAJAgAAJQEAAAAAAAAAAAAAAAAAACjzBwCIeAQ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pAQAAfwAAAAAAAAAAAAAAKgEAAIAAAAAhAPAAAAAAAAAAAAAAAIA/AAAAAAAAAAAAAIA/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/AAAAAAAAAAAAAAAqAQAAgAAAACEA8AAAAAAAAAAAAAAAgD8AAAAAAAAAAAAAgD8AAAAAAAAAAAAAAAAAAAAAAAAAAAAAAAAAAAAAAAAAACUAAAAMAAAAAAAAgCgAAAAMAAAAAQAAACcAAAAYAAAAAQAAAAAAAADw8PAAAAAAACUAAAAMAAAAAQAAAEwAAABkAAAAAAAAAAAAAAApAQAAfwAAAAAAAAAAAAAAKgEAAIAAAAAhAPAAAAAAAAAAAAAAAIA/AAAAAAAAAAAAAIA/AAAAAAAAAAAAAAAAAAAAAAAAAAAAAAAAAAAAAAAAAAAlAAAADAAAAAAAAIAoAAAADAAAAAEAAAAnAAAAGAAAAAEAAAAAAAAA////AAAAAAAlAAAADAAAAAEAAABMAAAAZAAAAAAAAAAAAAAAKQEAAH8AAAAAAAAAAAAAACoBAACAAAAAIQDwAAAAAAAAAAAAAACAPwAAAAAAAAAAAACAPwAAAAAAAAAAAAAAAAAAAAAAAAAAAAAAAAAAAAAAAAAAJQAAAAwAAAAAAACAKAAAAAwAAAABAAAAJwAAABgAAAABAAAAAAAAAP///wAAAAAAJQAAAAwAAAABAAAATAAAAGQAAAAAAAAAAAAAACkBAAB/AAAAAAAAAAAAAAAq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ABlH/p/AABNax7p+X8AACBCZR/6fwAAvMyI6fl/AADYFAAAAAAAAEAAAMD5fwAAAABlH/p/AAAJbh7p+X8AAAQAAAAAAAAAIEJlH/p/AACorVB8MAAAALzMiOn5fwAASAAAAPl/AAC8zIjp+X8AAMgjqun5fwAAQNGI6QAAAAABAAAAAAAAAKr1iOn5fwAAAABlH/p/AAAAAAAAAAAAAAAAAAAwAAAAIRQVHvp/AAAAAAAAAAAAAHALAAAAAAAAYJydJHEBAADIr1B8MAAAAAAAAAAAAAAAAAAAAAAAAAAAAAAAAAAAAAAAAAAAAAAAKa9QfDAAAAB8Xh7pZHYACAAAAAAlAAAADAAAAAEAAAAYAAAADAAAAP8AAAASAAAADAAAAAEAAAAeAAAAGAAAACIAAAAEAAAAcgAAABEAAAAlAAAADAAAAAEAAABUAAAAqAAAACMAAAAEAAAAcAAAABAAAAABAAAAVRXZQXsJ2UEjAAAABAAAAA8AAABMAAAAAAAAAAAAAAAAAAAA//////////9sAAAARgBpAHIAbQBhACAAbgBvACAAdgDhAGwAaQBkAGEAAAAGAAAAAwAAAAQAAAAJAAAABgAAAAMAAAAHAAAABwAAAAMAAAAFAAAABgAAAAMAAAADAAAABwAAAAYAAABLAAAAQAAAADAAAAAFAAAAIAAAAAEAAAABAAAAEAAAAAAAAAAAAAAAKgEAAIAAAAAAAAAAAAAAACoBAACAAAAAUgAAAHABAAACAAAAEAAAAAcAAAAAAAAAAAAAALwCAAAAAAAAAQICIlMAeQBzAHQAZQBtAAAAAAAAAAAAAAAAAAAAAAAAAAAAAAAAAAAAAAAAAAAAAAAAAAAAAAAAAAAAAAAAAAAAAAAAAAAACQAAAAEAAABoyywe+n8AAAUAAABxAQAASJ44Hvp/AAAAAAAAAAAAAAAAAAAAAAAAmK9QfDAAAAAFAAAA+n8AAAAAAAAAAAAAAAAAAAAAAAA8XrECeawAANCgNDRxAQAA8Oc0NHEBAABxBYoAAAAAAGCcnSRxAQAA4LBQfAAAAADYtFB8MAAAAAcAAAAAAAAAAAAAAAAAAAAcsFB8MAAAAFmwUHwwAAAAIRQVHvp/AABwWzg0cQEAADZMGB4AAAAA78KYapgiAABFU1AgAAAAABywUHwwAAAABwAAAAAAAAAAAAAAAAAAAAAAAAAAAAAAAAAAAAAAAAAC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BQ7tUkcQEAAGjLLB76fwAAUO7VJHEBAABInjge+n8AAAAAAAAAAAAAAAAAAAAAAAD+/////////wIAAAAAAAAAAAAAAAAAAAAAAAAAAAAAACzbrgJ5rAAAAgAAAAAAAACIR7To+X8AAOD///8AAAAAYJydJHEBAAAILE98AAAAAAAAAAAAAAAABgAAAAAAAAAAAAAAAAAAACwrT3wwAAAAaStPfDAAAAAhFBUe+n8AAJEB3QAAAAAAMAAAAAAAAACqUB1XQVIAAKj5tOj5fwAALCtPfDAAAAAGAAAA+n8AAAAAAAAAAAAAAAAAAAAAAAAAAAAAAAAAACAAAAB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IEAAABHAAAAKQAAADMAAABZAAAAFQAAACEA8AAAAAAAAAAAAAAAgD8AAAAAAAAAAAAAgD8AAAAAAAAAAAAAAAAAAAAAAAAAAAAAAAAAAAAAAAAAACUAAAAMAAAAAAAAgCgAAAAMAAAABAAAAFIAAABwAQAABAAAAPD///8AAAAAAAAAAAAAAACQAQAAAAAAAQAAAABzAGUAZwBvAGUAIAB1AGkAAAAAAAAAAAAAAAAAAAAAAAAAAAAAAAAAAAAAAAAAAAAAAAAAAAAAAAAAAAAAAAAAAAAAAMhi3DVxAQAAaMssHvp/AADIYtw1cQEAAEieOB76fwAAAAAAAAAAAAAAAAAAAAAAAAAAAAAAAIA/AAAAAAAAgD8AAAAAAAAAAAAAAAAAAAAAbNquAnmsAACjRznoAAAAAAAAAABxAQAA8P///wAAAABgnJ0kcQEAAMgsT3wAAAAAAAAAAAAAAAAJAAAAAAAAAAAAAAAAAAAA7CtPfDAAAAApLE98MAAAACEUFR76fwAAAAAAAHEBAAAAAAAAAAAAAGpQHVdBUgAAwM93OHEBAADsK098MAAAAAkAAAD6fwAAAAAAAAAAAAAAAAAAAAAAAAAAAAAAAAAAIAAAAGR2AAgAAAAAJQAAAAwAAAAEAAAAGAAAAAwAAAAAAAAAEgAAAAwAAAABAAAAHgAAABgAAAApAAAAMwAAAIIAAABIAAAAJQAAAAwAAAAEAAAAVAAAAJQAAAAqAAAAMwAAAIAAAABHAAAAAQAAAFUV2UF7CdlBKgAAADMAAAAMAAAATAAAAAAAAAAAAAAAAAAAAP//////////ZAAAAFMAYQBkAHkAIABQAGUAcgBlAGkAcgBhAAkAAAAIAAAACQAAAAgAAAAEAAAACQAAAAgAAAAGAAAACAAAAAQAAAAGAAAACAAAAEsAAABAAAAAMAAAAAUAAAAgAAAAAQAAAAEAAAAQAAAAAAAAAAAAAAAqAQAAgAAAAAAAAAAAAAAAKgEAAIAAAAAlAAAADAAAAAIAAAAnAAAAGAAAAAUAAAAAAAAA////AAAAAAAlAAAADAAAAAUAAABMAAAAZAAAAAAAAABQAAAAKQEAAHwAAAAAAAAAUAAAACo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HAAAAXAAAAAEAAABVFdlBewnZQQoAAABQAAAADAAAAEwAAAAAAAAAAAAAAAAAAAD//////////2QAAABTAGEAZAB5ACAAUABlAHIAZQBpAHIAYQAGAAAABgAAAAcAAAAFAAAAAwAAAAYAAAAGAAAABAAAAAYAAAADAAAABAAAAAYAAABLAAAAQAAAADAAAAAFAAAAIAAAAAEAAAABAAAAEAAAAAAAAAAAAAAAKgEAAIAAAAAAAAAAAAAAACo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8AAAACgAAAGAAAAA6AAAAbAAAAAEAAABVFdlBewnZQQoAAABgAAAACAAAAEwAAAAAAAAAAAAAAAAAAAD//////////1wAAABDAG8AbgB0AGEAZABvAHIABwAAAAcAAAAHAAAABAAAAAYAAAAHAAAABwAAAAQAAABLAAAAQAAAADAAAAAFAAAAIAAAAAEAAAABAAAAEAAAAAAAAAAAAAAAKgEAAIAAAAAAAAAAAAAAACoBAACAAAAAJQAAAAwAAAACAAAAJwAAABgAAAAFAAAAAAAAAP///wAAAAAAJQAAAAwAAAAFAAAATAAAAGQAAAAJAAAAcAAAACABAAB8AAAACQAAAHAAAAAYAQAADQAAACEA8AAAAAAAAAAAAAAAgD8AAAAAAAAAAAAAgD8AAAAAAAAAAAAAAAAAAAAAAAAAAAAAAAAAAAAAAAAAACUAAAAMAAAAAAAAgCgAAAAMAAAABQAAACUAAAAMAAAAAQAAABgAAAAMAAAAAAAAABIAAAAMAAAAAQAAABYAAAAMAAAAAAAAAFQAAAB0AQAACgAAAHAAAAAfAQAAfAAAAAEAAABVFdlBewnZQQoAAABwAAAAMQAAAEwAAAAEAAAACQAAAHAAAAAhAQAAfQAAALAAAABGAGkAcgBtAGEAZABvACAAcABvAHIAOgAgAGEANABiAGIAOAAwADMANwAtADcAOAA0ADIALQA0AGIAZgA2AC0AYgBmADYAOQAtADUANQAwADAAOAAwADQAYgAxADEANAAwAAAABgAAAAMAAAAEAAAACQAAAAYAAAAHAAAABwAAAAMAAAAHAAAABwAAAAQAAAADAAAAAwAAAAYAAAAGAAAABwAAAAcAAAAGAAAABgAAAAYAAAAGAAAABAAAAAYAAAAGAAAABgAAAAYAAAAEAAAABgAAAAcAAAAEAAAABgAAAAQAAAAHAAAABAAAAAYAAAAGAAAABAAAAAYAAAAGAAAABgAAAAYAAAAGAAAABgAAAAYAAAAHAAAABgAAAAYAAAAGAAAABg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cWaUC481TC/xlGFShXQMv6DpByb177pl0VVbxfGXMJk=</DigestValue>
    </Reference>
    <Reference Type="http://www.w3.org/2000/09/xmldsig#Object" URI="#idOfficeObject">
      <DigestMethod Algorithm="http://www.w3.org/2001/04/xmlenc#sha256"/>
      <DigestValue>TI5U+ZKfDp7VYgnQcoMm640Kb+bPU2DleVnBB4yuLrQ=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R0Ycrgt/pmhOEuwgYVQFvimxaJzVZ8DIhuMR1pYYGX0=</DigestValue>
    </Reference>
    <Reference Type="http://www.w3.org/2000/09/xmldsig#Object" URI="#idValidSigLnImg">
      <DigestMethod Algorithm="http://www.w3.org/2001/04/xmlenc#sha256"/>
      <DigestValue>MdcJVsWi7cUVIZFbGMI1/ScvnhDjcjxEnozz/oMqv0I=</DigestValue>
    </Reference>
    <Reference Type="http://www.w3.org/2000/09/xmldsig#Object" URI="#idInvalidSigLnImg">
      <DigestMethod Algorithm="http://www.w3.org/2001/04/xmlenc#sha256"/>
      <DigestValue>MqGfWzONoXdi8rxi1AQaG5FdZHSqRVM3TXD0f500lak=</DigestValue>
    </Reference>
  </SignedInfo>
  <SignatureValue>IwPB0MfPyEPsLCbALgBT6ABgnQSGITlpwMibsMKLdFCUVsxhgHeH4DsOBlLIT3/EiF0aSCjl57At
MIXlM60Y+zAe/8vtxVnCeKWhsBPf3eVH5pKLxMOFAKeosxjV4WqVhh5HjdMbVZkKnD6nSuymL/68
KqUAbkiMw+gjZG+xgyyWKFcPKO6DIq29TDf6Kpunedjgo/o1FWk96wYxcQfRk3N8JZTQD/4BHYWR
xQEBnc3KdpaYVOs+hNJrtu5cQ9OLvFf0m03y9dd5MlZ6fhPB0uzu+0wUSiW9eQQHZM0bgBzGFTc8
HBarUybZsJNNZu1duYTt3EHIB3ojNGFcU2V5FA==</SignatureValue>
  <KeyInfo>
    <X509Data>
      <X509Certificate>MIIIATCCBemgAwIBAgIIHXVwyRoUIQgwDQYJKoZIhvcNAQELBQAwWzEXMBUGA1UEBRMOUlVDIDgwMDUwMTcyLTExGjAYBgNVBAMTEUNBLURPQ1VNRU5UQSBTLkEuMRcwFQYDVQQKEw5ET0NVTUVOVEEgUy5BLjELMAkGA1UEBhMCUFkwHhcNMjAwNDI0MTQ1MTExWhcNMjIwNDI0MTUwMTExWjCBozELMAkGA1UEBhMCUFkxGDAWBgNVBAQMD0FDT1NUQSBGRVJSRUlSQTESMBAGA1UEBRMJQ0kyMDQwMTY2MRQwEgYDVQQqDAtBTEJBUk8gSk9TRTEXMBUGA1UECgwOUEVSU09OQSBGSVNJQ0ExETAPBgNVBAsMCEZJUk1BIEYyMSQwIgYDVQQDDBtBTEJBUk8gSk9TRSBBQ09TVEEgRkVSUkVJUkEwggEiMA0GCSqGSIb3DQEBAQUAA4IBDwAwggEKAoIBAQC4l6eZh2Xp3iHVemodzRNncHhMFbl505vOB8tLrYZtGXRB8VheRNDpVH7XtDlCtf3ESqGvly1yqLcSBy+DHCOJy4kGfvkF6YgKEzmNs8FT9S+j710rZDL/4SGiHU2h0Nb6JoWJ02LLAcbOhO/lnklLNKPCQFqk9djgNYcH5tpSaKdKSNznJ2gd1uWw+/LKTRQBiB2s9Tp7MBc8y60q0KMt5JzOiXNaij3zseSCeVM7fuGfeoL7TS1aOI27ZG3XqN/DlljRhDt0GSzaZyHWQLpGNewz95rIyeWA1EPRphVyYel5dWMwvgyZLmBhG8/t67meBazwBpbLnKHLAxLLQu0xAgMBAAGjggN+MIIDejAMBgNVHRMBAf8EAjAAMA4GA1UdDwEB/wQEAwIF4DAqBgNVHSUBAf8EIDAeBggrBgEFBQcDAQYIKwYBBQUHAwIGCCsGAQUFBwMEMB0GA1UdDgQWBBQYk1yuVquO18HD2qbyjT54Mg/j7z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IgYDVR0RBBswGYEXYWFjb3N0YUBpbnZlc3Rvci5jb20ucHk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WqGgJex3hKcXaYfOFblX15DCRiTDvfuuU986Ul0LiFLeZKgpnWAjY6tIqxg5XS+2jgVD9fWOOH7ETzishSIQr/SYjkkiWI4Hxmi2jnUzz9m4eeou653gMNfJY8+1swPa8PmMYmoUqYDMmdOuostq2zrhxssBqnboC5Smem4vbskABYlDzKSEaVwsMLzDjET/vLlb6XKvpl5gulO43z9U85ptlsn2NE0dRF6cW+388jlowx8c7lOZjutynM/6odfr8bOY+GKTUgp700I7HRK/TpwxI9Wi6NTVUMYT8MP1DIcmTUjF0Q640rr5dyPXKjLBL9xAFkyXPquOuyu0QJNxf1IXzpBvlWmezJ1wbIhT8t1d5i8QArdxTrVGq5f90K+Gc/+qXdnTV98n0/ywX1l/nd4f10zhyzExpwKaO0gTEwWBEV8B4BXBLrKbI/tWxGkACZ7ngYZ3NDglzP7WzcN230ddo9J5mWeCXJQ2/zQhtP5yB4iezbk4/kMwGrn6NL9B3tsBQK/olRRDyaHb06uYgU5DSinq7yivigHiWyd2K7ADYcncQOG7ZGlWrS6K/+UyuxAOnVzgM1hCdf2bET9By05utID2J218njz9XnDMCL2wlZ09UjbderuezjPPfmJVEZA0kkFB55LZzuU1DrsZp9qfgCAGK5TUOkceF+oSZB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CQWBrWZEkze+W4vmkz/s3Bo/UxuyeqopmHZM507EKeI=</DigestValue>
      </Reference>
      <Reference URI="/xl/calcChain.xml?ContentType=application/vnd.openxmlformats-officedocument.spreadsheetml.calcChain+xml">
        <DigestMethod Algorithm="http://www.w3.org/2001/04/xmlenc#sha256"/>
        <DigestValue>e930DYPJcpH8M3odjr/uc6UAxPSBc5/Xumzby/bolRo=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fELFnqMc531iehO8E10qUnjU3FFGSSVfKvsVGL702GU=</DigestValue>
      </Reference>
      <Reference URI="/xl/drawings/drawing1.xml?ContentType=application/vnd.openxmlformats-officedocument.drawing+xml">
        <DigestMethod Algorithm="http://www.w3.org/2001/04/xmlenc#sha256"/>
        <DigestValue>4WISZZ26/9hPct0KnzzD9CPr3s5hWP051biKzF4T4do=</DigestValue>
      </Reference>
      <Reference URI="/xl/drawings/vmlDrawing1.vml?ContentType=application/vnd.openxmlformats-officedocument.vmlDrawing">
        <DigestMethod Algorithm="http://www.w3.org/2001/04/xmlenc#sha256"/>
        <DigestValue>dHUdiJSGFaSOdFqUaMcNgeKEC3OLFQ7mmwN2zjB5Q8I=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HRHPvb1+UX5W9CR5NPUeU1tgfIlLEbsfsxPSvQDlX/c=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U00eCu9YsSMz9sEcBYmkLwmTGs7DXb5pWnZ/NOn3Ub4=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WjFOSBQIheZGzTPMx+9yS7bNS1MUwOwCg3POZH1/nUM=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YKp4EJZuJxht4Ft7IT+9lclLk3UIjcrPQUubsO/Sr9E=</DigestValue>
      </Reference>
      <Reference URI="/xl/media/image1.png?ContentType=image/png">
        <DigestMethod Algorithm="http://www.w3.org/2001/04/xmlenc#sha256"/>
        <DigestValue>RJZkomf18YALunTB7k5cnr+rzZEe72Am0ekk+OYIV2g=</DigestValue>
      </Reference>
      <Reference URI="/xl/media/image2.emf?ContentType=image/x-emf">
        <DigestMethod Algorithm="http://www.w3.org/2001/04/xmlenc#sha256"/>
        <DigestValue>OOoSl5G7RyPLQ3YrzErZcEpyzNikIHa3OnFfmuSI7Rw=</DigestValue>
      </Reference>
      <Reference URI="/xl/media/image3.emf?ContentType=image/x-emf">
        <DigestMethod Algorithm="http://www.w3.org/2001/04/xmlenc#sha256"/>
        <DigestValue>aniL7eupNebQsS4Z2eAiChuMx1dHRPE5qkxK14AgTMg=</DigestValue>
      </Reference>
      <Reference URI="/xl/media/image4.emf?ContentType=image/x-emf">
        <DigestMethod Algorithm="http://www.w3.org/2001/04/xmlenc#sha256"/>
        <DigestValue>ycBsnnduRxWgmYcrx82bI0rBCzwExCo1WtJA2rtRkbQ=</DigestValue>
      </Reference>
      <Reference URI="/xl/media/image5.emf?ContentType=image/x-emf">
        <DigestMethod Algorithm="http://www.w3.org/2001/04/xmlenc#sha256"/>
        <DigestValue>afj49RotFC7wwGNTA4iOrxhpm93uVMSOdwlquJgcC/g=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NJOPursJYaxU0Kdf6+A8kREnXPIHc2X+HMLM/usSuxI=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Z1yPB/+JMC3XU7ndIU1PHnpyNevivIZSZay+wUuZLcI=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82CWjG14gjPTXYzaQ5EeiMNpaiRJfrnQuQyg9+P6+Jg=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82CWjG14gjPTXYzaQ5EeiMNpaiRJfrnQuQyg9+P6+Jg=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82CWjG14gjPTXYzaQ5EeiMNpaiRJfrnQuQyg9+P6+Jg=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sddvcy/wD2q76PCUAdJDIOXU61vKhGqriWDI9PzU2PE=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OdzX+FE65lCPU3ycmPLF7TRK7uRZmzrHejsN8fFzhME=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82CWjG14gjPTXYzaQ5EeiMNpaiRJfrnQuQyg9+P6+Jg=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xbKD5L6ZNApQunU00xqAhOKyD0SApehgMLJGSmgbFaU=</DigestValue>
      </Reference>
      <Reference URI="/xl/styles.xml?ContentType=application/vnd.openxmlformats-officedocument.spreadsheetml.styles+xml">
        <DigestMethod Algorithm="http://www.w3.org/2001/04/xmlenc#sha256"/>
        <DigestValue>AXxo4dCogpQaXQZLUCBUR/41KUYNzHtxm88/oASa2cI=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Zlttlr0iIqiLyIzqAqJZNoacLJXSYTcrRGEdRlOzCpw=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FuhtMCXyAFvaPZaaKGtcLPz+6Mjz4DdebGCvq4QW6FQ=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bka0CIrXp6Wltt1ACQhaqKRF7rKSNvIVUVyWJY8Ac5I=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zksgPvcDYqJmzf9mAHaDQD5KXhAez1NrSsGsJsLgdxM=</DigestValue>
      </Reference>
      <Reference URI="/xl/worksheets/sheet10.xml?ContentType=application/vnd.openxmlformats-officedocument.spreadsheetml.worksheet+xml">
        <DigestMethod Algorithm="http://www.w3.org/2001/04/xmlenc#sha256"/>
        <DigestValue>fUvZDO6DJYx5dtq+kerTZafTWRFFkiziTz/8wftXsrY=</DigestValue>
      </Reference>
      <Reference URI="/xl/worksheets/sheet11.xml?ContentType=application/vnd.openxmlformats-officedocument.spreadsheetml.worksheet+xml">
        <DigestMethod Algorithm="http://www.w3.org/2001/04/xmlenc#sha256"/>
        <DigestValue>Yt+iF5Eax6o+8W9TCTlUBL2ULDpyykF+7wiiuaZOdoM=</DigestValue>
      </Reference>
      <Reference URI="/xl/worksheets/sheet12.xml?ContentType=application/vnd.openxmlformats-officedocument.spreadsheetml.worksheet+xml">
        <DigestMethod Algorithm="http://www.w3.org/2001/04/xmlenc#sha256"/>
        <DigestValue>zRF4JFKEwOoFNvXu+1EqAD8Y4pSrPxm+8yq0b0hxmlk=</DigestValue>
      </Reference>
      <Reference URI="/xl/worksheets/sheet13.xml?ContentType=application/vnd.openxmlformats-officedocument.spreadsheetml.worksheet+xml">
        <DigestMethod Algorithm="http://www.w3.org/2001/04/xmlenc#sha256"/>
        <DigestValue>yqjAsuhTf3NpgyfCDq9Nm/I2YvXiAhUG+iE+ySXQQpw=</DigestValue>
      </Reference>
      <Reference URI="/xl/worksheets/sheet14.xml?ContentType=application/vnd.openxmlformats-officedocument.spreadsheetml.worksheet+xml">
        <DigestMethod Algorithm="http://www.w3.org/2001/04/xmlenc#sha256"/>
        <DigestValue>MBuIyUSop4F5/mqOJUqq3UJyke+qwIfDtGwp8vucxoo=</DigestValue>
      </Reference>
      <Reference URI="/xl/worksheets/sheet15.xml?ContentType=application/vnd.openxmlformats-officedocument.spreadsheetml.worksheet+xml">
        <DigestMethod Algorithm="http://www.w3.org/2001/04/xmlenc#sha256"/>
        <DigestValue>hcTQHuJaEY5xjI8Z2zxxyVr7wJfQk0irjI4BHEQ1qFA=</DigestValue>
      </Reference>
      <Reference URI="/xl/worksheets/sheet16.xml?ContentType=application/vnd.openxmlformats-officedocument.spreadsheetml.worksheet+xml">
        <DigestMethod Algorithm="http://www.w3.org/2001/04/xmlenc#sha256"/>
        <DigestValue>QShtvbME4bZjXGxMzk6OtKIB3tRmHGKNySr0eTKkJ6Q=</DigestValue>
      </Reference>
      <Reference URI="/xl/worksheets/sheet17.xml?ContentType=application/vnd.openxmlformats-officedocument.spreadsheetml.worksheet+xml">
        <DigestMethod Algorithm="http://www.w3.org/2001/04/xmlenc#sha256"/>
        <DigestValue>tnTbmCeygwhbv2FN6XLjLQnMHtnf82IT0k4To850fHI=</DigestValue>
      </Reference>
      <Reference URI="/xl/worksheets/sheet18.xml?ContentType=application/vnd.openxmlformats-officedocument.spreadsheetml.worksheet+xml">
        <DigestMethod Algorithm="http://www.w3.org/2001/04/xmlenc#sha256"/>
        <DigestValue>U2w6DngYGM978LwfHeWh467waVUepSObH9w/Njr2Gg0=</DigestValue>
      </Reference>
      <Reference URI="/xl/worksheets/sheet19.xml?ContentType=application/vnd.openxmlformats-officedocument.spreadsheetml.worksheet+xml">
        <DigestMethod Algorithm="http://www.w3.org/2001/04/xmlenc#sha256"/>
        <DigestValue>anGkQJpNn3ddBdp8DmzXr9JK59punE9FUqS+YKX2QVE=</DigestValue>
      </Reference>
      <Reference URI="/xl/worksheets/sheet2.xml?ContentType=application/vnd.openxmlformats-officedocument.spreadsheetml.worksheet+xml">
        <DigestMethod Algorithm="http://www.w3.org/2001/04/xmlenc#sha256"/>
        <DigestValue>g+TllbxzHHMK1cWIAvA4YKb9JbSFCR2J+BDWRmT5ArQ=</DigestValue>
      </Reference>
      <Reference URI="/xl/worksheets/sheet20.xml?ContentType=application/vnd.openxmlformats-officedocument.spreadsheetml.worksheet+xml">
        <DigestMethod Algorithm="http://www.w3.org/2001/04/xmlenc#sha256"/>
        <DigestValue>wf/MPpeFL6c7KscEAUO1IdGb2Dk0EdIuKSB5M2A8mUw=</DigestValue>
      </Reference>
      <Reference URI="/xl/worksheets/sheet21.xml?ContentType=application/vnd.openxmlformats-officedocument.spreadsheetml.worksheet+xml">
        <DigestMethod Algorithm="http://www.w3.org/2001/04/xmlenc#sha256"/>
        <DigestValue>Zkiy6qMr8evtlKTrBaVKpekCCtyYxd6fxmxYc51WwwI=</DigestValue>
      </Reference>
      <Reference URI="/xl/worksheets/sheet22.xml?ContentType=application/vnd.openxmlformats-officedocument.spreadsheetml.worksheet+xml">
        <DigestMethod Algorithm="http://www.w3.org/2001/04/xmlenc#sha256"/>
        <DigestValue>SFwljZZ+UNPZ9bTEWDwUkVeg/fySXyCpFxnhUVhEqzw=</DigestValue>
      </Reference>
      <Reference URI="/xl/worksheets/sheet23.xml?ContentType=application/vnd.openxmlformats-officedocument.spreadsheetml.worksheet+xml">
        <DigestMethod Algorithm="http://www.w3.org/2001/04/xmlenc#sha256"/>
        <DigestValue>OrhQvtWMcA4VYqIzWT8hp6yQS9k1ebsAnbmGhvw1gTI=</DigestValue>
      </Reference>
      <Reference URI="/xl/worksheets/sheet24.xml?ContentType=application/vnd.openxmlformats-officedocument.spreadsheetml.worksheet+xml">
        <DigestMethod Algorithm="http://www.w3.org/2001/04/xmlenc#sha256"/>
        <DigestValue>UpoU1T8In7xV1xXYdf78Vg6u5Q0FXNzb4BnV16CwJc4=</DigestValue>
      </Reference>
      <Reference URI="/xl/worksheets/sheet25.xml?ContentType=application/vnd.openxmlformats-officedocument.spreadsheetml.worksheet+xml">
        <DigestMethod Algorithm="http://www.w3.org/2001/04/xmlenc#sha256"/>
        <DigestValue>j32/TugYFJB2Wa4a/+Zd6Kv5MV/DAQAyDd7G+63iwzk=</DigestValue>
      </Reference>
      <Reference URI="/xl/worksheets/sheet26.xml?ContentType=application/vnd.openxmlformats-officedocument.spreadsheetml.worksheet+xml">
        <DigestMethod Algorithm="http://www.w3.org/2001/04/xmlenc#sha256"/>
        <DigestValue>PMhYwmAfIMt9YLCtyVFYgCe1qekF5iEYUgI8wsncWMw=</DigestValue>
      </Reference>
      <Reference URI="/xl/worksheets/sheet3.xml?ContentType=application/vnd.openxmlformats-officedocument.spreadsheetml.worksheet+xml">
        <DigestMethod Algorithm="http://www.w3.org/2001/04/xmlenc#sha256"/>
        <DigestValue>uT/tehjM8MteAPIyGncKYkAtUyO3+g9Rh4Pu3tHx6mI=</DigestValue>
      </Reference>
      <Reference URI="/xl/worksheets/sheet4.xml?ContentType=application/vnd.openxmlformats-officedocument.spreadsheetml.worksheet+xml">
        <DigestMethod Algorithm="http://www.w3.org/2001/04/xmlenc#sha256"/>
        <DigestValue>zqwmTuN5EB67kxUnSTQ6m2joBo0to2nHtD7yX6gN0a4=</DigestValue>
      </Reference>
      <Reference URI="/xl/worksheets/sheet5.xml?ContentType=application/vnd.openxmlformats-officedocument.spreadsheetml.worksheet+xml">
        <DigestMethod Algorithm="http://www.w3.org/2001/04/xmlenc#sha256"/>
        <DigestValue>HTgzI8aaUE6EbQPcQopDNAMR5UtNgPk7c/YuKLakecE=</DigestValue>
      </Reference>
      <Reference URI="/xl/worksheets/sheet6.xml?ContentType=application/vnd.openxmlformats-officedocument.spreadsheetml.worksheet+xml">
        <DigestMethod Algorithm="http://www.w3.org/2001/04/xmlenc#sha256"/>
        <DigestValue>FeRsYtRE2UJeDZanFfSVtYAu1+E9QTcOjCPeJah9h5I=</DigestValue>
      </Reference>
      <Reference URI="/xl/worksheets/sheet7.xml?ContentType=application/vnd.openxmlformats-officedocument.spreadsheetml.worksheet+xml">
        <DigestMethod Algorithm="http://www.w3.org/2001/04/xmlenc#sha256"/>
        <DigestValue>2B86aIWdNk4XZOG8jYCBsSb9WcOf1BjSb4eQ1M+3Kq0=</DigestValue>
      </Reference>
      <Reference URI="/xl/worksheets/sheet8.xml?ContentType=application/vnd.openxmlformats-officedocument.spreadsheetml.worksheet+xml">
        <DigestMethod Algorithm="http://www.w3.org/2001/04/xmlenc#sha256"/>
        <DigestValue>2DD0Y3TPGUOohtiNmBqnDLrfzUZ6HajVSGaeAN1pSfU=</DigestValue>
      </Reference>
      <Reference URI="/xl/worksheets/sheet9.xml?ContentType=application/vnd.openxmlformats-officedocument.spreadsheetml.worksheet+xml">
        <DigestMethod Algorithm="http://www.w3.org/2001/04/xmlenc#sha256"/>
        <DigestValue>tTnO99ajttZxnG6k/JSoeP8UmPsbG++gYEXA4MrLC9s=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2020-07-07T04:26:15Z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{7A970E3D-6F62-4C60-BFD1-FD0A1AD775F0}</SetupID>
          <SignatureText>Alvaro Acosta</SignatureText>
          <SignatureImage/>
          <SignatureComments/>
          <WindowsVersion>10.0</WindowsVersion>
          <OfficeVersion>16.0.12827/20</OfficeVersion>
          <ApplicationVersion>16.0.12827</ApplicationVersion>
          <Monitors>1</Monitors>
          <HorizontalResolution>3840</HorizontalResolution>
          <VerticalResolution>2160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2020-07-07T04:26:15Z</xd:SigningTime>
          <xd:SigningCertificate>
            <xd:Cert>
              <xd:CertDigest>
                <DigestMethod Algorithm="http://www.w3.org/2001/04/xmlenc#sha256"/>
                <DigestValue>pPIZ1eE3lzMI8YEAXoT8hzPF/d5KdlQKxnoydyGrwj0=</DigestValue>
              </xd:CertDigest>
              <xd:IssuerSerial>
                <X509IssuerName>C=PY, O=DOCUMENTA S.A., CN=CA-DOCUMENTA S.A., SERIALNUMBER=RUC 80050172-1</X509IssuerName>
                <X509SerialNumber>2122726808403321096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UCAAAfAQAAAAAAAAAAAABoEQAAmAgAACBFTUYAAAEAhBsAAKoAAAAGAAAAAAAAAAAAAAAAAAAAAA8AAHAIAAAmAQAApQAAAAAAAAAAAAAAAAAAAHB8BACIhAIACgAAABAAAAAAAAAAAAAAAEsAAAAQAAAAAAAAAAUAAAAeAAAAGAAAAAAAAAAAAAAARgIAACABAAAnAAAAGAAAAAEAAAAAAAAAAAAAAAAAAAAlAAAADAAAAAEAAABMAAAAZAAAAAAAAAAAAAAARQIAAB8BAAAAAAAAAAAAAEYCAAAgAQAAIQDwAAAAAAAAAAAAAACAPwAAAAAAAAAAAACAPwAAAAAAAAAAAAAAAAAAAAAAAAAAAAAAAAAAAAAAAAAAJQAAAAwAAAAAAACAKAAAAAwAAAABAAAAJwAAABgAAAABAAAAAAAAAP///wAAAAAAJQAAAAwAAAABAAAATAAAAGQAAAAAAAAAAAAAAD8CAAAfAQAAAAAAAAAAAABAAgAAIAEAACEA8AAAAAAAAAAAAAAAgD8AAAAAAAAAAAAAgD8AAAAAAAAAAAAAAAAAAAAAAAAAAAAAAAAAAAAAAAAAACUAAAAMAAAAAAAAgCgAAAAMAAAAAQAAACcAAAAYAAAAAQAAAAAAAADw8PAAAAAAACUAAAAMAAAAAQAAAEwAAABkAAAAAAAAAAAAAABFAgAAHwEAAAAAAAAAAAAARgIAACABAAAhAPAAAAAAAAAAAAAAAIA/AAAAAAAAAAAAAIA/AAAAAAAAAAAAAAAAAAAAAAAAAAAAAAAAAAAAAAAAAAAlAAAADAAAAAAAAIAoAAAADAAAAAEAAAAnAAAAGAAAAAEAAAAAAAAA8PDwAAAAAAAlAAAADAAAAAEAAABMAAAAZAAAAAAAAAAAAAAARQIAAB8BAAAAAAAAAAAAAEYCAAAgAQAAIQDwAAAAAAAAAAAAAACAPwAAAAAAAAAAAACAPwAAAAAAAAAAAAAAAAAAAAAAAAAAAAAAAAAAAAAAAAAAJQAAAAwAAAAAAACAKAAAAAwAAAABAAAAJwAAABgAAAABAAAAAAAAAPDw8AAAAAAAJQAAAAwAAAABAAAATAAAAGQAAAAAAAAAAAAAAEUCAAAfAQAAAAAAAAAAAABGAgAAIAEAACEA8AAAAAAAAAAAAAAAgD8AAAAAAAAAAAAAgD8AAAAAAAAAAAAAAAAAAAAAAAAAAAAAAAAAAAAAAAAAACUAAAAMAAAAAAAAgCgAAAAMAAAAAQAAACcAAAAYAAAAAQAAAAAAAADw8PAAAAAAACUAAAAMAAAAAQAAAEwAAABkAAAAAAAAAAAAAABFAgAAHwEAAAAAAAAAAAAARgIAACABAAAhAPAAAAAAAAAAAAAAAIA/AAAAAAAAAAAAAIA/AAAAAAAAAAAAAAAAAAAAAAAAAAAAAAAAAAAAAAAAAAAlAAAADAAAAAAAAIAoAAAADAAAAAEAAAAnAAAAGAAAAAEAAAAAAAAA////AAAAAAAlAAAADAAAAAEAAABMAAAAZAAAAAAAAAAAAAAARQIAAB8BAAAAAAAAAAAAAEYCAAAgAQAAIQDwAAAAAAAAAAAAAACAPwAAAAAAAAAAAACAPwAAAAAAAAAAAAAAAAAAAAAAAAAAAAAAAAAAAAAAAAAAJQAAAAwAAAAAAACAKAAAAAwAAAABAAAAJwAAABgAAAABAAAAAAAAAP///wAAAAAAJQAAAAwAAAABAAAATAAAAGQAAAAAAAAAAAAAAEUCAAAfAQAAAAAAAAAAAABGAgAAIAEAACEA8AAAAAAAAAAAAAAAgD8AAAAAAAAAAAAAgD8AAAAAAAAAAAAAAAAAAAAAAAAAAAAAAAAAAAAAAAAAACUAAAAMAAAAAAAAgCgAAAAMAAAAAQAAACcAAAAYAAAAAQAAAAAAAAD///8AAAAAACUAAAAMAAAAAQAAAEwAAABkAAAAAAAAAAgAAAA/AgAAKwAAAAAAAAAIAAAAQAIAACQAAAAhAPAAAAAAAAAAAAAAAIA/AAAAAAAAAAAAAIA/AAAAAAAAAAAAAAAAAAAAAAAAAAAAAAAAAAAAAAAAAAAlAAAADAAAAAAAAIAoAAAADAAAAAEAAAAnAAAAGAAAAAEAAAAAAAAA////AAAAAAAlAAAADAAAAAEAAABMAAAAZAAAALEBAAAKAAAAEgIAACkAAACxAQAACgAAAGIAAAAgAAAAIQDwAAAAAAAAAAAAAACAPwAAAAAAAAAAAACAPwAAAAAAAAAAAAAAAAAAAAAAAAAAAAAAAAAAAAAAAAAAJQAAAAwAAAAAAACAKAAAAAwAAAABAAAAUgAAAHABAAABAAAA6P///wAAAAAAAAAAAAAAAJABAAAAAAABAAAAAHMAZQBnAG8AZQAgAHUAaQAAAAAAAAAAAAAAAAAAAAAAAAAAAAAAAAAAAAAAAAAAAAAAAAAAAAAAAAAAAAAAAAAAAOJfCQAAAAkAAADQwi8DQEk4dj50TGDQ3qcAUOpKAyUAAACF/5PHAImnD0CJpw9kW05guP+S00jDLwPO4uNfAgIAAOzCLwMlAAAAMwAAAGAAAAAzAAAAIgAAAJy0UgVw/pLT/////4q/dSox6ONfgMQvA9nZAHXQwi8DAAAAAAAAAHUCAgAA6P///wAAAAAAAAAAAAAAAJABAAAAAAABAAAAAHMAZQBnAG8AZQAgAHUAaQAgHFgHNMMvAxGx4HQAADh2KMMvAwAAAAAwwy8DAAAAALHI4l8AADh2AAAAABMAFAA+dExgQEk4dkjDLwM0X9J1AAA4dj50TGCxyOJfZHYACAAAAAAlAAAADAAAAAEAAAAYAAAADAAAAAAAAAASAAAADAAAAAEAAAAeAAAAGAAAALEBAAAKAAAAEwIAACoAAAAlAAAADAAAAAEAAABUAAAAfAAAALIBAAAKAAAAEQIAACkAAAABAAAAAAD1QMdx9ECyAQAACgAAAAgAAABMAAAAAAAAAAAAAAAAAAAA//////////9cAAAANwAvADcALwAyADAAMgAwAA0AAAAJAAAADQAAAAkAAAANAAAADQAAAA0AAAANAAAASwAAAEAAAAAwAAAABQAAACAAAAABAAAAAQAAABAAAAAAAAAAAAAAAEYCAAAgAQAAAAAAAAAAAABGAgAAIAEAAFIAAABwAQAAAgAAABQAAAAJAAAAAAAAAAAAAAC8AgAAAAAAAAECAiJTAHkAcwB0AGUAbQAAAAAAAAAAAAAAAAAAAAAAAAAAAAAAAAAAAAAAAAAAAAAAAAAAAAAAAAAAAAAAAAAAAAAAAAAvAx5VT3d46y8DvlVPdwkAAABQ6koD6VVPd8TrLwNQ6koDFHRMYAAAAAAUdExgAAAAAFDqSgMAAAAAAAAAAAAAAAAAAAAAePdKAwAAAAAAAAAAAAAAAAAAAAAAAAAAAAAAAAAAAAAAAAAAAAAAAAAAAAAAAAAAAAAAAAAAAAAAAAAAAAAAAA4ADAAkNFgHbOwvA6ItSncAAAAAAQAAAMTrLwP//wAAAAAAAFwwSndcMEp3KOwvA5zsLwOg7C8DAAAAAAAAAACGQeF0scjiX1QGuv8HAAAA1OwvA+Rd13QB2AAA1OwvAwAAAAAAAAAAAAAAAAAAAAAAAAAAmJWIHGR2AAgAAAAAJQAAAAwAAAACAAAAJwAAABgAAAADAAAAAAAAAAAAAAAAAAAAJQAAAAwAAAADAAAATAAAAGQAAAAAAAAAAAAAAP//////////AAAAADQAAAAAAAAAagAAACEA8AAAAAAAAAAAAAAAgD8AAAAAAAAAAAAAgD8AAAAAAAAAAAAAAAAAAAAAAAAAAAAAAAAAAAAAAAAAACUAAAAMAAAAAAAAgCgAAAAMAAAAAwAAACcAAAAYAAAAAwAAAAAAAAAAAAAAAAAAACUAAAAMAAAAAwAAAEwAAABkAAAAAAAAAAAAAAD//////////wAAAAA0AAAAQAIAAAAAAAAhAPAAAAAAAAAAAAAAAIA/AAAAAAAAAAAAAIA/AAAAAAAAAAAAAAAAAAAAAAAAAAAAAAAAAAAAAAAAAAAlAAAADAAAAAAAAIAoAAAADAAAAAMAAAAnAAAAGAAAAAMAAAAAAAAAAAAAAAAAAAAlAAAADAAAAAMAAABMAAAAZAAAAAAAAAAAAAAA//////////9AAgAANAAAAAAAAABqAAAAIQDwAAAAAAAAAAAAAACAPwAAAAAAAAAAAACAPwAAAAAAAAAAAAAAAAAAAAAAAAAAAAAAAAAAAAAAAAAAJQAAAAwAAAAAAACAKAAAAAwAAAADAAAAJwAAABgAAAADAAAAAAAAAAAAAAAAAAAAJQAAAAwAAAADAAAATAAAAGQAAAAAAAAAngAAAD8CAACfAAAAAAAAAJ4AAABAAgAAAgAAACEA8AAAAAAAAAAAAAAAgD8AAAAAAAAAAAAAgD8AAAAAAAAAAAAAAAAAAAAAAAAAAAAAAAAAAAAAAAAAACUAAAAMAAAAAAAAgCgAAAAMAAAAAwAAACcAAAAYAAAAAwAAAAAAAAD///8AAAAAACUAAAAMAAAAAwAAAEwAAABkAAAAAAAAADQAAAA/AgAAnQAAAAAAAAA0AAAAQAIAAGoAAAAhAPAAAAAAAAAAAAAAAIA/AAAAAAAAAAAAAIA/AAAAAAAAAAAAAAAAAAAAAAAAAAAAAAAAAAAAAAAAAAAlAAAADAAAAAAAAIAoAAAADAAAAAMAAAAnAAAAGAAAAAMAAAAAAAAA////AAAAAAAlAAAADAAAAAMAAABMAAAAZAAAABQAAAB6AAAAKgAAAJ0AAAAUAAAAegAAABcAAAAkAAAAIQDwAAAAAAAAAAAAAACAPwAAAAAAAAAAAACAPwAAAAAAAAAAAAAAAAAAAAAAAAAAAAAAAAAAAAAAAAAAJQAAAAwAAAAAAACAKAAAAAwAAAADAAAAUgAAAHABAAADAAAA4P///wAAAAAAAAAAAAAAAJABAAAAAAABAAAAAGEAcgBpAGEAbAAAAAAAAAAAAAAAAAAAAAAAAAAAAAAAAAAAAAAAAAAAAAAAAAAAAAAAAAAAAAAAAAAAAAAAAAAAAC4DrdoAdSAAAADYmC4DAAAAAMTjKGEAAEoDAAAAACAAAABMnS4DoA8AAPScLgM2o8heIAAAAAEAAAB9lixTeDfYHF+myF7EmC4DaojKXng32BwAAAAAoBpOFywXIF8CAAAAFAAAAPLldCpMnS4DiJouA9nZAHXYmC4DBwAAAAAAAHUCAAAA4P///wAAAAAAAAAAAAAAAJABAAAAAAABAAAAAGEAcgBpAGEAbAAAAAAAAAAAAAAAAAAAAAAAAAAAAAAAAAAAAIZB4XQAAAAAVAa6/wYAAAA8mi4D5F3XdAHYAAA8mi4DAAAAAAAAAAAAAAAAAAAAAAAAAACEmS4DZHYACAAAAAAlAAAADAAAAAMAAAAYAAAADAAAAAAAAAASAAAADAAAAAEAAAAWAAAADAAAAAgAAABUAAAAVAAAABUAAAB6AAAAKQAAAJ0AAAABAAAAAAD1QMdx9EAVAAAAngAAAAEAAABMAAAABAAAABQAAAB6AAAAKwAAAJ4AAABQAAAAWAAQHRUAAAAWAAAADAAAAAAAAAAlAAAADAAAAAIAAAAnAAAAGAAAAAQAAAAAAAAA////AAAAAAAlAAAADAAAAAQAAABMAAAAZAAAAFgAAAA8AAAAKwIAAJ0AAABYAAAAPAAAANQBAABiAAAAIQDwAAAAAAAAAAAAAACAPwAAAAAAAAAAAACAPwAAAAAAAAAAAAAAAAAAAAAAAAAAAAAAAAAAAAAAAAAAJQAAAAwAAAAAAACAKAAAAAwAAAAEAAAAJwAAABgAAAAEAAAAAAAAAP///wAAAAAAJQAAAAwAAAAEAAAATAAAAGQAAABYAAAAPAAAACsCAACVAAAAWAAAADwAAADUAQAAWgAAACEA8AAAAAAAAAAAAAAAgD8AAAAAAAAAAAAAgD8AAAAAAAAAAAAAAAAAAAAAAAAAAAAAAAAAAAAAAAAAACUAAAAMAAAAAAAAgCgAAAAMAAAABAAAACcAAAAYAAAABAAAAAAAAAD///8AAAAAACUAAAAMAAAABAAAAEwAAABkAAAAWAAAAGYAAAAyAQAAlQAAAFgAAABmAAAA2wAAADAAAAAhAPAAAAAAAAAAAAAAAIA/AAAAAAAAAAAAAIA/AAAAAAAAAAAAAAAAAAAAAAAAAAAAAAAAAAAAAAAAAAAlAAAADAAAAAAAAIAoAAAADAAAAAQAAABSAAAAcAEAAAQAAADc////AAAAAAAAAAAAAAAAkAEAAAAAAAEAAAAAcwBlAGcAbwBlACAAdQBpAAAAAAAAAAAAAAAAAAAAAAAAAAAAAAAAAAAAAAAAAAAAAAAAAAAAAAAAAAAAAAAAAAAALgOt2gB1vAIAAAyZLgMAAAAAUwB5AHMAdABlAG0AAAAAAAAAAAAAAAAAAAAAAAAAAAAAAAAA9VSF8+iYLgPfuP9dAQAAAJCZLgMgDQCEAAAAAOSlk9P0mC4DdbroX/DDSQWYNa8PxuV0KgIAAAC8mi4D2dkAdQyZLgMHAAAAAAAAdTGQLFPc////AAAAAAAAAAAAAAAAkAEAAAAAAAEAAAAAcwBlAGcAbwBlACAAdQBpAAAAAAAAAAAAAAAAAAAAAAAJAAAAAAAAAIZB4XQAAAAAVAa6/wkAAABwmi4D5F3XdAHYAABwmi4DAAAAAAAAAAAAAAAAAAAAAAAAAABkdgAIAAAAACUAAAAMAAAABAAAABgAAAAMAAAAAAAAABIAAAAMAAAAAQAAAB4AAAAYAAAAWAAAAGYAAAAzAQAAlgAAACUAAAAMAAAABAAAAFQAAACcAAAAWQAAAGYAAAAxAQAAlQAAAAEAAAAAAPVAx3H0QFkAAABmAAAADQAAAEwAAAAAAAAAAAAAAAAAAAD//////////2gAAABBAGwAdgBhAHIAbwAgAEEAYwBvAHMAdABhAP//FwAAAAkAAAARAAAAEgAAAA0AAAAVAAAACgAAABcAAAARAAAAFQAAAA8AAAAMAAAAEgAAAEsAAABAAAAAMAAAAAUAAAAgAAAAAQAAAAEAAAAQAAAAAAAAAAAAAABGAgAAIAEAAAAAAAAAAAAARgIAACABAAAlAAAADAAAAAIAAAAnAAAAGAAAAAUAAAAAAAAA////AAAAAAAlAAAADAAAAAUAAABMAAAAZAAAAAAAAACoAAAARQIAABcBAAAAAAAAqAAAAEYCAABwAAAAIQDwAAAAAAAAAAAAAACAPwAAAAAAAAAAAACAPwAAAAAAAAAAAAAAAAAAAAAAAAAAAAAAAAAAAAAAAAAAJQAAAAwAAAAAAACAKAAAAAwAAAAFAAAAJwAAABgAAAAFAAAAAAAAAP///wAAAAAAJQAAAAwAAAAFAAAATAAAAGQAAAAtAAAAqAAAABgCAADHAAAALQAAAKgAAADsAQAAIAAAACEA8AAAAAAAAAAAAAAAgD8AAAAAAAAAAAAAgD8AAAAAAAAAAAAAAAAAAAAAAAAAAAAAAAAAAAAAAAAAACUAAAAMAAAAAAAAgCgAAAAMAAAABQAAACUAAAAMAAAAAQAAABgAAAAMAAAAAAAAABIAAAAMAAAAAQAAAB4AAAAYAAAALQAAAKgAAAAZAgAAyAAAACUAAAAMAAAAAQAAAFQAAACcAAAALgAAAKgAAAC9AAAAxwAAAAEAAAAAAPVAx3H0QC4AAACoAAAADQAAAEwAAAAAAAAAAAAAAAAAAAD//////////2gAAABBAGwAdgBhAHIAbwAgAEEAYwBvAHMAdABhAP//DwAAAAYAAAAMAAAADAAAAAgAAAAOAAAABwAAAA8AAAALAAAADgAAAAoAAAAIAAAADAAAAEsAAABAAAAAMAAAAAUAAAAgAAAAAQAAAAEAAAAQAAAAAAAAAAAAAABGAgAAIAEAAAAAAAAAAAAARgIAACABAAAlAAAADAAAAAIAAAAnAAAAGAAAAAUAAAAAAAAA////AAAAAAAlAAAADAAAAAUAAABMAAAAZAAAAC0AAADQAAAAGAIAAO8AAAAtAAAA0AAAAOwBAAAgAAAAIQDwAAAAAAAAAAAAAACAPwAAAAAAAAAAAACAPwAAAAAAAAAAAAAAAAAAAAAAAAAAAAAAAAAAAAAAAAAAJQAAAAwAAAAAAACAKAAAAAwAAAAFAAAAJQAAAAwAAAABAAAAGAAAAAwAAAAAAAAAEgAAAAwAAAABAAAAHgAAABgAAAAtAAAA0AAAABkCAADwAAAAJQAAAAwAAAABAAAAVAAAAIgAAAAuAAAA0AAAAJ0AAADvAAAAAQAAAAAA9UDHcfRALgAAANAAAAAKAAAATAAAAAAAAAAAAAAAAAAAAP//////////YAAAAFAAcgBlAHMAaQBkAGUAbgB0AGUADQAAAAgAAAANAAAACgAAAAYAAAAOAAAADQAAAA4AAAAIAAAADQAAAEsAAABAAAAAMAAAAAUAAAAgAAAAAQAAAAEAAAAQAAAAAAAAAAAAAABGAgAAIAEAAAAAAAAAAAAARgIAACABAAAlAAAADAAAAAIAAAAnAAAAGAAAAAUAAAAAAAAA////AAAAAAAlAAAADAAAAAUAAABMAAAAZAAAAC0AAAD4AAAAGAIAABcBAAAtAAAA+AAAAOwBAAAgAAAAIQDwAAAAAAAAAAAAAACAPwAAAAAAAAAAAACAPwAAAAAAAAAAAAAAAAAAAAAAAAAAAAAAAAAAAAAAAAAAJQAAAAwAAAAAAACAKAAAAAwAAAAFAAAAJQAAAAwAAAABAAAAGAAAAAwAAAAAAAAAEgAAAAwAAAABAAAAFgAAAAwAAAAAAAAAVAAAADwBAAAuAAAA+AAAABcCAAAXAQAAAQAAAAAA9UDHcfRALgAAAPgAAAAoAAAATAAAAAQAAAAtAAAA+AAAABkCAAAYAQAAnAAAAEYAaQByAG0AYQBkAG8AIABwAG8AcgA6ACAAQQBMAEIAQQBSAE8AIABKAE8AUwBFACAAQQBDAE8AUwBUAEEAIABGAEUAUgBSAEUASQBSAEEADAAAAAYAAAAIAAAAFQAAAAwAAAAOAAAADgAAAAcAAAAOAAAADgAAAAgAAAAFAAAABwAAAA8AAAALAAAADgAAAA8AAAAOAAAAEgAAAAcAAAAJAAAAEgAAAA0AAAAMAAAABwAAAA8AAAAPAAAAEgAAAA0AAAANAAAADwAAAAcAAAAMAAAADAAAAA4AAAAOAAAADAAAAAYAAAAOAAAADwAAABYAAAAMAAAAAAAAACUAAAAMAAAAAgAAAA4AAAAUAAAAAAAAABAAAAAUAAAA</Object>
  <Object Id="idInvalidSigLnImg">AQAAAGwAAAAAAAAAAAAAAEUCAAAfAQAAAAAAAAAAAABoEQAAmAgAACBFTUYAAAEA/CwAALEAAAAGAAAAAAAAAAAAAAAAAAAAAA8AAHAIAAAmAQAApQAAAAAAAAAAAAAAAAAAAHB8BACIhAIACgAAABAAAAAAAAAAAAAAAEsAAAAQAAAAAAAAAAUAAAAeAAAAGAAAAAAAAAAAAAAARgIAACABAAAnAAAAGAAAAAEAAAAAAAAAAAAAAAAAAAAlAAAADAAAAAEAAABMAAAAZAAAAAAAAAAAAAAARQIAAB8BAAAAAAAAAAAAAEYCAAAgAQAAIQDwAAAAAAAAAAAAAACAPwAAAAAAAAAAAACAPwAAAAAAAAAAAAAAAAAAAAAAAAAAAAAAAAAAAAAAAAAAJQAAAAwAAAAAAACAKAAAAAwAAAABAAAAJwAAABgAAAABAAAAAAAAAP///wAAAAAAJQAAAAwAAAABAAAATAAAAGQAAAAAAAAAAAAAAD8CAAAfAQAAAAAAAAAAAABAAgAAIAEAACEA8AAAAAAAAAAAAAAAgD8AAAAAAAAAAAAAgD8AAAAAAAAAAAAAAAAAAAAAAAAAAAAAAAAAAAAAAAAAACUAAAAMAAAAAAAAgCgAAAAMAAAAAQAAACcAAAAYAAAAAQAAAAAAAADw8PAAAAAAACUAAAAMAAAAAQAAAEwAAABkAAAAAAAAAAAAAABFAgAAHwEAAAAAAAAAAAAARgIAACABAAAhAPAAAAAAAAAAAAAAAIA/AAAAAAAAAAAAAIA/AAAAAAAAAAAAAAAAAAAAAAAAAAAAAAAAAAAAAAAAAAAlAAAADAAAAAAAAIAoAAAADAAAAAEAAAAnAAAAGAAAAAEAAAAAAAAA8PDwAAAAAAAlAAAADAAAAAEAAABMAAAAZAAAAAAAAAAAAAAARQIAAB8BAAAAAAAAAAAAAEYCAAAgAQAAIQDwAAAAAAAAAAAAAACAPwAAAAAAAAAAAACAPwAAAAAAAAAAAAAAAAAAAAAAAAAAAAAAAAAAAAAAAAAAJQAAAAwAAAAAAACAKAAAAAwAAAABAAAAJwAAABgAAAABAAAAAAAAAPDw8AAAAAAAJQAAAAwAAAABAAAATAAAAGQAAAAAAAAAAAAAAEUCAAAfAQAAAAAAAAAAAABGAgAAIAEAACEA8AAAAAAAAAAAAAAAgD8AAAAAAAAAAAAAgD8AAAAAAAAAAAAAAAAAAAAAAAAAAAAAAAAAAAAAAAAAACUAAAAMAAAAAAAAgCgAAAAMAAAAAQAAACcAAAAYAAAAAQAAAAAAAADw8PAAAAAAACUAAAAMAAAAAQAAAEwAAABkAAAAAAAAAAAAAABFAgAAHwEAAAAAAAAAAAAARgIAACABAAAhAPAAAAAAAAAAAAAAAIA/AAAAAAAAAAAAAIA/AAAAAAAAAAAAAAAAAAAAAAAAAAAAAAAAAAAAAAAAAAAlAAAADAAAAAAAAIAoAAAADAAAAAEAAAAnAAAAGAAAAAEAAAAAAAAA////AAAAAAAlAAAADAAAAAEAAABMAAAAZAAAAAAAAAAAAAAARQIAAB8BAAAAAAAAAAAAAEYCAAAgAQAAIQDwAAAAAAAAAAAAAACAPwAAAAAAAAAAAACAPwAAAAAAAAAAAAAAAAAAAAAAAAAAAAAAAAAAAAAAAAAAJQAAAAwAAAAAAACAKAAAAAwAAAABAAAAJwAAABgAAAABAAAAAAAAAP///wAAAAAAJQAAAAwAAAABAAAATAAAAGQAAAAAAAAAAAAAAEUCAAAfAQAAAAAAAAAAAABGAgAAIAEAACEA8AAAAAAAAAAAAAAAgD8AAAAAAAAAAAAAgD8AAAAAAAAAAAAAAAAAAAAAAAAAAAAAAAAAAAAAAAAAACUAAAAMAAAAAAAAgCgAAAAMAAAAAQAAACcAAAAYAAAAAQAAAAAAAAD///8AAAAAACUAAAAMAAAAAQAAAEwAAABkAAAAAAAAAAgAAAA/AgAAKwAAAAAAAAAIAAAAQAIAACQAAAAhAPAAAAAAAAAAAAAAAIA/AAAAAAAAAAAAAIA/AAAAAAAAAAAAAAAAAAAAAAAAAAAAAAAAAAAAAAAAAAAlAAAADAAAAAAAAIAoAAAADAAAAAEAAAAnAAAAGAAAAAEAAAAAAAAA////AAAAAAAlAAAADAAAAAEAAABMAAAAZAAAAC0AAAAIAAAAUAAAACsAAAAtAAAACAAAACQAAAAkAAAAIQDwAAAAAAAAAAAAAACAPwAAAAAAAAAAAACAPwAAAAAAAAAAAAAAAAAAAAAAAAAAAAAAAAAAAAAAAAAAJQAAAAwAAAAAAACAKAAAAAwAAAABAAAAFQAAAAwAAAADAAAAcgAAAKAQAAAvAAAACAAAAE4AAAAnAAAALwAAAAgAAAAgAAAAIAAAAAAA/wEAAAAAAAAAAAAAgD8AAAAAAAAAAAAAgD8AAAAAAAAAAP///wAAAAAAbAAAADQAAACgAAAAABAAACAAAAAgAAAAKAAAACAAAAAgAAAAAQAgAAMAAAAAEAAAAAAAAAAAAAAAAAAAAAAAAAAA/wAA/wAA/wAAAAAAAAAAAAAAAAAAAAAAAAAAAAAAAAAAAAAAAAAAAAAAKywswwAAAAAAAAAAAAAAAAAAAAAAAAAAAAAAAAAAAAAAAAAAAAAAABcXW2IvMb7MAAAAAAAAAAAAAAAAAAAAAAAAAAAAAAAAAAAAAAAAAAAAAAAAAAAAAC8xvswXF1tiAAAAAAAAAAAAAAAAAAAAAAAAAAAAAAAAAAAAAAAAAAA4Ojr/ODo6/yssLMMAAAAAAAAAAAAAAAAAAAAAAAAAAAAAAAAAAAAALzG+zDs97f8vMb7MAAAAAAAAAAAAAAAAAAAAAAAAAAAAAAAAAAAAAAAAAAAvMb7MOz3t/y8xvswAAAAAAAAAAAAAAAAAAAAAAAAAAAAAAAAAAAAAAAAAADg6Ov84Ojr/ODo6/zg6Ov8eHx+KAAAAAAAAAAAAAAAAAAAAAAAAAAAAAAAALzG+zDs97f8vMb7MAAAAAAAAAAAAAAAAAAAAAAAAAAAAAAAALzG+zDs97f8vMb7MAAAAAAAAAAAAAAAAAAAAAAAAAAAAAAAAAAAAAAAAAAAAAAAAODo6/zg6Ov9mZ2f/ODo6/zg6Ov8rLCzDEhISURISElESEhJRAAAAAAAAAAAAAAAALzG+zDs97f8vMb7MAAAAAAAAAAAAAAAAAAAAAC8xvsw7Pe3/LzG+zAAAAAAAAAAAAAAAAAAAAAAAAAAAAAAAAAAAAAAAAAAAAAAAAAAAAAA4Ojr/ODo6//r6+v+RkpL/Zmdn/zg6Ov84Ojr/ODo6/zg6Ov9bW1ubAAAAAAAAAAAAAAAALzG+zDs97f8vMb7MAAAAAAAAAAAvMb7MOz3t/y8xvswAAAAAAAAAAAAAAAAAAAAAAAAAAAAAAAAAAAAAAAAAAAAAAAAAAAAAAAAAADg6Ov84Ojr/+vr6//r6+v/6+vr/kZKS/zg6Ov84Ojr/kZKS//r6+v9ra2ttAAAAAAAAAAAAAAAALzG+zDs97f8vMb7MLzG+zDs97f8vMb7MAAAAAAAAAAAAAAAAAAAAAAAAAAAAAAAAAAAAAAAAAAAAAAAAAAAAAAAAAAAAAAAAODo6/zg6Ov/6+vr/+vr6//r6+v/6+vr/+vr6//r6+v/6+vr/+vr6//r6+v9ra2ttAAAAAAAAAAAAAAAALzG+zDs97f87Pe3/LzG+zAAAAAAAAAAAAAAAAAAAAAAAAAAAAAAAAAAAAAAAAAAAAAAAAAAAAAAAAAAAAAAAAAAAAAA4Ojr/ODo6//r6+v/6+vr/+vr6//r6+v/6+vr/+vr6//r6+v/6+vr/+vr6/2tra20AAAAAAAAAAAAAAAAvMb7MOz3t/zs97f8vMb7MAAAAAAAAAAAAAAAAAAAAAAAAAAAAAAAAAAAAAAAAAAAAAAAAAAAAAAAAAAAAAAAAAAAAADg6Ov84Ojr/+vr6//r6+v/6+vr/+vr6//r6+v/6+vr/+vr6//r6+v9ra2ttAAAAAAAAAAAAAAAALzG+zDs97f8vMb7MLzG+zDs97f8vMb7MAAAAAAAAAAAAAAAAAAAAAAAAAAAAAAAAAAAAAAAAAAAAAAAAAAAAAAAAAAAAAAAAODo6/zg6Ov/6+vr/+vr6//r6+v/6+vr/+vr6//r6+v/6+vr/a2trbQAAAAAAAAAAAAAAAC8xvsw7Pe3/LzG+zAAAAAAAAAAALzG+zDs97f8vMb7MAAAAAAAAAAAAAAAAAAAAAAAAAAAAAAAAAAAAAAAAAAAAAAAAAAAAAAAAAAA4Ojr/ODo6//r6+v/6+vr/+vr6//r6+v/6+vr/+vr6/2tra20AAAAAAAAAAAAAAAAvMb7MOz3t/y8xvswAAAAAAAAAAAAAAAAAAAAALzG+zDs97f8vMb7MAAAAAAAAAAAAAAAAAAAAAAAAAAAAAAAAAAAAAAAAAAAAAAAAAAAAADg6Ov84Ojr/+vr6//r6+v/6+vr/+vr6//r6+v9ra2ttAAAAAAAAAAAAAAAALzG+zDs97f8vMb7MAAAAAAAAAAAAAAAAAAAAAAAAAAAAAAAALzG+zDs97f8vMb7MAAAAAAAAAAAAAAAAAAAAAAAAAAAAAAAAAAAAAAAAAAAAAAAAODo6/zg6Ov/6+vr/+vr6//r6+v/6+vr/a2trbQAAAAAAAAAAAAAAAC8xvsw7Pe3/LzG+zAAAAAAAAAAAAAAAAAAAAAAAAAAAAAAAAAAAAAAAAAAALzG+zDs97f8vMb7MAAAAAAAAAAAAAAAAAAAAAAAAAAAAAAAAAAAAAAAAAAA4Ojr/ODo6//r6+v/6+vr/+vr6//r6+v9ra2ttAAAAAAAAAAAAAAAAFxdbYi8xvswAAAAAAAAAAAAAAAAAAAAAAAAAAAAAAAAAAAAAAAAAAAAAAAAAAAAALzG+zBcXW2IAAAAAAAAAAAAAAAAAAAAAAAAAAAAAAAAAAAAAAAAAADg6Ov84Ojr/+vr6/729vf+RkpL/ODo6/zg6Ov9bW1ubAAAAAAAAAAAAAAAAAAAAAAAAAAAAAAAAAAAAAAAAAAAAAAAAAAAAAAAAAAAAAAAAAAAAAAAAAAAAAAAAAAAAAAAAAAAAAAAAAAAAAAAAAAAAAAAAAAAAAAAAAAAAAAAAODo6/zg6Ov9mZ2f/ODo6/zg6Ov84Ojr/ODo6/zg6Ov9bW1ubAAAAAAAAAAAAAAAAAAAAABISElEAAAAAAAAAAAAAAAAAAAAAAAAAAAAAAAAAAAAAAAAAAAAAAAAAAAAAAAAAAAAAAAAAAAAAAAAAAAAAAAAAAAAAAAAAAAAAAAA4Ojr/ODo6/zg6Ov84Ojr/kZKS/729vf/6+vr/+vr6//r6+v9ra2ttAAAAAAAAAABbW1ubODo6/wAAAAAAAAAAAAAAAAAAAAAAAAAAAAAAAAAAAAAAAAAAAAAAAAAAAAAAAAAAAAAAAAAAAAAAAAAAAAAAAAAAAAAAAAAAEhISUTg6Ov84Ojr/Zmdn//r6+v/6+vr/+vr6//r6+v/6+vr/+vr6//r6+v9ra2ttW1tbmzg6Ov84Ojr/AAAAAAAAAAAAAAAAAAAAAAAAAAAAAAAAAAAAAAAAAAAAAAAAAAAAAAAAAAAAAAAAAAAAAAAAAAAAAAAAAAAAAAAAAAArLCzDODo6/2ZnZ//6+vr/+vr6//r6+v/6+vr/+vr6//r6+v/6+vr/+vr6//r6+v/6+vr/Zmdn/zg6Ov8rLCzDAAAAAAAAAAAAAAAAAAAAAAAAAAAAAAAAAAAAAAAAAAAAAAAAAAAAAAAAAAAAAAAAAAAAAAAAAAAAAAAAEhISUTg6Ov84Ojr/+vr6//r6+v/6+vr/+vr6//r6+v/6+vr/+vr6//r6+v/6+vr/+vr6//r6+v/6+vr/ODo6/zg6Ov8SEhJRAAAAAAAAAAAAAAAAAAAAAAAAAAAAAAAAAAAAAAAAAAAAAAAAAAAAAAAAAAAAAAAAAAAAAAAAAAAeHx+KODo6/5GSkv/6+vr/+vr6//r6+v/6+vr/+vr6//r6+v/6+vr/+vr6//r6+v/6+vr/+vr6//r6+v+RkpL/ODo6/yssLMMAAAAAAAAAAAAAAAAAAAAAAAAAAAAAAAAAAAAAAAAAAAAAAAAAAAAAAAAAAAAAAAAAAAAAAAAAADg6Ov84Ojr/vb29//r6+v/6+vr/+vr6//r6+v/6+vr/+vr6//r6+v/6+vr/+vr6//r6+v/6+vr/+vr6//r6+v84Ojr/KywswwAAAAAAAAAAAAAAAAAAAAAAAAAAAAAAAAAAAAAAAAAAAAAAAAAAAAAAAAAAAAAAAAAAAAAAAAAAODo6/zg6Ov/6+vr/+vr6//r6+v/6+vr/+vr6//r6+v/6+vr/+vr6//r6+v/6+vr/+vr6//r6+v/6+vr/+vr6/zg6Ov84Ojr/AAAAAAAAAAAAAAAAAAAAAAAAAAAAAAAAAAAAAAAAAAAAAAAAAAAAAAAAAAAAAAAAAAAAAAAAAAA4Ojr/ODo6//r6+v/6+vr/+vr6//r6+v/6+vr/+vr6//r6+v/6+vr/+vr6//r6+v/6+vr/+vr6//r6+v/6+vr/ODo6/zg6Ov8AAAAAAAAAAAAAAAAAAAAAAAAAAAAAAAAAAAAAAAAAAAAAAAAAAAAAAAAAAAAAAAAAAAAAAAAAACssLMM4Ojr/+vr6//r6+v/6+vr/+vr6//r6+v/6+vr/+vr6//r6+v/6+vr/+vr6//r6+v/6+vr/+vr6/729vf84Ojr/ODo6/wAAAAAAAAAAAAAAAAAAAAAAAAAAAAAAAAAAAAAAAAAAAAAAAAAAAAAAAAAAAAAAAAAAAAAAAAAAKywswzg6Ov+RkpL/+vr6//r6+v/6+vr/+vr6//r6+v/6+vr/+vr6//r6+v/6+vr/+vr6//r6+v/6+vr/kZKS/zg6Ov8eHx+KAAAAAAAAAAAAAAAAAAAAAAAAAAAAAAAAAAAAAAAAAAAAAAAAAAAAAAAAAAAAAAAAAAAAAAAAAAASEhJRODo6/2ZnZ//6+vr/+vr6//r6+v/6+vr/+vr6//r6+v/6+vr/+vr6//r6+v/6+vr/+vr6//r6+v84Ojr/ODo6/xISElEAAAAAAAAAAAAAAAAAAAAAAAAAAAAAAAAAAAAAAAAAAAAAAAAAAAAAAAAAAAAAAAAAAAAAAAAAAAAAAAArLCzDODo6/2ZnZ//6+vr/+vr6//r6+v/6+vr/+vr6//r6+v/6+vr/+vr6//r6+v/6+vr/Zmdn/zg6Ov8rLCzDAAAAAAAAAAAAAAAAAAAAAAAAAAAAAAAAAAAAAAAAAAAAAAAAAAAAAAAAAAAAAAAAAAAAAAAAAAAAAAAAAAAAABISElE4Ojr/ODo6/2ZnZ//6+vr/+vr6//r6+v/6+vr/+vr6//r6+v/6+vr/+vr6/2ZnZ/84Ojr/ODo6/xISElEAAAAAAAAAAAAAAAAAAAAAAAAAAAAAAAAAAAAAAAAAAAAAAAAAAAAAAAAAAAAAAAAAAAAAAAAAAAAAAAAAAAAAAAAAABISElE4Ojr/ODo6/2ZnZ/+RkpL/+vr6//r6+v/6+vr/vb29/5GSkv84Ojr/ODo6/zg6Ov8SEhJRAAAAAAAAAAAAAAAAAAAAAAAAAAAAAAAAAAAAAAAAAAAAAAAAAAAAAAAAAAAAAAAAAAAAAAAAAAAAAAAAAAAAAAAAAAAAAAAAAAAAABISElErLCzDODo6/zg6Ov84Ojr/ODo6/zg6Ov84Ojr/ODo6/zg6Ov8rLCzDEhISUQAAAAAAAAAAAAAAAAAAAAAAAAAAAAAAAAAAAAAAAAAAAAAAAAAAAAAAAAAAAAAAAAAAAAAAAAAAAAAAAAAAAAAAAAAAAAAAAAAAAAAAAAAAAAAAAAAAAAASEhJRKywswyssLMM4Ojr/ODo6/zg6Ov8eHx+KEhISUQAAAAAAAAAAAAAAAAAAAAAAAAAAAAAAAAAAAAAAAAAAAAAAAAAAAAAAAAAAAAAAAAAAAAAnAAAAGAAAAAEAAAAAAAAA////AAAAAAAlAAAADAAAAAEAAABMAAAAZAAAAH4AAAAKAAAAIgEAACkAAAB+AAAACgAAAKUAAAAgAAAAIQDwAAAAAAAAAAAAAACAPwAAAAAAAAAAAACAPwAAAAAAAAAAAAAAAAAAAAAAAAAAAAAAAAAAAAAAAAAAJQAAAAwAAAAAAACAKAAAAAwAAAABAAAAUgAAAHABAAABAAAA6P///wAAAAAAAAAAAAAAAJABAAAAAAABAAAAAHMAZQBnAG8AZQAgAHUAaQAAAAAAAAAAAAAAAAAAAAAAAAAAAAAAAAAAAAAAAAAAAAAAAAAAAAAAAAAAAAAAAAAAAOJfCQAAAAkAAADQwi8DQEk4dj50TGDQ3qcAUOpKAyUAAACF/5PHAImnD0CJpw9kW05guP+S00jDLwPO4uNfAgIAAOzCLwMlAAAAMwAAAGAAAAAzAAAAIgAAAJy0UgVw/pLT/////4q/dSox6ONfgMQvA9nZAHXQwi8DAAAAAAAAAHUCAgAA6P///wAAAAAAAAAAAAAAAJABAAAAAAABAAAAAHMAZQBnAG8AZQAgAHUAaQAgHFgHNMMvAxGx4HQAADh2KMMvAwAAAAAwwy8DAAAAALHI4l8AADh2AAAAABMAFAA+dExgQEk4dkjDLwM0X9J1AAA4dj50TGCxyOJfZHYACAAAAAAlAAAADAAAAAEAAAAYAAAADAAAAP8AAAASAAAADAAAAAEAAAAeAAAAGAAAAH4AAAAKAAAAIwEAACoAAAAlAAAADAAAAAEAAABUAAAAqAAAAH8AAAAKAAAAIQEAACkAAAABAAAAAAD1QMdx9EB/AAAACgAAAA8AAABMAAAAAAAAAAAAAAAAAAAA//////////9sAAAARgBpAHIAbQBhACAAbgBvACAAdgDhAGwAaQBkAGEAAAAMAAAABgAAAAgAAAAVAAAADAAAAAcAAAAOAAAADgAAAAcAAAAMAAAADAAAAAYAAAAGAAAADgAAAAwAAABLAAAAQAAAADAAAAAFAAAAIAAAAAEAAAABAAAAEAAAAAAAAAAAAAAARgIAACABAAAAAAAAAAAAAEYCAAAgAQAAUgAAAHABAAACAAAAFAAAAAkAAAAAAAAAAAAAALwCAAAAAAAAAQICIlMAeQBzAHQAZQBtAAAAAAAAAAAAAAAAAAAAAAAAAAAAAAAAAAAAAAAAAAAAAAAAAAAAAAAAAAAAAAAAAAAAAAAAAC8DHlVPd3jrLwO+VU93CQAAAFDqSgPpVU93xOsvA1DqSgMUdExgAAAAABR0TGAAAAAAUOpKAwAAAAAAAAAAAAAAAAAAAAB490oDAAAAAAAAAAAAAAAAAAAAAAAAAAAAAAAAAAAAAAAAAAAAAAAAAAAAAAAAAAAAAAAAAAAAAAAAAAAAAAAADgAMACQ0WAds7C8Doi1KdwAAAAABAAAAxOsvA///AAAAAAAAXDBKd1wwSnco7C8DnOwvA6DsLwMAAAAAAAAAAIZB4XSxyOJfVAa6/wcAAADU7C8D5F3XdAHYAADU7C8DAAAAAAAAAAAAAAAAAAAAAAAAAACYlYgcZHYACAAAAAAlAAAADAAAAAIAAAAnAAAAGAAAAAMAAAAAAAAAAAAAAAAAAAAlAAAADAAAAAMAAABMAAAAZAAAAAAAAAAAAAAA//////////8AAAAANAAAAAAAAABqAAAAIQDwAAAAAAAAAAAAAACAPwAAAAAAAAAAAACAPwAAAAAAAAAAAAAAAAAAAAAAAAAAAAAAAAAAAAAAAAAAJQAAAAwAAAAAAACAKAAAAAwAAAADAAAAJwAAABgAAAADAAAAAAAAAAAAAAAAAAAAJQAAAAwAAAADAAAATAAAAGQAAAAAAAAAAAAAAP//////////AAAAADQAAABAAgAAAAAAACEA8AAAAAAAAAAAAAAAgD8AAAAAAAAAAAAAgD8AAAAAAAAAAAAAAAAAAAAAAAAAAAAAAAAAAAAAAAAAACUAAAAMAAAAAAAAgCgAAAAMAAAAAwAAACcAAAAYAAAAAwAAAAAAAAAAAAAAAAAAACUAAAAMAAAAAwAAAEwAAABkAAAAAAAAAAAAAAD//////////0ACAAA0AAAAAAAAAGoAAAAhAPAAAAAAAAAAAAAAAIA/AAAAAAAAAAAAAIA/AAAAAAAAAAAAAAAAAAAAAAAAAAAAAAAAAAAAAAAAAAAlAAAADAAAAAAAAIAoAAAADAAAAAMAAAAnAAAAGAAAAAMAAAAAAAAAAAAAAAAAAAAlAAAADAAAAAMAAABMAAAAZAAAAAAAAACeAAAAPwIAAJ8AAAAAAAAAngAAAEACAAACAAAAIQDwAAAAAAAAAAAAAACAPwAAAAAAAAAAAACAPwAAAAAAAAAAAAAAAAAAAAAAAAAAAAAAAAAAAAAAAAAAJQAAAAwAAAAAAACAKAAAAAwAAAADAAAAJwAAABgAAAADAAAAAAAAAP///wAAAAAAJQAAAAwAAAADAAAATAAAAGQAAAAAAAAANAAAAD8CAACdAAAAAAAAADQAAABAAgAAagAAACEA8AAAAAAAAAAAAAAAgD8AAAAAAAAAAAAAgD8AAAAAAAAAAAAAAAAAAAAAAAAAAAAAAAAAAAAAAAAAACUAAAAMAAAAAAAAgCgAAAAMAAAAAwAAACcAAAAYAAAAAwAAAAAAAAD///8AAAAAACUAAAAMAAAAAwAAAEwAAABkAAAAFAAAAHoAAAAqAAAAnQAAABQAAAB6AAAAFwAAACQAAAAhAPAAAAAAAAAAAAAAAIA/AAAAAAAAAAAAAIA/AAAAAAAAAAAAAAAAAAAAAAAAAAAAAAAAAAAAAAAAAAAlAAAADAAAAAAAAIAoAAAADAAAAAMAAABSAAAAcAEAAAMAAADg////AAAAAAAAAAAAAAAAkAEAAAAAAAEAAAAAYQByAGkAYQBsAAAAAAAAAAAAAAAAAAAAAAAAAAAAAAAAAAAAAAAAAAAAAAAAAAAAAAAAAAAAAAAAAAAAAAAAAAAALgOt2gB1IAAAANiYLgMAAAAAxOMoYQAASgMAAAAAIAAAAEydLgOgDwAA9JwuAzajyF4gAAAAAQAAAH2WLFN4N9gcX6bIXsSYLgNqiMpeeDfYHAAAAACgGk4XLBcgXwIAAAAUAAAA8uV0KkydLgOImi4D2dkAddiYLgMHAAAAAAAAdQIAAADg////AAAAAAAAAAAAAAAAkAEAAAAAAAEAAAAAYQByAGkAYQBsAAAAAAAAAAAAAAAAAAAAAAAAAAAAAAAAAAAAhkHhdAAAAABUBrr/BgAAADyaLgPkXdd0AdgAADyaLgMAAAAAAAAAAAAAAAAAAAAAAAAAAISZLgNkdgAIAAAAACUAAAAMAAAAAwAAABgAAAAMAAAAAAAAABIAAAAMAAAAAQAAABYAAAAMAAAACAAAAFQAAABUAAAAFQAAAHoAAAApAAAAnQAAAAEAAAAAAPVAx3H0QBUAAACeAAAAAQAAAEwAAAAEAAAAFAAAAHoAAAArAAAAngAAAFAAAABYAAAAFQAAABYAAAAMAAAAAAAAACUAAAAMAAAAAgAAACcAAAAYAAAABAAAAAAAAAD///8AAAAAACUAAAAMAAAABAAAAEwAAABkAAAAWAAAADwAAAArAgAAnQAAAFgAAAA8AAAA1AEAAGIAAAAhAPAAAAAAAAAAAAAAAIA/AAAAAAAAAAAAAIA/AAAAAAAAAAAAAAAAAAAAAAAAAAAAAAAAAAAAAAAAAAAlAAAADAAAAAAAAIAoAAAADAAAAAQAAAAnAAAAGAAAAAQAAAAAAAAA////AAAAAAAlAAAADAAAAAQAAABMAAAAZAAAAFgAAAA8AAAAKwIAAJUAAABYAAAAPAAAANQBAABaAAAAIQDwAAAAAAAAAAAAAACAPwAAAAAAAAAAAACAPwAAAAAAAAAAAAAAAAAAAAAAAAAAAAAAAAAAAAAAAAAAJQAAAAwAAAAAAACAKAAAAAwAAAAEAAAAJwAAABgAAAAEAAAAAAAAAP///wAAAAAAJQAAAAwAAAAEAAAATAAAAGQAAABYAAAAZgAAADIBAACVAAAAWAAAAGYAAADbAAAAMAAAACEA8AAAAAAAAAAAAAAAgD8AAAAAAAAAAAAAgD8AAAAAAAAAAAAAAAAAAAAAAAAAAAAAAAAAAAAAAAAAACUAAAAMAAAAAAAAgCgAAAAMAAAABAAAAFIAAABwAQAABAAAANz///8AAAAAAAAAAAAAAACQAQAAAAAAAQAAAABzAGUAZwBvAGUAIAB1AGkAAAAAAAAAAAAAAAAAAAAAAAAAAAAAAAAAAAAAAAAAAAAAAAAAAAAAAAAAAAAAAAAAAAAuA63aAHW8AgAADJkuAwAAAABTAHkAcwB0AGUAbQAAAAAAAAAAAAAAAAAAAAAAAAAAAAAAAAD1VIXz6JguA9+4/10BAAAAkJkuAyANAIQAAAAA5KWT0/SYLgN1uuhf8MNJBZg1rw/G5XQqAgAAALyaLgPZ2QB1DJkuAwcAAAAAAAB1MZAsU9z///8AAAAAAAAAAAAAAACQAQAAAAAAAQAAAABzAGUAZwBvAGUAIAB1AGkAAAAAAAAAAAAAAAAAAAAAAAkAAAAAAAAAhkHhdAAAAABUBrr/CQAAAHCaLgPkXdd0AdgAAHCaLgMAAAAAAAAAAAAAAAAAAAAAAAAAAGR2AAgAAAAAJQAAAAwAAAAEAAAAGAAAAAwAAAAAAAAAEgAAAAwAAAABAAAAHgAAABgAAABYAAAAZgAAADMBAACWAAAAJQAAAAwAAAAEAAAAVAAAAJwAAABZAAAAZgAAADEBAACVAAAAAQAAAAAA9UDHcfRAWQAAAGYAAAANAAAATAAAAAAAAAAAAAAAAAAAAP//////////aAAAAEEAbAB2AGEAcgBvACAAQQBjAG8AcwB0AGEAAAAXAAAACQAAABEAAAASAAAADQAAABUAAAAKAAAAFwAAABEAAAAVAAAADwAAAAwAAAASAAAASwAAAEAAAAAwAAAABQAAACAAAAABAAAAAQAAABAAAAAAAAAAAAAAAEYCAAAgAQAAAAAAAAAAAABGAgAAIAEAACUAAAAMAAAAAgAAACcAAAAYAAAABQAAAAAAAAD///8AAAAAACUAAAAMAAAABQAAAEwAAABkAAAAAAAAAKgAAABFAgAAFwEAAAAAAACoAAAARgIAAHAAAAAhAPAAAAAAAAAAAAAAAIA/AAAAAAAAAAAAAIA/AAAAAAAAAAAAAAAAAAAAAAAAAAAAAAAAAAAAAAAAAAAlAAAADAAAAAAAAIAoAAAADAAAAAUAAAAnAAAAGAAAAAUAAAAAAAAA////AAAAAAAlAAAADAAAAAUAAABMAAAAZAAAAC0AAACoAAAAGAIAAMcAAAAtAAAAqAAAAOwBAAAgAAAAIQDwAAAAAAAAAAAAAACAPwAAAAAAAAAAAACAPwAAAAAAAAAAAAAAAAAAAAAAAAAAAAAAAAAAAAAAAAAAJQAAAAwAAAAAAACAKAAAAAwAAAAFAAAAJQAAAAwAAAABAAAAGAAAAAwAAAAAAAAAEgAAAAwAAAABAAAAHgAAABgAAAAtAAAAqAAAABkCAADIAAAAJQAAAAwAAAABAAAAVAAAAJwAAAAuAAAAqAAAAL0AAADHAAAAAQAAAAAA9UDHcfRALgAAAKgAAAANAAAATAAAAAAAAAAAAAAAAAAAAP//////////aAAAAEEAbAB2AGEAcgBvACAAQQBjAG8AcwB0AGEAAAAPAAAABgAAAAwAAAAMAAAACAAAAA4AAAAHAAAADwAAAAsAAAAOAAAACgAAAAgAAAAMAAAASwAAAEAAAAAwAAAABQAAACAAAAABAAAAAQAAABAAAAAAAAAAAAAAAEYCAAAgAQAAAAAAAAAAAABGAgAAIAEAACUAAAAMAAAAAgAAACcAAAAYAAAABQAAAAAAAAD///8AAAAAACUAAAAMAAAABQAAAEwAAABkAAAALQAAANAAAAAYAgAA7wAAAC0AAADQAAAA7AEAACAAAAAhAPAAAAAAAAAAAAAAAIA/AAAAAAAAAAAAAIA/AAAAAAAAAAAAAAAAAAAAAAAAAAAAAAAAAAAAAAAAAAAlAAAADAAAAAAAAIAoAAAADAAAAAUAAAAlAAAADAAAAAEAAAAYAAAADAAAAAAAAAASAAAADAAAAAEAAAAeAAAAGAAAAC0AAADQAAAAGQIAAPAAAAAlAAAADAAAAAEAAABUAAAAiAAAAC4AAADQAAAAnQAAAO8AAAABAAAAAAD1QMdx9EAuAAAA0AAAAAoAAABMAAAAAAAAAAAAAAAAAAAA//////////9gAAAAUAByAGUAcwBpAGQAZQBuAHQAZQANAAAACAAAAA0AAAAKAAAABgAAAA4AAAANAAAADgAAAAgAAAANAAAASwAAAEAAAAAwAAAABQAAACAAAAABAAAAAQAAABAAAAAAAAAAAAAAAEYCAAAgAQAAAAAAAAAAAABGAgAAIAEAACUAAAAMAAAAAgAAACcAAAAYAAAABQAAAAAAAAD///8AAAAAACUAAAAMAAAABQAAAEwAAABkAAAALQAAAPgAAAAYAgAAFwEAAC0AAAD4AAAA7AEAACAAAAAhAPAAAAAAAAAAAAAAAIA/AAAAAAAAAAAAAIA/AAAAAAAAAAAAAAAAAAAAAAAAAAAAAAAAAAAAAAAAAAAlAAAADAAAAAAAAIAoAAAADAAAAAUAAAAlAAAADAAAAAEAAAAYAAAADAAAAAAAAAASAAAADAAAAAEAAAAWAAAADAAAAAAAAABUAAAAPAEAAC4AAAD4AAAAFwIAABcBAAABAAAAAAD1QMdx9EAuAAAA+AAAACgAAABMAAAABAAAAC0AAAD4AAAAGQIAABgBAACcAAAARgBpAHIAbQBhAGQAbwAgAHAAbwByADoAIABBAEwAQgBBAFIATwAgAEoATwBTAEUAIABBAEMATwBTAFQAQQAgAEYARQBSAFIARQBJAFIAQQAMAAAABgAAAAgAAAAVAAAADAAAAA4AAAAOAAAABwAAAA4AAAAOAAAACAAAAAUAAAAHAAAADwAAAAsAAAAOAAAADwAAAA4AAAASAAAABwAAAAkAAAASAAAADQAAAAwAAAAHAAAADwAAAA8AAAASAAAADQAAAA0AAAAPAAAABwAAAAwAAAAMAAAADgAAAA4AAAAMAAAABgAAAA4AAAAP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4</vt:i4>
      </vt:variant>
    </vt:vector>
  </HeadingPairs>
  <TitlesOfParts>
    <vt:vector size="30" baseType="lpstr">
      <vt:lpstr>Indice</vt:lpstr>
      <vt:lpstr>Balance Gral. Resol. 6</vt:lpstr>
      <vt:lpstr>Estado de Resultado Resol. 6</vt:lpstr>
      <vt:lpstr>Flujo de Efectivo Resol. Res 6</vt:lpstr>
      <vt:lpstr>Estado de Variacion PN </vt:lpstr>
      <vt:lpstr>NOTA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DOCUMENTOS Y CTAS A PAGA</vt:lpstr>
      <vt:lpstr>NOTAS M-Q ACREEDORES CTO PLAZO</vt:lpstr>
      <vt:lpstr>NOTA R SALDOS Y TRANSACCIONES </vt:lpstr>
      <vt:lpstr>NOTA S RESULTADOS CON PERSONAS</vt:lpstr>
      <vt:lpstr> NOTA T PATRIMONIO</vt:lpstr>
      <vt:lpstr>NOTA V INGRESOS OPERATIVOS</vt:lpstr>
      <vt:lpstr>NOTA W OTROS GASTOS OPERATIVOS</vt:lpstr>
      <vt:lpstr>NOTA X OTROS INGRESOS Y EGRESOS</vt:lpstr>
      <vt:lpstr>NOTA Y RESULTADOS FINANCIEROS</vt:lpstr>
      <vt:lpstr>NOTA Z RESULT EXTRAORD</vt:lpstr>
      <vt:lpstr>NOTA 6 INFORMACION REFERENTE</vt:lpstr>
      <vt:lpstr>'NOTA 5 A-C CRITERIOS ESPECIF.'!_MON_1268749014</vt:lpstr>
      <vt:lpstr>'Balance Gral. Resol. 6'!Área_de_impresión</vt:lpstr>
      <vt:lpstr>'Estado de Resultado Resol. 6'!Área_de_impresión</vt:lpstr>
      <vt:lpstr>'NOTA W OTROS GASTOS OPERATIVOS'!Área_de_impresión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maria.araujo</cp:lastModifiedBy>
  <dcterms:created xsi:type="dcterms:W3CDTF">2019-11-21T14:06:50Z</dcterms:created>
  <dcterms:modified xsi:type="dcterms:W3CDTF">2020-07-06T20:16:38Z</dcterms:modified>
</cp:coreProperties>
</file>