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70" activeTab="1"/>
  </bookViews>
  <sheets>
    <sheet name="Indice" sheetId="1" r:id="rId1"/>
    <sheet name="Balance Gral. Resol. 6" sheetId="2" r:id="rId2"/>
    <sheet name="Estado de Resultado Resol. 6" sheetId="3" r:id="rId3"/>
    <sheet name="Flujo de Efectivo Resol. Res 6" sheetId="4" r:id="rId4"/>
    <sheet name="Estado de Variacion PN " sheetId="5" r:id="rId5"/>
    <sheet name="NOTA A LOS ESTADOS CONTA. 1-4" sheetId="6" r:id="rId6"/>
    <sheet name="NOTA 5 A-C CRITERIOS ESPECIF." sheetId="7" r:id="rId7"/>
    <sheet name="NOTA D - DISPONIBILIDADES" sheetId="8" r:id="rId8"/>
    <sheet name="NOTA E - INVERSIONES" sheetId="9" r:id="rId9"/>
    <sheet name="NOTA F - CREDITOS" sheetId="10" r:id="rId10"/>
    <sheet name="NOTA G BIENES DE USO" sheetId="11" r:id="rId11"/>
    <sheet name="NOTA H CARGOS DIFERIDOS" sheetId="12" r:id="rId12"/>
    <sheet name=" NOTA I INTANGIBLES" sheetId="13" r:id="rId13"/>
    <sheet name="NOTA J OTROS ACTIVOS CTES Y NO " sheetId="14" r:id="rId14"/>
    <sheet name="NOTA K PRESTAMOS" sheetId="15" r:id="rId15"/>
    <sheet name="NOTA L DOCUMENTOS Y CTAS A PAGA" sheetId="16" r:id="rId16"/>
    <sheet name="NOTAS M-Q ACREEDORES CTO PLAZO" sheetId="17" r:id="rId17"/>
    <sheet name="NOTA R SALDOS Y TRANSACCIONES " sheetId="18" r:id="rId18"/>
    <sheet name="NOTA S RESULTADOS CON PERSONAS" sheetId="19" r:id="rId19"/>
    <sheet name=" NOTA T PATRIMONIO" sheetId="20" r:id="rId20"/>
    <sheet name="NOTA V INGRESOS OPERATIVOS" sheetId="21" r:id="rId21"/>
    <sheet name="NOTA W OTROS GASTOS OPERATIVOS" sheetId="22" r:id="rId22"/>
    <sheet name="NOTA X OTROS INGRESOS Y EGRESOS" sheetId="23" r:id="rId23"/>
    <sheet name="NOTA Y RESULTADOS FINANCIEROS" sheetId="24" r:id="rId24"/>
    <sheet name="NOTA Z RESULT EXTRAORD" sheetId="25" r:id="rId25"/>
    <sheet name="NOTA 6 INFORMACION REFERENTE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MON_1268749014" localSheetId="6">#N/A</definedName>
    <definedName name="a" localSheetId="4">#N/A</definedName>
    <definedName name="a" localSheetId="3">#N/A</definedName>
    <definedName name="a" localSheetId="6">#N/A</definedName>
    <definedName name="a" localSheetId="5">#N/A</definedName>
    <definedName name="a">#N/A</definedName>
    <definedName name="aa" localSheetId="4">#N/A</definedName>
    <definedName name="aa" localSheetId="3">#N/A</definedName>
    <definedName name="aa" localSheetId="6">#N/A</definedName>
    <definedName name="aa" localSheetId="5">#N/A</definedName>
    <definedName name="aa">#N/A</definedName>
    <definedName name="_xlnm.Print_Area" localSheetId="1">#N/A</definedName>
    <definedName name="_xlnm.Print_Area" localSheetId="2">#N/A</definedName>
    <definedName name="_xlnm.Print_Area" localSheetId="21">#N/A</definedName>
    <definedName name="BuiltIn_Print_Area">'[1]anexos'!#REF!</definedName>
    <definedName name="BuiltIn_Print_Area___0">'[1]Balance General Resol 950'!#REF!</definedName>
    <definedName name="BuiltIn_Print_Area___0___0" localSheetId="4">#N/A</definedName>
    <definedName name="BuiltIn_Print_Area___0___0" localSheetId="3">#N/A</definedName>
    <definedName name="BuiltIn_Print_Area___0___0" localSheetId="6">#N/A</definedName>
    <definedName name="BuiltIn_Print_Area___0___0" localSheetId="5">#N/A</definedName>
    <definedName name="BuiltIn_Print_Area___0___0">#N/A</definedName>
    <definedName name="BuiltIn_Print_Area___0___0___0___0" localSheetId="4">'[2]Flujos de efectivo'!#REF!</definedName>
    <definedName name="BuiltIn_Print_Area___0___0___0___0" localSheetId="3">'[2]Flujos de efectivo'!#REF!</definedName>
    <definedName name="BuiltIn_Print_Area___0___0___0___0" localSheetId="6">'[2]Flujos de efectivo'!#REF!</definedName>
    <definedName name="BuiltIn_Print_Area___0___0___0___0" localSheetId="5">'[2]Flujos de efectivo'!#REF!</definedName>
    <definedName name="BuiltIn_Print_Area___0___0___0___0">'[2]Flujos de efectivo'!#REF!</definedName>
    <definedName name="BuiltIn_Print_Area___0___0___0___0___0" localSheetId="4">#N/A</definedName>
    <definedName name="BuiltIn_Print_Area___0___0___0___0___0" localSheetId="3">#N/A</definedName>
    <definedName name="BuiltIn_Print_Area___0___0___0___0___0" localSheetId="6">#N/A</definedName>
    <definedName name="BuiltIn_Print_Area___0___0___0___0___0" localSheetId="5">#N/A</definedName>
    <definedName name="BuiltIn_Print_Area___0___0___0___0___0">#N/A</definedName>
    <definedName name="Clientes" localSheetId="4">#N/A</definedName>
    <definedName name="Clientes" localSheetId="3">#N/A</definedName>
    <definedName name="Clientes" localSheetId="6">#N/A</definedName>
    <definedName name="Clientes" localSheetId="5">#N/A</definedName>
    <definedName name="Clientes">#N/A</definedName>
    <definedName name="DATA16" localSheetId="4">#N/A</definedName>
    <definedName name="DATA16" localSheetId="3">#N/A</definedName>
    <definedName name="DATA16" localSheetId="6">#N/A</definedName>
    <definedName name="DATA16" localSheetId="5">#N/A</definedName>
    <definedName name="DATA16">#N/A</definedName>
    <definedName name="DATA17" localSheetId="4">#N/A</definedName>
    <definedName name="DATA17" localSheetId="3">#N/A</definedName>
    <definedName name="DATA17" localSheetId="6">#N/A</definedName>
    <definedName name="DATA17" localSheetId="5">#N/A</definedName>
    <definedName name="DATA17">#N/A</definedName>
    <definedName name="DATA18" localSheetId="4">#N/A</definedName>
    <definedName name="DATA18" localSheetId="3">#N/A</definedName>
    <definedName name="DATA18" localSheetId="6">#N/A</definedName>
    <definedName name="DATA18" localSheetId="5">#N/A</definedName>
    <definedName name="DATA18">#N/A</definedName>
    <definedName name="DATA20" localSheetId="4">#N/A</definedName>
    <definedName name="DATA20" localSheetId="3">#N/A</definedName>
    <definedName name="DATA20" localSheetId="6">#N/A</definedName>
    <definedName name="DATA20" localSheetId="5">#N/A</definedName>
    <definedName name="DATA20">#N/A</definedName>
    <definedName name="datos" localSheetId="4">#N/A</definedName>
    <definedName name="datos" localSheetId="3">#N/A</definedName>
    <definedName name="datos" localSheetId="6">#N/A</definedName>
    <definedName name="datos" localSheetId="5">#N/A</definedName>
    <definedName name="datos">#N/A</definedName>
    <definedName name="k" localSheetId="4">#N/A</definedName>
    <definedName name="k" localSheetId="3">#N/A</definedName>
    <definedName name="k" localSheetId="6">#N/A</definedName>
    <definedName name="k" localSheetId="5">#N/A</definedName>
    <definedName name="k">#N/A</definedName>
    <definedName name="klkl" localSheetId="4">#N/A</definedName>
    <definedName name="klkl" localSheetId="3">#N/A</definedName>
    <definedName name="klkl" localSheetId="6">#N/A</definedName>
    <definedName name="klkl" localSheetId="5">#N/A</definedName>
    <definedName name="klkl">#N/A</definedName>
    <definedName name="klll" localSheetId="4">#N/A</definedName>
    <definedName name="klll" localSheetId="3">#N/A</definedName>
    <definedName name="klll" localSheetId="6">#N/A</definedName>
    <definedName name="klll" localSheetId="5">#N/A</definedName>
    <definedName name="klll">#N/A</definedName>
    <definedName name="ver" localSheetId="4">#N/A</definedName>
    <definedName name="ver" localSheetId="3">#N/A</definedName>
    <definedName name="ver" localSheetId="6">#N/A</definedName>
    <definedName name="ver" localSheetId="5">#N/A</definedName>
    <definedName name="ver">#N/A</definedName>
    <definedName name="verificar" localSheetId="4">#N/A</definedName>
    <definedName name="verificar" localSheetId="3">#N/A</definedName>
    <definedName name="verificar" localSheetId="6">#N/A</definedName>
    <definedName name="verificar" localSheetId="5">#N/A</definedName>
    <definedName name="verificar">#N/A</definedName>
  </definedNames>
  <calcPr fullCalcOnLoad="1"/>
</workbook>
</file>

<file path=xl/sharedStrings.xml><?xml version="1.0" encoding="utf-8"?>
<sst xmlns="http://schemas.openxmlformats.org/spreadsheetml/2006/main" count="1394" uniqueCount="844">
  <si>
    <t>INVESTOR CASA DE BOLSA S.A.</t>
  </si>
  <si>
    <t xml:space="preserve">BALANCE GENERAL </t>
  </si>
  <si>
    <t xml:space="preserve"> (Expresado en Guaraníes)</t>
  </si>
  <si>
    <t>ACTIVO</t>
  </si>
  <si>
    <t>PASIVO</t>
  </si>
  <si>
    <t>ACTIVO CORRIENTE Nota 5 a</t>
  </si>
  <si>
    <t>PASIVO CORRIENTE</t>
  </si>
  <si>
    <t>1 01</t>
  </si>
  <si>
    <t>DISPONIBILIDADES Nota 5 d</t>
  </si>
  <si>
    <t>DOCUEMENTOS Y CUENTAS A PAGAR</t>
  </si>
  <si>
    <t>1 01 01</t>
  </si>
  <si>
    <t>Caja</t>
  </si>
  <si>
    <t>Acreedores por Intermediación. Nota 5 q</t>
  </si>
  <si>
    <t>Recaudaciones a Depositar</t>
  </si>
  <si>
    <t>Acreedores Varios  - Nota 5 l</t>
  </si>
  <si>
    <t>1 01 01 01</t>
  </si>
  <si>
    <t>Bancos</t>
  </si>
  <si>
    <t>Cuentas por Pagar a Personas y Emp. Relacionadas</t>
  </si>
  <si>
    <t>1 01 01 03</t>
  </si>
  <si>
    <t>Obligaciones  por Contratos de Underwiting</t>
  </si>
  <si>
    <t>Obligaciones por Administracion de Carteras</t>
  </si>
  <si>
    <t>Inversiones Temporarias</t>
  </si>
  <si>
    <t>PRESTAMOS FINANCIEROS - Nota 5 k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</si>
  <si>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</si>
  <si>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</si>
  <si>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</si>
  <si>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</si>
  <si>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</si>
  <si>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</si>
  <si>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1 01 03</t>
  </si>
  <si>
    <t>1 01 03 01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</si>
  <si>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</si>
  <si>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</si>
  <si>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</si>
  <si>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</si>
  <si>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</si>
  <si>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</si>
  <si>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</si>
  <si>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</si>
  <si>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</si>
  <si>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</si>
  <si>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</si>
  <si>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</si>
  <si>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Menos: Prevision por Incobrables a Personas y Emp Relacionadas</t>
  </si>
  <si>
    <t>Derechos sobre titulos por Contratos de Underwiting</t>
  </si>
  <si>
    <t>OTROS ACTIVOS</t>
  </si>
  <si>
    <t>OTROS PASIVOS</t>
  </si>
  <si>
    <t>1 01 03 11</t>
  </si>
  <si>
    <t>Gastos No Devengados</t>
  </si>
  <si>
    <t>1 01 03 13</t>
  </si>
  <si>
    <t>Intereses a Vencer -  Nota 5 h</t>
  </si>
  <si>
    <t>Prestamos de Terceros</t>
  </si>
  <si>
    <t>1 01 03 14</t>
  </si>
  <si>
    <t xml:space="preserve">Seguros a Vencer  -  Nota 5 h </t>
  </si>
  <si>
    <t>Dividendos a Pagar</t>
  </si>
  <si>
    <t>Otros Pasivos Corrientes</t>
  </si>
  <si>
    <t>1 01 15</t>
  </si>
  <si>
    <t>1 01 15 02</t>
  </si>
  <si>
    <t>1 01 15 03</t>
  </si>
  <si>
    <t>Total Activo Corriente</t>
  </si>
  <si>
    <t>Total Pasivo Corriente</t>
  </si>
  <si>
    <t>2 01 15 03</t>
  </si>
  <si>
    <t>ACTIVO NO CORRIENTE</t>
  </si>
  <si>
    <t>PASIVOS NO CORRIENTE</t>
  </si>
  <si>
    <t>INVERSIONES PERMANENTES Nota 5 e</t>
  </si>
  <si>
    <t>PRESTAMOS FINANCIEROS</t>
  </si>
  <si>
    <t>1 01 20</t>
  </si>
  <si>
    <t>Préstamos en Bancos</t>
  </si>
  <si>
    <t>Titulo de Renta Fija</t>
  </si>
  <si>
    <t>1 01 20 01</t>
  </si>
  <si>
    <t>Acciones en la Bolsa de Valores</t>
  </si>
  <si>
    <t>1 01 20 02</t>
  </si>
  <si>
    <t>Otros Valores</t>
  </si>
  <si>
    <t>PREVISIONES</t>
  </si>
  <si>
    <t xml:space="preserve">Instrumentos Financieros Cedidos </t>
  </si>
  <si>
    <t>Prevision para Indeminzacion</t>
  </si>
  <si>
    <t>Otras Contingencias</t>
  </si>
  <si>
    <t>CREDITOS</t>
  </si>
  <si>
    <t>Otros Pasivos No Corrientes</t>
  </si>
  <si>
    <t>1 02</t>
  </si>
  <si>
    <t>1 02 01</t>
  </si>
  <si>
    <t>1 02 01 09</t>
  </si>
  <si>
    <t>Deudores por Gestion en Cobro</t>
  </si>
  <si>
    <t>Total  Pasivo no Corriente</t>
  </si>
  <si>
    <t>Total Pasivo</t>
  </si>
  <si>
    <t>PATRIMONIO NETO  Nota 5 t</t>
  </si>
  <si>
    <t>1 02 02</t>
  </si>
  <si>
    <t>Capital</t>
  </si>
  <si>
    <t>1 02 02 01</t>
  </si>
  <si>
    <t>Capital realizado</t>
  </si>
  <si>
    <t>1 02 02 02</t>
  </si>
  <si>
    <t>Aportes para Futuras Integraciones</t>
  </si>
  <si>
    <t>1 02 02 03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</si>
  <si>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</si>
  <si>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</si>
  <si>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</si>
  <si>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</si>
  <si>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</si>
  <si>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</si>
  <si>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1 02 10</t>
  </si>
  <si>
    <t>Utilidad por valuación BVPSA</t>
  </si>
  <si>
    <t>ACTIVOS INTANGIBLES  Nota 5 i</t>
  </si>
  <si>
    <t>Licencias</t>
  </si>
  <si>
    <t>Marcas</t>
  </si>
  <si>
    <t>Membresia BVPASA</t>
  </si>
  <si>
    <t xml:space="preserve">Resultados   </t>
  </si>
  <si>
    <t>Sistemas Informaticos</t>
  </si>
  <si>
    <t>Resultados Acumulados</t>
  </si>
  <si>
    <t>Amortización Acumulada</t>
  </si>
  <si>
    <t>Resultado del Ejercicio</t>
  </si>
  <si>
    <t>Total Patrimonio Neto</t>
  </si>
  <si>
    <t>Total Pasivo y Patrimonio Neto</t>
  </si>
  <si>
    <t>Garantía de Alquiler   - Nota 5 j</t>
  </si>
  <si>
    <t>Gastos de Constitución</t>
  </si>
  <si>
    <t>1 02 10 01</t>
  </si>
  <si>
    <t>Seguros Pagados por Adelantado</t>
  </si>
  <si>
    <t>1 02 10 02</t>
  </si>
  <si>
    <t>Total Activo no Corriente</t>
  </si>
  <si>
    <t>1 02 20</t>
  </si>
  <si>
    <t>Total de Activos</t>
  </si>
  <si>
    <t>1 02 20 01</t>
  </si>
  <si>
    <t>1 02 20 02</t>
  </si>
  <si>
    <t>1 02 20 03</t>
  </si>
  <si>
    <t>1 02 20 04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</si>
  <si>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</si>
  <si>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</si>
  <si>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</si>
  <si>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</si>
  <si>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</si>
  <si>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</si>
  <si>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</si>
  <si>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</si>
  <si>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</si>
  <si>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</si>
  <si>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</si>
  <si>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</si>
  <si>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</si>
  <si>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</si>
  <si>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</si>
  <si>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</si>
  <si>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</si>
  <si>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</si>
  <si>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</si>
  <si>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</si>
  <si>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</si>
  <si>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</si>
  <si>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</si>
  <si>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</si>
  <si>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</si>
  <si>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</si>
  <si>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</si>
  <si>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</si>
  <si>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</si>
  <si>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</si>
  <si>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</si>
  <si>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</si>
  <si>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</si>
  <si>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</si>
  <si>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</si>
  <si>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</si>
  <si>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</si>
  <si>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</si>
  <si>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</si>
  <si>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Ingresos Operativos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</si>
  <si>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</si>
  <si>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</si>
  <si>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</si>
  <si>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</si>
  <si>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</si>
  <si>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</si>
  <si>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</si>
  <si>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</si>
  <si>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</si>
  <si>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 por Administracion de Carteras</t>
  </si>
  <si>
    <t>ingreso por Custodia de Valores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</si>
  <si>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</si>
  <si>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</si>
  <si>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</si>
  <si>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</si>
  <si>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</si>
  <si>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Ingrsos por Operaciones y Servicios Extrabursatiles</t>
  </si>
  <si>
    <t>Otros Ingresos Operativos</t>
  </si>
  <si>
    <t>Ganancia por Venta de Titulos - Bonos</t>
  </si>
  <si>
    <t>- Dividendos  Cobrados</t>
  </si>
  <si>
    <t>- Otros Ingresos</t>
  </si>
  <si>
    <t>Gastos Operativos</t>
  </si>
  <si>
    <t>Gastos por Comisiones y Servicios</t>
  </si>
  <si>
    <t>Aranceles por negociación Bolsa de Valores</t>
  </si>
  <si>
    <t>Perdida por Venta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</si>
  <si>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</si>
  <si>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</si>
  <si>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</si>
  <si>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</si>
  <si>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</si>
  <si>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</si>
  <si>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Sueldos y Jornales</t>
  </si>
  <si>
    <t>Aporte Patronal</t>
  </si>
  <si>
    <t>Aguinaldos Pagados</t>
  </si>
  <si>
    <t>Bonificacion Familiar</t>
  </si>
  <si>
    <t>Vacaciones Pagadas</t>
  </si>
  <si>
    <t>Indemnizaciones</t>
  </si>
  <si>
    <t>Mantenimiento</t>
  </si>
  <si>
    <t>Alquileres</t>
  </si>
  <si>
    <t>Gastos Generales</t>
  </si>
  <si>
    <t>Seguros</t>
  </si>
  <si>
    <t>Impuestos, Tasas y Contribuciones</t>
  </si>
  <si>
    <t>Otros Gastos de Administración</t>
  </si>
  <si>
    <t>Honorarios Profesianales</t>
  </si>
  <si>
    <t>Remuneracion Personal Superior</t>
  </si>
  <si>
    <t>Servicios Personales</t>
  </si>
  <si>
    <t>Gastos de Capacitación</t>
  </si>
  <si>
    <t>Servicios Contratados</t>
  </si>
  <si>
    <t>Iva Gastos</t>
  </si>
  <si>
    <t>Donaciones y Contribuciones</t>
  </si>
  <si>
    <t>Servicios de Asesoramiento</t>
  </si>
  <si>
    <t>Depreciaciones del Ejercicio</t>
  </si>
  <si>
    <t>Resultado Operativo Neto</t>
  </si>
  <si>
    <t>- Otros ingresos y Egresos</t>
  </si>
  <si>
    <t>Otros Ingresos</t>
  </si>
  <si>
    <t>Otros Egresos</t>
  </si>
  <si>
    <t>Resultados financieros</t>
  </si>
  <si>
    <t>Generados por Activos</t>
  </si>
  <si>
    <t>Intereses cobrados</t>
  </si>
  <si>
    <t>Diferencia de Cambio</t>
  </si>
  <si>
    <t>Generados por Pasivos</t>
  </si>
  <si>
    <t>Intereses pagados</t>
  </si>
  <si>
    <t>Resultados  extraordinarias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</si>
  <si>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</si>
  <si>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</si>
  <si>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</si>
  <si>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</si>
  <si>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</si>
  <si>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</si>
  <si>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</si>
  <si>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</si>
  <si>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CAPITAL</t>
  </si>
  <si>
    <t>CUENTAS</t>
  </si>
  <si>
    <t>Anticipo a Proveedores</t>
  </si>
  <si>
    <t>Intereses a Vencer</t>
  </si>
  <si>
    <t>Seguros a Vencer</t>
  </si>
  <si>
    <t>Intereses a Cobrar</t>
  </si>
  <si>
    <t>Garantia de Alquiler</t>
  </si>
  <si>
    <t>Impuesto a la Renta a Pagar</t>
  </si>
  <si>
    <t>CONCEPTO</t>
  </si>
  <si>
    <t xml:space="preserve">  DISPONIBILIDADES                       </t>
  </si>
  <si>
    <t>TOTAL DISPONIBILIDADES</t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</si>
  <si>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</si>
  <si>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</si>
  <si>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</si>
  <si>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</si>
  <si>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</si>
  <si>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</si>
  <si>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</si>
  <si>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</si>
  <si>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</si>
  <si>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</si>
  <si>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</si>
  <si>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</si>
  <si>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</si>
  <si>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</si>
  <si>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 xml:space="preserve">              INFORMACION SOBRE EL DOCUMENTO Y EL EMISOR</t>
  </si>
  <si>
    <t>TIPO DE TITULOS</t>
  </si>
  <si>
    <t>CANTIDAD DE TITULOS</t>
  </si>
  <si>
    <t>VALOR NOMINAL</t>
  </si>
  <si>
    <t>VALOR CONTABLE</t>
  </si>
  <si>
    <t>ACCION</t>
  </si>
  <si>
    <t>BANCO RIO SAECA</t>
  </si>
  <si>
    <t>ACCIONES Y FIDEICOMISO DE LA BOLSA DE VALORES Y PRODUCTOS DE ASUNCION S.A.</t>
  </si>
  <si>
    <t>CANTIDAD</t>
  </si>
  <si>
    <t>TIPO DE TITULO</t>
  </si>
  <si>
    <t>VALOR LIBRO</t>
  </si>
  <si>
    <t>VALOR ULTIMO REMATE</t>
  </si>
  <si>
    <t>1 (UNA)</t>
  </si>
  <si>
    <t>Acción</t>
  </si>
  <si>
    <t>No aplicable</t>
  </si>
  <si>
    <t xml:space="preserve">INSTRUMENTOS FINANCIEROS CEDIDOS </t>
  </si>
  <si>
    <t>no aplicable</t>
  </si>
  <si>
    <t>ACCIONES EN OTRAS EMPRESAS</t>
  </si>
  <si>
    <t>ADMINISTRADORA DE FONDOS SA</t>
  </si>
  <si>
    <t>INCUBATE SA</t>
  </si>
  <si>
    <t>PROCAMPO</t>
  </si>
  <si>
    <t>TOTALES INVERSIONES</t>
  </si>
  <si>
    <t>DEUDORES POR INTERMEDIACION</t>
  </si>
  <si>
    <t>GUARANIES</t>
  </si>
  <si>
    <t>Corto Plazo Gs.</t>
  </si>
  <si>
    <t>Largo Plazo Gs.</t>
  </si>
  <si>
    <t>Clientes por Operaciones</t>
  </si>
  <si>
    <t>Clientes por Asesoramientos</t>
  </si>
  <si>
    <t>Credito Fiscal IVA</t>
  </si>
  <si>
    <t>Deudores empresas relacionadas</t>
  </si>
  <si>
    <t>Anticipo al Personal</t>
  </si>
  <si>
    <t>Dividendos a cobrar</t>
  </si>
  <si>
    <t>Poyectos Inmobiliarios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</si>
  <si>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</si>
  <si>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</si>
  <si>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</si>
  <si>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</si>
  <si>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</si>
  <si>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</si>
  <si>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</si>
  <si>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</si>
  <si>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</si>
  <si>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</si>
  <si>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</si>
  <si>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</si>
  <si>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</si>
  <si>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</si>
  <si>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</si>
  <si>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</si>
  <si>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</si>
  <si>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</si>
  <si>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</si>
  <si>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</si>
  <si>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</si>
  <si>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</si>
  <si>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</si>
  <si>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</si>
  <si>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</si>
  <si>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</si>
  <si>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</si>
  <si>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</si>
  <si>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</si>
  <si>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</si>
  <si>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</si>
  <si>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</si>
  <si>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</si>
  <si>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</si>
  <si>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</si>
  <si>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Marca Investor C.B. S.A.</t>
  </si>
  <si>
    <t>Licencias Informáticas</t>
  </si>
  <si>
    <t>Licencias para PCS</t>
  </si>
  <si>
    <t>Sistemas Informáticos</t>
  </si>
  <si>
    <t>Sistemas: Contable y Operativo</t>
  </si>
  <si>
    <t>Licencia Actividad Bursatil</t>
  </si>
  <si>
    <t>i)   Intangibles</t>
  </si>
  <si>
    <t>Anticipos a proveedores y otros</t>
  </si>
  <si>
    <t>Seguros pagados por adelantado</t>
  </si>
  <si>
    <t>Cupones a cobrar</t>
  </si>
  <si>
    <t>Deudores varios</t>
  </si>
  <si>
    <t>INSTITUCION</t>
  </si>
  <si>
    <t>CORTO PLAZO GS.</t>
  </si>
  <si>
    <t>LARGO PLAZO GS.</t>
  </si>
  <si>
    <t>Prestamo BBVA</t>
  </si>
  <si>
    <t>Prestamo ITAU</t>
  </si>
  <si>
    <t>Sobregiros bancarios</t>
  </si>
  <si>
    <t>CORRIENTE G.</t>
  </si>
  <si>
    <t>NO CORRIENTE G.</t>
  </si>
  <si>
    <t>Acreedores por Intermediacion</t>
  </si>
  <si>
    <t>A la fecha la entidad no registra administración de Cartera a Corto y Largo Plazo</t>
  </si>
  <si>
    <t xml:space="preserve"> No aplicable</t>
  </si>
  <si>
    <t>Corriente Gs.</t>
  </si>
  <si>
    <t>No corrientes Gs.</t>
  </si>
  <si>
    <t>Aportes y retenciones a Pagar</t>
  </si>
  <si>
    <t>TIPO DE OPERACIÓN</t>
  </si>
  <si>
    <t>RELACION</t>
  </si>
  <si>
    <t>NOMBRE</t>
  </si>
  <si>
    <t>Cuentas a cobrar</t>
  </si>
  <si>
    <t>Empresa Vinculada</t>
  </si>
  <si>
    <t>Director y Accionista</t>
  </si>
  <si>
    <t>Funcionaria</t>
  </si>
  <si>
    <t>Ex Director y accionista</t>
  </si>
  <si>
    <t>SALDOS (Deudores y Acreedores mantenidos)</t>
  </si>
  <si>
    <t>PERSONA O EMPRESA RELACIONADA</t>
  </si>
  <si>
    <t>Total Ingresos</t>
  </si>
  <si>
    <t>Total Egresos</t>
  </si>
  <si>
    <t>Albaro Acosta - Presidente</t>
  </si>
  <si>
    <t>Federico Callizo-Vice Presidente</t>
  </si>
  <si>
    <t>Federico Sebastián Oporto Leiva Espínola</t>
  </si>
  <si>
    <t>Investor AFPI SA</t>
  </si>
  <si>
    <t>Incubate SA</t>
  </si>
  <si>
    <t>SALDO AL INICIO DEL EJERCICIO</t>
  </si>
  <si>
    <t>DISMINUCIÓN</t>
  </si>
  <si>
    <t>Capital Integrado</t>
  </si>
  <si>
    <t>Aportes no capitalizados</t>
  </si>
  <si>
    <t>t) Patrimonio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</si>
  <si>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</si>
  <si>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</si>
  <si>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</si>
  <si>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</si>
  <si>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</si>
  <si>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</si>
  <si>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Ingresos por intereses de Cartera propia</t>
  </si>
  <si>
    <t>Totales</t>
  </si>
  <si>
    <t>Ganancia por venta de Titulos</t>
  </si>
  <si>
    <t xml:space="preserve">Dividendos Cobrados </t>
  </si>
  <si>
    <t>Otros ingresos</t>
  </si>
  <si>
    <t>Total</t>
  </si>
  <si>
    <t>BALANCE DESCALZO</t>
  </si>
  <si>
    <t>BALANCE A MARZO'13</t>
  </si>
  <si>
    <t>BALANCE FINAL A JUNIO</t>
  </si>
  <si>
    <t>AL 30/06/2013</t>
  </si>
  <si>
    <t>AL 31/12/2012</t>
  </si>
  <si>
    <t>Otros Gastos Operativos</t>
  </si>
  <si>
    <t xml:space="preserve">  Gastos por comisiones y servicios</t>
  </si>
  <si>
    <t xml:space="preserve">  Aranceles por neg. BVPASA</t>
  </si>
  <si>
    <t>Perdida por venta de valores</t>
  </si>
  <si>
    <t xml:space="preserve">  Otros Gastos Operativos</t>
  </si>
  <si>
    <t>Otros Gastos de Comercialización</t>
  </si>
  <si>
    <t xml:space="preserve">  Puclicidad</t>
  </si>
  <si>
    <t xml:space="preserve">  Folletos e impresiones</t>
  </si>
  <si>
    <t xml:space="preserve">  Otros Gastos de Comercialización</t>
  </si>
  <si>
    <t xml:space="preserve">  Sueldos y Jornales</t>
  </si>
  <si>
    <t xml:space="preserve">  Aporte Patronal</t>
  </si>
  <si>
    <t xml:space="preserve">  Aguinaldos Pagados</t>
  </si>
  <si>
    <t xml:space="preserve">  Alquileres</t>
  </si>
  <si>
    <t xml:space="preserve">  Gastos Generales</t>
  </si>
  <si>
    <t xml:space="preserve">  Seguros Pagados</t>
  </si>
  <si>
    <t xml:space="preserve">  Multas</t>
  </si>
  <si>
    <t xml:space="preserve">  Impuestos Tasas y Contribuciones</t>
  </si>
  <si>
    <t xml:space="preserve">  Otros Gastos de Administración</t>
  </si>
  <si>
    <t xml:space="preserve">  Honorarios Profesionales</t>
  </si>
  <si>
    <t xml:space="preserve">  Remuneración Personal Superior</t>
  </si>
  <si>
    <t xml:space="preserve">  Servicios Personales</t>
  </si>
  <si>
    <t xml:space="preserve">  Gastos de Capacitación</t>
  </si>
  <si>
    <t xml:space="preserve">  Vacaciones Pagadas</t>
  </si>
  <si>
    <t xml:space="preserve">  Donaciones y Contribuciones</t>
  </si>
  <si>
    <t>w) Otros Gastos Operativos, de comercialización y de administración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</si>
  <si>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</si>
  <si>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</si>
  <si>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</si>
  <si>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</si>
  <si>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</si>
  <si>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</si>
  <si>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</si>
  <si>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</si>
  <si>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</si>
  <si>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r>
      <t>a)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Compromisos Directos</t>
    </r>
  </si>
  <si>
    <t>No registra</t>
  </si>
  <si>
    <r>
      <t>b)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Contingencias Legales</t>
    </r>
  </si>
  <si>
    <r>
      <t>c)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Garantías Constituidas</t>
    </r>
  </si>
  <si>
    <t>NOTA 7. HECHOS POSTERIORES AL CIERRE DEL EJERCICIO</t>
  </si>
  <si>
    <t>No corresponde al presente periodo.</t>
  </si>
  <si>
    <r>
      <t>NOTA 8.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LIMITACION A LA LIBRE DISPONIBILIDAD DE LOS ACTIVOS O DEL PATRIMONIO Y DE CUALQUIER RESTRICCION AL DERECHO DE PROPIEDAD.</t>
    </r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</si>
  <si>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</si>
  <si>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</si>
  <si>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</si>
  <si>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</si>
  <si>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</si>
  <si>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Diciembre</t>
  </si>
  <si>
    <t>Balance General</t>
  </si>
  <si>
    <t>Noviembre</t>
  </si>
  <si>
    <t>Octubre</t>
  </si>
  <si>
    <t>Septiembre</t>
  </si>
  <si>
    <t>Agosto</t>
  </si>
  <si>
    <t>REF.</t>
  </si>
  <si>
    <t>INDICE</t>
  </si>
  <si>
    <t>Julio</t>
  </si>
  <si>
    <t>Junio</t>
  </si>
  <si>
    <t>Mayo</t>
  </si>
  <si>
    <t>Fecha Presentación:</t>
  </si>
  <si>
    <t>Abril</t>
  </si>
  <si>
    <t>Marzo</t>
  </si>
  <si>
    <t>Febrero</t>
  </si>
  <si>
    <t>Enero</t>
  </si>
  <si>
    <t>VISION BANCO S.A.E.C.A.</t>
  </si>
  <si>
    <t>BANCO REGIONAL S.A.E.C.A.</t>
  </si>
  <si>
    <t>INNOVARE S.A.E.C.A.</t>
  </si>
  <si>
    <t>TELEFONICA CELULAR DEL PARAGUAY S.A.E.</t>
  </si>
  <si>
    <t>LC RISK</t>
  </si>
  <si>
    <t>Banco Familiar S.A.E.C.A.</t>
  </si>
  <si>
    <t>Banco Continental</t>
  </si>
  <si>
    <t>Construcciones en curso</t>
  </si>
  <si>
    <t xml:space="preserve">Inmuebles </t>
  </si>
  <si>
    <t>Proveedores Locales</t>
  </si>
  <si>
    <t>Balance Gral. Resol. 1'!A1</t>
  </si>
  <si>
    <t>Segursos a Pagar</t>
  </si>
  <si>
    <t>ANTIGÜEDAD DE LA DEUDA</t>
  </si>
  <si>
    <t>PERIODO ACTUAL G.</t>
  </si>
  <si>
    <t>Sueldos a pagar</t>
  </si>
  <si>
    <t>Funcionarios</t>
  </si>
  <si>
    <t>Sueldos</t>
  </si>
  <si>
    <t>Estado de Resultado Resol. 1'!A1</t>
  </si>
  <si>
    <t>Balance 14 04'!A1</t>
  </si>
  <si>
    <t>Cuadro de Resultados</t>
  </si>
  <si>
    <t>Flujo de Efectivo</t>
  </si>
  <si>
    <t>Estado de Variacion Patrimonial</t>
  </si>
  <si>
    <t>Flujo de Efectivo Resol. 950'!A1</t>
  </si>
  <si>
    <t>Calculo de IRACIS</t>
  </si>
  <si>
    <t>CALCULO DE IRACIS (2019)'!A1</t>
  </si>
  <si>
    <t>Balance del Sistema</t>
  </si>
  <si>
    <t>Balance Final 15'!A1</t>
  </si>
  <si>
    <t>Calculo de Flujo de Caja</t>
  </si>
  <si>
    <t>2018 (2)'!A1</t>
  </si>
  <si>
    <t>Informe del Sindico</t>
  </si>
  <si>
    <t>Informe del Auditor Externo</t>
  </si>
  <si>
    <t>Memoria del Directorio</t>
  </si>
  <si>
    <t>ANEXO F DE LA RESOLUCION Nº 6/19</t>
  </si>
  <si>
    <t>NOTA A LOS ESTADOS CONTA. 1-4'!A1</t>
  </si>
  <si>
    <t>NOTA 5 A-C CRITERIOS ESPECIF.'!A1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</si>
  <si>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</si>
  <si>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</si>
  <si>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</si>
  <si>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</si>
  <si>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</si>
  <si>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</si>
  <si>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</si>
  <si>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</si>
  <si>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</si>
  <si>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</si>
  <si>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</si>
  <si>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</si>
  <si>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</si>
  <si>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</si>
  <si>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</si>
  <si>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</si>
  <si>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</si>
  <si>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</si>
  <si>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</si>
  <si>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</si>
  <si>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</si>
  <si>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</si>
  <si>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</si>
  <si>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</si>
  <si>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</si>
  <si>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</si>
  <si>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</si>
  <si>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</si>
  <si>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</si>
  <si>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</si>
  <si>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</si>
  <si>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 xml:space="preserve"> Notas a los Estados Contables</t>
  </si>
  <si>
    <t>II-ESTADOS FINANCIEROS BASICOS</t>
  </si>
  <si>
    <t>I-INFORMACIÓN GENERAL DE INVESTOR CASA DE BOLSA SA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</si>
  <si>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</si>
  <si>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</si>
  <si>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</si>
  <si>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</si>
  <si>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</si>
  <si>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9- Cambios Contables</t>
  </si>
  <si>
    <t>Nota 8- Limitaciones a libre disponibilidad</t>
  </si>
  <si>
    <t>Nota 10- Restricciones para Distribuir Utilidades</t>
  </si>
  <si>
    <t>Nota 11- Sanciones</t>
  </si>
  <si>
    <t>NOTA D - DISPONIBILIDADES'!A1</t>
  </si>
  <si>
    <t>NOTA E - INVERSIONES'!A1</t>
  </si>
  <si>
    <t>NOTA F - CREDITOS'!A1</t>
  </si>
  <si>
    <t>NOTA G BIENES DE USO'!A1</t>
  </si>
  <si>
    <t>NOTA H CARGOS DIFERIDOS'!A1</t>
  </si>
  <si>
    <t xml:space="preserve"> NOTA I INTANGIBLES'!A1</t>
  </si>
  <si>
    <t>NOTA J OTROS ACTIVOS CTES Y NO '!A1</t>
  </si>
  <si>
    <t>NOTA K PRESTAMOS'!A1</t>
  </si>
  <si>
    <t>NOTA L DOCUMENTOS Y CTAS A PAGA'!A1</t>
  </si>
  <si>
    <t>NOTAS M-Q ACREEDORES CTO PLAZO'!A1</t>
  </si>
  <si>
    <t>NOTA R SALDOS Y TRANSACCIONES '!A1</t>
  </si>
  <si>
    <t>NOTA S RESULTADOS CON PERSONAS'!A1</t>
  </si>
  <si>
    <t xml:space="preserve"> NOTA T PATRIMONIO'!A1</t>
  </si>
  <si>
    <t>NOTA V INGRESOS OPERATIVOS'!A1</t>
  </si>
  <si>
    <t>NOTA W OTROS GASTOS OPERATIVOS'!A1</t>
  </si>
  <si>
    <t>NOTA X OTROS INGRESOS Y EGRESOS'!A1</t>
  </si>
  <si>
    <t>NOTA Y RESULTADOS FINANCIEROS'!A1</t>
  </si>
  <si>
    <t>NOTA Z RESULT EXTRAORD'!A1</t>
  </si>
  <si>
    <t>NOTA 6 INFORMACION REFERENTE'!A1</t>
  </si>
  <si>
    <t>ESTADO DE FLUJO DE EFECTIVO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</si>
  <si>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</si>
  <si>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</si>
  <si>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</si>
  <si>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</si>
  <si>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</si>
  <si>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</si>
  <si>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</si>
  <si>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</si>
  <si>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</si>
  <si>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</si>
  <si>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</si>
  <si>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</si>
  <si>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</si>
  <si>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</si>
  <si>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</si>
  <si>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</si>
  <si>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</si>
  <si>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</si>
  <si>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</si>
  <si>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</si>
  <si>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</si>
  <si>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</si>
  <si>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</si>
  <si>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</si>
  <si>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</si>
  <si>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</si>
  <si>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</si>
  <si>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</si>
  <si>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</si>
  <si>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</si>
  <si>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RESERVAS</t>
  </si>
  <si>
    <t>RESULTADOS</t>
  </si>
  <si>
    <t>PATRIMONIO NETO</t>
  </si>
  <si>
    <t>AP. FUT. INTEGRAC.</t>
  </si>
  <si>
    <t>INTEGRADO</t>
  </si>
  <si>
    <t>LEGAL</t>
  </si>
  <si>
    <t>REGULARIZACION</t>
  </si>
  <si>
    <t>REVALÚO</t>
  </si>
  <si>
    <t>ACUMULADOS</t>
  </si>
  <si>
    <t>DEL EJERCICIO</t>
  </si>
  <si>
    <t>Saldo al inicio del ejercicio</t>
  </si>
  <si>
    <t>-</t>
  </si>
  <si>
    <t>Mov. Subsecuentes</t>
  </si>
  <si>
    <t>Reserva Legal  y otros del Ejercicio</t>
  </si>
  <si>
    <t>Revaluo del Ejercicio</t>
  </si>
  <si>
    <t>Aportes a Cta. Fut Capitalizaciones</t>
  </si>
  <si>
    <t>Retiros a Cta. De Utilidades</t>
  </si>
  <si>
    <t>Aporte Capital</t>
  </si>
  <si>
    <t xml:space="preserve">NOTA A LOS ESTADOS CONTABLES </t>
  </si>
  <si>
    <t>NOTA 1: CONSIDERACION DE LOS ESTADOS CONTABLES</t>
  </si>
  <si>
    <t>NOTA 2:  INFORMACIÓN BÁSICA DE LA EMPRESA</t>
  </si>
  <si>
    <r>
      <t>2.1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10"/>
        <color indexed="8"/>
        <rFont val="Cambria"/>
        <family val="1"/>
      </rPr>
      <t>Naturaleza jurídica de las actividades de la sociedad</t>
    </r>
  </si>
  <si>
    <r>
      <t>INVESTOR CASA DE BOLSA S.A</t>
    </r>
    <r>
      <rPr>
        <sz val="10"/>
        <color indexed="8"/>
        <rFont val="Cambria"/>
        <family val="1"/>
      </rPr>
      <t>. fue constituida bajo la forma jurídica de Sociedad Anónima el 06 de Marzo de 2010 según escritura Pública Nº 205 e inscripta en el Registro Público de Comercio en el Libro Seccional respectivo y bajo en Nº 62 Y el folio Nº 696 y siguiente de fecha 23 de Marzo de 2010. La Sociedad se halla regida por las disposiciones de sus Estatutos, las Normas Legales y Reglamentarias relativas a la Sociedad y al Código Civil. La duración inicial de la Sociedad es de noventa y nueve años.</t>
    </r>
  </si>
  <si>
    <t>Inscripta en la Comisión Nacional de Valores según Resolución 1275/10 de fecha 19 de mayo de 2010 y en la Bolsa de Valores y Productos de Asunción S.A. según resolución 915/10 de fecha 31 de mayo de 2010, bajo el número 021.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</si>
  <si>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</si>
  <si>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</si>
  <si>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</si>
  <si>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</si>
  <si>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</si>
  <si>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</si>
  <si>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</si>
  <si>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</si>
  <si>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</si>
  <si>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</si>
  <si>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</si>
  <si>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r>
      <t>2.2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Cambria"/>
        <family val="1"/>
      </rPr>
      <t>Participación en empresas vinculadas</t>
    </r>
  </si>
  <si>
    <t>Investor Casa de Bolsa. S.A. posee Acciones de la Empresa Investor Administradora de Fondos Patrimoniales de Inversión S.A., constituida en Asunción-Paraguay, por valor de Gs.2.346.000.000 que representan el 85% del Capital Social. –</t>
  </si>
  <si>
    <t>Investor Casa de Bolsa. S.A. posee Acciones de la Empresa Incubate S.A., constituida en Asunción-Paraguay, por valor de Gs. 2.500.000.000 que representan el 99% del Capital Social. –</t>
  </si>
  <si>
    <t>Investor Casa de Bolsa. S.A. posee Acciones de la Empresa Procampo S.A., constituida en Asunción-Paraguay, por valor de Gs. 251.000.000 que representan el 50,20% del Capital Social. –</t>
  </si>
  <si>
    <t>NOTA 3: PRINCIPALES POLÍTICAS Y PRÁCTICAS CONTABLES APLICADAS</t>
  </si>
  <si>
    <t>3.1.  Base de preparación de los estados contables</t>
  </si>
  <si>
    <t xml:space="preserve">Los estados Contables han sido preparados de acuerdo a la Resolución Nro. 06/19 de la Comisión Nacional de Valores y a Principios y Normas Contables Vigentes en Paraguay. </t>
  </si>
  <si>
    <t>3.2. Criterios de valuación</t>
  </si>
  <si>
    <t>Son aplicados los criterios de valuación y exposición aceptados por las Normas Contables y Tributarias Vigentes en Paraguay y de acuerdo a la Resolución 6/19 y la Resolución 763/04 de la Comisión Nacional de Valores.</t>
  </si>
  <si>
    <t>3.3. Previsión para cuentas incobrables</t>
  </si>
  <si>
    <t xml:space="preserve">La entidad no posee previsión para cuentas incobrables. </t>
  </si>
  <si>
    <r>
      <t>3.4.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Depreciación de bienes de uso</t>
    </r>
  </si>
  <si>
    <t>Los Bienes de Uso se expresan a su valor de adquisición, revaluados de acuerdo al índice de revalúo fijado por la Subsecretaria del Estado de Tributación del Ministerio de Hacienda.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</si>
  <si>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</si>
  <si>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</si>
  <si>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</si>
  <si>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</si>
  <si>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</si>
  <si>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</si>
  <si>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</si>
  <si>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</si>
  <si>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</si>
  <si>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</si>
  <si>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</si>
  <si>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</si>
  <si>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</si>
  <si>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</si>
  <si>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</si>
  <si>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</si>
  <si>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</si>
  <si>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</si>
  <si>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</si>
  <si>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</si>
  <si>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</si>
  <si>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IRACIS</t>
  </si>
  <si>
    <t>ANTICIPOS</t>
  </si>
  <si>
    <t>Anticipos Honorarios-Servicios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</si>
  <si>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</si>
  <si>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</si>
  <si>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</si>
  <si>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</si>
  <si>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</si>
  <si>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</si>
  <si>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</si>
  <si>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</si>
  <si>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</si>
  <si>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</si>
  <si>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</si>
  <si>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</si>
  <si>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</si>
  <si>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</si>
  <si>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</si>
  <si>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</si>
  <si>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Sueldos a Pagar</t>
  </si>
  <si>
    <t>Seguros a Pagar</t>
  </si>
  <si>
    <t>PASIVO NO CORRIENTE</t>
  </si>
  <si>
    <t>Ganancias a Devengar</t>
  </si>
  <si>
    <t>Cuentas a Pagar por Compra de Acciones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</si>
  <si>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</si>
  <si>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</si>
  <si>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</si>
  <si>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</si>
  <si>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</si>
  <si>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</si>
  <si>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</si>
  <si>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</si>
  <si>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</si>
  <si>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Infome en Word.</t>
  </si>
  <si>
    <t>AL 30/06/2019</t>
  </si>
  <si>
    <t>RECAUDACIONES A DEPOSITAR SUSPENSO</t>
  </si>
  <si>
    <t xml:space="preserve">RECAUDACIONES A DEPOSITAR </t>
  </si>
  <si>
    <t>BCO. FAMILIAR COMP. GS-</t>
  </si>
  <si>
    <t xml:space="preserve">BCO REGIONAL COMP GS </t>
  </si>
  <si>
    <t>BBVA CTA.CTE. GS</t>
  </si>
  <si>
    <t>CONTINENTAL CTA.CTE.GS</t>
  </si>
  <si>
    <t>VISION BANCO CTA.CTE.GS</t>
  </si>
  <si>
    <t>BANCO AMAMBAY</t>
  </si>
  <si>
    <t>FINANCIERA EL COMERCIO CAJA DE AHOR</t>
  </si>
  <si>
    <t>BANCO ATLAS GS.</t>
  </si>
  <si>
    <t>BANCO FAMILIAR COMP. USD</t>
  </si>
  <si>
    <t>BANCO REGIONAL CTA COMP. USD</t>
  </si>
  <si>
    <t>VISION BANCO CTA.CTE USD</t>
  </si>
  <si>
    <t>BCO ATLAS CTA COMP USD</t>
  </si>
  <si>
    <t>Total al 30/06/2019</t>
  </si>
  <si>
    <t/>
  </si>
  <si>
    <t>EDGE S.A.</t>
  </si>
  <si>
    <t>MARION LANGE VASEK Y/O ROLANDO JOSE NATA</t>
  </si>
  <si>
    <t>FEDERICO CALLIZO PECCI</t>
  </si>
  <si>
    <t>INVESTOR AFPI</t>
  </si>
  <si>
    <t>MANUEL FERREIRA</t>
  </si>
  <si>
    <t>INVESTOR AGRIBUSINESS S.A.</t>
  </si>
  <si>
    <t>Anticipo proveedores</t>
  </si>
  <si>
    <t>ALBARO ACOSTA</t>
  </si>
  <si>
    <t>NOELIA ROJAS</t>
  </si>
  <si>
    <t>Anticipo de salario</t>
  </si>
  <si>
    <t>SONIA GODOY</t>
  </si>
  <si>
    <t>FEDERICO SEBASTIAN OPORTO</t>
  </si>
  <si>
    <t>M ALEJANDRA ACHON</t>
  </si>
  <si>
    <t>INVESTOR AFPI S.A.</t>
  </si>
  <si>
    <t>JAZMIN SUAREZ</t>
  </si>
  <si>
    <t>JESUS BAEZ</t>
  </si>
  <si>
    <t>CODESARROLLOS SA</t>
  </si>
  <si>
    <t>ROLANDO NATALIZIA</t>
  </si>
  <si>
    <t>INVESTOR REAL ESTATE S.A</t>
  </si>
  <si>
    <t>INPOSITIVA S.A.</t>
  </si>
  <si>
    <t>CODESARROLLOS S.A.</t>
  </si>
  <si>
    <t>FINEXPAR GS 155000841</t>
  </si>
  <si>
    <t>INTERFISA BANCO U$D 10208646</t>
  </si>
  <si>
    <t xml:space="preserve">SOLA S.A. DE AHORRO Y PRESTAMO U$D </t>
  </si>
  <si>
    <t>SOLAR S.A. DE AHORRO Y PRESTAMO GS.</t>
  </si>
  <si>
    <t>BANCO FAMILIAR 22-02962092 GS.</t>
  </si>
  <si>
    <t>TU FINANCIERA 5688382</t>
  </si>
  <si>
    <t>CRISOL Y ENCARNACION FINANCIERA (CE</t>
  </si>
  <si>
    <t>FINANCIERA EL COMERCIO U$D 95704003</t>
  </si>
  <si>
    <t>ITAU CTA. CTE. U$S -75080051-6</t>
  </si>
  <si>
    <t>Itau Internacional USD 75080363-6</t>
  </si>
  <si>
    <t>FIC DE FINANZAS U$D 0131000849</t>
  </si>
  <si>
    <t>OTROS BANCOS</t>
  </si>
  <si>
    <t>FABIO ZARZA</t>
  </si>
  <si>
    <t>ADRIAN APONTE</t>
  </si>
  <si>
    <t>BANCO ITAÚ PARAGUAY S.A.</t>
  </si>
  <si>
    <t>RIEDER &amp; CÍA. S.A.C.I.</t>
  </si>
  <si>
    <t>o</t>
  </si>
  <si>
    <t>Codesarrollos S.A.</t>
  </si>
  <si>
    <t>Edge S.A.</t>
  </si>
  <si>
    <t>Acreedores Varios</t>
  </si>
  <si>
    <t>PERIODO ANTERIOR  30/06/2019</t>
  </si>
  <si>
    <t>SALDO AL 30/06/2019</t>
  </si>
  <si>
    <t>CORRESPONDIENTE AL 30 DE JUNIO DE 2020 PRESENTADO EN FORMA COMPARATIVA CON EL EJERCICIO ANTERIOR CERRADO EL  30 DE JUNIO DE  2019.</t>
  </si>
  <si>
    <t>PERIODO ACTUAL 30/06/ 2020</t>
  </si>
  <si>
    <t>PERIODO ACTUAL 30/06/2020</t>
  </si>
  <si>
    <t>SALDO AL 30/06/2020</t>
  </si>
  <si>
    <t>CAMBIO CIERRE PERIODO ACTUAL 30/06/2020</t>
  </si>
  <si>
    <t>ITAU CTA. CTE. USD 3485</t>
  </si>
  <si>
    <t>La composición de los fondos disponibles en Bancos al 30 de junio de 2020, es como sigue:</t>
  </si>
  <si>
    <t>ITAU CTA.CTE. U$s Nº 75080052-3</t>
  </si>
  <si>
    <t>BBVA CTA.CTE. U$S-11-1705507</t>
  </si>
  <si>
    <t>SUDAMERIS CTA.CTE.U$S-186295/2</t>
  </si>
  <si>
    <t>CONTINENTAL CTA.CTE.U$S -1100105507</t>
  </si>
  <si>
    <t>Bancop USD 0310024650</t>
  </si>
  <si>
    <t>Bancop GS 0410022837</t>
  </si>
  <si>
    <t>Finexpar USD 0192356</t>
  </si>
  <si>
    <t>BANCO GNB GS 1-219468-002</t>
  </si>
  <si>
    <t>BANCO GNB USD 1-219468-003</t>
  </si>
  <si>
    <t>SUDAMERIS CTA. CTE. GS 1862952</t>
  </si>
  <si>
    <t>Financiera Rio 100165400-0</t>
  </si>
  <si>
    <t>Banco Amambay 139-5 USD</t>
  </si>
  <si>
    <t>Financiera Rio SAECA</t>
  </si>
  <si>
    <t>FIC DE FINANZAS GS. 0131000778</t>
  </si>
  <si>
    <t xml:space="preserve"> INFORMACION SOBRE EL EMISOR AL 30/06/2020</t>
  </si>
  <si>
    <t>Total al 30/06/2020</t>
  </si>
  <si>
    <t>Corresponde a cuentas por cobrar a diversos clientes. Su composición al 30 de junio de 2020 comparativo con el ejercicio anterior, es como sigue:</t>
  </si>
  <si>
    <t>Valores al 30/06/2020</t>
  </si>
  <si>
    <t>Valores al 30/06/2019</t>
  </si>
  <si>
    <t>AL 30/06/2020</t>
  </si>
  <si>
    <t>FIDEIC. DE GTIA POR OPERAC. FUTUROS</t>
  </si>
  <si>
    <t>TAPE RUVICHA S.A.E.C.A.</t>
  </si>
  <si>
    <t>FINEXPAR S.A.E.C.A</t>
  </si>
  <si>
    <t>BANCOP S.A</t>
  </si>
  <si>
    <t>SUDAMERIS BANK S.A.E.C.A.</t>
  </si>
  <si>
    <t>BANCO REGIONAL S.A.E.C.A</t>
  </si>
  <si>
    <t>BANCO ATLAS S.A</t>
  </si>
  <si>
    <t>FINANCIERA EL COMERCIO S.A.E.C.A</t>
  </si>
  <si>
    <t>BANCO GNB PARAGUAY S.A.</t>
  </si>
  <si>
    <t>INTERFISA BANCO S.A.E.C.A.</t>
  </si>
  <si>
    <t>COMPAÑIA ADMINISTRADORA DE RIESGOS SA</t>
  </si>
  <si>
    <t>Bonos</t>
  </si>
  <si>
    <t>PERIODO ANTERIOR 31/12/2019</t>
  </si>
  <si>
    <t>Inversiones Temporarias  Nota 5 e</t>
  </si>
  <si>
    <t>CAMBIO CIERRE PERIODO ANTERIOR 31/12/2019</t>
  </si>
  <si>
    <t>ITAU CTA. CTE. GS 741</t>
  </si>
  <si>
    <t>ITAU CTA. CTE. USD 636</t>
  </si>
  <si>
    <t>ITAU CTA.CTE. GS Nº 734</t>
  </si>
  <si>
    <t>Total al 31/12/2019</t>
  </si>
  <si>
    <t>Deudores por Operaciones</t>
  </si>
  <si>
    <t>De acuerdo a lo previsto en el artículo 111 de la Ley 5810/17, la entidad tiene constituida como garantía la suma de Gs. 600.00.000.- (guaraníes seiscientos millones), representados por seiscientos (600) bonos emitidos por TELEFONICA CELULAR DEL PARAGUAY S.A. (TELECEL S.A.E) con ISIN NUMBER PYTEL06F0277..</t>
  </si>
  <si>
    <t>PERIODO ANTERIOR 31 12 2019</t>
  </si>
  <si>
    <t>PERIODO ACTUAL 30 06 20</t>
  </si>
  <si>
    <t>Resumen</t>
  </si>
  <si>
    <t>Inversiones Temporales</t>
  </si>
  <si>
    <t>Inversiones Permanentes</t>
  </si>
  <si>
    <t>Totales de Inversiones</t>
  </si>
  <si>
    <t>Derechos a cobrar</t>
  </si>
  <si>
    <t>Alvaro Acosta</t>
  </si>
  <si>
    <t>Maria Alejandra Achon</t>
  </si>
  <si>
    <t>Codesarrollos SA</t>
  </si>
  <si>
    <t>Aportes a Devolver a Acionistas</t>
  </si>
  <si>
    <r>
      <t>a)</t>
    </r>
    <r>
      <rPr>
        <b/>
        <sz val="9"/>
        <color indexed="8"/>
        <rFont val="Arial"/>
        <family val="2"/>
      </rPr>
      <t>      Valuación en moneda extranjera</t>
    </r>
  </si>
  <si>
    <r>
      <t>a)</t>
    </r>
    <r>
      <rPr>
        <b/>
        <sz val="9"/>
        <color indexed="8"/>
        <rFont val="Arial"/>
        <family val="2"/>
      </rPr>
      <t>       Posición en moneda extranjera</t>
    </r>
  </si>
  <si>
    <r>
      <t>C)</t>
    </r>
    <r>
      <rPr>
        <b/>
        <sz val="9"/>
        <color indexed="8"/>
        <rFont val="Arial"/>
        <family val="2"/>
      </rPr>
      <t>      Diferencia de cambio en moneda extranjera.</t>
    </r>
  </si>
  <si>
    <r>
      <t>d)</t>
    </r>
    <r>
      <rPr>
        <b/>
        <sz val="9"/>
        <color indexed="8"/>
        <rFont val="Arial"/>
        <family val="2"/>
      </rPr>
      <t>       Disponibilidades</t>
    </r>
  </si>
  <si>
    <r>
      <t>e)</t>
    </r>
    <r>
      <rPr>
        <b/>
        <sz val="9"/>
        <color indexed="8"/>
        <rFont val="Arial"/>
        <family val="2"/>
      </rPr>
      <t>   Inversiones  Temporales y Permanentes</t>
    </r>
  </si>
  <si>
    <r>
      <t xml:space="preserve">Guaraníes. </t>
    </r>
    <r>
      <rPr>
        <sz val="9"/>
        <color indexed="8"/>
        <rFont val="Arial"/>
        <family val="2"/>
      </rPr>
      <t xml:space="preserve">    </t>
    </r>
  </si>
  <si>
    <r>
      <t>f)</t>
    </r>
    <r>
      <rPr>
        <b/>
        <sz val="9"/>
        <color indexed="8"/>
        <rFont val="Arial"/>
        <family val="2"/>
      </rPr>
      <t>       Créditos</t>
    </r>
  </si>
  <si>
    <r>
      <t>g)</t>
    </r>
    <r>
      <rPr>
        <b/>
        <sz val="9"/>
        <color indexed="8"/>
        <rFont val="Arial"/>
        <family val="2"/>
      </rPr>
      <t>      Bienes de Uso</t>
    </r>
  </si>
  <si>
    <r>
      <t>h)</t>
    </r>
    <r>
      <rPr>
        <b/>
        <sz val="9"/>
        <color indexed="8"/>
        <rFont val="Arial"/>
        <family val="2"/>
      </rPr>
      <t>       Cargos Diferidos</t>
    </r>
  </si>
  <si>
    <r>
      <t>j)</t>
    </r>
    <r>
      <rPr>
        <b/>
        <sz val="9"/>
        <color indexed="8"/>
        <rFont val="Arial"/>
        <family val="2"/>
      </rPr>
      <t>       Otros Activos Corrientes y No Corrientes</t>
    </r>
  </si>
  <si>
    <r>
      <t>k)</t>
    </r>
    <r>
      <rPr>
        <b/>
        <sz val="9"/>
        <color indexed="8"/>
        <rFont val="Arial"/>
        <family val="2"/>
      </rPr>
      <t>       Préstamos Financieros a corto y a largo plazo.</t>
    </r>
  </si>
  <si>
    <r>
      <t>l)</t>
    </r>
    <r>
      <rPr>
        <b/>
        <sz val="9"/>
        <color indexed="8"/>
        <rFont val="Arial"/>
        <family val="2"/>
      </rPr>
      <t>       Documentos y cuentas por pagar (Corto y largo plazo)</t>
    </r>
  </si>
  <si>
    <r>
      <t>m)</t>
    </r>
    <r>
      <rPr>
        <b/>
        <sz val="9"/>
        <color indexed="8"/>
        <rFont val="Arial"/>
        <family val="2"/>
      </rPr>
      <t>       Acreedores Corto y Largo Plazo. No aplicable.</t>
    </r>
  </si>
  <si>
    <r>
      <t>n)</t>
    </r>
    <r>
      <rPr>
        <b/>
        <sz val="9"/>
        <color indexed="8"/>
        <rFont val="Arial"/>
        <family val="2"/>
      </rPr>
      <t>       Administración de Cartera (Corto y Largo Plazo)</t>
    </r>
  </si>
  <si>
    <r>
      <t>o)</t>
    </r>
    <r>
      <rPr>
        <b/>
        <sz val="9"/>
        <color indexed="8"/>
        <rFont val="Arial"/>
        <family val="2"/>
      </rPr>
      <t>       Cuentas a Pagar a personas y empresas relacionadas (Corto y Largo plazo)</t>
    </r>
  </si>
  <si>
    <r>
      <t>p)</t>
    </r>
    <r>
      <rPr>
        <b/>
        <sz val="9"/>
        <color indexed="8"/>
        <rFont val="Arial"/>
        <family val="2"/>
      </rPr>
      <t>       Obligaciones por contrato de Underwriting (Corto y Largo Plazo)</t>
    </r>
  </si>
  <si>
    <r>
      <t>q)</t>
    </r>
    <r>
      <rPr>
        <b/>
        <sz val="9"/>
        <color indexed="8"/>
        <rFont val="Arial"/>
        <family val="2"/>
      </rPr>
      <t>       Otros Pasivos Corrientes y No Corrientes</t>
    </r>
  </si>
  <si>
    <t>r)       Saldos y Transacciones con personas y empresas relacionadas (Corriente y No Corriente)</t>
  </si>
  <si>
    <r>
      <t>S)</t>
    </r>
    <r>
      <rPr>
        <b/>
        <sz val="9"/>
        <color indexed="8"/>
        <rFont val="Arial"/>
        <family val="2"/>
      </rPr>
      <t>       Resultados con Personas y Empresas Vinculadas</t>
    </r>
  </si>
  <si>
    <r>
      <t>u)</t>
    </r>
    <r>
      <rPr>
        <b/>
        <sz val="9"/>
        <color indexed="8"/>
        <rFont val="Arial"/>
        <family val="2"/>
      </rPr>
      <t xml:space="preserve">       Previsiones </t>
    </r>
  </si>
  <si>
    <r>
      <t>v)</t>
    </r>
    <r>
      <rPr>
        <b/>
        <sz val="9"/>
        <color indexed="8"/>
        <rFont val="Arial"/>
        <family val="2"/>
      </rPr>
      <t>       Ingresos Operativos</t>
    </r>
  </si>
  <si>
    <r>
      <t>x)</t>
    </r>
    <r>
      <rPr>
        <b/>
        <sz val="9"/>
        <color indexed="8"/>
        <rFont val="Arial"/>
        <family val="2"/>
      </rPr>
      <t>       Otros Ingresos y Egresos</t>
    </r>
  </si>
  <si>
    <r>
      <t>y)</t>
    </r>
    <r>
      <rPr>
        <b/>
        <sz val="9"/>
        <color indexed="8"/>
        <rFont val="Arial"/>
        <family val="2"/>
      </rPr>
      <t>       Resultados Financieros</t>
    </r>
  </si>
  <si>
    <r>
      <t xml:space="preserve">z)  </t>
    </r>
    <r>
      <rPr>
        <b/>
        <sz val="9"/>
        <color indexed="8"/>
        <rFont val="Arial"/>
        <family val="2"/>
      </rPr>
      <t xml:space="preserve">Resultados Extraordinarios </t>
    </r>
  </si>
  <si>
    <t>Nro.</t>
  </si>
  <si>
    <t>Accionista</t>
  </si>
  <si>
    <t>Serie</t>
  </si>
  <si>
    <t>Cantidad de Acciones</t>
  </si>
  <si>
    <t>Clase</t>
  </si>
  <si>
    <t>Voto</t>
  </si>
  <si>
    <t>Monto</t>
  </si>
  <si>
    <t>% de partic. Del Capital Integrado</t>
  </si>
  <si>
    <t>Albaro Jose Acosta Ferreira</t>
  </si>
  <si>
    <t>Anibal David Acosta Ferreira</t>
  </si>
  <si>
    <t>Rolando Jose Natalizia Nasser</t>
  </si>
  <si>
    <t>Federico Callizo Pecci</t>
  </si>
  <si>
    <t>Federico Sebastian Oporto Leiva</t>
  </si>
  <si>
    <t>Ordinaria Nominativa</t>
  </si>
  <si>
    <t xml:space="preserve">TOTAL CAPITAL </t>
  </si>
  <si>
    <r>
      <t>Los Estados Contables semestrales (Balance General, Estado de Resultados, Estado de Flujo de Efectivo y Estado de Variación del Patrimonio Neto) correspondientes al 3O de junio de 2020 han sido</t>
    </r>
    <r>
      <rPr>
        <sz val="10"/>
        <color indexed="10"/>
        <rFont val="Cambria"/>
        <family val="1"/>
      </rPr>
      <t xml:space="preserve"> </t>
    </r>
    <r>
      <rPr>
        <sz val="10"/>
        <color indexed="8"/>
        <rFont val="Cambria"/>
        <family val="1"/>
      </rPr>
      <t xml:space="preserve">considerados y aprobados según Acta de Directorio  </t>
    </r>
    <r>
      <rPr>
        <sz val="10"/>
        <color indexed="10"/>
        <rFont val="Cambria"/>
        <family val="1"/>
      </rPr>
      <t>Nro. 128/2020, de fecha 24 de agosto  de 2020.-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</si>
</sst>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.&quot;#,##0;\-&quot;Gs.&quot;#,##0"/>
    <numFmt numFmtId="173" formatCode="&quot;Gs.&quot;#,##0;[Red]\-&quot;Gs.&quot;#,##0"/>
    <numFmt numFmtId="174" formatCode="&quot;Gs.&quot;#,##0.00;\-&quot;Gs.&quot;#,##0.00"/>
    <numFmt numFmtId="175" formatCode="&quot;Gs.&quot;#,##0.00;[Red]\-&quot;Gs.&quot;#,##0.00"/>
    <numFmt numFmtId="176" formatCode="_-&quot;Gs.&quot;* #,##0_-;\-&quot;Gs.&quot;* #,##0_-;_-&quot;Gs.&quot;* &quot;-&quot;_-;_-@_-"/>
    <numFmt numFmtId="177" formatCode="_-&quot;Gs.&quot;* #,##0.00_-;\-&quot;Gs.&quot;* #,##0.00_-;_-&quot;Gs.&quot;* &quot;-&quot;??_-;_-@_-"/>
    <numFmt numFmtId="178" formatCode="_-* #,##0\ _D_M_-;\-* #,##0\ _D_M_-;_-* &quot;-&quot;??\ _D_M_-;_-@_-"/>
    <numFmt numFmtId="179" formatCode="_-[$Gs.-3C0A]\ * #,##0.00_ ;_-[$Gs.-3C0A]\ * \-#,##0.00\ ;_-[$Gs.-3C0A]\ * &quot;-&quot;??_ ;_-@_ "/>
    <numFmt numFmtId="180" formatCode="_(* #,##0.00_);_(* \(#,##0.00\);_(* &quot;-&quot;??_);_(@_)"/>
    <numFmt numFmtId="181" formatCode="_(* #,##0_);_(* \(#,##0\);_(* &quot;-&quot;??_);_(@_)"/>
    <numFmt numFmtId="182" formatCode="_-* #,##0_-;\-* #,##0_-;_-* &quot;-&quot;??_-;_-@_-"/>
    <numFmt numFmtId="183" formatCode="_-* #,##0.00\ _€_-;\-* #,##0.00\ _€_-;_-* &quot;-&quot;??\ _€_-;_-@_-"/>
    <numFmt numFmtId="184" formatCode="dd/mm/yyyy;@"/>
    <numFmt numFmtId="185" formatCode="#,##0;\(#,##0\)"/>
    <numFmt numFmtId="186" formatCode="_ * #,##0.00_ ;_ * \-#,##0.00_ ;_ * &quot;-&quot;_ ;_ @_ "/>
    <numFmt numFmtId="187" formatCode="[$-3C0A]dddd\,\ d\ &quot;de&quot;\ mmmm\ &quot;de&quot;\ yyyy"/>
    <numFmt numFmtId="188" formatCode="0.0%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mbria"/>
      <family val="1"/>
    </font>
    <font>
      <b/>
      <sz val="7"/>
      <color indexed="8"/>
      <name val="Times New Roman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Cambria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u val="single"/>
      <sz val="11"/>
      <color indexed="30"/>
      <name val="Calibri"/>
      <family val="2"/>
    </font>
    <font>
      <b/>
      <sz val="10"/>
      <color indexed="57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u val="single"/>
      <sz val="9"/>
      <color indexed="30"/>
      <name val="Arial"/>
      <family val="2"/>
    </font>
    <font>
      <b/>
      <u val="single"/>
      <sz val="9"/>
      <color indexed="8"/>
      <name val="Arial"/>
      <family val="2"/>
    </font>
    <font>
      <sz val="9"/>
      <color indexed="10"/>
      <name val="Arial"/>
      <family val="2"/>
    </font>
    <font>
      <b/>
      <i/>
      <u val="single"/>
      <sz val="9"/>
      <color indexed="17"/>
      <name val="Arial"/>
      <family val="2"/>
    </font>
    <font>
      <b/>
      <sz val="9"/>
      <color indexed="10"/>
      <name val="Arial"/>
      <family val="2"/>
    </font>
    <font>
      <b/>
      <i/>
      <u val="single"/>
      <sz val="9"/>
      <color indexed="53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9"/>
      <color indexed="5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u val="single"/>
      <sz val="11"/>
      <color theme="10"/>
      <name val="Calibri"/>
      <family val="2"/>
    </font>
    <font>
      <b/>
      <sz val="10"/>
      <color theme="9"/>
      <name val="Arial"/>
      <family val="2"/>
    </font>
    <font>
      <sz val="8"/>
      <color theme="5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Arial"/>
      <family val="2"/>
    </font>
    <font>
      <u val="single"/>
      <sz val="9"/>
      <color theme="10"/>
      <name val="Arial"/>
      <family val="2"/>
    </font>
    <font>
      <b/>
      <u val="single"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u val="single"/>
      <sz val="9"/>
      <color rgb="FF00B050"/>
      <name val="Arial"/>
      <family val="2"/>
    </font>
    <font>
      <b/>
      <i/>
      <u val="single"/>
      <sz val="9"/>
      <color theme="5" tint="-0.24997000396251678"/>
      <name val="Arial"/>
      <family val="2"/>
    </font>
    <font>
      <b/>
      <i/>
      <u val="single"/>
      <sz val="9"/>
      <color rgb="FFFF0000"/>
      <name val="Arial"/>
      <family val="2"/>
    </font>
    <font>
      <b/>
      <i/>
      <u val="single"/>
      <sz val="9"/>
      <color theme="7" tint="-0.24997000396251678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theme="9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double"/>
    </border>
    <border>
      <left style="thin"/>
      <right style="thin"/>
      <top style="thin">
        <color indexed="8"/>
      </top>
      <bottom style="double"/>
    </border>
    <border>
      <left/>
      <right style="thin"/>
      <top/>
      <bottom style="double"/>
    </border>
    <border>
      <left/>
      <right style="thin"/>
      <top style="thin">
        <color indexed="8"/>
      </top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>
        <color indexed="8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/>
    </border>
    <border>
      <left style="thin">
        <color indexed="8"/>
      </left>
      <right style="thin"/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/>
      <top style="medium"/>
      <bottom style="medium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7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7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4" fillId="0" borderId="8" applyNumberFormat="0" applyFill="0" applyAlignment="0" applyProtection="0"/>
    <xf numFmtId="0" fontId="77" fillId="0" borderId="9" applyNumberFormat="0" applyFill="0" applyAlignment="0" applyProtection="0"/>
  </cellStyleXfs>
  <cellXfs count="5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8" fontId="2" fillId="0" borderId="0" xfId="51" applyNumberFormat="1" applyFont="1" applyFill="1" applyAlignment="1">
      <alignment/>
    </xf>
    <xf numFmtId="178" fontId="2" fillId="0" borderId="0" xfId="51" applyNumberFormat="1" applyFont="1" applyFill="1" applyAlignment="1" applyProtection="1">
      <alignment/>
      <protection hidden="1"/>
    </xf>
    <xf numFmtId="3" fontId="2" fillId="0" borderId="0" xfId="0" applyNumberFormat="1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justify" vertical="center"/>
    </xf>
    <xf numFmtId="0" fontId="79" fillId="0" borderId="0" xfId="0" applyFont="1" applyAlignment="1">
      <alignment horizontal="justify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2" fillId="0" borderId="0" xfId="0" applyFont="1" applyAlignment="1">
      <alignment horizontal="left"/>
    </xf>
    <xf numFmtId="0" fontId="85" fillId="0" borderId="0" xfId="48" applyFont="1" applyBorder="1" applyAlignment="1" quotePrefix="1">
      <alignment horizontal="left"/>
    </xf>
    <xf numFmtId="0" fontId="67" fillId="0" borderId="11" xfId="48" applyBorder="1" applyAlignment="1">
      <alignment horizontal="center" vertical="center"/>
    </xf>
    <xf numFmtId="0" fontId="82" fillId="0" borderId="12" xfId="0" applyFont="1" applyBorder="1" applyAlignment="1">
      <alignment/>
    </xf>
    <xf numFmtId="0" fontId="82" fillId="0" borderId="13" xfId="0" applyFont="1" applyBorder="1" applyAlignment="1">
      <alignment/>
    </xf>
    <xf numFmtId="0" fontId="67" fillId="0" borderId="14" xfId="48" applyBorder="1" applyAlignment="1">
      <alignment horizontal="center"/>
    </xf>
    <xf numFmtId="0" fontId="82" fillId="0" borderId="15" xfId="0" applyFont="1" applyBorder="1" applyAlignment="1">
      <alignment/>
    </xf>
    <xf numFmtId="0" fontId="67" fillId="0" borderId="14" xfId="48" applyBorder="1" applyAlignment="1" quotePrefix="1">
      <alignment horizontal="center"/>
    </xf>
    <xf numFmtId="0" fontId="5" fillId="33" borderId="15" xfId="0" applyFont="1" applyFill="1" applyBorder="1" applyAlignment="1">
      <alignment vertical="center"/>
    </xf>
    <xf numFmtId="0" fontId="85" fillId="0" borderId="14" xfId="48" applyFont="1" applyBorder="1" applyAlignment="1" quotePrefix="1">
      <alignment horizontal="center"/>
    </xf>
    <xf numFmtId="0" fontId="83" fillId="0" borderId="14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3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2" fillId="0" borderId="18" xfId="0" applyFont="1" applyBorder="1" applyAlignment="1">
      <alignment/>
    </xf>
    <xf numFmtId="0" fontId="86" fillId="0" borderId="0" xfId="0" applyFont="1" applyAlignment="1">
      <alignment horizontal="center" vertical="center"/>
    </xf>
    <xf numFmtId="0" fontId="82" fillId="34" borderId="0" xfId="0" applyFont="1" applyFill="1" applyAlignment="1">
      <alignment horizontal="left"/>
    </xf>
    <xf numFmtId="0" fontId="82" fillId="34" borderId="0" xfId="0" applyFont="1" applyFill="1" applyAlignment="1">
      <alignment/>
    </xf>
    <xf numFmtId="14" fontId="87" fillId="35" borderId="0" xfId="0" applyNumberFormat="1" applyFont="1" applyFill="1" applyAlignment="1">
      <alignment/>
    </xf>
    <xf numFmtId="0" fontId="83" fillId="0" borderId="0" xfId="0" applyFont="1" applyAlignment="1">
      <alignment horizontal="right"/>
    </xf>
    <xf numFmtId="0" fontId="67" fillId="0" borderId="0" xfId="48" applyAlignment="1" quotePrefix="1">
      <alignment/>
    </xf>
    <xf numFmtId="0" fontId="67" fillId="0" borderId="0" xfId="48" applyAlignment="1" quotePrefix="1">
      <alignment/>
    </xf>
    <xf numFmtId="0" fontId="5" fillId="33" borderId="0" xfId="0" applyFont="1" applyFill="1" applyBorder="1" applyAlignment="1">
      <alignment horizontal="center" vertical="center"/>
    </xf>
    <xf numFmtId="0" fontId="67" fillId="0" borderId="14" xfId="48" applyBorder="1" applyAlignment="1" quotePrefix="1">
      <alignment horizontal="center" vertical="center"/>
    </xf>
    <xf numFmtId="0" fontId="88" fillId="0" borderId="0" xfId="0" applyFont="1" applyAlignment="1">
      <alignment/>
    </xf>
    <xf numFmtId="0" fontId="89" fillId="0" borderId="14" xfId="48" applyFont="1" applyBorder="1" applyAlignment="1" quotePrefix="1">
      <alignment horizontal="center"/>
    </xf>
    <xf numFmtId="0" fontId="10" fillId="0" borderId="0" xfId="0" applyFont="1" applyAlignment="1">
      <alignment/>
    </xf>
    <xf numFmtId="3" fontId="90" fillId="0" borderId="0" xfId="0" applyNumberFormat="1" applyFont="1" applyAlignment="1" applyProtection="1">
      <alignment/>
      <protection hidden="1" locked="0"/>
    </xf>
    <xf numFmtId="3" fontId="10" fillId="0" borderId="0" xfId="0" applyNumberFormat="1" applyFont="1" applyAlignment="1" applyProtection="1">
      <alignment/>
      <protection hidden="1" locked="0"/>
    </xf>
    <xf numFmtId="0" fontId="91" fillId="0" borderId="0" xfId="0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 indent="5"/>
    </xf>
    <xf numFmtId="0" fontId="92" fillId="0" borderId="10" xfId="0" applyFont="1" applyBorder="1" applyAlignment="1">
      <alignment horizontal="center" vertical="center" wrapText="1"/>
    </xf>
    <xf numFmtId="0" fontId="67" fillId="0" borderId="14" xfId="48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 horizontal="right"/>
    </xf>
    <xf numFmtId="178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3" fillId="0" borderId="19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169" fontId="2" fillId="0" borderId="0" xfId="52" applyFont="1" applyBorder="1" applyAlignment="1">
      <alignment wrapText="1"/>
    </xf>
    <xf numFmtId="169" fontId="2" fillId="0" borderId="20" xfId="52" applyFont="1" applyBorder="1" applyAlignment="1">
      <alignment wrapText="1"/>
    </xf>
    <xf numFmtId="169" fontId="2" fillId="0" borderId="21" xfId="52" applyFont="1" applyBorder="1" applyAlignment="1">
      <alignment wrapText="1"/>
    </xf>
    <xf numFmtId="169" fontId="2" fillId="0" borderId="12" xfId="52" applyFont="1" applyBorder="1" applyAlignment="1">
      <alignment wrapText="1"/>
    </xf>
    <xf numFmtId="169" fontId="2" fillId="0" borderId="22" xfId="52" applyFont="1" applyBorder="1" applyAlignment="1">
      <alignment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178" fontId="17" fillId="0" borderId="23" xfId="51" applyNumberFormat="1" applyFont="1" applyFill="1" applyBorder="1" applyAlignment="1">
      <alignment horizontal="center" vertical="center" wrapText="1"/>
    </xf>
    <xf numFmtId="178" fontId="17" fillId="0" borderId="24" xfId="51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178" fontId="17" fillId="0" borderId="10" xfId="51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169" fontId="16" fillId="0" borderId="21" xfId="52" applyFont="1" applyFill="1" applyBorder="1" applyAlignment="1">
      <alignment horizontal="right" wrapText="1"/>
    </xf>
    <xf numFmtId="169" fontId="17" fillId="0" borderId="14" xfId="52" applyFont="1" applyFill="1" applyBorder="1" applyAlignment="1">
      <alignment horizontal="right" wrapText="1"/>
    </xf>
    <xf numFmtId="169" fontId="16" fillId="0" borderId="21" xfId="52" applyFont="1" applyBorder="1" applyAlignment="1">
      <alignment wrapText="1"/>
    </xf>
    <xf numFmtId="169" fontId="3" fillId="0" borderId="14" xfId="52" applyFont="1" applyFill="1" applyBorder="1" applyAlignment="1">
      <alignment horizontal="right" wrapText="1"/>
    </xf>
    <xf numFmtId="169" fontId="2" fillId="0" borderId="14" xfId="52" applyFont="1" applyFill="1" applyBorder="1" applyAlignment="1">
      <alignment horizontal="right" wrapText="1"/>
    </xf>
    <xf numFmtId="169" fontId="3" fillId="0" borderId="21" xfId="52" applyFont="1" applyFill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169" fontId="3" fillId="0" borderId="21" xfId="52" applyFont="1" applyBorder="1" applyAlignment="1">
      <alignment horizontal="left" wrapText="1"/>
    </xf>
    <xf numFmtId="169" fontId="2" fillId="0" borderId="21" xfId="52" applyFont="1" applyFill="1" applyBorder="1" applyAlignment="1">
      <alignment horizontal="right" wrapText="1"/>
    </xf>
    <xf numFmtId="0" fontId="3" fillId="0" borderId="14" xfId="0" applyFont="1" applyBorder="1" applyAlignment="1">
      <alignment wrapText="1"/>
    </xf>
    <xf numFmtId="169" fontId="16" fillId="0" borderId="25" xfId="52" applyFont="1" applyFill="1" applyBorder="1" applyAlignment="1">
      <alignment horizontal="right" wrapText="1"/>
    </xf>
    <xf numFmtId="169" fontId="3" fillId="0" borderId="26" xfId="52" applyFont="1" applyFill="1" applyBorder="1" applyAlignment="1">
      <alignment horizontal="right" wrapText="1"/>
    </xf>
    <xf numFmtId="169" fontId="2" fillId="0" borderId="26" xfId="52" applyFont="1" applyFill="1" applyBorder="1" applyAlignment="1">
      <alignment horizontal="right" wrapText="1"/>
    </xf>
    <xf numFmtId="169" fontId="16" fillId="0" borderId="27" xfId="52" applyFont="1" applyFill="1" applyBorder="1" applyAlignment="1">
      <alignment horizontal="right" wrapText="1"/>
    </xf>
    <xf numFmtId="169" fontId="3" fillId="0" borderId="21" xfId="52" applyFont="1" applyBorder="1" applyAlignment="1">
      <alignment wrapText="1"/>
    </xf>
    <xf numFmtId="169" fontId="16" fillId="0" borderId="28" xfId="52" applyFont="1" applyFill="1" applyBorder="1" applyAlignment="1">
      <alignment horizontal="right" wrapText="1"/>
    </xf>
    <xf numFmtId="0" fontId="16" fillId="0" borderId="14" xfId="0" applyFont="1" applyBorder="1" applyAlignment="1">
      <alignment horizontal="left" wrapText="1"/>
    </xf>
    <xf numFmtId="169" fontId="16" fillId="0" borderId="21" xfId="52" applyFont="1" applyBorder="1" applyAlignment="1">
      <alignment horizontal="left" wrapText="1"/>
    </xf>
    <xf numFmtId="169" fontId="16" fillId="0" borderId="14" xfId="52" applyFont="1" applyFill="1" applyBorder="1" applyAlignment="1">
      <alignment horizontal="right" wrapText="1"/>
    </xf>
    <xf numFmtId="169" fontId="16" fillId="0" borderId="10" xfId="52" applyFont="1" applyFill="1" applyBorder="1" applyAlignment="1">
      <alignment horizontal="right" wrapText="1"/>
    </xf>
    <xf numFmtId="0" fontId="16" fillId="0" borderId="29" xfId="0" applyFont="1" applyBorder="1" applyAlignment="1">
      <alignment wrapText="1"/>
    </xf>
    <xf numFmtId="169" fontId="16" fillId="0" borderId="30" xfId="52" applyFont="1" applyFill="1" applyBorder="1" applyAlignment="1">
      <alignment horizontal="right" wrapText="1"/>
    </xf>
    <xf numFmtId="169" fontId="16" fillId="0" borderId="31" xfId="52" applyFont="1" applyBorder="1" applyAlignment="1">
      <alignment wrapText="1"/>
    </xf>
    <xf numFmtId="169" fontId="16" fillId="0" borderId="31" xfId="52" applyFont="1" applyFill="1" applyBorder="1" applyAlignment="1">
      <alignment horizontal="right" wrapText="1"/>
    </xf>
    <xf numFmtId="169" fontId="16" fillId="0" borderId="32" xfId="52" applyFont="1" applyFill="1" applyBorder="1" applyAlignment="1">
      <alignment horizontal="right" wrapText="1"/>
    </xf>
    <xf numFmtId="169" fontId="94" fillId="0" borderId="21" xfId="52" applyFont="1" applyFill="1" applyBorder="1" applyAlignment="1">
      <alignment horizontal="right" wrapText="1"/>
    </xf>
    <xf numFmtId="169" fontId="16" fillId="0" borderId="33" xfId="52" applyFont="1" applyBorder="1" applyAlignment="1">
      <alignment wrapText="1"/>
    </xf>
    <xf numFmtId="169" fontId="16" fillId="0" borderId="34" xfId="52" applyFont="1" applyFill="1" applyBorder="1" applyAlignment="1">
      <alignment horizontal="right" wrapText="1"/>
    </xf>
    <xf numFmtId="169" fontId="3" fillId="0" borderId="28" xfId="52" applyFont="1" applyFill="1" applyBorder="1" applyAlignment="1">
      <alignment horizontal="right" wrapText="1"/>
    </xf>
    <xf numFmtId="169" fontId="2" fillId="0" borderId="11" xfId="52" applyFont="1" applyFill="1" applyBorder="1" applyAlignment="1">
      <alignment horizontal="right" wrapText="1"/>
    </xf>
    <xf numFmtId="169" fontId="16" fillId="0" borderId="26" xfId="52" applyFont="1" applyFill="1" applyBorder="1" applyAlignment="1">
      <alignment horizontal="right" wrapText="1"/>
    </xf>
    <xf numFmtId="169" fontId="16" fillId="0" borderId="22" xfId="52" applyFont="1" applyBorder="1" applyAlignment="1">
      <alignment wrapText="1"/>
    </xf>
    <xf numFmtId="169" fontId="16" fillId="0" borderId="35" xfId="52" applyFont="1" applyFill="1" applyBorder="1" applyAlignment="1">
      <alignment horizontal="right" wrapText="1"/>
    </xf>
    <xf numFmtId="169" fontId="16" fillId="0" borderId="11" xfId="52" applyFont="1" applyFill="1" applyBorder="1" applyAlignment="1">
      <alignment horizontal="right" wrapText="1"/>
    </xf>
    <xf numFmtId="169" fontId="17" fillId="0" borderId="24" xfId="52" applyFont="1" applyFill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16" fillId="0" borderId="0" xfId="0" applyFont="1" applyAlignment="1">
      <alignment/>
    </xf>
    <xf numFmtId="178" fontId="16" fillId="0" borderId="0" xfId="51" applyNumberFormat="1" applyFont="1" applyFill="1" applyAlignment="1">
      <alignment/>
    </xf>
    <xf numFmtId="178" fontId="2" fillId="0" borderId="0" xfId="0" applyNumberFormat="1" applyFont="1" applyAlignment="1">
      <alignment/>
    </xf>
    <xf numFmtId="0" fontId="95" fillId="0" borderId="0" xfId="0" applyFont="1" applyAlignment="1">
      <alignment vertical="center" wrapText="1"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 horizontal="center" vertical="center"/>
    </xf>
    <xf numFmtId="3" fontId="17" fillId="0" borderId="0" xfId="0" applyNumberFormat="1" applyFont="1" applyAlignment="1">
      <alignment/>
    </xf>
    <xf numFmtId="169" fontId="2" fillId="0" borderId="0" xfId="52" applyFont="1" applyFill="1" applyAlignment="1">
      <alignment horizontal="right"/>
    </xf>
    <xf numFmtId="49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69" fontId="2" fillId="0" borderId="12" xfId="52" applyFont="1" applyFill="1" applyBorder="1" applyAlignment="1">
      <alignment horizontal="right"/>
    </xf>
    <xf numFmtId="3" fontId="2" fillId="0" borderId="36" xfId="0" applyNumberFormat="1" applyFont="1" applyBorder="1" applyAlignment="1">
      <alignment/>
    </xf>
    <xf numFmtId="169" fontId="17" fillId="0" borderId="36" xfId="52" applyFont="1" applyFill="1" applyBorder="1" applyAlignment="1">
      <alignment horizontal="right"/>
    </xf>
    <xf numFmtId="169" fontId="2" fillId="0" borderId="0" xfId="52" applyFont="1" applyFill="1" applyAlignment="1">
      <alignment/>
    </xf>
    <xf numFmtId="169" fontId="2" fillId="0" borderId="19" xfId="52" applyFont="1" applyFill="1" applyBorder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0" xfId="51" applyNumberFormat="1" applyFont="1" applyFill="1" applyAlignment="1">
      <alignment/>
    </xf>
    <xf numFmtId="169" fontId="2" fillId="0" borderId="0" xfId="52" applyFont="1" applyFill="1" applyBorder="1" applyAlignment="1">
      <alignment horizontal="right"/>
    </xf>
    <xf numFmtId="0" fontId="17" fillId="0" borderId="37" xfId="0" applyFont="1" applyBorder="1" applyAlignment="1">
      <alignment/>
    </xf>
    <xf numFmtId="3" fontId="17" fillId="0" borderId="36" xfId="0" applyNumberFormat="1" applyFont="1" applyBorder="1" applyAlignment="1">
      <alignment/>
    </xf>
    <xf numFmtId="169" fontId="17" fillId="0" borderId="38" xfId="52" applyFont="1" applyFill="1" applyBorder="1" applyAlignment="1">
      <alignment horizontal="right"/>
    </xf>
    <xf numFmtId="169" fontId="17" fillId="0" borderId="39" xfId="52" applyFont="1" applyFill="1" applyBorder="1" applyAlignment="1">
      <alignment horizontal="right"/>
    </xf>
    <xf numFmtId="3" fontId="2" fillId="0" borderId="0" xfId="0" applyNumberFormat="1" applyFont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 locked="0"/>
    </xf>
    <xf numFmtId="0" fontId="3" fillId="0" borderId="16" xfId="0" applyFont="1" applyBorder="1" applyAlignment="1">
      <alignment/>
    </xf>
    <xf numFmtId="178" fontId="16" fillId="0" borderId="24" xfId="51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169" fontId="3" fillId="0" borderId="40" xfId="52" applyFont="1" applyBorder="1" applyAlignment="1">
      <alignment/>
    </xf>
    <xf numFmtId="0" fontId="3" fillId="0" borderId="14" xfId="0" applyFont="1" applyBorder="1" applyAlignment="1">
      <alignment/>
    </xf>
    <xf numFmtId="169" fontId="3" fillId="0" borderId="21" xfId="52" applyFont="1" applyBorder="1" applyAlignment="1">
      <alignment/>
    </xf>
    <xf numFmtId="169" fontId="3" fillId="0" borderId="14" xfId="52" applyFont="1" applyBorder="1" applyAlignment="1">
      <alignment/>
    </xf>
    <xf numFmtId="0" fontId="17" fillId="0" borderId="14" xfId="0" applyFont="1" applyBorder="1" applyAlignment="1">
      <alignment/>
    </xf>
    <xf numFmtId="169" fontId="2" fillId="0" borderId="14" xfId="52" applyFont="1" applyBorder="1" applyAlignment="1">
      <alignment/>
    </xf>
    <xf numFmtId="0" fontId="2" fillId="0" borderId="14" xfId="0" applyFont="1" applyBorder="1" applyAlignment="1">
      <alignment/>
    </xf>
    <xf numFmtId="169" fontId="17" fillId="0" borderId="14" xfId="52" applyFont="1" applyBorder="1" applyAlignment="1">
      <alignment/>
    </xf>
    <xf numFmtId="0" fontId="3" fillId="0" borderId="11" xfId="0" applyFont="1" applyBorder="1" applyAlignment="1">
      <alignment/>
    </xf>
    <xf numFmtId="169" fontId="17" fillId="0" borderId="25" xfId="52" applyFont="1" applyBorder="1" applyAlignment="1">
      <alignment/>
    </xf>
    <xf numFmtId="169" fontId="6" fillId="0" borderId="0" xfId="53" applyFont="1" applyAlignment="1">
      <alignment/>
    </xf>
    <xf numFmtId="0" fontId="93" fillId="0" borderId="0" xfId="0" applyFont="1" applyAlignment="1">
      <alignment/>
    </xf>
    <xf numFmtId="169" fontId="93" fillId="0" borderId="0" xfId="52" applyFont="1" applyAlignment="1">
      <alignment/>
    </xf>
    <xf numFmtId="169" fontId="93" fillId="0" borderId="0" xfId="0" applyNumberFormat="1" applyFont="1" applyAlignment="1">
      <alignment/>
    </xf>
    <xf numFmtId="0" fontId="86" fillId="0" borderId="0" xfId="0" applyFont="1" applyAlignment="1">
      <alignment/>
    </xf>
    <xf numFmtId="169" fontId="86" fillId="0" borderId="0" xfId="52" applyFont="1" applyAlignment="1">
      <alignment/>
    </xf>
    <xf numFmtId="169" fontId="97" fillId="0" borderId="0" xfId="52" applyFont="1" applyAlignment="1">
      <alignment horizontal="center" vertical="center"/>
    </xf>
    <xf numFmtId="169" fontId="97" fillId="0" borderId="0" xfId="52" applyFont="1" applyAlignment="1">
      <alignment/>
    </xf>
    <xf numFmtId="169" fontId="86" fillId="0" borderId="0" xfId="52" applyFont="1" applyAlignment="1">
      <alignment horizontal="center" vertical="center"/>
    </xf>
    <xf numFmtId="169" fontId="3" fillId="0" borderId="0" xfId="52" applyFont="1" applyAlignment="1">
      <alignment/>
    </xf>
    <xf numFmtId="169" fontId="86" fillId="0" borderId="0" xfId="0" applyNumberFormat="1" applyFont="1" applyAlignment="1">
      <alignment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center" vertical="center" wrapText="1"/>
    </xf>
    <xf numFmtId="0" fontId="98" fillId="0" borderId="0" xfId="48" applyFont="1" applyAlignment="1" quotePrefix="1">
      <alignment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0" fontId="92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justify" vertical="center"/>
    </xf>
    <xf numFmtId="180" fontId="93" fillId="0" borderId="10" xfId="0" applyNumberFormat="1" applyFont="1" applyBorder="1" applyAlignment="1">
      <alignment/>
    </xf>
    <xf numFmtId="0" fontId="93" fillId="0" borderId="10" xfId="0" applyFont="1" applyBorder="1" applyAlignment="1">
      <alignment/>
    </xf>
    <xf numFmtId="0" fontId="99" fillId="0" borderId="0" xfId="0" applyFont="1" applyAlignment="1">
      <alignment vertical="center"/>
    </xf>
    <xf numFmtId="0" fontId="92" fillId="0" borderId="10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4" fontId="93" fillId="0" borderId="10" xfId="0" applyNumberFormat="1" applyFont="1" applyBorder="1" applyAlignment="1">
      <alignment horizontal="center" vertical="center"/>
    </xf>
    <xf numFmtId="3" fontId="93" fillId="0" borderId="10" xfId="0" applyNumberFormat="1" applyFont="1" applyBorder="1" applyAlignment="1">
      <alignment vertical="center"/>
    </xf>
    <xf numFmtId="186" fontId="93" fillId="0" borderId="10" xfId="52" applyNumberFormat="1" applyFont="1" applyBorder="1" applyAlignment="1">
      <alignment horizontal="center" vertical="center"/>
    </xf>
    <xf numFmtId="180" fontId="93" fillId="0" borderId="10" xfId="51" applyNumberFormat="1" applyFont="1" applyBorder="1" applyAlignment="1">
      <alignment horizontal="center" vertical="center"/>
    </xf>
    <xf numFmtId="0" fontId="93" fillId="0" borderId="10" xfId="51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92" fillId="0" borderId="10" xfId="0" applyNumberFormat="1" applyFont="1" applyBorder="1" applyAlignment="1">
      <alignment horizontal="center" vertical="center"/>
    </xf>
    <xf numFmtId="3" fontId="93" fillId="0" borderId="10" xfId="51" applyNumberFormat="1" applyFont="1" applyBorder="1" applyAlignment="1">
      <alignment horizontal="center" vertical="center"/>
    </xf>
    <xf numFmtId="171" fontId="93" fillId="0" borderId="10" xfId="51" applyFont="1" applyBorder="1" applyAlignment="1">
      <alignment horizontal="center" vertical="center"/>
    </xf>
    <xf numFmtId="169" fontId="93" fillId="0" borderId="10" xfId="52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92" fillId="0" borderId="16" xfId="0" applyFont="1" applyBorder="1" applyAlignment="1">
      <alignment horizontal="center" wrapText="1"/>
    </xf>
    <xf numFmtId="0" fontId="93" fillId="0" borderId="10" xfId="0" applyFont="1" applyBorder="1" applyAlignment="1">
      <alignment wrapText="1"/>
    </xf>
    <xf numFmtId="180" fontId="93" fillId="0" borderId="10" xfId="0" applyNumberFormat="1" applyFont="1" applyBorder="1" applyAlignment="1">
      <alignment horizontal="center" vertical="center"/>
    </xf>
    <xf numFmtId="169" fontId="93" fillId="0" borderId="10" xfId="52" applyFont="1" applyBorder="1" applyAlignment="1">
      <alignment horizontal="right"/>
    </xf>
    <xf numFmtId="180" fontId="93" fillId="0" borderId="10" xfId="51" applyNumberFormat="1" applyFont="1" applyBorder="1" applyAlignment="1">
      <alignment horizontal="right"/>
    </xf>
    <xf numFmtId="3" fontId="92" fillId="0" borderId="10" xfId="0" applyNumberFormat="1" applyFont="1" applyBorder="1" applyAlignment="1">
      <alignment horizontal="right"/>
    </xf>
    <xf numFmtId="0" fontId="97" fillId="0" borderId="10" xfId="0" applyFont="1" applyBorder="1" applyAlignment="1">
      <alignment/>
    </xf>
    <xf numFmtId="169" fontId="86" fillId="0" borderId="10" xfId="52" applyFont="1" applyBorder="1" applyAlignment="1">
      <alignment horizontal="right"/>
    </xf>
    <xf numFmtId="184" fontId="92" fillId="0" borderId="10" xfId="0" applyNumberFormat="1" applyFont="1" applyBorder="1" applyAlignment="1">
      <alignment horizontal="center" vertical="center"/>
    </xf>
    <xf numFmtId="169" fontId="93" fillId="0" borderId="0" xfId="52" applyFont="1" applyAlignment="1">
      <alignment horizontal="right"/>
    </xf>
    <xf numFmtId="0" fontId="92" fillId="0" borderId="10" xfId="0" applyFont="1" applyBorder="1" applyAlignment="1">
      <alignment horizontal="center"/>
    </xf>
    <xf numFmtId="169" fontId="92" fillId="0" borderId="10" xfId="52" applyFont="1" applyBorder="1" applyAlignment="1">
      <alignment horizontal="right" vertical="center"/>
    </xf>
    <xf numFmtId="169" fontId="92" fillId="0" borderId="10" xfId="52" applyFont="1" applyBorder="1" applyAlignment="1">
      <alignment horizontal="right"/>
    </xf>
    <xf numFmtId="169" fontId="93" fillId="0" borderId="10" xfId="52" applyFont="1" applyBorder="1" applyAlignment="1">
      <alignment horizontal="right" vertical="center"/>
    </xf>
    <xf numFmtId="0" fontId="92" fillId="0" borderId="0" xfId="0" applyFont="1" applyAlignment="1">
      <alignment horizontal="left" vertical="center" indent="2"/>
    </xf>
    <xf numFmtId="0" fontId="100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9" fillId="0" borderId="10" xfId="52" applyNumberFormat="1" applyFont="1" applyFill="1" applyBorder="1" applyAlignment="1">
      <alignment horizontal="right"/>
    </xf>
    <xf numFmtId="181" fontId="19" fillId="0" borderId="10" xfId="52" applyNumberFormat="1" applyFont="1" applyFill="1" applyBorder="1" applyAlignment="1">
      <alignment horizontal="right" vertical="center"/>
    </xf>
    <xf numFmtId="169" fontId="19" fillId="0" borderId="10" xfId="52" applyFont="1" applyFill="1" applyBorder="1" applyAlignment="1">
      <alignment vertical="center"/>
    </xf>
    <xf numFmtId="181" fontId="93" fillId="0" borderId="0" xfId="0" applyNumberFormat="1" applyFont="1" applyAlignment="1">
      <alignment/>
    </xf>
    <xf numFmtId="0" fontId="84" fillId="0" borderId="11" xfId="0" applyFont="1" applyFill="1" applyBorder="1" applyAlignment="1">
      <alignment vertical="center"/>
    </xf>
    <xf numFmtId="181" fontId="84" fillId="0" borderId="11" xfId="51" applyNumberFormat="1" applyFont="1" applyFill="1" applyBorder="1" applyAlignment="1">
      <alignment horizontal="right" vertical="center"/>
    </xf>
    <xf numFmtId="169" fontId="19" fillId="0" borderId="11" xfId="52" applyFont="1" applyFill="1" applyBorder="1" applyAlignment="1">
      <alignment vertical="center"/>
    </xf>
    <xf numFmtId="0" fontId="84" fillId="0" borderId="10" xfId="0" applyFont="1" applyBorder="1" applyAlignment="1">
      <alignment vertical="center"/>
    </xf>
    <xf numFmtId="181" fontId="84" fillId="0" borderId="10" xfId="56" applyNumberFormat="1" applyFont="1" applyBorder="1" applyAlignment="1">
      <alignment horizontal="right"/>
    </xf>
    <xf numFmtId="181" fontId="100" fillId="0" borderId="10" xfId="51" applyNumberFormat="1" applyFont="1" applyBorder="1" applyAlignment="1">
      <alignment vertical="center"/>
    </xf>
    <xf numFmtId="0" fontId="84" fillId="0" borderId="0" xfId="0" applyFont="1" applyAlignment="1">
      <alignment vertical="center"/>
    </xf>
    <xf numFmtId="181" fontId="84" fillId="0" borderId="0" xfId="0" applyNumberFormat="1" applyFont="1" applyAlignment="1">
      <alignment vertical="center"/>
    </xf>
    <xf numFmtId="181" fontId="84" fillId="0" borderId="0" xfId="51" applyNumberFormat="1" applyFont="1" applyBorder="1" applyAlignment="1">
      <alignment horizontal="right" vertical="center"/>
    </xf>
    <xf numFmtId="181" fontId="100" fillId="0" borderId="0" xfId="51" applyNumberFormat="1" applyFont="1" applyBorder="1" applyAlignment="1">
      <alignment vertical="center"/>
    </xf>
    <xf numFmtId="0" fontId="93" fillId="0" borderId="0" xfId="0" applyFont="1" applyAlignment="1">
      <alignment vertical="center"/>
    </xf>
    <xf numFmtId="181" fontId="93" fillId="0" borderId="0" xfId="0" applyNumberFormat="1" applyFont="1" applyAlignment="1">
      <alignment vertical="center"/>
    </xf>
    <xf numFmtId="0" fontId="100" fillId="0" borderId="1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19" fillId="0" borderId="38" xfId="0" applyFont="1" applyBorder="1" applyAlignment="1">
      <alignment horizontal="right"/>
    </xf>
    <xf numFmtId="181" fontId="19" fillId="0" borderId="38" xfId="0" applyNumberFormat="1" applyFont="1" applyBorder="1" applyAlignment="1">
      <alignment horizontal="right" vertical="center"/>
    </xf>
    <xf numFmtId="169" fontId="19" fillId="0" borderId="38" xfId="52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22" xfId="0" applyFont="1" applyBorder="1" applyAlignment="1">
      <alignment horizontal="right"/>
    </xf>
    <xf numFmtId="181" fontId="19" fillId="0" borderId="22" xfId="0" applyNumberFormat="1" applyFont="1" applyBorder="1" applyAlignment="1">
      <alignment horizontal="right" vertical="center"/>
    </xf>
    <xf numFmtId="169" fontId="19" fillId="0" borderId="22" xfId="52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84" fillId="0" borderId="11" xfId="0" applyFont="1" applyBorder="1" applyAlignment="1">
      <alignment vertical="center"/>
    </xf>
    <xf numFmtId="169" fontId="100" fillId="0" borderId="10" xfId="52" applyFont="1" applyBorder="1" applyAlignment="1">
      <alignment vertical="center"/>
    </xf>
    <xf numFmtId="3" fontId="84" fillId="0" borderId="10" xfId="0" applyNumberFormat="1" applyFont="1" applyBorder="1" applyAlignment="1">
      <alignment horizontal="right"/>
    </xf>
    <xf numFmtId="3" fontId="93" fillId="0" borderId="0" xfId="0" applyNumberFormat="1" applyFont="1" applyAlignment="1">
      <alignment vertical="center"/>
    </xf>
    <xf numFmtId="0" fontId="84" fillId="0" borderId="10" xfId="0" applyFont="1" applyFill="1" applyBorder="1" applyAlignment="1">
      <alignment horizontal="center" vertical="center" wrapText="1"/>
    </xf>
    <xf numFmtId="181" fontId="100" fillId="0" borderId="10" xfId="51" applyNumberFormat="1" applyFont="1" applyBorder="1" applyAlignment="1">
      <alignment horizontal="right" vertical="center"/>
    </xf>
    <xf numFmtId="181" fontId="100" fillId="0" borderId="10" xfId="51" applyNumberFormat="1" applyFont="1" applyFill="1" applyBorder="1" applyAlignment="1">
      <alignment horizontal="right" vertical="center"/>
    </xf>
    <xf numFmtId="181" fontId="84" fillId="0" borderId="10" xfId="51" applyNumberFormat="1" applyFont="1" applyBorder="1" applyAlignment="1">
      <alignment horizontal="right" vertical="center"/>
    </xf>
    <xf numFmtId="0" fontId="84" fillId="0" borderId="0" xfId="0" applyFont="1" applyBorder="1" applyAlignment="1">
      <alignment vertical="center"/>
    </xf>
    <xf numFmtId="181" fontId="84" fillId="0" borderId="0" xfId="56" applyNumberFormat="1" applyFont="1" applyBorder="1" applyAlignment="1">
      <alignment horizontal="right"/>
    </xf>
    <xf numFmtId="0" fontId="100" fillId="0" borderId="0" xfId="0" applyFont="1" applyAlignment="1">
      <alignment vertical="center"/>
    </xf>
    <xf numFmtId="3" fontId="84" fillId="0" borderId="0" xfId="0" applyNumberFormat="1" applyFont="1" applyAlignment="1">
      <alignment horizontal="right" vertical="center"/>
    </xf>
    <xf numFmtId="0" fontId="101" fillId="0" borderId="0" xfId="0" applyFont="1" applyAlignment="1">
      <alignment vertical="center"/>
    </xf>
    <xf numFmtId="0" fontId="100" fillId="0" borderId="10" xfId="0" applyFont="1" applyBorder="1" applyAlignment="1">
      <alignment horizontal="center" vertical="center" wrapText="1"/>
    </xf>
    <xf numFmtId="181" fontId="100" fillId="0" borderId="10" xfId="51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right" vertical="center"/>
    </xf>
    <xf numFmtId="0" fontId="101" fillId="0" borderId="10" xfId="0" applyFont="1" applyBorder="1" applyAlignment="1">
      <alignment vertical="center"/>
    </xf>
    <xf numFmtId="0" fontId="100" fillId="0" borderId="10" xfId="0" applyFont="1" applyBorder="1" applyAlignment="1">
      <alignment vertical="center"/>
    </xf>
    <xf numFmtId="182" fontId="93" fillId="0" borderId="10" xfId="51" applyNumberFormat="1" applyFont="1" applyBorder="1" applyAlignment="1">
      <alignment vertical="center"/>
    </xf>
    <xf numFmtId="0" fontId="93" fillId="0" borderId="10" xfId="0" applyFont="1" applyBorder="1" applyAlignment="1">
      <alignment horizontal="left" vertical="center"/>
    </xf>
    <xf numFmtId="0" fontId="84" fillId="0" borderId="41" xfId="0" applyFont="1" applyBorder="1" applyAlignment="1">
      <alignment vertical="center"/>
    </xf>
    <xf numFmtId="0" fontId="92" fillId="0" borderId="41" xfId="0" applyFont="1" applyBorder="1" applyAlignment="1">
      <alignment vertical="center"/>
    </xf>
    <xf numFmtId="181" fontId="92" fillId="0" borderId="41" xfId="0" applyNumberFormat="1" applyFont="1" applyBorder="1" applyAlignment="1">
      <alignment vertical="center"/>
    </xf>
    <xf numFmtId="181" fontId="101" fillId="0" borderId="0" xfId="0" applyNumberFormat="1" applyFont="1" applyAlignment="1">
      <alignment/>
    </xf>
    <xf numFmtId="3" fontId="93" fillId="0" borderId="0" xfId="0" applyNumberFormat="1" applyFont="1" applyAlignment="1">
      <alignment/>
    </xf>
    <xf numFmtId="169" fontId="92" fillId="0" borderId="10" xfId="52" applyFont="1" applyBorder="1" applyAlignment="1">
      <alignment horizontal="right" vertical="center" wrapText="1"/>
    </xf>
    <xf numFmtId="0" fontId="93" fillId="0" borderId="0" xfId="0" applyFont="1" applyAlignment="1">
      <alignment horizontal="center" wrapText="1"/>
    </xf>
    <xf numFmtId="0" fontId="19" fillId="0" borderId="10" xfId="0" applyFont="1" applyBorder="1" applyAlignment="1">
      <alignment horizontal="left"/>
    </xf>
    <xf numFmtId="169" fontId="93" fillId="0" borderId="10" xfId="52" applyFont="1" applyFill="1" applyBorder="1" applyAlignment="1">
      <alignment horizontal="right"/>
    </xf>
    <xf numFmtId="0" fontId="84" fillId="0" borderId="10" xfId="0" applyFont="1" applyBorder="1" applyAlignment="1">
      <alignment/>
    </xf>
    <xf numFmtId="181" fontId="93" fillId="0" borderId="0" xfId="51" applyNumberFormat="1" applyFont="1" applyFill="1" applyAlignment="1">
      <alignment/>
    </xf>
    <xf numFmtId="0" fontId="92" fillId="0" borderId="0" xfId="0" applyFont="1" applyAlignment="1">
      <alignment horizontal="left"/>
    </xf>
    <xf numFmtId="169" fontId="92" fillId="0" borderId="0" xfId="52" applyFont="1" applyAlignment="1">
      <alignment horizontal="right"/>
    </xf>
    <xf numFmtId="49" fontId="19" fillId="0" borderId="10" xfId="0" applyNumberFormat="1" applyFont="1" applyBorder="1" applyAlignment="1">
      <alignment horizontal="left"/>
    </xf>
    <xf numFmtId="0" fontId="93" fillId="0" borderId="0" xfId="0" applyFont="1" applyAlignment="1">
      <alignment horizontal="left"/>
    </xf>
    <xf numFmtId="169" fontId="97" fillId="0" borderId="10" xfId="52" applyFont="1" applyBorder="1" applyAlignment="1">
      <alignment horizontal="right"/>
    </xf>
    <xf numFmtId="0" fontId="92" fillId="0" borderId="0" xfId="0" applyFont="1" applyAlignment="1">
      <alignment horizontal="left" vertical="center" indent="3"/>
    </xf>
    <xf numFmtId="0" fontId="93" fillId="0" borderId="0" xfId="0" applyFont="1" applyAlignment="1">
      <alignment horizontal="right" vertical="center"/>
    </xf>
    <xf numFmtId="0" fontId="92" fillId="0" borderId="38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11" xfId="0" applyFont="1" applyBorder="1" applyAlignment="1">
      <alignment horizontal="left"/>
    </xf>
    <xf numFmtId="3" fontId="93" fillId="0" borderId="0" xfId="0" applyNumberFormat="1" applyFont="1" applyAlignment="1">
      <alignment horizontal="right"/>
    </xf>
    <xf numFmtId="0" fontId="93" fillId="0" borderId="10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183" fontId="93" fillId="0" borderId="0" xfId="0" applyNumberFormat="1" applyFont="1" applyAlignment="1">
      <alignment/>
    </xf>
    <xf numFmtId="169" fontId="92" fillId="0" borderId="10" xfId="52" applyFont="1" applyFill="1" applyBorder="1" applyAlignment="1">
      <alignment horizontal="right"/>
    </xf>
    <xf numFmtId="0" fontId="18" fillId="0" borderId="0" xfId="0" applyFont="1" applyAlignment="1">
      <alignment/>
    </xf>
    <xf numFmtId="0" fontId="92" fillId="0" borderId="10" xfId="0" applyFont="1" applyBorder="1" applyAlignment="1">
      <alignment horizontal="center" wrapText="1"/>
    </xf>
    <xf numFmtId="180" fontId="93" fillId="0" borderId="10" xfId="56" applyFont="1" applyFill="1" applyBorder="1" applyAlignment="1">
      <alignment horizontal="right"/>
    </xf>
    <xf numFmtId="3" fontId="93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169" fontId="93" fillId="0" borderId="10" xfId="52" applyFont="1" applyBorder="1" applyAlignment="1">
      <alignment/>
    </xf>
    <xf numFmtId="169" fontId="92" fillId="0" borderId="10" xfId="52" applyFont="1" applyBorder="1" applyAlignment="1">
      <alignment/>
    </xf>
    <xf numFmtId="180" fontId="93" fillId="0" borderId="0" xfId="0" applyNumberFormat="1" applyFont="1" applyAlignment="1">
      <alignment/>
    </xf>
    <xf numFmtId="2" fontId="92" fillId="0" borderId="10" xfId="0" applyNumberFormat="1" applyFont="1" applyBorder="1" applyAlignment="1">
      <alignment horizontal="center" vertical="center" wrapText="1"/>
    </xf>
    <xf numFmtId="180" fontId="93" fillId="0" borderId="0" xfId="56" applyFont="1" applyAlignment="1">
      <alignment/>
    </xf>
    <xf numFmtId="0" fontId="93" fillId="0" borderId="0" xfId="0" applyFont="1" applyAlignment="1">
      <alignment horizontal="left" vertical="center" indent="3"/>
    </xf>
    <xf numFmtId="169" fontId="93" fillId="0" borderId="10" xfId="52" applyFont="1" applyFill="1" applyBorder="1" applyAlignment="1">
      <alignment/>
    </xf>
    <xf numFmtId="0" fontId="93" fillId="0" borderId="0" xfId="0" applyFont="1" applyAlignment="1">
      <alignment wrapText="1"/>
    </xf>
    <xf numFmtId="0" fontId="98" fillId="0" borderId="0" xfId="48" applyFont="1" applyAlignment="1" quotePrefix="1">
      <alignment wrapText="1"/>
    </xf>
    <xf numFmtId="0" fontId="92" fillId="0" borderId="0" xfId="0" applyFont="1" applyAlignment="1">
      <alignment horizontal="left" vertical="center" wrapText="1"/>
    </xf>
    <xf numFmtId="0" fontId="93" fillId="0" borderId="10" xfId="0" applyFont="1" applyBorder="1" applyAlignment="1">
      <alignment horizontal="left" wrapText="1"/>
    </xf>
    <xf numFmtId="181" fontId="93" fillId="0" borderId="10" xfId="0" applyNumberFormat="1" applyFont="1" applyBorder="1" applyAlignment="1">
      <alignment horizontal="right" wrapText="1"/>
    </xf>
    <xf numFmtId="180" fontId="93" fillId="0" borderId="10" xfId="56" applyFont="1" applyBorder="1" applyAlignment="1">
      <alignment horizontal="right" wrapText="1"/>
    </xf>
    <xf numFmtId="0" fontId="84" fillId="0" borderId="10" xfId="0" applyFont="1" applyBorder="1" applyAlignment="1">
      <alignment wrapText="1"/>
    </xf>
    <xf numFmtId="3" fontId="92" fillId="0" borderId="10" xfId="0" applyNumberFormat="1" applyFont="1" applyBorder="1" applyAlignment="1">
      <alignment horizontal="right" wrapText="1"/>
    </xf>
    <xf numFmtId="181" fontId="92" fillId="0" borderId="10" xfId="56" applyNumberFormat="1" applyFont="1" applyBorder="1" applyAlignment="1">
      <alignment horizontal="right" wrapText="1"/>
    </xf>
    <xf numFmtId="0" fontId="93" fillId="0" borderId="0" xfId="0" applyFont="1" applyAlignment="1">
      <alignment horizontal="left" vertical="center" wrapText="1"/>
    </xf>
    <xf numFmtId="0" fontId="84" fillId="0" borderId="0" xfId="0" applyFont="1" applyBorder="1" applyAlignment="1">
      <alignment wrapText="1"/>
    </xf>
    <xf numFmtId="181" fontId="92" fillId="0" borderId="0" xfId="56" applyNumberFormat="1" applyFont="1" applyBorder="1" applyAlignment="1">
      <alignment horizontal="right" wrapText="1"/>
    </xf>
    <xf numFmtId="180" fontId="93" fillId="0" borderId="0" xfId="56" applyFont="1" applyBorder="1" applyAlignment="1">
      <alignment horizontal="right" wrapText="1"/>
    </xf>
    <xf numFmtId="0" fontId="93" fillId="0" borderId="16" xfId="0" applyFont="1" applyBorder="1" applyAlignment="1">
      <alignment wrapText="1"/>
    </xf>
    <xf numFmtId="3" fontId="93" fillId="0" borderId="10" xfId="0" applyNumberFormat="1" applyFont="1" applyBorder="1" applyAlignment="1">
      <alignment horizontal="right" wrapText="1"/>
    </xf>
    <xf numFmtId="180" fontId="93" fillId="0" borderId="10" xfId="56" applyFont="1" applyFill="1" applyBorder="1" applyAlignment="1">
      <alignment horizontal="right" wrapText="1"/>
    </xf>
    <xf numFmtId="169" fontId="93" fillId="0" borderId="10" xfId="52" applyFont="1" applyBorder="1" applyAlignment="1">
      <alignment horizontal="right" wrapText="1"/>
    </xf>
    <xf numFmtId="169" fontId="93" fillId="0" borderId="10" xfId="52" applyFont="1" applyFill="1" applyBorder="1" applyAlignment="1">
      <alignment wrapText="1"/>
    </xf>
    <xf numFmtId="181" fontId="92" fillId="0" borderId="10" xfId="0" applyNumberFormat="1" applyFont="1" applyBorder="1" applyAlignment="1">
      <alignment horizontal="right" wrapText="1"/>
    </xf>
    <xf numFmtId="169" fontId="92" fillId="0" borderId="11" xfId="52" applyFont="1" applyFill="1" applyBorder="1" applyAlignment="1">
      <alignment horizontal="center" vertical="center" wrapText="1"/>
    </xf>
    <xf numFmtId="169" fontId="93" fillId="0" borderId="0" xfId="52" applyFont="1" applyFill="1" applyAlignment="1">
      <alignment wrapText="1"/>
    </xf>
    <xf numFmtId="169" fontId="93" fillId="0" borderId="0" xfId="52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93" fillId="0" borderId="42" xfId="0" applyFont="1" applyBorder="1" applyAlignment="1">
      <alignment wrapText="1"/>
    </xf>
    <xf numFmtId="0" fontId="92" fillId="0" borderId="43" xfId="0" applyFont="1" applyBorder="1" applyAlignment="1">
      <alignment wrapText="1"/>
    </xf>
    <xf numFmtId="0" fontId="92" fillId="0" borderId="44" xfId="0" applyFont="1" applyBorder="1" applyAlignment="1">
      <alignment wrapText="1"/>
    </xf>
    <xf numFmtId="0" fontId="92" fillId="0" borderId="11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left" vertical="center" wrapText="1"/>
    </xf>
    <xf numFmtId="169" fontId="19" fillId="33" borderId="10" xfId="52" applyFont="1" applyFill="1" applyBorder="1" applyAlignment="1">
      <alignment horizontal="left" wrapText="1"/>
    </xf>
    <xf numFmtId="49" fontId="93" fillId="0" borderId="10" xfId="0" applyNumberFormat="1" applyFont="1" applyBorder="1" applyAlignment="1">
      <alignment wrapText="1"/>
    </xf>
    <xf numFmtId="169" fontId="92" fillId="0" borderId="10" xfId="52" applyFont="1" applyFill="1" applyBorder="1" applyAlignment="1">
      <alignment horizontal="right" wrapText="1"/>
    </xf>
    <xf numFmtId="3" fontId="93" fillId="0" borderId="10" xfId="0" applyNumberFormat="1" applyFont="1" applyBorder="1" applyAlignment="1">
      <alignment horizontal="left" wrapText="1"/>
    </xf>
    <xf numFmtId="14" fontId="93" fillId="0" borderId="10" xfId="0" applyNumberFormat="1" applyFont="1" applyBorder="1" applyAlignment="1">
      <alignment horizontal="right" wrapText="1"/>
    </xf>
    <xf numFmtId="184" fontId="93" fillId="0" borderId="0" xfId="0" applyNumberFormat="1" applyFont="1" applyAlignment="1">
      <alignment/>
    </xf>
    <xf numFmtId="181" fontId="93" fillId="0" borderId="0" xfId="56" applyNumberFormat="1" applyFont="1" applyAlignment="1">
      <alignment/>
    </xf>
    <xf numFmtId="181" fontId="92" fillId="0" borderId="0" xfId="56" applyNumberFormat="1" applyFont="1" applyAlignment="1">
      <alignment/>
    </xf>
    <xf numFmtId="169" fontId="84" fillId="0" borderId="10" xfId="52" applyFont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/>
    </xf>
    <xf numFmtId="169" fontId="100" fillId="0" borderId="10" xfId="52" applyFont="1" applyFill="1" applyBorder="1" applyAlignment="1">
      <alignment horizontal="right" vertical="center"/>
    </xf>
    <xf numFmtId="169" fontId="100" fillId="0" borderId="10" xfId="52" applyFont="1" applyBorder="1" applyAlignment="1">
      <alignment horizontal="right" vertical="center"/>
    </xf>
    <xf numFmtId="181" fontId="84" fillId="0" borderId="10" xfId="56" applyNumberFormat="1" applyFont="1" applyBorder="1" applyAlignment="1">
      <alignment horizontal="right" vertical="center"/>
    </xf>
    <xf numFmtId="169" fontId="84" fillId="0" borderId="10" xfId="52" applyFont="1" applyBorder="1" applyAlignment="1">
      <alignment horizontal="right" vertical="center"/>
    </xf>
    <xf numFmtId="0" fontId="98" fillId="0" borderId="0" xfId="48" applyFont="1" applyAlignment="1" quotePrefix="1">
      <alignment vertical="center"/>
    </xf>
    <xf numFmtId="0" fontId="92" fillId="0" borderId="0" xfId="0" applyFont="1" applyAlignment="1">
      <alignment/>
    </xf>
    <xf numFmtId="169" fontId="93" fillId="0" borderId="10" xfId="52" applyFont="1" applyFill="1" applyBorder="1" applyAlignment="1">
      <alignment horizontal="right" vertical="center"/>
    </xf>
    <xf numFmtId="169" fontId="93" fillId="0" borderId="0" xfId="52" applyFont="1" applyFill="1" applyAlignment="1">
      <alignment vertical="center"/>
    </xf>
    <xf numFmtId="169" fontId="92" fillId="0" borderId="10" xfId="52" applyFont="1" applyFill="1" applyBorder="1" applyAlignment="1">
      <alignment horizontal="right" vertical="center"/>
    </xf>
    <xf numFmtId="0" fontId="99" fillId="0" borderId="0" xfId="0" applyFont="1" applyAlignment="1">
      <alignment/>
    </xf>
    <xf numFmtId="0" fontId="10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2" fillId="0" borderId="0" xfId="0" applyFont="1" applyAlignment="1">
      <alignment/>
    </xf>
    <xf numFmtId="0" fontId="104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6" fillId="0" borderId="12" xfId="0" applyFont="1" applyBorder="1" applyAlignment="1">
      <alignment horizontal="center"/>
    </xf>
    <xf numFmtId="3" fontId="93" fillId="0" borderId="10" xfId="0" applyNumberFormat="1" applyFont="1" applyBorder="1" applyAlignment="1">
      <alignment horizontal="center"/>
    </xf>
    <xf numFmtId="169" fontId="92" fillId="0" borderId="10" xfId="52" applyFont="1" applyFill="1" applyBorder="1" applyAlignment="1">
      <alignment/>
    </xf>
    <xf numFmtId="169" fontId="93" fillId="0" borderId="10" xfId="52" applyFont="1" applyFill="1" applyBorder="1" applyAlignment="1">
      <alignment horizontal="center"/>
    </xf>
    <xf numFmtId="169" fontId="93" fillId="0" borderId="10" xfId="52" applyFont="1" applyFill="1" applyBorder="1" applyAlignment="1">
      <alignment/>
    </xf>
    <xf numFmtId="0" fontId="93" fillId="0" borderId="14" xfId="0" applyFont="1" applyBorder="1" applyAlignment="1">
      <alignment/>
    </xf>
    <xf numFmtId="3" fontId="92" fillId="0" borderId="10" xfId="0" applyNumberFormat="1" applyFont="1" applyBorder="1" applyAlignment="1">
      <alignment horizontal="center"/>
    </xf>
    <xf numFmtId="169" fontId="92" fillId="0" borderId="10" xfId="52" applyFont="1" applyFill="1" applyBorder="1" applyAlignment="1">
      <alignment horizontal="center"/>
    </xf>
    <xf numFmtId="181" fontId="93" fillId="0" borderId="0" xfId="56" applyNumberFormat="1" applyFont="1" applyFill="1" applyAlignment="1">
      <alignment/>
    </xf>
    <xf numFmtId="169" fontId="92" fillId="0" borderId="10" xfId="52" applyFont="1" applyBorder="1" applyAlignment="1">
      <alignment horizontal="center"/>
    </xf>
    <xf numFmtId="169" fontId="93" fillId="0" borderId="10" xfId="52" applyFont="1" applyBorder="1" applyAlignment="1">
      <alignment horizontal="center"/>
    </xf>
    <xf numFmtId="169" fontId="93" fillId="0" borderId="10" xfId="52" applyFont="1" applyBorder="1" applyAlignment="1">
      <alignment/>
    </xf>
    <xf numFmtId="169" fontId="92" fillId="0" borderId="10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14" fontId="17" fillId="0" borderId="46" xfId="52" applyNumberFormat="1" applyFont="1" applyFill="1" applyBorder="1" applyAlignment="1">
      <alignment horizontal="center"/>
    </xf>
    <xf numFmtId="14" fontId="17" fillId="0" borderId="47" xfId="52" applyNumberFormat="1" applyFont="1" applyFill="1" applyBorder="1" applyAlignment="1">
      <alignment horizontal="center"/>
    </xf>
    <xf numFmtId="0" fontId="17" fillId="0" borderId="15" xfId="0" applyFont="1" applyBorder="1" applyAlignment="1">
      <alignment/>
    </xf>
    <xf numFmtId="3" fontId="17" fillId="0" borderId="0" xfId="0" applyNumberFormat="1" applyFont="1" applyBorder="1" applyAlignment="1">
      <alignment/>
    </xf>
    <xf numFmtId="169" fontId="2" fillId="0" borderId="21" xfId="52" applyFont="1" applyFill="1" applyBorder="1" applyAlignment="1">
      <alignment horizontal="right"/>
    </xf>
    <xf numFmtId="169" fontId="17" fillId="0" borderId="0" xfId="52" applyFont="1" applyFill="1" applyBorder="1" applyAlignment="1">
      <alignment horizontal="right"/>
    </xf>
    <xf numFmtId="169" fontId="17" fillId="0" borderId="21" xfId="52" applyFont="1" applyFill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13" xfId="0" applyFont="1" applyBorder="1" applyAlignment="1">
      <alignment/>
    </xf>
    <xf numFmtId="169" fontId="2" fillId="0" borderId="22" xfId="52" applyFont="1" applyFill="1" applyBorder="1" applyAlignment="1">
      <alignment horizontal="right"/>
    </xf>
    <xf numFmtId="49" fontId="17" fillId="0" borderId="15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169" fontId="17" fillId="0" borderId="17" xfId="52" applyFont="1" applyFill="1" applyBorder="1" applyAlignment="1">
      <alignment horizontal="right"/>
    </xf>
    <xf numFmtId="169" fontId="17" fillId="0" borderId="20" xfId="52" applyFont="1" applyFill="1" applyBorder="1" applyAlignment="1">
      <alignment horizontal="right"/>
    </xf>
    <xf numFmtId="169" fontId="2" fillId="0" borderId="28" xfId="52" applyFont="1" applyFill="1" applyBorder="1" applyAlignment="1">
      <alignment horizontal="right"/>
    </xf>
    <xf numFmtId="169" fontId="17" fillId="0" borderId="48" xfId="52" applyFont="1" applyFill="1" applyBorder="1" applyAlignment="1">
      <alignment horizontal="right"/>
    </xf>
    <xf numFmtId="0" fontId="2" fillId="0" borderId="13" xfId="0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16" fillId="0" borderId="35" xfId="52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169" fontId="11" fillId="0" borderId="49" xfId="52" applyFont="1" applyBorder="1" applyAlignment="1">
      <alignment horizontal="center" vertical="center" wrapText="1"/>
    </xf>
    <xf numFmtId="169" fontId="11" fillId="0" borderId="50" xfId="52" applyFont="1" applyBorder="1" applyAlignment="1">
      <alignment horizontal="center" vertical="center" wrapText="1"/>
    </xf>
    <xf numFmtId="169" fontId="11" fillId="0" borderId="51" xfId="52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178" fontId="10" fillId="0" borderId="52" xfId="51" applyNumberFormat="1" applyFont="1" applyBorder="1" applyAlignment="1">
      <alignment wrapText="1"/>
    </xf>
    <xf numFmtId="169" fontId="10" fillId="0" borderId="53" xfId="52" applyFont="1" applyBorder="1" applyAlignment="1">
      <alignment wrapText="1"/>
    </xf>
    <xf numFmtId="169" fontId="10" fillId="0" borderId="54" xfId="52" applyFont="1" applyBorder="1" applyAlignment="1">
      <alignment wrapText="1"/>
    </xf>
    <xf numFmtId="169" fontId="10" fillId="0" borderId="55" xfId="52" applyFont="1" applyBorder="1" applyAlignment="1">
      <alignment wrapText="1"/>
    </xf>
    <xf numFmtId="169" fontId="10" fillId="0" borderId="53" xfId="52" applyFont="1" applyBorder="1" applyAlignment="1">
      <alignment horizontal="right" wrapText="1"/>
    </xf>
    <xf numFmtId="169" fontId="10" fillId="0" borderId="54" xfId="52" applyFont="1" applyBorder="1" applyAlignment="1">
      <alignment horizontal="right" wrapText="1"/>
    </xf>
    <xf numFmtId="169" fontId="10" fillId="0" borderId="55" xfId="52" applyFont="1" applyBorder="1" applyAlignment="1">
      <alignment horizontal="right" wrapText="1"/>
    </xf>
    <xf numFmtId="169" fontId="10" fillId="0" borderId="56" xfId="52" applyFont="1" applyBorder="1" applyAlignment="1">
      <alignment horizontal="right" wrapText="1"/>
    </xf>
    <xf numFmtId="169" fontId="11" fillId="0" borderId="53" xfId="52" applyFont="1" applyBorder="1" applyAlignment="1">
      <alignment horizontal="right" wrapText="1"/>
    </xf>
    <xf numFmtId="169" fontId="11" fillId="0" borderId="54" xfId="52" applyFont="1" applyBorder="1" applyAlignment="1">
      <alignment horizontal="right" wrapText="1"/>
    </xf>
    <xf numFmtId="178" fontId="12" fillId="0" borderId="52" xfId="51" applyNumberFormat="1" applyFont="1" applyBorder="1" applyAlignment="1">
      <alignment wrapText="1"/>
    </xf>
    <xf numFmtId="169" fontId="10" fillId="0" borderId="57" xfId="52" applyFont="1" applyBorder="1" applyAlignment="1">
      <alignment horizontal="right" wrapText="1"/>
    </xf>
    <xf numFmtId="169" fontId="10" fillId="0" borderId="58" xfId="52" applyFont="1" applyBorder="1" applyAlignment="1">
      <alignment horizontal="right" wrapText="1"/>
    </xf>
    <xf numFmtId="169" fontId="10" fillId="0" borderId="21" xfId="52" applyFont="1" applyBorder="1" applyAlignment="1">
      <alignment horizontal="right" wrapText="1"/>
    </xf>
    <xf numFmtId="169" fontId="10" fillId="0" borderId="59" xfId="52" applyFont="1" applyBorder="1" applyAlignment="1">
      <alignment horizontal="right" wrapText="1"/>
    </xf>
    <xf numFmtId="169" fontId="10" fillId="0" borderId="60" xfId="52" applyFont="1" applyBorder="1" applyAlignment="1">
      <alignment horizontal="right" wrapText="1"/>
    </xf>
    <xf numFmtId="169" fontId="10" fillId="0" borderId="61" xfId="52" applyFont="1" applyBorder="1" applyAlignment="1">
      <alignment horizontal="right" wrapText="1"/>
    </xf>
    <xf numFmtId="169" fontId="10" fillId="0" borderId="62" xfId="52" applyFont="1" applyBorder="1" applyAlignment="1">
      <alignment horizontal="right" wrapText="1"/>
    </xf>
    <xf numFmtId="169" fontId="11" fillId="0" borderId="59" xfId="52" applyFont="1" applyBorder="1" applyAlignment="1">
      <alignment horizontal="right" wrapText="1"/>
    </xf>
    <xf numFmtId="169" fontId="11" fillId="0" borderId="60" xfId="52" applyFont="1" applyBorder="1" applyAlignment="1">
      <alignment horizontal="right" wrapText="1"/>
    </xf>
    <xf numFmtId="0" fontId="11" fillId="0" borderId="49" xfId="0" applyFont="1" applyBorder="1" applyAlignment="1">
      <alignment wrapText="1"/>
    </xf>
    <xf numFmtId="169" fontId="11" fillId="0" borderId="63" xfId="52" applyFont="1" applyBorder="1" applyAlignment="1">
      <alignment horizontal="right" wrapText="1"/>
    </xf>
    <xf numFmtId="169" fontId="11" fillId="0" borderId="64" xfId="52" applyFont="1" applyBorder="1" applyAlignment="1">
      <alignment horizontal="right" wrapText="1"/>
    </xf>
    <xf numFmtId="169" fontId="11" fillId="0" borderId="43" xfId="52" applyFont="1" applyBorder="1" applyAlignment="1">
      <alignment horizontal="right" wrapText="1"/>
    </xf>
    <xf numFmtId="169" fontId="11" fillId="0" borderId="65" xfId="52" applyFont="1" applyBorder="1" applyAlignment="1">
      <alignment horizontal="right" wrapText="1"/>
    </xf>
    <xf numFmtId="169" fontId="5" fillId="0" borderId="64" xfId="52" applyFont="1" applyBorder="1" applyAlignment="1">
      <alignment horizontal="right" wrapText="1"/>
    </xf>
    <xf numFmtId="169" fontId="5" fillId="0" borderId="44" xfId="52" applyFont="1" applyBorder="1" applyAlignment="1">
      <alignment horizontal="right" wrapText="1"/>
    </xf>
    <xf numFmtId="0" fontId="11" fillId="0" borderId="66" xfId="0" applyFont="1" applyBorder="1" applyAlignment="1">
      <alignment wrapText="1"/>
    </xf>
    <xf numFmtId="169" fontId="11" fillId="0" borderId="42" xfId="52" applyFont="1" applyBorder="1" applyAlignment="1">
      <alignment horizontal="right" wrapText="1"/>
    </xf>
    <xf numFmtId="169" fontId="11" fillId="0" borderId="67" xfId="52" applyFont="1" applyBorder="1" applyAlignment="1">
      <alignment horizontal="right" wrapText="1"/>
    </xf>
    <xf numFmtId="169" fontId="11" fillId="0" borderId="61" xfId="52" applyFont="1" applyBorder="1" applyAlignment="1">
      <alignment horizontal="right" wrapText="1"/>
    </xf>
    <xf numFmtId="169" fontId="11" fillId="0" borderId="68" xfId="52" applyFont="1" applyBorder="1" applyAlignment="1">
      <alignment horizontal="right" wrapText="1"/>
    </xf>
    <xf numFmtId="169" fontId="11" fillId="0" borderId="69" xfId="52" applyFont="1" applyBorder="1" applyAlignment="1">
      <alignment horizontal="right" wrapText="1"/>
    </xf>
    <xf numFmtId="169" fontId="11" fillId="0" borderId="70" xfId="52" applyFont="1" applyBorder="1" applyAlignment="1">
      <alignment horizontal="right" wrapText="1"/>
    </xf>
    <xf numFmtId="0" fontId="97" fillId="0" borderId="10" xfId="0" applyFont="1" applyBorder="1" applyAlignment="1">
      <alignment horizontal="center"/>
    </xf>
    <xf numFmtId="184" fontId="97" fillId="0" borderId="10" xfId="52" applyNumberFormat="1" applyFont="1" applyBorder="1" applyAlignment="1">
      <alignment horizontal="right" vertical="center" wrapText="1"/>
    </xf>
    <xf numFmtId="184" fontId="97" fillId="0" borderId="10" xfId="52" applyNumberFormat="1" applyFont="1" applyBorder="1" applyAlignment="1">
      <alignment horizontal="right" wrapText="1"/>
    </xf>
    <xf numFmtId="169" fontId="86" fillId="0" borderId="10" xfId="52" applyFont="1" applyBorder="1" applyAlignment="1">
      <alignment horizontal="right" vertical="center"/>
    </xf>
    <xf numFmtId="169" fontId="107" fillId="0" borderId="10" xfId="52" applyFont="1" applyBorder="1" applyAlignment="1">
      <alignment/>
    </xf>
    <xf numFmtId="169" fontId="107" fillId="0" borderId="10" xfId="52" applyFont="1" applyFill="1" applyBorder="1" applyAlignment="1">
      <alignment horizontal="right"/>
    </xf>
    <xf numFmtId="169" fontId="107" fillId="0" borderId="10" xfId="52" applyFont="1" applyBorder="1" applyAlignment="1">
      <alignment horizontal="right"/>
    </xf>
    <xf numFmtId="169" fontId="97" fillId="0" borderId="10" xfId="52" applyFont="1" applyBorder="1" applyAlignment="1">
      <alignment horizontal="right" vertical="center"/>
    </xf>
    <xf numFmtId="0" fontId="93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169" fontId="93" fillId="0" borderId="10" xfId="52" applyFont="1" applyFill="1" applyBorder="1" applyAlignment="1">
      <alignment horizontal="center" vertical="center" wrapText="1"/>
    </xf>
    <xf numFmtId="169" fontId="93" fillId="0" borderId="10" xfId="52" applyFont="1" applyBorder="1" applyAlignment="1">
      <alignment horizontal="center" vertical="center" wrapText="1"/>
    </xf>
    <xf numFmtId="0" fontId="92" fillId="0" borderId="71" xfId="0" applyFont="1" applyBorder="1" applyAlignment="1">
      <alignment horizontal="center" vertical="center" wrapText="1"/>
    </xf>
    <xf numFmtId="0" fontId="92" fillId="0" borderId="72" xfId="0" applyFont="1" applyBorder="1" applyAlignment="1">
      <alignment horizontal="center" vertical="center" wrapText="1"/>
    </xf>
    <xf numFmtId="169" fontId="92" fillId="0" borderId="72" xfId="52" applyFont="1" applyFill="1" applyBorder="1" applyAlignment="1">
      <alignment horizontal="center" vertical="center" wrapText="1"/>
    </xf>
    <xf numFmtId="169" fontId="92" fillId="0" borderId="72" xfId="52" applyFont="1" applyBorder="1" applyAlignment="1">
      <alignment horizontal="center" vertical="center" wrapText="1"/>
    </xf>
    <xf numFmtId="0" fontId="92" fillId="0" borderId="73" xfId="0" applyFont="1" applyBorder="1" applyAlignment="1">
      <alignment horizontal="center" vertical="center" wrapText="1"/>
    </xf>
    <xf numFmtId="0" fontId="93" fillId="0" borderId="74" xfId="0" applyFont="1" applyBorder="1" applyAlignment="1">
      <alignment horizontal="center" vertical="center" wrapText="1"/>
    </xf>
    <xf numFmtId="169" fontId="93" fillId="0" borderId="75" xfId="52" applyFont="1" applyFill="1" applyBorder="1" applyAlignment="1">
      <alignment horizontal="center" vertical="center" wrapText="1"/>
    </xf>
    <xf numFmtId="169" fontId="93" fillId="0" borderId="75" xfId="52" applyFont="1" applyBorder="1" applyAlignment="1">
      <alignment horizontal="center" vertical="center" wrapText="1"/>
    </xf>
    <xf numFmtId="0" fontId="93" fillId="0" borderId="76" xfId="0" applyFont="1" applyBorder="1" applyAlignment="1">
      <alignment horizontal="center" vertical="center" wrapText="1"/>
    </xf>
    <xf numFmtId="169" fontId="93" fillId="0" borderId="16" xfId="52" applyFont="1" applyBorder="1" applyAlignment="1">
      <alignment horizontal="center" vertical="center" wrapText="1"/>
    </xf>
    <xf numFmtId="0" fontId="93" fillId="0" borderId="77" xfId="0" applyFont="1" applyBorder="1" applyAlignment="1">
      <alignment horizontal="center" vertical="center" wrapText="1"/>
    </xf>
    <xf numFmtId="169" fontId="93" fillId="0" borderId="16" xfId="52" applyFont="1" applyFill="1" applyBorder="1" applyAlignment="1">
      <alignment horizontal="center" vertical="center" wrapText="1"/>
    </xf>
    <xf numFmtId="0" fontId="93" fillId="0" borderId="75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left" vertical="center" wrapText="1"/>
    </xf>
    <xf numFmtId="0" fontId="93" fillId="0" borderId="75" xfId="0" applyFont="1" applyBorder="1" applyAlignment="1">
      <alignment vertical="center" wrapText="1"/>
    </xf>
    <xf numFmtId="0" fontId="93" fillId="0" borderId="16" xfId="0" applyFont="1" applyBorder="1" applyAlignment="1">
      <alignment vertical="center" wrapText="1"/>
    </xf>
    <xf numFmtId="169" fontId="92" fillId="0" borderId="42" xfId="52" applyFont="1" applyBorder="1" applyAlignment="1">
      <alignment horizontal="center" vertical="center" wrapText="1"/>
    </xf>
    <xf numFmtId="9" fontId="92" fillId="0" borderId="64" xfId="65" applyFont="1" applyBorder="1" applyAlignment="1">
      <alignment horizontal="center" vertical="center" wrapText="1"/>
    </xf>
    <xf numFmtId="10" fontId="93" fillId="0" borderId="78" xfId="65" applyNumberFormat="1" applyFont="1" applyBorder="1" applyAlignment="1">
      <alignment horizontal="center" vertical="center" wrapText="1"/>
    </xf>
    <xf numFmtId="10" fontId="93" fillId="0" borderId="79" xfId="65" applyNumberFormat="1" applyFont="1" applyBorder="1" applyAlignment="1">
      <alignment horizontal="center" vertical="center" wrapText="1"/>
    </xf>
    <xf numFmtId="10" fontId="93" fillId="0" borderId="80" xfId="65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/>
    </xf>
    <xf numFmtId="0" fontId="92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14" fontId="92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42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44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84" fillId="0" borderId="82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83" xfId="0" applyFont="1" applyBorder="1" applyAlignment="1">
      <alignment horizontal="center" vertical="center"/>
    </xf>
    <xf numFmtId="182" fontId="84" fillId="0" borderId="10" xfId="51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/>
    </xf>
    <xf numFmtId="0" fontId="92" fillId="0" borderId="36" xfId="0" applyFont="1" applyBorder="1" applyAlignment="1">
      <alignment horizontal="center"/>
    </xf>
    <xf numFmtId="0" fontId="92" fillId="0" borderId="38" xfId="0" applyFont="1" applyBorder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169" fontId="92" fillId="0" borderId="10" xfId="52" applyFont="1" applyBorder="1" applyAlignment="1">
      <alignment horizontal="right" vertical="center" wrapText="1"/>
    </xf>
    <xf numFmtId="0" fontId="92" fillId="0" borderId="37" xfId="0" applyFont="1" applyBorder="1" applyAlignment="1">
      <alignment horizontal="center" vertical="center"/>
    </xf>
    <xf numFmtId="0" fontId="92" fillId="0" borderId="36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wrapText="1"/>
    </xf>
    <xf numFmtId="0" fontId="92" fillId="0" borderId="44" xfId="0" applyFont="1" applyBorder="1" applyAlignment="1">
      <alignment horizontal="center" wrapText="1"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98" fillId="0" borderId="0" xfId="48" applyFont="1" applyBorder="1" applyAlignment="1" quotePrefix="1">
      <alignment horizontal="center"/>
    </xf>
    <xf numFmtId="0" fontId="98" fillId="0" borderId="0" xfId="48" applyFont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2 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3" xfId="55"/>
    <cellStyle name="Millares 2" xfId="56"/>
    <cellStyle name="Millares 2 2" xfId="57"/>
    <cellStyle name="Millares 4" xfId="58"/>
    <cellStyle name="Currency" xfId="59"/>
    <cellStyle name="Currency [0]" xfId="60"/>
    <cellStyle name="Neutral" xfId="61"/>
    <cellStyle name="Normal 2" xfId="62"/>
    <cellStyle name="Normal 4" xfId="63"/>
    <cellStyle name="Notas" xfId="64"/>
    <cellStyle name="Percent" xfId="65"/>
    <cellStyle name="Porcentaje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38100</xdr:rowOff>
    </xdr:from>
    <xdr:to>
      <xdr:col>0</xdr:col>
      <xdr:colOff>1276350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3</xdr:col>
      <xdr:colOff>790575</xdr:colOff>
      <xdr:row>87</xdr:row>
      <xdr:rowOff>0</xdr:rowOff>
    </xdr:to>
    <xdr:pic>
      <xdr:nvPicPr>
        <xdr:cNvPr id="1" name="Picture 3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734800"/>
          <a:ext cx="2819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1885950</xdr:colOff>
      <xdr:row>77</xdr:row>
      <xdr:rowOff>66675</xdr:rowOff>
    </xdr:from>
    <xdr:to>
      <xdr:col>8</xdr:col>
      <xdr:colOff>266700</xdr:colOff>
      <xdr:row>86</xdr:row>
      <xdr:rowOff>0</xdr:rowOff>
    </xdr:to>
    <xdr:pic>
      <xdr:nvPicPr>
        <xdr:cNvPr id="2" name="Picture 5" descr="Línea de firma de Microsoft Office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1658600"/>
          <a:ext cx="2095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ilion\Downloads\file:\\inpositivapy-my.sharepoint.com\17C11E68\Plantilla%20Exel%20EEFF%20cnv_SET_19.xlsx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ilion\Downloads\file:\\inpositivapy-my.sharepoint.com\C:\Users\ROCIO-INV\Desktop\Informe%201er%20Semestre%2006-2018\Res%20173%20INVESTOR%202013.xls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ilion\Downloads\file:\\inpositivapy-my.sharepoint.com\Users\claudia.davalos\Desktop\Archivos%20Balance%20Investor\Copia%20de%20ResoL.%20INVESTOR%20173%20%2012-2018%20-%20modificado%20por%20SSP.xlsx\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positivapy-my.sharepoint.com\Users\Pavilion\OneDrive\Desktop\In%20Po\INVESTOR%20INFORME%20TRIMESTRAL\JUNIO%202020\Conciliaciones%20a%20Junio%202020\Informe%20Junio%20ICBSA\CNV%202do%20TRIMESTRE%202020\Balance%20Junio%2027.08.XLS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2012"/>
      <sheetName val="Balance Gral. Resol. 6"/>
      <sheetName val="Estado de Resultado Resol. 6"/>
      <sheetName val="Flujo de Efectivo Resol. Res 6"/>
      <sheetName val="Estado de Variacion PN "/>
      <sheetName val="CALCULO FLUJO"/>
      <sheetName val="BALANCE CORREGIDO"/>
      <sheetName val="SISTEMA"/>
      <sheetName val="Sheet1"/>
      <sheetName val="BalanceSistema_Jun_18"/>
      <sheetName val="CR Sistema_Jun_18"/>
      <sheetName val="2018"/>
      <sheetName val="estado de resultado modificado"/>
      <sheetName val="Estado de Resultados Resol  (2)"/>
      <sheetName val="Balance General Resol 950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  <sheetName val="Balance Gral. Resol. 6"/>
      <sheetName val="Estado de Resultado Resol. 6"/>
      <sheetName val="Flujo de Efectivo Resol. Res 6"/>
      <sheetName val="Estado de Variacion PN "/>
      <sheetName val="CALCULO FLUJO"/>
      <sheetName val="BALANCE CORREGIDO"/>
      <sheetName val="SISTEMA"/>
      <sheetName val="Sheet1"/>
    </sheetNames>
    <sheetDataSet>
      <sheetData sheetId="8">
        <row r="4">
          <cell r="E4" t="str">
            <v>CORRESPONDIENTE AL 30 DE JUNIO DE 2020 PRESENTADO EN FORMA COMPARATIVA CON EL EJERCICIO ANTERIOR CERRADO EL  30 DE JUNIO DE  2019.</v>
          </cell>
        </row>
        <row r="9">
          <cell r="G9">
            <v>2433369571</v>
          </cell>
        </row>
        <row r="12">
          <cell r="D12">
            <v>2081154493</v>
          </cell>
          <cell r="E12">
            <v>1579903842</v>
          </cell>
        </row>
        <row r="16">
          <cell r="G16">
            <v>1774865256</v>
          </cell>
        </row>
        <row r="24">
          <cell r="G24">
            <v>79574279</v>
          </cell>
        </row>
        <row r="25">
          <cell r="G25">
            <v>1995482</v>
          </cell>
        </row>
        <row r="54">
          <cell r="G54">
            <v>24288000001</v>
          </cell>
        </row>
        <row r="55">
          <cell r="G55">
            <v>0</v>
          </cell>
        </row>
        <row r="58">
          <cell r="G58">
            <v>1122244552</v>
          </cell>
        </row>
        <row r="59">
          <cell r="G59">
            <v>946670</v>
          </cell>
        </row>
        <row r="62">
          <cell r="G62">
            <v>1123191222</v>
          </cell>
        </row>
        <row r="65">
          <cell r="G65">
            <v>0</v>
          </cell>
        </row>
        <row r="66">
          <cell r="G66">
            <v>4647536612</v>
          </cell>
        </row>
      </sheetData>
      <sheetData sheetId="9">
        <row r="5">
          <cell r="E5" t="str">
            <v>CORRESPONDIENTE AL 30 DE JUNIO DE 2020 PRESENTADO EN FORMA COMPARATIVA CON EL EJERCICIO ANTERIOR CERRADO EL  30 DE JUNIO DE  2019.</v>
          </cell>
        </row>
        <row r="27">
          <cell r="E27">
            <v>4531514319</v>
          </cell>
        </row>
        <row r="35">
          <cell r="E35">
            <v>133760000</v>
          </cell>
        </row>
        <row r="75">
          <cell r="E75">
            <v>702695828</v>
          </cell>
        </row>
      </sheetData>
      <sheetData sheetId="10">
        <row r="3">
          <cell r="E3" t="str">
            <v>CORRESPONDIENTE AL 30 DE JUNIO DE 2020 PRESENTADO EN FORMA COMPARATIVA CON EL EJERCICIO ANTERIOR CERRADO EL  30 DE JUNIO DE  2019.</v>
          </cell>
        </row>
      </sheetData>
      <sheetData sheetId="12">
        <row r="63">
          <cell r="B63">
            <v>-25980825</v>
          </cell>
        </row>
        <row r="66">
          <cell r="B66">
            <v>-907067570</v>
          </cell>
        </row>
        <row r="68">
          <cell r="B68">
            <v>-177672551</v>
          </cell>
        </row>
        <row r="73">
          <cell r="B73">
            <v>-397429571</v>
          </cell>
        </row>
        <row r="75">
          <cell r="B75">
            <v>486483209</v>
          </cell>
        </row>
        <row r="76">
          <cell r="B76">
            <v>133760000</v>
          </cell>
        </row>
        <row r="84">
          <cell r="B84">
            <v>-7099620349</v>
          </cell>
        </row>
        <row r="86">
          <cell r="B86">
            <v>0</v>
          </cell>
        </row>
        <row r="91">
          <cell r="C91">
            <v>1671037663</v>
          </cell>
        </row>
      </sheetData>
      <sheetData sheetId="13">
        <row r="210">
          <cell r="O210">
            <v>333077352</v>
          </cell>
        </row>
        <row r="212">
          <cell r="O212">
            <v>956703526</v>
          </cell>
        </row>
        <row r="213">
          <cell r="O213">
            <v>2581000</v>
          </cell>
        </row>
        <row r="214">
          <cell r="Q214">
            <v>133760000</v>
          </cell>
        </row>
      </sheetData>
      <sheetData sheetId="15">
        <row r="100">
          <cell r="O100">
            <v>456569244</v>
          </cell>
        </row>
        <row r="166">
          <cell r="O166">
            <v>852866117</v>
          </cell>
        </row>
        <row r="195">
          <cell r="O195">
            <v>252286046</v>
          </cell>
        </row>
        <row r="198">
          <cell r="O198">
            <v>1475592592</v>
          </cell>
        </row>
        <row r="211">
          <cell r="O211">
            <v>3973728</v>
          </cell>
        </row>
        <row r="216">
          <cell r="O216">
            <v>17287182</v>
          </cell>
        </row>
        <row r="221">
          <cell r="O221">
            <v>8758274402</v>
          </cell>
        </row>
        <row r="229">
          <cell r="O229">
            <v>462512306</v>
          </cell>
        </row>
        <row r="231">
          <cell r="O231">
            <v>257639881</v>
          </cell>
        </row>
        <row r="233">
          <cell r="O233">
            <v>31158573</v>
          </cell>
        </row>
        <row r="235">
          <cell r="O235">
            <v>210957210</v>
          </cell>
        </row>
        <row r="237">
          <cell r="O237">
            <v>7058431</v>
          </cell>
        </row>
        <row r="239">
          <cell r="O239">
            <v>10723156</v>
          </cell>
        </row>
        <row r="240">
          <cell r="O240">
            <v>11010456</v>
          </cell>
        </row>
        <row r="241">
          <cell r="O241">
            <v>1953391900</v>
          </cell>
        </row>
        <row r="242">
          <cell r="O242">
            <v>10124849733</v>
          </cell>
        </row>
        <row r="247">
          <cell r="O247">
            <v>102714831</v>
          </cell>
        </row>
        <row r="248">
          <cell r="O248">
            <v>-50568391</v>
          </cell>
        </row>
        <row r="265">
          <cell r="O265">
            <v>249899668</v>
          </cell>
        </row>
        <row r="303">
          <cell r="O303">
            <v>4179950</v>
          </cell>
        </row>
        <row r="305">
          <cell r="O305">
            <v>12500000</v>
          </cell>
        </row>
        <row r="310">
          <cell r="O310">
            <v>2098600</v>
          </cell>
        </row>
        <row r="312">
          <cell r="O312">
            <v>2302388</v>
          </cell>
        </row>
        <row r="314">
          <cell r="O314">
            <v>9489367847</v>
          </cell>
        </row>
        <row r="332">
          <cell r="O332">
            <v>30698389</v>
          </cell>
        </row>
        <row r="333">
          <cell r="O333">
            <v>121922993</v>
          </cell>
        </row>
        <row r="335">
          <cell r="O335">
            <v>1093498630</v>
          </cell>
        </row>
        <row r="340">
          <cell r="O340">
            <v>620243209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Sistema_Jun_18"/>
      <sheetName val="CR Sistema_Jun_18"/>
      <sheetName val="activo pasivo"/>
      <sheetName val="Flujos de efectivo"/>
      <sheetName val="2018"/>
      <sheetName val="Balance General Resol 950"/>
      <sheetName val="Estado de Resultados Resol 950"/>
      <sheetName val="estado de resultado modificado"/>
      <sheetName val="Estado de Resultados Resol  (2)"/>
      <sheetName val="Balance General Resol 950 (2)"/>
      <sheetName val="Estado variacion PN"/>
      <sheetName val="anexos"/>
    </sheetNames>
    <sheetDataSet>
      <sheetData sheetId="5">
        <row r="18">
          <cell r="C18" t="str">
            <v>Documentos y  Cuentas a Cobrar</v>
          </cell>
        </row>
        <row r="21">
          <cell r="C21" t="str">
            <v>Cuentas por Cobrar a Personas y Emp. Relacionadas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 CORREGIDO"/>
      <sheetName val="SISTEMA"/>
      <sheetName val="Balance Gral. Resol. 6"/>
      <sheetName val="Estado de Resultado Resol. 6"/>
      <sheetName val="Flujo de Efectivo Resol. Res 6"/>
      <sheetName val="CALCULO FLUJO"/>
      <sheetName val="Estado de Variacion PN "/>
    </sheetNames>
    <sheetDataSet>
      <sheetData sheetId="0">
        <row r="97">
          <cell r="O97">
            <v>224678708</v>
          </cell>
        </row>
        <row r="98">
          <cell r="O98">
            <v>1192502341</v>
          </cell>
        </row>
        <row r="100">
          <cell r="O100">
            <v>456569244</v>
          </cell>
        </row>
        <row r="166">
          <cell r="O166">
            <v>852866117</v>
          </cell>
        </row>
        <row r="195">
          <cell r="O195">
            <v>252286046</v>
          </cell>
        </row>
        <row r="198">
          <cell r="O198">
            <v>1475592592</v>
          </cell>
        </row>
        <row r="210">
          <cell r="O210">
            <v>333077352</v>
          </cell>
        </row>
        <row r="211">
          <cell r="O211">
            <v>3973728</v>
          </cell>
        </row>
        <row r="212">
          <cell r="O212">
            <v>956703526</v>
          </cell>
        </row>
        <row r="213">
          <cell r="O213">
            <v>2581000</v>
          </cell>
        </row>
        <row r="214">
          <cell r="O214">
            <v>133760000</v>
          </cell>
        </row>
        <row r="215">
          <cell r="O215">
            <v>17287182</v>
          </cell>
        </row>
        <row r="219">
          <cell r="O219">
            <v>10849315</v>
          </cell>
        </row>
        <row r="229">
          <cell r="O229">
            <v>462512306</v>
          </cell>
        </row>
        <row r="230">
          <cell r="O230">
            <v>-92093910</v>
          </cell>
        </row>
        <row r="231">
          <cell r="O231">
            <v>257639881</v>
          </cell>
        </row>
        <row r="232">
          <cell r="O232">
            <v>-166982949</v>
          </cell>
        </row>
        <row r="233">
          <cell r="O233">
            <v>31158573</v>
          </cell>
        </row>
        <row r="234">
          <cell r="O234">
            <v>-8635807</v>
          </cell>
        </row>
        <row r="235">
          <cell r="O235">
            <v>210957210</v>
          </cell>
        </row>
        <row r="236">
          <cell r="O236">
            <v>-19490136</v>
          </cell>
        </row>
        <row r="237">
          <cell r="O237">
            <v>7058431</v>
          </cell>
        </row>
        <row r="238">
          <cell r="O238">
            <v>-3731238</v>
          </cell>
        </row>
        <row r="239">
          <cell r="O239">
            <v>10723156</v>
          </cell>
        </row>
        <row r="240">
          <cell r="O240">
            <v>11010456</v>
          </cell>
        </row>
        <row r="241">
          <cell r="O241">
            <v>1953391900</v>
          </cell>
        </row>
        <row r="242">
          <cell r="O242">
            <v>10124849733</v>
          </cell>
        </row>
        <row r="243">
          <cell r="O243">
            <v>-31867918</v>
          </cell>
        </row>
        <row r="245">
          <cell r="O245">
            <v>900000</v>
          </cell>
        </row>
        <row r="246">
          <cell r="O246">
            <v>-900000</v>
          </cell>
        </row>
        <row r="247">
          <cell r="O247">
            <v>102714831</v>
          </cell>
        </row>
        <row r="248">
          <cell r="O248">
            <v>-50568391</v>
          </cell>
        </row>
        <row r="249">
          <cell r="O249">
            <v>1234359736</v>
          </cell>
        </row>
        <row r="250">
          <cell r="O250">
            <v>-782729508</v>
          </cell>
        </row>
        <row r="251">
          <cell r="O251">
            <v>27866433</v>
          </cell>
        </row>
        <row r="252">
          <cell r="O252">
            <v>-17943378</v>
          </cell>
        </row>
        <row r="253">
          <cell r="O253">
            <v>76495056</v>
          </cell>
        </row>
        <row r="254">
          <cell r="O254">
            <v>-28214673</v>
          </cell>
        </row>
        <row r="265">
          <cell r="O265">
            <v>249899668</v>
          </cell>
        </row>
        <row r="298">
          <cell r="O298">
            <v>991103732</v>
          </cell>
        </row>
        <row r="303">
          <cell r="O303">
            <v>4179950</v>
          </cell>
        </row>
        <row r="305">
          <cell r="O305">
            <v>12500000</v>
          </cell>
        </row>
        <row r="307">
          <cell r="O307">
            <v>2433369571</v>
          </cell>
        </row>
        <row r="310">
          <cell r="O310">
            <v>2098600</v>
          </cell>
        </row>
        <row r="312">
          <cell r="O312">
            <v>2302388</v>
          </cell>
        </row>
        <row r="314">
          <cell r="O314">
            <v>9489367847</v>
          </cell>
        </row>
        <row r="320">
          <cell r="O320">
            <v>79574279</v>
          </cell>
        </row>
        <row r="323">
          <cell r="O323">
            <v>24288000001</v>
          </cell>
        </row>
      </sheetData>
      <sheetData sheetId="3">
        <row r="99">
          <cell r="E99">
            <v>4546536612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.\Users\sadypereira\OneDrive%20-%20Inpositiva\Investor%20SA\Contabilidad\Balances%20Impositivos%20Anuales%20y%20DDJJ\BALANCE%20SEMESTRAL%20plantilla.dot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120" zoomScaleNormal="120" zoomScalePageLayoutView="0" workbookViewId="0" topLeftCell="A1">
      <selection activeCell="E80" sqref="E80"/>
    </sheetView>
  </sheetViews>
  <sheetFormatPr defaultColWidth="11.28125" defaultRowHeight="15"/>
  <cols>
    <col min="1" max="1" width="21.28125" style="14" bestFit="1" customWidth="1"/>
    <col min="2" max="2" width="10.140625" style="14" bestFit="1" customWidth="1"/>
    <col min="3" max="3" width="43.8515625" style="14" customWidth="1"/>
    <col min="4" max="4" width="38.421875" style="18" bestFit="1" customWidth="1"/>
    <col min="5" max="5" width="49.8515625" style="14" bestFit="1" customWidth="1"/>
    <col min="6" max="6" width="6.7109375" style="14" bestFit="1" customWidth="1"/>
    <col min="7" max="16384" width="11.28125" style="14" customWidth="1"/>
  </cols>
  <sheetData>
    <row r="1" spans="2:4" ht="12.75">
      <c r="B1" s="37"/>
      <c r="C1" s="2" t="s">
        <v>0</v>
      </c>
      <c r="D1" s="14"/>
    </row>
    <row r="2" spans="3:20" ht="12.75">
      <c r="C2" s="2" t="s">
        <v>486</v>
      </c>
      <c r="S2" s="14">
        <v>1</v>
      </c>
      <c r="T2" s="14" t="s">
        <v>453</v>
      </c>
    </row>
    <row r="3" spans="19:20" ht="12.75">
      <c r="S3" s="14">
        <v>2</v>
      </c>
      <c r="T3" s="14" t="s">
        <v>452</v>
      </c>
    </row>
    <row r="4" spans="19:20" ht="12.75">
      <c r="S4" s="14">
        <v>3</v>
      </c>
      <c r="T4" s="14" t="s">
        <v>451</v>
      </c>
    </row>
    <row r="5" spans="19:20" ht="12.75">
      <c r="S5" s="14">
        <v>4</v>
      </c>
      <c r="T5" s="14" t="s">
        <v>450</v>
      </c>
    </row>
    <row r="6" spans="1:20" ht="12.75">
      <c r="A6" s="37" t="s">
        <v>449</v>
      </c>
      <c r="B6" s="36">
        <v>44012</v>
      </c>
      <c r="S6" s="14">
        <v>5</v>
      </c>
      <c r="T6" s="14" t="s">
        <v>448</v>
      </c>
    </row>
    <row r="7" spans="1:20" ht="12.75" customHeight="1" hidden="1">
      <c r="A7" s="35"/>
      <c r="B7" s="35"/>
      <c r="C7" s="35"/>
      <c r="D7" s="34"/>
      <c r="S7" s="14">
        <v>6</v>
      </c>
      <c r="T7" s="14" t="s">
        <v>447</v>
      </c>
    </row>
    <row r="8" spans="1:20" ht="12.75">
      <c r="A8" s="33"/>
      <c r="S8" s="14">
        <v>7</v>
      </c>
      <c r="T8" s="14" t="s">
        <v>446</v>
      </c>
    </row>
    <row r="9" spans="2:20" ht="26.25" customHeight="1">
      <c r="B9" s="32"/>
      <c r="C9" s="31" t="s">
        <v>445</v>
      </c>
      <c r="D9" s="30" t="s">
        <v>444</v>
      </c>
      <c r="S9" s="14">
        <v>8</v>
      </c>
      <c r="T9" s="14" t="s">
        <v>443</v>
      </c>
    </row>
    <row r="10" spans="2:4" ht="26.25" customHeight="1">
      <c r="B10" s="26" t="s">
        <v>522</v>
      </c>
      <c r="C10" s="40"/>
      <c r="D10" s="53" t="s">
        <v>684</v>
      </c>
    </row>
    <row r="11" spans="2:4" ht="26.25" customHeight="1">
      <c r="B11" s="24"/>
      <c r="C11" s="40"/>
      <c r="D11" s="28"/>
    </row>
    <row r="12" spans="2:20" ht="26.25" customHeight="1">
      <c r="B12" s="26" t="s">
        <v>521</v>
      </c>
      <c r="C12" s="29"/>
      <c r="D12" s="28"/>
      <c r="S12" s="14">
        <v>9</v>
      </c>
      <c r="T12" s="14" t="s">
        <v>442</v>
      </c>
    </row>
    <row r="13" spans="1:20" ht="15">
      <c r="A13" s="18"/>
      <c r="B13" s="24"/>
      <c r="C13" s="14" t="s">
        <v>439</v>
      </c>
      <c r="D13" s="25" t="s">
        <v>464</v>
      </c>
      <c r="S13" s="14">
        <v>10</v>
      </c>
      <c r="T13" s="14" t="s">
        <v>441</v>
      </c>
    </row>
    <row r="14" spans="1:20" ht="15">
      <c r="A14" s="18"/>
      <c r="B14" s="24"/>
      <c r="C14" s="14" t="s">
        <v>473</v>
      </c>
      <c r="D14" s="25" t="s">
        <v>471</v>
      </c>
      <c r="S14" s="14">
        <v>11</v>
      </c>
      <c r="T14" s="14" t="s">
        <v>440</v>
      </c>
    </row>
    <row r="15" spans="1:4" ht="15">
      <c r="A15" s="18"/>
      <c r="B15" s="24"/>
      <c r="C15" s="14" t="s">
        <v>474</v>
      </c>
      <c r="D15" s="25" t="s">
        <v>476</v>
      </c>
    </row>
    <row r="16" spans="1:4" ht="15">
      <c r="A16" s="18"/>
      <c r="B16" s="24"/>
      <c r="C16" s="14" t="s">
        <v>475</v>
      </c>
      <c r="D16" s="25" t="s">
        <v>471</v>
      </c>
    </row>
    <row r="17" spans="1:4" ht="15">
      <c r="A17" s="18"/>
      <c r="B17" s="24"/>
      <c r="C17" s="14" t="s">
        <v>477</v>
      </c>
      <c r="D17" s="25" t="s">
        <v>478</v>
      </c>
    </row>
    <row r="18" spans="1:4" ht="15">
      <c r="A18" s="18"/>
      <c r="B18" s="24"/>
      <c r="C18" s="14" t="s">
        <v>479</v>
      </c>
      <c r="D18" s="25" t="s">
        <v>480</v>
      </c>
    </row>
    <row r="19" spans="1:4" ht="15">
      <c r="A19" s="18"/>
      <c r="B19" s="24"/>
      <c r="C19" s="14" t="s">
        <v>481</v>
      </c>
      <c r="D19" s="25" t="s">
        <v>482</v>
      </c>
    </row>
    <row r="20" spans="1:4" ht="15">
      <c r="A20" s="18"/>
      <c r="B20" s="24"/>
      <c r="C20" s="14" t="s">
        <v>483</v>
      </c>
      <c r="D20" s="25"/>
    </row>
    <row r="21" spans="1:4" ht="15">
      <c r="A21" s="18"/>
      <c r="B21" s="24"/>
      <c r="C21" s="14" t="s">
        <v>484</v>
      </c>
      <c r="D21" s="25"/>
    </row>
    <row r="22" spans="1:4" ht="15">
      <c r="A22" s="18"/>
      <c r="B22" s="24"/>
      <c r="C22" s="14" t="s">
        <v>485</v>
      </c>
      <c r="D22" s="25"/>
    </row>
    <row r="23" spans="1:4" ht="15">
      <c r="A23" s="18"/>
      <c r="B23" s="24"/>
      <c r="D23" s="25"/>
    </row>
    <row r="24" spans="1:20" ht="15">
      <c r="A24" s="18"/>
      <c r="B24" s="26" t="s">
        <v>520</v>
      </c>
      <c r="D24" s="23"/>
      <c r="S24" s="14">
        <v>12</v>
      </c>
      <c r="T24" s="14" t="s">
        <v>438</v>
      </c>
    </row>
    <row r="25" spans="1:2" ht="12.75">
      <c r="A25" s="18"/>
      <c r="B25" s="24"/>
    </row>
    <row r="26" spans="1:4" ht="15">
      <c r="A26" s="18"/>
      <c r="B26" s="24"/>
      <c r="C26" s="42" t="s">
        <v>489</v>
      </c>
      <c r="D26" s="25" t="s">
        <v>487</v>
      </c>
    </row>
    <row r="27" spans="1:4" ht="15">
      <c r="A27" s="18"/>
      <c r="B27" s="24"/>
      <c r="C27" s="42" t="s">
        <v>490</v>
      </c>
      <c r="D27" s="25" t="s">
        <v>487</v>
      </c>
    </row>
    <row r="28" spans="1:4" ht="15">
      <c r="A28" s="18"/>
      <c r="B28" s="24"/>
      <c r="C28" s="42" t="s">
        <v>491</v>
      </c>
      <c r="D28" s="25" t="s">
        <v>487</v>
      </c>
    </row>
    <row r="29" spans="1:4" ht="15">
      <c r="A29" s="18"/>
      <c r="B29" s="24"/>
      <c r="C29" s="42" t="s">
        <v>492</v>
      </c>
      <c r="D29" s="25" t="s">
        <v>487</v>
      </c>
    </row>
    <row r="30" spans="1:4" ht="12.75">
      <c r="A30" s="18"/>
      <c r="B30" s="24"/>
      <c r="C30" s="42" t="s">
        <v>493</v>
      </c>
      <c r="D30" s="27"/>
    </row>
    <row r="31" spans="1:4" ht="15">
      <c r="A31" s="18"/>
      <c r="B31" s="24"/>
      <c r="C31" s="14" t="s">
        <v>494</v>
      </c>
      <c r="D31" s="41" t="s">
        <v>488</v>
      </c>
    </row>
    <row r="32" spans="1:4" ht="15">
      <c r="A32" s="18"/>
      <c r="B32" s="24"/>
      <c r="C32" s="14" t="s">
        <v>495</v>
      </c>
      <c r="D32" s="41" t="s">
        <v>488</v>
      </c>
    </row>
    <row r="33" spans="1:4" ht="15">
      <c r="A33" s="18"/>
      <c r="B33" s="24"/>
      <c r="C33" s="14" t="s">
        <v>496</v>
      </c>
      <c r="D33" s="41" t="s">
        <v>488</v>
      </c>
    </row>
    <row r="34" spans="1:4" ht="15">
      <c r="A34" s="18"/>
      <c r="B34" s="24"/>
      <c r="C34" s="14" t="s">
        <v>497</v>
      </c>
      <c r="D34" s="25" t="s">
        <v>532</v>
      </c>
    </row>
    <row r="35" spans="1:4" ht="15">
      <c r="A35" s="18"/>
      <c r="B35" s="24"/>
      <c r="C35" s="14" t="s">
        <v>498</v>
      </c>
      <c r="D35" s="25" t="s">
        <v>533</v>
      </c>
    </row>
    <row r="36" spans="1:4" ht="15">
      <c r="A36" s="18"/>
      <c r="B36" s="24"/>
      <c r="C36" s="14" t="s">
        <v>499</v>
      </c>
      <c r="D36" s="25" t="s">
        <v>534</v>
      </c>
    </row>
    <row r="37" spans="1:4" ht="15">
      <c r="A37" s="18"/>
      <c r="B37" s="24"/>
      <c r="C37" s="14" t="s">
        <v>500</v>
      </c>
      <c r="D37" s="25" t="s">
        <v>535</v>
      </c>
    </row>
    <row r="38" spans="1:4" ht="15">
      <c r="A38" s="18"/>
      <c r="B38" s="24"/>
      <c r="C38" s="14" t="s">
        <v>501</v>
      </c>
      <c r="D38" s="25" t="s">
        <v>536</v>
      </c>
    </row>
    <row r="39" spans="1:4" ht="15">
      <c r="A39" s="18"/>
      <c r="B39" s="24"/>
      <c r="C39" s="14" t="s">
        <v>502</v>
      </c>
      <c r="D39" s="25" t="s">
        <v>537</v>
      </c>
    </row>
    <row r="40" spans="1:4" ht="15">
      <c r="A40" s="18"/>
      <c r="B40" s="24"/>
      <c r="C40" s="14" t="s">
        <v>503</v>
      </c>
      <c r="D40" s="38" t="s">
        <v>538</v>
      </c>
    </row>
    <row r="41" spans="1:4" ht="15">
      <c r="A41" s="18"/>
      <c r="B41" s="24"/>
      <c r="C41" s="14" t="s">
        <v>504</v>
      </c>
      <c r="D41" s="25" t="s">
        <v>539</v>
      </c>
    </row>
    <row r="42" spans="1:4" ht="15">
      <c r="A42" s="18"/>
      <c r="B42" s="24"/>
      <c r="C42" s="14" t="s">
        <v>505</v>
      </c>
      <c r="D42" s="25" t="s">
        <v>540</v>
      </c>
    </row>
    <row r="43" spans="1:4" ht="15">
      <c r="A43" s="18"/>
      <c r="B43" s="24"/>
      <c r="C43" s="14" t="s">
        <v>506</v>
      </c>
      <c r="D43" s="25" t="s">
        <v>541</v>
      </c>
    </row>
    <row r="44" spans="1:4" ht="15">
      <c r="A44" s="18"/>
      <c r="B44" s="24"/>
      <c r="C44" s="14" t="s">
        <v>507</v>
      </c>
      <c r="D44" s="25" t="s">
        <v>541</v>
      </c>
    </row>
    <row r="45" spans="1:4" ht="15">
      <c r="A45" s="18"/>
      <c r="B45" s="24"/>
      <c r="C45" s="14" t="s">
        <v>508</v>
      </c>
      <c r="D45" s="25" t="s">
        <v>541</v>
      </c>
    </row>
    <row r="46" spans="1:4" ht="15">
      <c r="A46" s="18"/>
      <c r="B46" s="24"/>
      <c r="C46" s="14" t="s">
        <v>509</v>
      </c>
      <c r="D46" s="25" t="s">
        <v>541</v>
      </c>
    </row>
    <row r="47" spans="1:4" ht="15">
      <c r="A47" s="18"/>
      <c r="B47" s="24"/>
      <c r="C47" s="14" t="s">
        <v>510</v>
      </c>
      <c r="D47" s="25" t="s">
        <v>541</v>
      </c>
    </row>
    <row r="48" spans="1:4" ht="15">
      <c r="A48" s="18"/>
      <c r="B48" s="24"/>
      <c r="C48" s="14" t="s">
        <v>511</v>
      </c>
      <c r="D48" s="25" t="s">
        <v>542</v>
      </c>
    </row>
    <row r="49" spans="1:4" ht="15">
      <c r="A49" s="18"/>
      <c r="B49" s="24"/>
      <c r="C49" s="14" t="s">
        <v>512</v>
      </c>
      <c r="D49" s="25" t="s">
        <v>543</v>
      </c>
    </row>
    <row r="50" spans="1:4" ht="15">
      <c r="A50" s="18"/>
      <c r="B50" s="24"/>
      <c r="C50" s="14" t="s">
        <v>513</v>
      </c>
      <c r="D50" s="25" t="s">
        <v>544</v>
      </c>
    </row>
    <row r="51" spans="1:4" ht="15">
      <c r="A51" s="18"/>
      <c r="B51" s="24"/>
      <c r="C51" s="14" t="s">
        <v>514</v>
      </c>
      <c r="D51" s="25" t="s">
        <v>544</v>
      </c>
    </row>
    <row r="52" spans="1:4" ht="15">
      <c r="A52" s="18"/>
      <c r="B52" s="24"/>
      <c r="C52" s="14" t="s">
        <v>515</v>
      </c>
      <c r="D52" s="25" t="s">
        <v>545</v>
      </c>
    </row>
    <row r="53" spans="1:4" ht="15">
      <c r="A53" s="18"/>
      <c r="B53" s="26"/>
      <c r="C53" s="14" t="s">
        <v>516</v>
      </c>
      <c r="D53" s="25" t="s">
        <v>546</v>
      </c>
    </row>
    <row r="54" spans="1:4" ht="15">
      <c r="A54" s="18"/>
      <c r="B54" s="24"/>
      <c r="C54" s="14" t="s">
        <v>517</v>
      </c>
      <c r="D54" s="25" t="s">
        <v>547</v>
      </c>
    </row>
    <row r="55" spans="1:4" ht="15">
      <c r="A55" s="18"/>
      <c r="B55" s="24"/>
      <c r="C55" s="14" t="s">
        <v>518</v>
      </c>
      <c r="D55" s="25" t="s">
        <v>548</v>
      </c>
    </row>
    <row r="56" spans="1:4" ht="15">
      <c r="A56" s="18"/>
      <c r="B56" s="24"/>
      <c r="C56" s="14" t="s">
        <v>519</v>
      </c>
      <c r="D56" s="25" t="s">
        <v>549</v>
      </c>
    </row>
    <row r="57" spans="1:4" ht="15">
      <c r="A57" s="18"/>
      <c r="B57" s="24"/>
      <c r="D57" s="25"/>
    </row>
    <row r="58" spans="1:4" ht="15">
      <c r="A58" s="18"/>
      <c r="B58" s="24"/>
      <c r="C58" s="42" t="s">
        <v>523</v>
      </c>
      <c r="D58" s="43" t="s">
        <v>550</v>
      </c>
    </row>
    <row r="59" spans="1:4" ht="15">
      <c r="A59" s="18"/>
      <c r="B59" s="24"/>
      <c r="C59" s="14" t="s">
        <v>524</v>
      </c>
      <c r="D59" s="25"/>
    </row>
    <row r="60" spans="1:4" ht="15">
      <c r="A60" s="18"/>
      <c r="B60" s="24"/>
      <c r="C60" s="14" t="s">
        <v>525</v>
      </c>
      <c r="D60" s="25"/>
    </row>
    <row r="61" spans="1:4" ht="15">
      <c r="A61" s="18"/>
      <c r="B61" s="24"/>
      <c r="C61" s="14" t="s">
        <v>526</v>
      </c>
      <c r="D61" s="25"/>
    </row>
    <row r="62" spans="1:4" ht="15">
      <c r="A62" s="18"/>
      <c r="B62" s="24"/>
      <c r="C62" s="14" t="s">
        <v>527</v>
      </c>
      <c r="D62" s="25"/>
    </row>
    <row r="63" spans="1:4" ht="15">
      <c r="A63" s="18"/>
      <c r="B63" s="24"/>
      <c r="C63" s="14" t="s">
        <v>529</v>
      </c>
      <c r="D63" s="25"/>
    </row>
    <row r="64" spans="1:4" ht="15">
      <c r="A64" s="18"/>
      <c r="B64" s="24"/>
      <c r="C64" s="14" t="s">
        <v>528</v>
      </c>
      <c r="D64" s="25"/>
    </row>
    <row r="65" spans="1:4" ht="15">
      <c r="A65" s="18"/>
      <c r="B65" s="24"/>
      <c r="C65" s="14" t="s">
        <v>530</v>
      </c>
      <c r="D65" s="25"/>
    </row>
    <row r="66" spans="1:4" ht="15">
      <c r="A66" s="18"/>
      <c r="B66" s="24"/>
      <c r="C66" s="14" t="s">
        <v>531</v>
      </c>
      <c r="D66" s="25"/>
    </row>
    <row r="67" spans="1:4" ht="15">
      <c r="A67" s="18"/>
      <c r="B67" s="24"/>
      <c r="D67" s="25"/>
    </row>
    <row r="68" spans="1:4" ht="15">
      <c r="A68" s="18"/>
      <c r="B68" s="22"/>
      <c r="C68" s="21"/>
      <c r="D68" s="20"/>
    </row>
    <row r="69" spans="1:4" ht="21" customHeight="1">
      <c r="A69" s="15"/>
      <c r="D69" s="19"/>
    </row>
  </sheetData>
  <sheetProtection/>
  <hyperlinks>
    <hyperlink ref="D13" location="'Balance Gral. Resol. 1'!A1" display="'Balance Gral. Resol. 1'!A1"/>
    <hyperlink ref="D14" location="'Estado de Resultado Resol. 1'!A1" display="'Estado de Resultado Resol. 1'!A1"/>
    <hyperlink ref="D15" location="'Flujo de Efectivo Resol. 950'!A1" display="'Flujo de Efectivo Resol. 950'!A1"/>
    <hyperlink ref="D16" location="'Estado de Resultado Resol. 1'!A1" display="'Estado de Resultado Resol. 1'!A1"/>
    <hyperlink ref="D17" location="'CALCULO DE IRACIS (2019)'!A1" display="'CALCULO DE IRACIS (2019)'!A1"/>
    <hyperlink ref="D18" location="'Balance Final 15'!A1" display="'Balance Final 15'!A1"/>
    <hyperlink ref="D19" location="'2018 (2)'!A1" display="'2018 (2)'!A1"/>
    <hyperlink ref="D31" location="'NOTA 5 A-C CRITERIOS ESPECIF.'!A1" display="'NOTA 5 A-C CRITERIOS ESPECIF.'!A1"/>
    <hyperlink ref="D32" location="'NOTA 5 A-C CRITERIOS ESPECIF.'!A1" display="'NOTA 5 A-C CRITERIOS ESPECIF.'!A1"/>
    <hyperlink ref="D33" location="'NOTA 5 A-C CRITERIOS ESPECIF.'!A1" display="'NOTA 5 A-C CRITERIOS ESPECIF.'!A1"/>
    <hyperlink ref="D34" location="'NOTA D - DISPONIBILIDADES'!A1" display="'NOTA D - DISPONIBILIDADES'!A1"/>
    <hyperlink ref="D35" location="'NOTA E - INVERSIONES'!A1" display="'NOTA E - INVERSIONES'!A1"/>
    <hyperlink ref="D36" location="'NOTA F - CREDITOS'!A1" display="'NOTA F - CREDITOS'!A1"/>
    <hyperlink ref="D37" location="'NOTA G BIENES DE USO'!A1" display="'NOTA G BIENES DE USO'!A1"/>
    <hyperlink ref="D38" location="'NOTA H CARGOS DIFERIDOS'!A1" display="'NOTA H CARGOS DIFERIDOS'!A1"/>
    <hyperlink ref="D39" location="' NOTA I INTANGIBLES'!A1" display="' NOTA I INTANGIBLES'!A1"/>
    <hyperlink ref="D40" location="'NOTA J OTROS ACTIVOS CTES Y NO '!A1" display="'NOTA J OTROS ACTIVOS CTES Y NO '!A1"/>
    <hyperlink ref="D41" location="'NOTA K PRESTAMOS'!A1" display="'NOTA K PRESTAMOS'!A1"/>
    <hyperlink ref="D42" location="'NOTA L DOCUMENTOS Y CTAS A PAGA'!A1" display="'NOTA L DOCUMENTOS Y CTAS A PAGA'!A1"/>
    <hyperlink ref="D43" location="'NOTAS M-Q ACREEDORES CTO PLAZO'!A1" display="'NOTAS M-Q ACREEDORES CTO PLAZO'!A1"/>
    <hyperlink ref="D44" location="'NOTAS M-Q ACREEDORES CTO PLAZO'!A1" display="'NOTAS M-Q ACREEDORES CTO PLAZO'!A1"/>
    <hyperlink ref="D45" location="'NOTAS M-Q ACREEDORES CTO PLAZO'!A1" display="'NOTAS M-Q ACREEDORES CTO PLAZO'!A1"/>
    <hyperlink ref="D46" location="'NOTAS M-Q ACREEDORES CTO PLAZO'!A1" display="'NOTAS M-Q ACREEDORES CTO PLAZO'!A1"/>
    <hyperlink ref="D47" location="'NOTAS M-Q ACREEDORES CTO PLAZO'!A1" display="'NOTAS M-Q ACREEDORES CTO PLAZO'!A1"/>
    <hyperlink ref="D48" location="'NOTA R SALDOS Y TRANSACCIONES '!A1" display="'NOTA R SALDOS Y TRANSACCIONES '!A1"/>
    <hyperlink ref="D49" location="'NOTA S RESULTADOS CON PERSONAS'!A1" display="'NOTA S RESULTADOS CON PERSONAS'!A1"/>
    <hyperlink ref="D50" location="' NOTA T PATRIMONIO'!A1" display="' NOTA T PATRIMONIO'!A1"/>
    <hyperlink ref="D51" location="' NOTA T PATRIMONIO'!A1" display="' NOTA T PATRIMONIO'!A1"/>
    <hyperlink ref="D52" location="'NOTA V INGRESOS OPERATIVOS'!A1" display="'NOTA V INGRESOS OPERATIVOS'!A1"/>
    <hyperlink ref="D53" location="'NOTA W OTROS GASTOS OPERATIVOS'!A1" display="'NOTA W OTROS GASTOS OPERATIVOS'!A1"/>
    <hyperlink ref="D54" location="'NOTA X OTROS INGRESOS Y EGRESOS'!A1" display="'NOTA X OTROS INGRESOS Y EGRESOS'!A1"/>
    <hyperlink ref="D55" location="'NOTA Y RESULTADOS FINANCIEROS'!A1" display="'NOTA Y RESULTADOS FINANCIEROS'!A1"/>
    <hyperlink ref="D56" location="'NOTA Z RESULT EXTRAORD'!A1" display="'NOTA Z RESULT EXTRAORD'!A1"/>
    <hyperlink ref="D58" location="'NOTA 6 INFORMACION REFERENTE'!A1" display="'NOTA 6 INFORMACION REFERENTE'!A1"/>
    <hyperlink ref="D26" location="'NOTA A LOS ESTADOS CONTA. 1-4'!A1" display="'NOTA A LOS ESTADOS CONTA. 1-4'!A1"/>
    <hyperlink ref="D27:D29" location="'NOTA A LOS ESTADOS CONTA. 1-4'!A1" display="'NOTA A LOS ESTADOS CONTA. 1-4'!A1"/>
    <hyperlink ref="D10" r:id="rId1" display="Infome en Word."/>
  </hyperlinks>
  <printOptions/>
  <pageMargins left="0.7" right="0.7" top="0.75" bottom="0.75" header="0.3" footer="0.3"/>
  <pageSetup horizontalDpi="600" verticalDpi="600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B3:H46"/>
  <sheetViews>
    <sheetView showGridLines="0" zoomScale="80" zoomScaleNormal="80" zoomScalePageLayoutView="0" workbookViewId="0" topLeftCell="A16">
      <selection activeCell="B41" sqref="B41:H46"/>
    </sheetView>
  </sheetViews>
  <sheetFormatPr defaultColWidth="67.57421875" defaultRowHeight="15"/>
  <cols>
    <col min="1" max="1" width="67.57421875" style="154" customWidth="1"/>
    <col min="2" max="2" width="44.00390625" style="154" customWidth="1"/>
    <col min="3" max="3" width="17.7109375" style="200" bestFit="1" customWidth="1"/>
    <col min="4" max="4" width="21.421875" style="200" bestFit="1" customWidth="1"/>
    <col min="5" max="5" width="9.00390625" style="154" bestFit="1" customWidth="1"/>
    <col min="6" max="6" width="13.7109375" style="154" bestFit="1" customWidth="1"/>
    <col min="7" max="7" width="22.140625" style="154" bestFit="1" customWidth="1"/>
    <col min="8" max="8" width="26.00390625" style="154" customWidth="1"/>
    <col min="9" max="16384" width="67.57421875" style="154" customWidth="1"/>
  </cols>
  <sheetData>
    <row r="3" ht="12">
      <c r="B3" s="168" t="s">
        <v>810</v>
      </c>
    </row>
    <row r="4" ht="12">
      <c r="B4" s="169"/>
    </row>
    <row r="5" ht="36">
      <c r="B5" s="169" t="s">
        <v>768</v>
      </c>
    </row>
    <row r="8" spans="2:4" ht="12">
      <c r="B8" s="485" t="s">
        <v>282</v>
      </c>
      <c r="C8" s="485"/>
      <c r="D8" s="485"/>
    </row>
    <row r="9" spans="2:4" ht="12">
      <c r="B9" s="498" t="s">
        <v>283</v>
      </c>
      <c r="C9" s="499"/>
      <c r="D9" s="500"/>
    </row>
    <row r="10" spans="2:8" ht="12">
      <c r="B10" s="52" t="s">
        <v>243</v>
      </c>
      <c r="C10" s="267" t="s">
        <v>284</v>
      </c>
      <c r="D10" s="267" t="s">
        <v>285</v>
      </c>
      <c r="E10" s="268"/>
      <c r="F10" s="268"/>
      <c r="G10" s="268"/>
      <c r="H10" s="268"/>
    </row>
    <row r="11" spans="2:4" ht="12">
      <c r="B11" s="269" t="s">
        <v>286</v>
      </c>
      <c r="C11" s="194">
        <f>+'[2]Sheet1'!$O$100</f>
        <v>456569244</v>
      </c>
      <c r="D11" s="270">
        <v>0</v>
      </c>
    </row>
    <row r="12" spans="2:4" ht="12">
      <c r="B12" s="269" t="s">
        <v>287</v>
      </c>
      <c r="C12" s="194">
        <f>+'[2]Sheet1'!$O$166</f>
        <v>852866117</v>
      </c>
      <c r="D12" s="270">
        <v>0</v>
      </c>
    </row>
    <row r="13" spans="2:6" ht="12">
      <c r="B13" s="271" t="s">
        <v>767</v>
      </c>
      <c r="C13" s="203">
        <f>+C11+C12</f>
        <v>1309435361</v>
      </c>
      <c r="D13" s="270">
        <v>0</v>
      </c>
      <c r="E13" s="272"/>
      <c r="F13" s="266"/>
    </row>
    <row r="14" spans="2:4" ht="12">
      <c r="B14" s="271" t="s">
        <v>790</v>
      </c>
      <c r="C14" s="203">
        <v>1219151576.2202</v>
      </c>
      <c r="D14" s="203">
        <v>0</v>
      </c>
    </row>
    <row r="15" spans="2:6" ht="12">
      <c r="B15" s="273"/>
      <c r="C15" s="274"/>
      <c r="D15" s="274"/>
      <c r="F15" s="266"/>
    </row>
    <row r="16" spans="2:4" ht="12">
      <c r="B16" s="485" t="str">
        <f>+'[3]Balance General Resol 950'!$C$18</f>
        <v>Documentos y  Cuentas a Cobrar</v>
      </c>
      <c r="C16" s="485"/>
      <c r="D16" s="485"/>
    </row>
    <row r="17" spans="2:4" ht="12">
      <c r="B17" s="498" t="s">
        <v>283</v>
      </c>
      <c r="C17" s="499"/>
      <c r="D17" s="500"/>
    </row>
    <row r="18" spans="2:4" ht="12">
      <c r="B18" s="52" t="s">
        <v>243</v>
      </c>
      <c r="C18" s="267" t="s">
        <v>284</v>
      </c>
      <c r="D18" s="267" t="s">
        <v>285</v>
      </c>
    </row>
    <row r="19" spans="2:4" ht="12">
      <c r="B19" s="269" t="s">
        <v>288</v>
      </c>
      <c r="C19" s="194">
        <f>+'[2]BALANCE CORREGIDO'!$O$210+'[2]BALANCE CORREGIDO'!$O$212</f>
        <v>1289780878</v>
      </c>
      <c r="D19" s="270">
        <v>0</v>
      </c>
    </row>
    <row r="20" spans="2:4" ht="12">
      <c r="B20" s="269" t="s">
        <v>35</v>
      </c>
      <c r="C20" s="194">
        <v>0</v>
      </c>
      <c r="D20" s="270">
        <v>0</v>
      </c>
    </row>
    <row r="21" spans="2:4" ht="12">
      <c r="B21" s="269" t="s">
        <v>237</v>
      </c>
      <c r="C21" s="194">
        <f>+'[2]Sheet1'!$O$195</f>
        <v>252286046</v>
      </c>
      <c r="D21" s="270">
        <v>0</v>
      </c>
    </row>
    <row r="22" spans="2:4" ht="12">
      <c r="B22" s="269" t="s">
        <v>290</v>
      </c>
      <c r="C22" s="194">
        <f>+'[2]Sheet1'!$O$211</f>
        <v>3973728</v>
      </c>
      <c r="D22" s="270">
        <v>0</v>
      </c>
    </row>
    <row r="23" spans="2:4" ht="12">
      <c r="B23" s="275" t="s">
        <v>791</v>
      </c>
      <c r="C23" s="194">
        <f>+'[2]BALANCE CORREGIDO'!$O$213</f>
        <v>2581000</v>
      </c>
      <c r="D23" s="270"/>
    </row>
    <row r="24" spans="2:4" ht="12">
      <c r="B24" s="269" t="s">
        <v>799</v>
      </c>
      <c r="C24" s="194">
        <f>+'[2]BALANCE CORREGIDO'!$Q$214</f>
        <v>133760000</v>
      </c>
      <c r="D24" s="270">
        <v>0</v>
      </c>
    </row>
    <row r="25" spans="2:4" ht="12">
      <c r="B25" s="269"/>
      <c r="C25" s="194"/>
      <c r="D25" s="270"/>
    </row>
    <row r="26" spans="2:7" ht="12">
      <c r="B26" s="271" t="str">
        <f>+B13</f>
        <v>Total al 30/06/2020</v>
      </c>
      <c r="C26" s="203">
        <f>SUM(C19:C25)</f>
        <v>1682381652</v>
      </c>
      <c r="D26" s="270">
        <v>0</v>
      </c>
      <c r="F26" s="155"/>
      <c r="G26" s="155"/>
    </row>
    <row r="27" spans="2:4" ht="12">
      <c r="B27" s="271" t="s">
        <v>790</v>
      </c>
      <c r="C27" s="203">
        <v>1432772081</v>
      </c>
      <c r="D27" s="270">
        <v>0</v>
      </c>
    </row>
    <row r="28" ht="12">
      <c r="B28" s="276"/>
    </row>
    <row r="29" spans="2:4" ht="12">
      <c r="B29" s="485" t="str">
        <f>+'[3]Balance General Resol 950'!$C$21</f>
        <v>Cuentas por Cobrar a Personas y Emp. Relacionadas</v>
      </c>
      <c r="C29" s="485"/>
      <c r="D29" s="485"/>
    </row>
    <row r="30" spans="2:4" ht="12">
      <c r="B30" s="498" t="s">
        <v>283</v>
      </c>
      <c r="C30" s="499"/>
      <c r="D30" s="500"/>
    </row>
    <row r="31" spans="2:4" ht="12">
      <c r="B31" s="52" t="s">
        <v>243</v>
      </c>
      <c r="C31" s="267" t="s">
        <v>284</v>
      </c>
      <c r="D31" s="267" t="s">
        <v>285</v>
      </c>
    </row>
    <row r="32" spans="2:4" ht="12">
      <c r="B32" s="269" t="s">
        <v>289</v>
      </c>
      <c r="C32" s="194">
        <f>+'[2]Sheet1'!$O$198</f>
        <v>1475592592</v>
      </c>
      <c r="D32" s="270">
        <v>0</v>
      </c>
    </row>
    <row r="33" spans="2:4" ht="12">
      <c r="B33" s="269" t="s">
        <v>291</v>
      </c>
      <c r="C33" s="270">
        <v>0</v>
      </c>
      <c r="D33" s="270">
        <v>0</v>
      </c>
    </row>
    <row r="34" spans="2:4" ht="12">
      <c r="B34" s="269" t="s">
        <v>292</v>
      </c>
      <c r="C34" s="270">
        <v>0</v>
      </c>
      <c r="D34" s="270">
        <v>0</v>
      </c>
    </row>
    <row r="35" spans="2:6" ht="12">
      <c r="B35" s="271" t="str">
        <f>+B13</f>
        <v>Total al 30/06/2020</v>
      </c>
      <c r="C35" s="203">
        <f>SUM(C32:C34)</f>
        <v>1475592592</v>
      </c>
      <c r="D35" s="270">
        <v>0</v>
      </c>
      <c r="F35" s="154" t="s">
        <v>293</v>
      </c>
    </row>
    <row r="36" spans="2:4" ht="12">
      <c r="B36" s="271" t="s">
        <v>790</v>
      </c>
      <c r="C36" s="203">
        <v>1396573129.5684001</v>
      </c>
      <c r="D36" s="270">
        <v>0</v>
      </c>
    </row>
    <row r="37" ht="12">
      <c r="B37" s="276"/>
    </row>
    <row r="38" ht="12">
      <c r="B38" s="276"/>
    </row>
    <row r="39" ht="12">
      <c r="B39" s="276"/>
    </row>
    <row r="40" ht="12">
      <c r="B40" s="276" t="s">
        <v>294</v>
      </c>
    </row>
    <row r="41" spans="2:8" ht="12">
      <c r="B41" s="501" t="s">
        <v>253</v>
      </c>
      <c r="C41" s="502" t="s">
        <v>295</v>
      </c>
      <c r="D41" s="502" t="s">
        <v>296</v>
      </c>
      <c r="E41" s="52" t="s">
        <v>250</v>
      </c>
      <c r="F41" s="52" t="s">
        <v>297</v>
      </c>
      <c r="G41" s="501" t="s">
        <v>298</v>
      </c>
      <c r="H41" s="501"/>
    </row>
    <row r="42" spans="2:8" ht="12">
      <c r="B42" s="501"/>
      <c r="C42" s="502"/>
      <c r="D42" s="502"/>
      <c r="E42" s="52" t="s">
        <v>299</v>
      </c>
      <c r="F42" s="52" t="s">
        <v>300</v>
      </c>
      <c r="G42" s="501"/>
      <c r="H42" s="501"/>
    </row>
    <row r="43" spans="2:8" ht="12">
      <c r="B43" s="501"/>
      <c r="C43" s="502"/>
      <c r="D43" s="502"/>
      <c r="E43" s="446"/>
      <c r="F43" s="52" t="s">
        <v>301</v>
      </c>
      <c r="G43" s="501"/>
      <c r="H43" s="501"/>
    </row>
    <row r="44" spans="2:8" ht="12">
      <c r="B44" s="447"/>
      <c r="C44" s="501" t="s">
        <v>302</v>
      </c>
      <c r="D44" s="501"/>
      <c r="E44" s="501"/>
      <c r="F44" s="501"/>
      <c r="G44" s="501"/>
      <c r="H44" s="52"/>
    </row>
    <row r="45" spans="2:8" ht="12">
      <c r="B45" s="447" t="s">
        <v>303</v>
      </c>
      <c r="C45" s="501"/>
      <c r="D45" s="501"/>
      <c r="E45" s="501"/>
      <c r="F45" s="501"/>
      <c r="G45" s="501"/>
      <c r="H45" s="447"/>
    </row>
    <row r="46" spans="2:8" ht="12">
      <c r="B46" s="447" t="s">
        <v>304</v>
      </c>
      <c r="C46" s="501"/>
      <c r="D46" s="501"/>
      <c r="E46" s="501"/>
      <c r="F46" s="501"/>
      <c r="G46" s="501"/>
      <c r="H46" s="447"/>
    </row>
  </sheetData>
  <sheetProtection/>
  <mergeCells count="12">
    <mergeCell ref="G41:G43"/>
    <mergeCell ref="H41:H43"/>
    <mergeCell ref="C44:G46"/>
    <mergeCell ref="B41:B43"/>
    <mergeCell ref="C41:C43"/>
    <mergeCell ref="D41:D43"/>
    <mergeCell ref="B30:D30"/>
    <mergeCell ref="B8:D8"/>
    <mergeCell ref="B9:D9"/>
    <mergeCell ref="B16:D16"/>
    <mergeCell ref="B17:D17"/>
    <mergeCell ref="B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2:O19"/>
  <sheetViews>
    <sheetView showGridLines="0" zoomScalePageLayoutView="0" workbookViewId="0" topLeftCell="A1">
      <selection activeCell="B5" sqref="B5:M17"/>
    </sheetView>
  </sheetViews>
  <sheetFormatPr defaultColWidth="11.421875" defaultRowHeight="15"/>
  <cols>
    <col min="1" max="1" width="2.421875" style="154" customWidth="1"/>
    <col min="2" max="2" width="20.8515625" style="276" bestFit="1" customWidth="1"/>
    <col min="3" max="3" width="20.7109375" style="154" bestFit="1" customWidth="1"/>
    <col min="4" max="4" width="14.140625" style="154" bestFit="1" customWidth="1"/>
    <col min="5" max="5" width="5.57421875" style="154" bestFit="1" customWidth="1"/>
    <col min="6" max="6" width="10.28125" style="154" bestFit="1" customWidth="1"/>
    <col min="7" max="7" width="14.421875" style="154" bestFit="1" customWidth="1"/>
    <col min="8" max="8" width="13.00390625" style="154" bestFit="1" customWidth="1"/>
    <col min="9" max="9" width="10.7109375" style="154" bestFit="1" customWidth="1"/>
    <col min="10" max="10" width="5.57421875" style="154" bestFit="1" customWidth="1"/>
    <col min="11" max="11" width="7.421875" style="154" bestFit="1" customWidth="1"/>
    <col min="12" max="12" width="13.140625" style="154" bestFit="1" customWidth="1"/>
    <col min="13" max="13" width="14.140625" style="154" bestFit="1" customWidth="1"/>
    <col min="14" max="14" width="10.28125" style="154" customWidth="1"/>
    <col min="15" max="16384" width="11.421875" style="154" customWidth="1"/>
  </cols>
  <sheetData>
    <row r="2" ht="12">
      <c r="C2" s="169"/>
    </row>
    <row r="3" ht="12">
      <c r="C3" s="278" t="s">
        <v>811</v>
      </c>
    </row>
    <row r="4" ht="12">
      <c r="C4" s="278"/>
    </row>
    <row r="5" spans="2:14" s="73" customFormat="1" ht="20.25" customHeight="1">
      <c r="B5" s="182"/>
      <c r="C5" s="503" t="s">
        <v>305</v>
      </c>
      <c r="D5" s="504"/>
      <c r="E5" s="504"/>
      <c r="F5" s="504"/>
      <c r="G5" s="504"/>
      <c r="H5" s="503" t="s">
        <v>306</v>
      </c>
      <c r="I5" s="504"/>
      <c r="J5" s="504"/>
      <c r="K5" s="504"/>
      <c r="L5" s="504"/>
      <c r="M5" s="505"/>
      <c r="N5" s="279"/>
    </row>
    <row r="6" spans="2:14" ht="36">
      <c r="B6" s="52" t="s">
        <v>236</v>
      </c>
      <c r="C6" s="280" t="s">
        <v>307</v>
      </c>
      <c r="D6" s="52" t="s">
        <v>308</v>
      </c>
      <c r="E6" s="52" t="s">
        <v>309</v>
      </c>
      <c r="F6" s="52" t="s">
        <v>310</v>
      </c>
      <c r="G6" s="52" t="s">
        <v>311</v>
      </c>
      <c r="H6" s="52" t="s">
        <v>312</v>
      </c>
      <c r="I6" s="52" t="s">
        <v>308</v>
      </c>
      <c r="J6" s="52" t="s">
        <v>309</v>
      </c>
      <c r="K6" s="52" t="s">
        <v>310</v>
      </c>
      <c r="L6" s="52" t="s">
        <v>313</v>
      </c>
      <c r="M6" s="52" t="s">
        <v>314</v>
      </c>
      <c r="N6" s="281"/>
    </row>
    <row r="7" spans="2:15" ht="12">
      <c r="B7" s="282" t="s">
        <v>315</v>
      </c>
      <c r="C7" s="194">
        <v>452869306</v>
      </c>
      <c r="D7" s="194">
        <f>+G7-C7</f>
        <v>9643000</v>
      </c>
      <c r="E7" s="194">
        <v>0</v>
      </c>
      <c r="F7" s="194">
        <v>0</v>
      </c>
      <c r="G7" s="194">
        <f>+'[2]Sheet1'!$O$229</f>
        <v>462512306</v>
      </c>
      <c r="H7" s="194">
        <v>92093910.10713145</v>
      </c>
      <c r="I7" s="270">
        <v>0</v>
      </c>
      <c r="J7" s="270">
        <v>0</v>
      </c>
      <c r="K7" s="270">
        <v>0</v>
      </c>
      <c r="L7" s="194">
        <v>92093910.10713145</v>
      </c>
      <c r="M7" s="194">
        <f>+G7-L7+1</f>
        <v>370418396.8928685</v>
      </c>
      <c r="N7" s="283"/>
      <c r="O7" s="266"/>
    </row>
    <row r="8" spans="2:14" ht="12">
      <c r="B8" s="284" t="s">
        <v>316</v>
      </c>
      <c r="C8" s="194">
        <v>210957210</v>
      </c>
      <c r="D8" s="194">
        <f aca="true" t="shared" si="0" ref="D8:D14">+G8-C8</f>
        <v>0</v>
      </c>
      <c r="E8" s="194">
        <v>0</v>
      </c>
      <c r="F8" s="194">
        <v>0</v>
      </c>
      <c r="G8" s="194">
        <f>+'[2]Sheet1'!$O$235</f>
        <v>210957210</v>
      </c>
      <c r="H8" s="270">
        <v>19490136.496434197</v>
      </c>
      <c r="I8" s="270">
        <v>0</v>
      </c>
      <c r="J8" s="270">
        <v>0</v>
      </c>
      <c r="K8" s="270">
        <v>0</v>
      </c>
      <c r="L8" s="270">
        <v>19490136.496434197</v>
      </c>
      <c r="M8" s="194">
        <f aca="true" t="shared" si="1" ref="M8:M15">+G8-L8</f>
        <v>191467073.5035658</v>
      </c>
      <c r="N8" s="281"/>
    </row>
    <row r="9" spans="2:14" ht="12">
      <c r="B9" s="284" t="s">
        <v>317</v>
      </c>
      <c r="C9" s="194">
        <v>7058431</v>
      </c>
      <c r="D9" s="194">
        <f t="shared" si="0"/>
        <v>0</v>
      </c>
      <c r="E9" s="194">
        <v>0</v>
      </c>
      <c r="F9" s="194">
        <v>0</v>
      </c>
      <c r="G9" s="194">
        <f>+'[2]Sheet1'!$O$237</f>
        <v>7058431</v>
      </c>
      <c r="H9" s="194">
        <v>3731237.8583492143</v>
      </c>
      <c r="I9" s="270">
        <v>0</v>
      </c>
      <c r="J9" s="270">
        <v>0</v>
      </c>
      <c r="K9" s="270">
        <v>0</v>
      </c>
      <c r="L9" s="194">
        <v>3731237.8583492143</v>
      </c>
      <c r="M9" s="194">
        <f t="shared" si="1"/>
        <v>3327193.1416507857</v>
      </c>
      <c r="N9" s="281"/>
    </row>
    <row r="10" spans="2:14" ht="12">
      <c r="B10" s="284" t="s">
        <v>318</v>
      </c>
      <c r="C10" s="194">
        <v>31158573</v>
      </c>
      <c r="D10" s="194">
        <f t="shared" si="0"/>
        <v>0</v>
      </c>
      <c r="E10" s="194">
        <v>0</v>
      </c>
      <c r="F10" s="194">
        <v>0</v>
      </c>
      <c r="G10" s="194">
        <f>+'[2]Sheet1'!$O$233</f>
        <v>31158573</v>
      </c>
      <c r="H10" s="194">
        <v>8635807.3087512</v>
      </c>
      <c r="I10" s="270">
        <v>0</v>
      </c>
      <c r="J10" s="270">
        <v>0</v>
      </c>
      <c r="K10" s="270">
        <v>0</v>
      </c>
      <c r="L10" s="194">
        <v>8635807.3087512</v>
      </c>
      <c r="M10" s="194">
        <f t="shared" si="1"/>
        <v>22522765.6912488</v>
      </c>
      <c r="N10" s="283"/>
    </row>
    <row r="11" spans="2:14" ht="12">
      <c r="B11" s="284" t="s">
        <v>319</v>
      </c>
      <c r="C11" s="194">
        <v>257639881</v>
      </c>
      <c r="D11" s="194">
        <f t="shared" si="0"/>
        <v>0</v>
      </c>
      <c r="E11" s="194"/>
      <c r="F11" s="194">
        <v>0</v>
      </c>
      <c r="G11" s="194">
        <f>+'[2]Sheet1'!$O$231</f>
        <v>257639881</v>
      </c>
      <c r="H11" s="194">
        <v>166982949.2368944</v>
      </c>
      <c r="I11" s="270">
        <v>0</v>
      </c>
      <c r="J11" s="270">
        <v>0</v>
      </c>
      <c r="K11" s="270">
        <v>0</v>
      </c>
      <c r="L11" s="194">
        <v>166982949.2368944</v>
      </c>
      <c r="M11" s="194">
        <f t="shared" si="1"/>
        <v>90656931.7631056</v>
      </c>
      <c r="N11" s="281"/>
    </row>
    <row r="12" spans="2:14" ht="12">
      <c r="B12" s="284" t="s">
        <v>462</v>
      </c>
      <c r="C12" s="194">
        <v>1953391900</v>
      </c>
      <c r="D12" s="194">
        <f>+G12-C12</f>
        <v>0</v>
      </c>
      <c r="E12" s="270">
        <v>0</v>
      </c>
      <c r="F12" s="270">
        <v>0</v>
      </c>
      <c r="G12" s="194">
        <f>+'[2]Sheet1'!$O$241</f>
        <v>1953391900</v>
      </c>
      <c r="H12" s="270">
        <v>31867918</v>
      </c>
      <c r="I12" s="270">
        <v>0</v>
      </c>
      <c r="J12" s="270">
        <v>0</v>
      </c>
      <c r="K12" s="270">
        <v>0</v>
      </c>
      <c r="L12" s="194">
        <v>31867918</v>
      </c>
      <c r="M12" s="194">
        <f t="shared" si="1"/>
        <v>1921523982</v>
      </c>
      <c r="N12" s="281"/>
    </row>
    <row r="13" spans="2:14" ht="12">
      <c r="B13" s="284" t="s">
        <v>461</v>
      </c>
      <c r="C13" s="194">
        <v>9804433363</v>
      </c>
      <c r="D13" s="194">
        <f t="shared" si="0"/>
        <v>320416370</v>
      </c>
      <c r="E13" s="270"/>
      <c r="F13" s="270"/>
      <c r="G13" s="194">
        <f>+'[2]Sheet1'!$O$242</f>
        <v>10124849733</v>
      </c>
      <c r="H13" s="270"/>
      <c r="I13" s="270">
        <v>0</v>
      </c>
      <c r="J13" s="270">
        <v>0</v>
      </c>
      <c r="K13" s="270">
        <v>0</v>
      </c>
      <c r="L13" s="194">
        <v>0</v>
      </c>
      <c r="M13" s="194">
        <f>+G13+L13</f>
        <v>10124849733</v>
      </c>
      <c r="N13" s="281"/>
    </row>
    <row r="14" spans="2:14" ht="12">
      <c r="B14" s="284" t="s">
        <v>320</v>
      </c>
      <c r="C14" s="194">
        <v>0</v>
      </c>
      <c r="D14" s="194">
        <f t="shared" si="0"/>
        <v>10723156</v>
      </c>
      <c r="E14" s="270">
        <v>0</v>
      </c>
      <c r="F14" s="270">
        <v>0</v>
      </c>
      <c r="G14" s="194">
        <f>+'[2]Sheet1'!$O$239</f>
        <v>10723156</v>
      </c>
      <c r="H14" s="194"/>
      <c r="I14" s="270">
        <v>0</v>
      </c>
      <c r="J14" s="270">
        <f>+H14</f>
        <v>0</v>
      </c>
      <c r="K14" s="270">
        <v>0</v>
      </c>
      <c r="L14" s="270">
        <v>0</v>
      </c>
      <c r="M14" s="194">
        <f>+G14+L14</f>
        <v>10723156</v>
      </c>
      <c r="N14" s="281"/>
    </row>
    <row r="15" spans="2:14" ht="12">
      <c r="B15" s="284" t="s">
        <v>321</v>
      </c>
      <c r="C15" s="270">
        <v>3492819</v>
      </c>
      <c r="D15" s="194">
        <v>3492819</v>
      </c>
      <c r="E15" s="270"/>
      <c r="F15" s="270"/>
      <c r="G15" s="194">
        <f>+'[2]Sheet1'!$O$240</f>
        <v>11010456</v>
      </c>
      <c r="H15" s="270">
        <v>0</v>
      </c>
      <c r="I15" s="270">
        <v>0</v>
      </c>
      <c r="J15" s="270">
        <v>0</v>
      </c>
      <c r="K15" s="270">
        <v>0</v>
      </c>
      <c r="L15" s="270">
        <f>+H15+I15</f>
        <v>0</v>
      </c>
      <c r="M15" s="194">
        <f t="shared" si="1"/>
        <v>11010456</v>
      </c>
      <c r="N15" s="281"/>
    </row>
    <row r="16" spans="2:15" ht="12">
      <c r="B16" s="285" t="s">
        <v>767</v>
      </c>
      <c r="C16" s="203">
        <f>SUM(C7:C15)</f>
        <v>12721001483</v>
      </c>
      <c r="D16" s="203">
        <f>SUM(D7:D15)</f>
        <v>344275345</v>
      </c>
      <c r="E16" s="270">
        <v>0</v>
      </c>
      <c r="F16" s="270">
        <v>0</v>
      </c>
      <c r="G16" s="203">
        <f>SUM(G7:G15)</f>
        <v>13069301646</v>
      </c>
      <c r="H16" s="203">
        <f>SUM(H7:H15)</f>
        <v>322801959.0075605</v>
      </c>
      <c r="I16" s="203">
        <f>SUM(I7:I15)</f>
        <v>0</v>
      </c>
      <c r="J16" s="270">
        <v>0</v>
      </c>
      <c r="K16" s="270">
        <v>0</v>
      </c>
      <c r="L16" s="203">
        <f>SUM(L7:L15)</f>
        <v>322801959.0075605</v>
      </c>
      <c r="M16" s="203">
        <f>SUM(M7:M15)</f>
        <v>12746499687.99244</v>
      </c>
      <c r="N16" s="283"/>
      <c r="O16" s="266"/>
    </row>
    <row r="17" spans="2:14" ht="12">
      <c r="B17" s="285" t="s">
        <v>790</v>
      </c>
      <c r="C17" s="203">
        <v>11498752539</v>
      </c>
      <c r="D17" s="203">
        <v>10067995883</v>
      </c>
      <c r="E17" s="270">
        <v>0</v>
      </c>
      <c r="F17" s="203">
        <v>0</v>
      </c>
      <c r="G17" s="203">
        <v>12721001483</v>
      </c>
      <c r="H17" s="203">
        <v>301576124.4594381</v>
      </c>
      <c r="I17" s="203">
        <v>94687613.54812235</v>
      </c>
      <c r="J17" s="270">
        <v>0</v>
      </c>
      <c r="K17" s="270">
        <v>0</v>
      </c>
      <c r="L17" s="203">
        <v>322801959.0075605</v>
      </c>
      <c r="M17" s="203">
        <v>12398199523.99244</v>
      </c>
      <c r="N17" s="283"/>
    </row>
    <row r="18" spans="3:14" ht="12">
      <c r="C18" s="281"/>
      <c r="D18" s="281"/>
      <c r="E18" s="281"/>
      <c r="F18" s="281"/>
      <c r="G18" s="283"/>
      <c r="H18" s="281"/>
      <c r="I18" s="281"/>
      <c r="J18" s="281"/>
      <c r="K18" s="281"/>
      <c r="L18" s="281"/>
      <c r="M18" s="281"/>
      <c r="N18" s="281"/>
    </row>
    <row r="19" spans="5:7" ht="12">
      <c r="E19" s="266"/>
      <c r="G19" s="266"/>
    </row>
  </sheetData>
  <sheetProtection/>
  <mergeCells count="2">
    <mergeCell ref="C5:G5"/>
    <mergeCell ref="H5:M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B2:H9"/>
  <sheetViews>
    <sheetView showGridLines="0" zoomScale="134" zoomScaleNormal="134" zoomScalePageLayoutView="0" workbookViewId="0" topLeftCell="A1">
      <selection activeCell="B5" sqref="B5:F9"/>
    </sheetView>
  </sheetViews>
  <sheetFormatPr defaultColWidth="20.140625" defaultRowHeight="15"/>
  <cols>
    <col min="1" max="1" width="20.140625" style="154" customWidth="1"/>
    <col min="2" max="2" width="23.421875" style="154" bestFit="1" customWidth="1"/>
    <col min="3" max="3" width="13.421875" style="154" bestFit="1" customWidth="1"/>
    <col min="4" max="4" width="10.8515625" style="154" bestFit="1" customWidth="1"/>
    <col min="5" max="5" width="16.28125" style="154" bestFit="1" customWidth="1"/>
    <col min="6" max="6" width="17.7109375" style="154" bestFit="1" customWidth="1"/>
    <col min="7" max="16384" width="20.140625" style="154" customWidth="1"/>
  </cols>
  <sheetData>
    <row r="2" ht="12">
      <c r="B2" s="278" t="s">
        <v>812</v>
      </c>
    </row>
    <row r="5" spans="2:6" ht="12">
      <c r="B5" s="201" t="s">
        <v>243</v>
      </c>
      <c r="C5" s="201" t="s">
        <v>322</v>
      </c>
      <c r="D5" s="201" t="s">
        <v>323</v>
      </c>
      <c r="E5" s="201" t="s">
        <v>324</v>
      </c>
      <c r="F5" s="201" t="s">
        <v>325</v>
      </c>
    </row>
    <row r="6" spans="2:8" ht="12">
      <c r="B6" s="173" t="s">
        <v>239</v>
      </c>
      <c r="C6" s="194">
        <v>6267845.310291325</v>
      </c>
      <c r="D6" s="194">
        <v>24478570.689708676</v>
      </c>
      <c r="E6" s="270">
        <v>13459234</v>
      </c>
      <c r="F6" s="194">
        <f>+'[2]Sheet1'!$O$216</f>
        <v>17287182</v>
      </c>
      <c r="G6" s="156"/>
      <c r="H6" s="266"/>
    </row>
    <row r="7" spans="2:8" ht="12">
      <c r="B7" s="173" t="s">
        <v>238</v>
      </c>
      <c r="C7" s="194">
        <v>238013955.37968212</v>
      </c>
      <c r="D7" s="194">
        <v>0</v>
      </c>
      <c r="E7" s="270">
        <f>+C7</f>
        <v>238013955.37968212</v>
      </c>
      <c r="F7" s="194">
        <v>0</v>
      </c>
      <c r="G7" s="286"/>
      <c r="H7" s="213"/>
    </row>
    <row r="8" spans="2:8" ht="12">
      <c r="B8" s="271" t="s">
        <v>767</v>
      </c>
      <c r="C8" s="203">
        <f>SUM(C6:C7)</f>
        <v>244281800.68997344</v>
      </c>
      <c r="D8" s="203">
        <f>SUM(D6:D7)</f>
        <v>24478570.689708676</v>
      </c>
      <c r="E8" s="287">
        <f>SUM(E6:E7)</f>
        <v>251473189.37968212</v>
      </c>
      <c r="F8" s="203">
        <f>SUM(F6:F7)</f>
        <v>17287182</v>
      </c>
      <c r="G8" s="266"/>
      <c r="H8" s="266"/>
    </row>
    <row r="9" spans="2:7" ht="12">
      <c r="B9" s="271" t="s">
        <v>790</v>
      </c>
      <c r="C9" s="203">
        <v>257368123</v>
      </c>
      <c r="D9" s="203">
        <v>0</v>
      </c>
      <c r="E9" s="203">
        <v>13086322.310026553</v>
      </c>
      <c r="F9" s="203">
        <v>244281800.68997344</v>
      </c>
      <c r="G9" s="26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99FF"/>
  </sheetPr>
  <dimension ref="B3:N26"/>
  <sheetViews>
    <sheetView showGridLines="0" zoomScalePageLayoutView="0" workbookViewId="0" topLeftCell="A1">
      <selection activeCell="B4" sqref="B4"/>
    </sheetView>
  </sheetViews>
  <sheetFormatPr defaultColWidth="11.421875" defaultRowHeight="15"/>
  <cols>
    <col min="1" max="1" width="6.28125" style="154" customWidth="1"/>
    <col min="2" max="2" width="29.421875" style="154" customWidth="1"/>
    <col min="3" max="3" width="41.28125" style="154" customWidth="1"/>
    <col min="4" max="4" width="22.00390625" style="154" customWidth="1"/>
    <col min="5" max="5" width="11.421875" style="154" customWidth="1"/>
    <col min="6" max="7" width="13.421875" style="154" bestFit="1" customWidth="1"/>
    <col min="8" max="8" width="12.00390625" style="154" bestFit="1" customWidth="1"/>
    <col min="9" max="16384" width="11.421875" style="154" customWidth="1"/>
  </cols>
  <sheetData>
    <row r="3" ht="12">
      <c r="B3" s="288" t="s">
        <v>334</v>
      </c>
    </row>
    <row r="5" spans="2:4" ht="12">
      <c r="B5" s="52" t="s">
        <v>326</v>
      </c>
      <c r="C5" s="52" t="s">
        <v>243</v>
      </c>
      <c r="D5" s="289" t="s">
        <v>769</v>
      </c>
    </row>
    <row r="6" spans="2:4" ht="12">
      <c r="B6" s="284" t="s">
        <v>327</v>
      </c>
      <c r="C6" s="472" t="s">
        <v>328</v>
      </c>
      <c r="D6" s="290">
        <v>0</v>
      </c>
    </row>
    <row r="7" spans="2:4" ht="12">
      <c r="B7" s="284" t="s">
        <v>329</v>
      </c>
      <c r="C7" s="472" t="s">
        <v>330</v>
      </c>
      <c r="D7" s="291">
        <f>+'[2]Sheet1'!$O$247+'[2]Sheet1'!$O$248</f>
        <v>52146440</v>
      </c>
    </row>
    <row r="8" spans="2:4" ht="12">
      <c r="B8" s="284" t="s">
        <v>331</v>
      </c>
      <c r="C8" s="472" t="s">
        <v>332</v>
      </c>
      <c r="D8" s="291">
        <v>451630228</v>
      </c>
    </row>
    <row r="9" spans="2:4" ht="12">
      <c r="B9" s="284" t="s">
        <v>104</v>
      </c>
      <c r="C9" s="472" t="s">
        <v>104</v>
      </c>
      <c r="D9" s="291">
        <v>9923055</v>
      </c>
    </row>
    <row r="10" spans="2:4" ht="12">
      <c r="B10" s="284" t="s">
        <v>333</v>
      </c>
      <c r="C10" s="472" t="s">
        <v>333</v>
      </c>
      <c r="D10" s="291">
        <v>48280383</v>
      </c>
    </row>
    <row r="11" spans="2:6" ht="12">
      <c r="B11" s="271" t="s">
        <v>767</v>
      </c>
      <c r="C11" s="271"/>
      <c r="D11" s="292">
        <f>SUM(D6:D10)</f>
        <v>561980106</v>
      </c>
      <c r="E11" s="266"/>
      <c r="F11" s="266"/>
    </row>
    <row r="12" spans="2:5" ht="12">
      <c r="B12" s="271" t="s">
        <v>790</v>
      </c>
      <c r="C12" s="292"/>
      <c r="D12" s="292">
        <v>512850698</v>
      </c>
      <c r="E12" s="266"/>
    </row>
    <row r="16" spans="7:14" ht="12">
      <c r="G16" s="155"/>
      <c r="K16" s="154" t="s">
        <v>701</v>
      </c>
      <c r="N16" s="154" t="s">
        <v>701</v>
      </c>
    </row>
    <row r="17" spans="7:14" ht="12">
      <c r="G17" s="155"/>
      <c r="K17" s="154" t="s">
        <v>701</v>
      </c>
      <c r="N17" s="154" t="s">
        <v>701</v>
      </c>
    </row>
    <row r="18" spans="7:14" ht="12">
      <c r="G18" s="155"/>
      <c r="K18" s="154" t="s">
        <v>701</v>
      </c>
      <c r="N18" s="154" t="s">
        <v>701</v>
      </c>
    </row>
    <row r="19" spans="7:14" ht="12">
      <c r="G19" s="155"/>
      <c r="K19" s="154" t="s">
        <v>701</v>
      </c>
      <c r="N19" s="154" t="s">
        <v>701</v>
      </c>
    </row>
    <row r="20" spans="7:14" ht="12">
      <c r="G20" s="155"/>
      <c r="H20" s="156"/>
      <c r="K20" s="154" t="s">
        <v>701</v>
      </c>
      <c r="N20" s="154" t="s">
        <v>701</v>
      </c>
    </row>
    <row r="21" spans="7:14" ht="12">
      <c r="G21" s="155"/>
      <c r="K21" s="154" t="s">
        <v>701</v>
      </c>
      <c r="N21" s="154" t="s">
        <v>701</v>
      </c>
    </row>
    <row r="22" spans="7:14" ht="12">
      <c r="G22" s="155"/>
      <c r="H22" s="156"/>
      <c r="K22" s="154" t="s">
        <v>701</v>
      </c>
      <c r="N22" s="154" t="s">
        <v>701</v>
      </c>
    </row>
    <row r="23" spans="7:14" ht="12">
      <c r="G23" s="155"/>
      <c r="K23" s="154" t="s">
        <v>701</v>
      </c>
      <c r="N23" s="154" t="s">
        <v>701</v>
      </c>
    </row>
    <row r="24" spans="7:14" ht="12">
      <c r="G24" s="155"/>
      <c r="H24" s="156"/>
      <c r="K24" s="154" t="s">
        <v>701</v>
      </c>
      <c r="N24" s="154" t="s">
        <v>701</v>
      </c>
    </row>
    <row r="25" spans="7:14" ht="12">
      <c r="G25" s="155"/>
      <c r="K25" s="154" t="s">
        <v>701</v>
      </c>
      <c r="N25" s="154" t="s">
        <v>701</v>
      </c>
    </row>
    <row r="26" spans="7:14" ht="12">
      <c r="G26" s="155"/>
      <c r="H26" s="156"/>
      <c r="K26" s="154" t="s">
        <v>701</v>
      </c>
      <c r="N26" s="154" t="s">
        <v>701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B1:G10"/>
  <sheetViews>
    <sheetView showGridLines="0" zoomScalePageLayoutView="0" workbookViewId="0" topLeftCell="A1">
      <selection activeCell="B2" sqref="B2:F10"/>
    </sheetView>
  </sheetViews>
  <sheetFormatPr defaultColWidth="11.421875" defaultRowHeight="15"/>
  <cols>
    <col min="1" max="1" width="6.421875" style="154" customWidth="1"/>
    <col min="2" max="2" width="42.57421875" style="154" bestFit="1" customWidth="1"/>
    <col min="3" max="3" width="12.8515625" style="154" bestFit="1" customWidth="1"/>
    <col min="4" max="4" width="10.28125" style="154" bestFit="1" customWidth="1"/>
    <col min="5" max="5" width="15.7109375" style="154" bestFit="1" customWidth="1"/>
    <col min="6" max="6" width="16.7109375" style="154" bestFit="1" customWidth="1"/>
    <col min="7" max="7" width="8.140625" style="154" customWidth="1"/>
    <col min="8" max="16384" width="11.421875" style="154" customWidth="1"/>
  </cols>
  <sheetData>
    <row r="1" ht="12">
      <c r="B1" s="278" t="s">
        <v>813</v>
      </c>
    </row>
    <row r="3" spans="2:6" ht="12">
      <c r="B3" s="201" t="s">
        <v>243</v>
      </c>
      <c r="C3" s="201" t="s">
        <v>322</v>
      </c>
      <c r="D3" s="201" t="s">
        <v>323</v>
      </c>
      <c r="E3" s="201" t="s">
        <v>324</v>
      </c>
      <c r="F3" s="201" t="s">
        <v>325</v>
      </c>
    </row>
    <row r="4" spans="2:6" ht="12">
      <c r="B4" s="173" t="s">
        <v>241</v>
      </c>
      <c r="C4" s="293">
        <v>0</v>
      </c>
      <c r="D4" s="293">
        <v>0</v>
      </c>
      <c r="E4" s="293">
        <v>0</v>
      </c>
      <c r="F4" s="293">
        <f aca="true" t="shared" si="0" ref="F4:F9">+C4+D4-E4</f>
        <v>0</v>
      </c>
    </row>
    <row r="5" spans="2:6" ht="12">
      <c r="B5" s="173" t="s">
        <v>338</v>
      </c>
      <c r="C5" s="293">
        <v>0</v>
      </c>
      <c r="D5" s="293">
        <v>0</v>
      </c>
      <c r="E5" s="293">
        <v>0</v>
      </c>
      <c r="F5" s="293">
        <f t="shared" si="0"/>
        <v>0</v>
      </c>
    </row>
    <row r="6" spans="2:6" ht="12">
      <c r="B6" s="173" t="s">
        <v>337</v>
      </c>
      <c r="C6" s="293">
        <v>0</v>
      </c>
      <c r="D6" s="293">
        <v>0</v>
      </c>
      <c r="E6" s="293">
        <v>0</v>
      </c>
      <c r="F6" s="293">
        <f t="shared" si="0"/>
        <v>0</v>
      </c>
    </row>
    <row r="7" spans="2:6" ht="12">
      <c r="B7" s="173" t="s">
        <v>336</v>
      </c>
      <c r="C7" s="293">
        <v>0</v>
      </c>
      <c r="D7" s="293">
        <v>0</v>
      </c>
      <c r="E7" s="293">
        <v>0</v>
      </c>
      <c r="F7" s="293">
        <f t="shared" si="0"/>
        <v>0</v>
      </c>
    </row>
    <row r="8" spans="2:6" ht="12">
      <c r="B8" s="173" t="s">
        <v>335</v>
      </c>
      <c r="C8" s="293">
        <v>0</v>
      </c>
      <c r="D8" s="293">
        <v>0</v>
      </c>
      <c r="E8" s="293">
        <v>0</v>
      </c>
      <c r="F8" s="293">
        <f t="shared" si="0"/>
        <v>0</v>
      </c>
    </row>
    <row r="9" spans="2:7" ht="12">
      <c r="B9" s="271" t="s">
        <v>767</v>
      </c>
      <c r="C9" s="294">
        <f>SUM(C4:C8)</f>
        <v>0</v>
      </c>
      <c r="D9" s="294">
        <f>SUM(D4:D8)</f>
        <v>0</v>
      </c>
      <c r="E9" s="294">
        <f>SUM(E4:E8)</f>
        <v>0</v>
      </c>
      <c r="F9" s="294">
        <f t="shared" si="0"/>
        <v>0</v>
      </c>
      <c r="G9" s="295"/>
    </row>
    <row r="10" spans="2:7" ht="12">
      <c r="B10" s="271" t="s">
        <v>790</v>
      </c>
      <c r="C10" s="294">
        <v>0</v>
      </c>
      <c r="D10" s="294">
        <v>0</v>
      </c>
      <c r="E10" s="294">
        <v>0</v>
      </c>
      <c r="F10" s="294">
        <v>0</v>
      </c>
      <c r="G10" s="2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B3:E11"/>
  <sheetViews>
    <sheetView showGridLines="0" zoomScale="125" zoomScaleNormal="125" zoomScalePageLayoutView="0" workbookViewId="0" topLeftCell="A1">
      <selection activeCell="B5" sqref="B5:D11"/>
    </sheetView>
  </sheetViews>
  <sheetFormatPr defaultColWidth="11.421875" defaultRowHeight="15"/>
  <cols>
    <col min="1" max="1" width="11.421875" style="154" customWidth="1"/>
    <col min="2" max="2" width="47.8515625" style="154" bestFit="1" customWidth="1"/>
    <col min="3" max="3" width="16.7109375" style="154" bestFit="1" customWidth="1"/>
    <col min="4" max="4" width="16.421875" style="154" bestFit="1" customWidth="1"/>
    <col min="5" max="5" width="2.421875" style="154" bestFit="1" customWidth="1"/>
    <col min="6" max="16384" width="11.421875" style="154" customWidth="1"/>
  </cols>
  <sheetData>
    <row r="3" ht="12">
      <c r="B3" s="278" t="s">
        <v>814</v>
      </c>
    </row>
    <row r="5" spans="2:4" ht="12">
      <c r="B5" s="170" t="s">
        <v>339</v>
      </c>
      <c r="C5" s="170" t="s">
        <v>340</v>
      </c>
      <c r="D5" s="170" t="s">
        <v>341</v>
      </c>
    </row>
    <row r="6" spans="2:4" ht="12">
      <c r="B6" s="173" t="s">
        <v>342</v>
      </c>
      <c r="C6" s="194">
        <v>0</v>
      </c>
      <c r="D6" s="270">
        <v>0</v>
      </c>
    </row>
    <row r="7" spans="2:4" ht="12">
      <c r="B7" s="173" t="s">
        <v>343</v>
      </c>
      <c r="C7" s="194">
        <v>0</v>
      </c>
      <c r="D7" s="270">
        <v>0</v>
      </c>
    </row>
    <row r="8" spans="2:4" ht="12">
      <c r="B8" s="173" t="s">
        <v>344</v>
      </c>
      <c r="C8" s="194">
        <f>+'[2]Balance Gral. Resol. 6'!$G$16</f>
        <v>1774865256</v>
      </c>
      <c r="D8" s="270">
        <v>0</v>
      </c>
    </row>
    <row r="9" spans="2:4" ht="12">
      <c r="B9" s="173" t="s">
        <v>28</v>
      </c>
      <c r="C9" s="194">
        <v>10849315</v>
      </c>
      <c r="D9" s="270">
        <v>0</v>
      </c>
    </row>
    <row r="10" spans="2:5" ht="12">
      <c r="B10" s="271" t="s">
        <v>767</v>
      </c>
      <c r="C10" s="196">
        <f>SUM(C6:C9)</f>
        <v>1785714571</v>
      </c>
      <c r="D10" s="290">
        <v>0</v>
      </c>
      <c r="E10" s="155"/>
    </row>
    <row r="11" spans="2:5" ht="12">
      <c r="B11" s="271" t="s">
        <v>790</v>
      </c>
      <c r="C11" s="196">
        <v>8885334920</v>
      </c>
      <c r="D11" s="290">
        <v>0</v>
      </c>
      <c r="E11" s="15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C1:I10"/>
  <sheetViews>
    <sheetView showGridLines="0" zoomScale="112" zoomScaleNormal="112" zoomScalePageLayoutView="0" workbookViewId="0" topLeftCell="A1">
      <selection activeCell="C4" sqref="C4:E9"/>
    </sheetView>
  </sheetViews>
  <sheetFormatPr defaultColWidth="11.421875" defaultRowHeight="15"/>
  <cols>
    <col min="1" max="1" width="11.421875" style="154" customWidth="1"/>
    <col min="2" max="2" width="6.140625" style="154" customWidth="1"/>
    <col min="3" max="3" width="28.00390625" style="154" bestFit="1" customWidth="1"/>
    <col min="4" max="4" width="15.00390625" style="154" customWidth="1"/>
    <col min="5" max="5" width="15.00390625" style="281" customWidth="1"/>
    <col min="6" max="6" width="13.421875" style="154" customWidth="1"/>
    <col min="7" max="7" width="14.00390625" style="154" customWidth="1"/>
    <col min="8" max="8" width="23.28125" style="154" customWidth="1"/>
    <col min="9" max="10" width="14.28125" style="154" customWidth="1"/>
    <col min="11" max="16384" width="11.421875" style="154" customWidth="1"/>
  </cols>
  <sheetData>
    <row r="1" ht="12">
      <c r="D1" s="166" t="s">
        <v>464</v>
      </c>
    </row>
    <row r="2" ht="12">
      <c r="C2" s="278" t="s">
        <v>815</v>
      </c>
    </row>
    <row r="4" spans="3:5" ht="34.5" customHeight="1">
      <c r="C4" s="170" t="s">
        <v>243</v>
      </c>
      <c r="D4" s="296" t="s">
        <v>340</v>
      </c>
      <c r="E4" s="296" t="s">
        <v>341</v>
      </c>
    </row>
    <row r="5" spans="3:9" ht="12">
      <c r="C5" s="173" t="s">
        <v>463</v>
      </c>
      <c r="D5" s="194">
        <f>+'[2]Sheet1'!$O$265+'[2]Sheet1'!$O$303+'[2]Sheet1'!$O$305+'[2]Sheet1'!$O$310+'[2]Sheet1'!$O$312</f>
        <v>270980606</v>
      </c>
      <c r="E5" s="194"/>
      <c r="I5" s="297"/>
    </row>
    <row r="6" spans="3:9" ht="12">
      <c r="C6" s="173" t="s">
        <v>742</v>
      </c>
      <c r="D6" s="194">
        <f>+'[2]Sheet1'!$O$314</f>
        <v>9489367847</v>
      </c>
      <c r="E6" s="194">
        <v>0</v>
      </c>
      <c r="I6" s="297"/>
    </row>
    <row r="7" spans="3:9" ht="12">
      <c r="C7" s="173" t="s">
        <v>465</v>
      </c>
      <c r="D7" s="194">
        <v>0</v>
      </c>
      <c r="E7" s="194">
        <v>0</v>
      </c>
      <c r="I7" s="297"/>
    </row>
    <row r="8" spans="3:6" ht="12">
      <c r="C8" s="271" t="s">
        <v>767</v>
      </c>
      <c r="D8" s="203">
        <f>SUM(D5:D7)</f>
        <v>9760348453</v>
      </c>
      <c r="E8" s="194">
        <v>0</v>
      </c>
      <c r="F8" s="155">
        <v>0</v>
      </c>
    </row>
    <row r="9" spans="3:6" ht="12">
      <c r="C9" s="271" t="s">
        <v>790</v>
      </c>
      <c r="D9" s="203">
        <v>146099615</v>
      </c>
      <c r="E9" s="203">
        <v>0</v>
      </c>
      <c r="F9" s="155">
        <v>9</v>
      </c>
    </row>
    <row r="10" ht="12">
      <c r="D10" s="281"/>
    </row>
  </sheetData>
  <sheetProtection/>
  <hyperlinks>
    <hyperlink ref="D1" location="'Balance Gral. Resol. 1'!A1" display="'Balance Gral.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B1:D32"/>
  <sheetViews>
    <sheetView showGridLines="0" zoomScale="125" zoomScaleNormal="125" zoomScalePageLayoutView="0" workbookViewId="0" topLeftCell="A22">
      <selection activeCell="B27" sqref="B27:D32"/>
    </sheetView>
  </sheetViews>
  <sheetFormatPr defaultColWidth="11.421875" defaultRowHeight="15"/>
  <cols>
    <col min="1" max="1" width="11.421875" style="300" customWidth="1"/>
    <col min="2" max="2" width="47.140625" style="300" customWidth="1"/>
    <col min="3" max="3" width="21.57421875" style="300" bestFit="1" customWidth="1"/>
    <col min="4" max="4" width="16.57421875" style="300" bestFit="1" customWidth="1"/>
    <col min="5" max="16384" width="11.421875" style="300" customWidth="1"/>
  </cols>
  <sheetData>
    <row r="1" ht="12">
      <c r="C1" s="301" t="s">
        <v>464</v>
      </c>
    </row>
    <row r="2" ht="12">
      <c r="B2" s="302" t="s">
        <v>816</v>
      </c>
    </row>
    <row r="4" spans="2:4" ht="12">
      <c r="B4" s="289" t="s">
        <v>243</v>
      </c>
      <c r="C4" s="289" t="s">
        <v>345</v>
      </c>
      <c r="D4" s="289" t="s">
        <v>346</v>
      </c>
    </row>
    <row r="5" spans="2:4" ht="12">
      <c r="B5" s="303" t="s">
        <v>347</v>
      </c>
      <c r="C5" s="304">
        <f>+'[2]Balance Gral. Resol. 6'!$G$9</f>
        <v>2433369571</v>
      </c>
      <c r="D5" s="305">
        <v>0</v>
      </c>
    </row>
    <row r="6" spans="2:4" ht="12">
      <c r="B6" s="306" t="s">
        <v>767</v>
      </c>
      <c r="C6" s="307">
        <f>SUM(C5:C5)</f>
        <v>2433369571</v>
      </c>
      <c r="D6" s="305">
        <v>0</v>
      </c>
    </row>
    <row r="7" spans="2:4" ht="12">
      <c r="B7" s="306" t="s">
        <v>790</v>
      </c>
      <c r="C7" s="308">
        <v>6268600423</v>
      </c>
      <c r="D7" s="305">
        <v>0</v>
      </c>
    </row>
    <row r="9" ht="12">
      <c r="B9" s="302" t="s">
        <v>817</v>
      </c>
    </row>
    <row r="10" ht="24">
      <c r="B10" s="309" t="s">
        <v>348</v>
      </c>
    </row>
    <row r="11" ht="12">
      <c r="B11" s="309"/>
    </row>
    <row r="12" ht="24">
      <c r="B12" s="302" t="s">
        <v>818</v>
      </c>
    </row>
    <row r="13" ht="12">
      <c r="B13" s="302"/>
    </row>
    <row r="14" spans="2:4" ht="12">
      <c r="B14" s="289" t="s">
        <v>243</v>
      </c>
      <c r="C14" s="289" t="s">
        <v>345</v>
      </c>
      <c r="D14" s="289" t="s">
        <v>346</v>
      </c>
    </row>
    <row r="15" spans="2:4" ht="12">
      <c r="B15" s="303" t="s">
        <v>800</v>
      </c>
      <c r="C15" s="304">
        <v>10000000</v>
      </c>
      <c r="D15" s="305">
        <v>0</v>
      </c>
    </row>
    <row r="16" spans="2:4" ht="12">
      <c r="B16" s="303" t="s">
        <v>801</v>
      </c>
      <c r="C16" s="304">
        <v>366491</v>
      </c>
      <c r="D16" s="305">
        <v>0</v>
      </c>
    </row>
    <row r="17" spans="2:4" ht="12">
      <c r="B17" s="303" t="s">
        <v>802</v>
      </c>
      <c r="C17" s="304">
        <v>20737150</v>
      </c>
      <c r="D17" s="305">
        <v>0</v>
      </c>
    </row>
    <row r="18" spans="2:4" ht="12">
      <c r="B18" s="303" t="s">
        <v>803</v>
      </c>
      <c r="C18" s="304">
        <v>960000091</v>
      </c>
      <c r="D18" s="305">
        <v>0</v>
      </c>
    </row>
    <row r="19" spans="2:4" ht="12">
      <c r="B19" s="306" t="str">
        <f>+B6</f>
        <v>Total al 30/06/2020</v>
      </c>
      <c r="C19" s="307">
        <f>SUM(C15:C18)</f>
        <v>991103732</v>
      </c>
      <c r="D19" s="305">
        <v>0</v>
      </c>
    </row>
    <row r="20" spans="2:4" ht="12">
      <c r="B20" s="306" t="s">
        <v>790</v>
      </c>
      <c r="C20" s="308">
        <v>167483137</v>
      </c>
      <c r="D20" s="305">
        <v>0</v>
      </c>
    </row>
    <row r="21" spans="2:4" ht="12">
      <c r="B21" s="310"/>
      <c r="C21" s="311"/>
      <c r="D21" s="312"/>
    </row>
    <row r="22" ht="24">
      <c r="B22" s="302" t="s">
        <v>819</v>
      </c>
    </row>
    <row r="23" ht="12">
      <c r="B23" s="309" t="s">
        <v>349</v>
      </c>
    </row>
    <row r="25" ht="12">
      <c r="B25" s="302" t="s">
        <v>820</v>
      </c>
    </row>
    <row r="27" spans="2:4" ht="12">
      <c r="B27" s="52" t="s">
        <v>243</v>
      </c>
      <c r="C27" s="296" t="s">
        <v>350</v>
      </c>
      <c r="D27" s="296" t="s">
        <v>351</v>
      </c>
    </row>
    <row r="28" spans="2:4" ht="12">
      <c r="B28" s="313" t="s">
        <v>352</v>
      </c>
      <c r="C28" s="314">
        <f>+'[2]Balance Gral. Resol. 6'!$G$24</f>
        <v>79574279</v>
      </c>
      <c r="D28" s="315">
        <v>0</v>
      </c>
    </row>
    <row r="29" spans="2:4" ht="12">
      <c r="B29" s="313" t="s">
        <v>670</v>
      </c>
      <c r="C29" s="316">
        <f>+'[2]Balance Gral. Resol. 6'!$G$25</f>
        <v>1995482</v>
      </c>
      <c r="D29" s="315">
        <v>0</v>
      </c>
    </row>
    <row r="30" spans="2:4" ht="12">
      <c r="B30" s="313" t="s">
        <v>242</v>
      </c>
      <c r="C30" s="317">
        <v>0</v>
      </c>
      <c r="D30" s="315">
        <v>0</v>
      </c>
    </row>
    <row r="31" spans="2:4" ht="12">
      <c r="B31" s="306" t="str">
        <f>+B19</f>
        <v>Total al 30/06/2020</v>
      </c>
      <c r="C31" s="307">
        <f>SUM(C28:C30)</f>
        <v>81569761</v>
      </c>
      <c r="D31" s="315">
        <v>0</v>
      </c>
    </row>
    <row r="32" spans="2:4" ht="12">
      <c r="B32" s="306" t="s">
        <v>790</v>
      </c>
      <c r="C32" s="318">
        <v>213536289</v>
      </c>
      <c r="D32" s="315">
        <v>0</v>
      </c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B1:H37"/>
  <sheetViews>
    <sheetView showGridLines="0" zoomScale="106" zoomScaleNormal="106" zoomScalePageLayoutView="0" workbookViewId="0" topLeftCell="A8">
      <selection activeCell="B7" sqref="B7:F31"/>
    </sheetView>
  </sheetViews>
  <sheetFormatPr defaultColWidth="11.421875" defaultRowHeight="15"/>
  <cols>
    <col min="1" max="1" width="11.421875" style="300" customWidth="1"/>
    <col min="2" max="2" width="37.7109375" style="300" customWidth="1"/>
    <col min="3" max="3" width="27.00390625" style="300" bestFit="1" customWidth="1"/>
    <col min="4" max="4" width="23.28125" style="300" bestFit="1" customWidth="1"/>
    <col min="5" max="5" width="17.00390625" style="320" customWidth="1"/>
    <col min="6" max="6" width="14.140625" style="320" bestFit="1" customWidth="1"/>
    <col min="7" max="7" width="14.28125" style="300" bestFit="1" customWidth="1"/>
    <col min="8" max="8" width="14.00390625" style="321" bestFit="1" customWidth="1"/>
    <col min="9" max="16384" width="11.421875" style="300" customWidth="1"/>
  </cols>
  <sheetData>
    <row r="1" ht="12">
      <c r="C1" s="301" t="s">
        <v>464</v>
      </c>
    </row>
    <row r="4" ht="36">
      <c r="B4" s="322" t="s">
        <v>821</v>
      </c>
    </row>
    <row r="5" ht="12.75" thickBot="1"/>
    <row r="6" spans="2:6" ht="35.25" customHeight="1" thickBot="1">
      <c r="B6" s="323"/>
      <c r="C6" s="324"/>
      <c r="D6" s="325"/>
      <c r="E6" s="506" t="s">
        <v>361</v>
      </c>
      <c r="F6" s="507"/>
    </row>
    <row r="7" spans="2:6" ht="24">
      <c r="B7" s="326" t="s">
        <v>355</v>
      </c>
      <c r="C7" s="326" t="s">
        <v>354</v>
      </c>
      <c r="D7" s="326" t="s">
        <v>353</v>
      </c>
      <c r="E7" s="319" t="s">
        <v>769</v>
      </c>
      <c r="F7" s="319" t="s">
        <v>770</v>
      </c>
    </row>
    <row r="8" spans="2:6" ht="12">
      <c r="B8" s="327" t="s">
        <v>702</v>
      </c>
      <c r="C8" s="327" t="s">
        <v>357</v>
      </c>
      <c r="D8" s="327" t="s">
        <v>356</v>
      </c>
      <c r="E8" s="328">
        <v>80586511</v>
      </c>
      <c r="F8" s="328">
        <f>28575635+54263047</f>
        <v>82838682</v>
      </c>
    </row>
    <row r="9" spans="2:6" ht="24">
      <c r="B9" s="327" t="s">
        <v>703</v>
      </c>
      <c r="C9" s="327" t="s">
        <v>358</v>
      </c>
      <c r="D9" s="327" t="s">
        <v>356</v>
      </c>
      <c r="E9" s="328">
        <v>7889773</v>
      </c>
      <c r="F9" s="328">
        <v>8891713</v>
      </c>
    </row>
    <row r="10" spans="2:6" ht="12">
      <c r="B10" s="327" t="s">
        <v>705</v>
      </c>
      <c r="C10" s="327" t="s">
        <v>357</v>
      </c>
      <c r="D10" s="327" t="s">
        <v>356</v>
      </c>
      <c r="E10" s="328">
        <v>2724876</v>
      </c>
      <c r="F10" s="328">
        <f>2706202+1000000</f>
        <v>3706202</v>
      </c>
    </row>
    <row r="11" spans="2:6" ht="12">
      <c r="B11" s="327" t="s">
        <v>279</v>
      </c>
      <c r="C11" s="327" t="s">
        <v>357</v>
      </c>
      <c r="D11" s="327" t="s">
        <v>356</v>
      </c>
      <c r="E11" s="328">
        <v>213127213</v>
      </c>
      <c r="F11" s="328">
        <v>2200000</v>
      </c>
    </row>
    <row r="12" spans="2:6" ht="12">
      <c r="B12" s="327" t="s">
        <v>706</v>
      </c>
      <c r="C12" s="327" t="s">
        <v>360</v>
      </c>
      <c r="D12" s="327" t="s">
        <v>356</v>
      </c>
      <c r="E12" s="328">
        <v>140686646</v>
      </c>
      <c r="F12" s="328">
        <f>+E12</f>
        <v>140686646</v>
      </c>
    </row>
    <row r="13" spans="2:6" ht="12">
      <c r="B13" s="327" t="s">
        <v>707</v>
      </c>
      <c r="C13" s="327" t="s">
        <v>357</v>
      </c>
      <c r="D13" s="327" t="s">
        <v>708</v>
      </c>
      <c r="E13" s="328">
        <v>111599400</v>
      </c>
      <c r="F13" s="328">
        <f>+E13</f>
        <v>111599400</v>
      </c>
    </row>
    <row r="14" spans="2:6" ht="12">
      <c r="B14" s="327" t="s">
        <v>709</v>
      </c>
      <c r="C14" s="327" t="s">
        <v>358</v>
      </c>
      <c r="D14" s="327" t="s">
        <v>356</v>
      </c>
      <c r="E14" s="328">
        <v>202179697</v>
      </c>
      <c r="F14" s="328">
        <v>1460500</v>
      </c>
    </row>
    <row r="15" spans="2:6" ht="12">
      <c r="B15" s="327" t="s">
        <v>710</v>
      </c>
      <c r="C15" s="327" t="s">
        <v>359</v>
      </c>
      <c r="D15" s="327" t="s">
        <v>711</v>
      </c>
      <c r="E15" s="328">
        <v>0</v>
      </c>
      <c r="F15" s="328">
        <v>3500001</v>
      </c>
    </row>
    <row r="16" spans="2:6" ht="12">
      <c r="B16" s="327" t="s">
        <v>712</v>
      </c>
      <c r="C16" s="327" t="s">
        <v>359</v>
      </c>
      <c r="D16" s="327" t="s">
        <v>356</v>
      </c>
      <c r="E16" s="328">
        <v>0</v>
      </c>
      <c r="F16" s="328">
        <v>681920</v>
      </c>
    </row>
    <row r="17" spans="2:6" ht="12">
      <c r="B17" s="327" t="s">
        <v>714</v>
      </c>
      <c r="C17" s="327" t="s">
        <v>359</v>
      </c>
      <c r="D17" s="327" t="s">
        <v>711</v>
      </c>
      <c r="E17" s="328">
        <v>0</v>
      </c>
      <c r="F17" s="328">
        <v>3160</v>
      </c>
    </row>
    <row r="18" spans="2:6" ht="12">
      <c r="B18" s="327" t="s">
        <v>715</v>
      </c>
      <c r="C18" s="327" t="s">
        <v>357</v>
      </c>
      <c r="D18" s="327" t="s">
        <v>708</v>
      </c>
      <c r="E18" s="328">
        <v>49151512</v>
      </c>
      <c r="F18" s="328">
        <v>0</v>
      </c>
    </row>
    <row r="19" spans="2:6" ht="12">
      <c r="B19" s="327" t="s">
        <v>716</v>
      </c>
      <c r="C19" s="327" t="s">
        <v>357</v>
      </c>
      <c r="D19" s="327" t="s">
        <v>708</v>
      </c>
      <c r="E19" s="328">
        <v>0</v>
      </c>
      <c r="F19" s="328">
        <v>5830228</v>
      </c>
    </row>
    <row r="20" spans="2:6" ht="12">
      <c r="B20" s="327" t="s">
        <v>717</v>
      </c>
      <c r="C20" s="327" t="s">
        <v>357</v>
      </c>
      <c r="D20" s="327" t="s">
        <v>708</v>
      </c>
      <c r="E20" s="328">
        <v>0</v>
      </c>
      <c r="F20" s="328">
        <v>124200</v>
      </c>
    </row>
    <row r="21" spans="2:6" ht="12">
      <c r="B21" s="327" t="s">
        <v>718</v>
      </c>
      <c r="C21" s="327" t="s">
        <v>357</v>
      </c>
      <c r="D21" s="327" t="s">
        <v>708</v>
      </c>
      <c r="E21" s="328">
        <v>0</v>
      </c>
      <c r="F21" s="328">
        <v>3235000</v>
      </c>
    </row>
    <row r="22" spans="2:6" ht="12">
      <c r="B22" s="327" t="s">
        <v>719</v>
      </c>
      <c r="C22" s="327" t="s">
        <v>358</v>
      </c>
      <c r="D22" s="327" t="s">
        <v>356</v>
      </c>
      <c r="E22" s="328">
        <v>5326230</v>
      </c>
      <c r="F22" s="328">
        <f>+E22</f>
        <v>5326230</v>
      </c>
    </row>
    <row r="23" spans="2:6" ht="12">
      <c r="B23" s="327" t="s">
        <v>720</v>
      </c>
      <c r="C23" s="327" t="s">
        <v>357</v>
      </c>
      <c r="D23" s="327" t="s">
        <v>356</v>
      </c>
      <c r="E23" s="328">
        <v>59860685</v>
      </c>
      <c r="F23" s="328">
        <f>+E23</f>
        <v>59860685</v>
      </c>
    </row>
    <row r="24" spans="2:6" ht="12">
      <c r="B24" s="313" t="s">
        <v>721</v>
      </c>
      <c r="C24" s="327" t="s">
        <v>357</v>
      </c>
      <c r="D24" s="327" t="s">
        <v>356</v>
      </c>
      <c r="E24" s="328">
        <v>0</v>
      </c>
      <c r="F24" s="328">
        <v>27720000</v>
      </c>
    </row>
    <row r="25" spans="2:6" ht="12">
      <c r="B25" s="313" t="s">
        <v>722</v>
      </c>
      <c r="C25" s="313" t="s">
        <v>357</v>
      </c>
      <c r="D25" s="327" t="s">
        <v>356</v>
      </c>
      <c r="E25" s="328">
        <v>383885389</v>
      </c>
      <c r="F25" s="328">
        <v>32958876</v>
      </c>
    </row>
    <row r="26" spans="2:6" ht="12">
      <c r="B26" s="327" t="s">
        <v>713</v>
      </c>
      <c r="C26" s="327" t="s">
        <v>358</v>
      </c>
      <c r="D26" s="327" t="s">
        <v>356</v>
      </c>
      <c r="E26" s="328">
        <v>228297129</v>
      </c>
      <c r="F26" s="328">
        <v>19900000</v>
      </c>
    </row>
    <row r="27" spans="2:6" ht="12">
      <c r="B27" s="329" t="s">
        <v>735</v>
      </c>
      <c r="C27" s="327" t="s">
        <v>359</v>
      </c>
      <c r="D27" s="327" t="s">
        <v>356</v>
      </c>
      <c r="E27" s="328">
        <v>46187430</v>
      </c>
      <c r="F27" s="328">
        <v>0</v>
      </c>
    </row>
    <row r="28" spans="2:6" ht="12">
      <c r="B28" s="329" t="s">
        <v>736</v>
      </c>
      <c r="C28" s="327" t="s">
        <v>359</v>
      </c>
      <c r="D28" s="327" t="s">
        <v>356</v>
      </c>
      <c r="E28" s="328">
        <v>10939636</v>
      </c>
      <c r="F28" s="328">
        <v>0</v>
      </c>
    </row>
    <row r="29" spans="2:7" ht="12">
      <c r="B29" s="329" t="s">
        <v>704</v>
      </c>
      <c r="C29" s="327" t="s">
        <v>358</v>
      </c>
      <c r="D29" s="327" t="s">
        <v>356</v>
      </c>
      <c r="E29" s="328">
        <v>189437448</v>
      </c>
      <c r="F29" s="328">
        <v>284198</v>
      </c>
      <c r="G29" s="321"/>
    </row>
    <row r="30" spans="2:6" ht="12">
      <c r="B30" s="306" t="s">
        <v>767</v>
      </c>
      <c r="C30" s="192"/>
      <c r="D30" s="192"/>
      <c r="E30" s="330">
        <f>SUM(E8:E29)</f>
        <v>1731879575</v>
      </c>
      <c r="F30" s="330"/>
    </row>
    <row r="31" spans="2:6" ht="12">
      <c r="B31" s="306" t="s">
        <v>790</v>
      </c>
      <c r="C31" s="192"/>
      <c r="D31" s="192"/>
      <c r="E31" s="330"/>
      <c r="F31" s="330">
        <f>SUM(F8:F30)</f>
        <v>510807641</v>
      </c>
    </row>
    <row r="34" spans="2:7" ht="24">
      <c r="B34" s="52" t="s">
        <v>355</v>
      </c>
      <c r="C34" s="296" t="s">
        <v>354</v>
      </c>
      <c r="D34" s="296" t="s">
        <v>353</v>
      </c>
      <c r="E34" s="296" t="s">
        <v>466</v>
      </c>
      <c r="F34" s="296" t="s">
        <v>300</v>
      </c>
      <c r="G34" s="296" t="s">
        <v>467</v>
      </c>
    </row>
    <row r="35" spans="2:7" ht="12">
      <c r="B35" s="313" t="s">
        <v>468</v>
      </c>
      <c r="C35" s="331" t="s">
        <v>469</v>
      </c>
      <c r="D35" s="331" t="s">
        <v>470</v>
      </c>
      <c r="E35" s="305">
        <v>0</v>
      </c>
      <c r="F35" s="332"/>
      <c r="G35" s="314">
        <v>0</v>
      </c>
    </row>
    <row r="36" spans="2:7" ht="12">
      <c r="B36" s="306" t="str">
        <f>+B30</f>
        <v>Total al 30/06/2020</v>
      </c>
      <c r="C36" s="305">
        <v>0</v>
      </c>
      <c r="D36" s="305">
        <v>0</v>
      </c>
      <c r="E36" s="305">
        <v>0</v>
      </c>
      <c r="F36" s="305">
        <v>0</v>
      </c>
      <c r="G36" s="307">
        <v>0</v>
      </c>
    </row>
    <row r="37" spans="2:8" ht="12">
      <c r="B37" s="306" t="str">
        <f>+B31</f>
        <v>Total al 31/12/2019</v>
      </c>
      <c r="C37" s="305">
        <v>0</v>
      </c>
      <c r="D37" s="305">
        <v>0</v>
      </c>
      <c r="E37" s="305">
        <v>0</v>
      </c>
      <c r="F37" s="305">
        <v>0</v>
      </c>
      <c r="G37" s="307">
        <v>0</v>
      </c>
      <c r="H37" s="321">
        <v>0</v>
      </c>
    </row>
  </sheetData>
  <sheetProtection/>
  <mergeCells count="1">
    <mergeCell ref="E6:F6"/>
  </mergeCells>
  <hyperlinks>
    <hyperlink ref="C1" location="'Balance Gral. Resol. 1'!A1" display="'Balance Gral. Resol. 1'!A1"/>
  </hyperlinks>
  <printOptions/>
  <pageMargins left="0.7" right="0.7" top="0.75" bottom="0.75" header="0.3" footer="0.3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B1:O23"/>
  <sheetViews>
    <sheetView showGridLines="0" zoomScalePageLayoutView="0" workbookViewId="0" topLeftCell="A1">
      <selection activeCell="B4" sqref="B4:D13"/>
    </sheetView>
  </sheetViews>
  <sheetFormatPr defaultColWidth="11.421875" defaultRowHeight="15"/>
  <cols>
    <col min="1" max="1" width="11.421875" style="154" customWidth="1"/>
    <col min="2" max="2" width="50.8515625" style="154" bestFit="1" customWidth="1"/>
    <col min="3" max="3" width="13.00390625" style="155" bestFit="1" customWidth="1"/>
    <col min="4" max="4" width="12.140625" style="154" bestFit="1" customWidth="1"/>
    <col min="5" max="5" width="11.421875" style="154" customWidth="1"/>
    <col min="6" max="6" width="12.00390625" style="154" bestFit="1" customWidth="1"/>
    <col min="7" max="8" width="11.421875" style="154" customWidth="1"/>
    <col min="9" max="9" width="12.421875" style="154" bestFit="1" customWidth="1"/>
    <col min="10" max="16384" width="11.421875" style="154" customWidth="1"/>
  </cols>
  <sheetData>
    <row r="1" ht="12">
      <c r="B1" s="166" t="s">
        <v>464</v>
      </c>
    </row>
    <row r="2" ht="12">
      <c r="B2" s="73"/>
    </row>
    <row r="3" ht="12">
      <c r="B3" s="278" t="s">
        <v>822</v>
      </c>
    </row>
    <row r="4" spans="2:4" ht="12">
      <c r="B4" s="16" t="s">
        <v>362</v>
      </c>
      <c r="C4" s="336" t="s">
        <v>363</v>
      </c>
      <c r="D4" s="16" t="s">
        <v>364</v>
      </c>
    </row>
    <row r="5" spans="2:6" ht="12">
      <c r="B5" s="337" t="s">
        <v>365</v>
      </c>
      <c r="C5" s="338">
        <f>310000*3</f>
        <v>930000</v>
      </c>
      <c r="D5" s="339">
        <v>214545454.27</v>
      </c>
      <c r="F5" s="156"/>
    </row>
    <row r="6" spans="2:6" ht="12">
      <c r="B6" s="337" t="s">
        <v>366</v>
      </c>
      <c r="C6" s="339">
        <v>0</v>
      </c>
      <c r="D6" s="339">
        <v>98000000</v>
      </c>
      <c r="F6" s="156"/>
    </row>
    <row r="7" spans="2:6" ht="12">
      <c r="B7" s="337" t="s">
        <v>367</v>
      </c>
      <c r="C7" s="339">
        <v>0</v>
      </c>
      <c r="D7" s="270">
        <v>165500000</v>
      </c>
      <c r="F7" s="156"/>
    </row>
    <row r="8" spans="2:6" ht="12">
      <c r="B8" s="337" t="s">
        <v>741</v>
      </c>
      <c r="C8" s="270">
        <v>33706069.74</v>
      </c>
      <c r="D8" s="339">
        <v>5308828.359999999</v>
      </c>
      <c r="E8" s="266"/>
      <c r="F8" s="156"/>
    </row>
    <row r="9" spans="2:6" ht="12">
      <c r="B9" s="337" t="s">
        <v>740</v>
      </c>
      <c r="C9" s="270">
        <v>31748600</v>
      </c>
      <c r="D9" s="339">
        <v>0</v>
      </c>
      <c r="E9" s="266"/>
      <c r="F9" s="156"/>
    </row>
    <row r="10" spans="2:6" ht="12">
      <c r="B10" s="337" t="s">
        <v>368</v>
      </c>
      <c r="C10" s="270">
        <v>9332245</v>
      </c>
      <c r="D10" s="339">
        <v>0</v>
      </c>
      <c r="F10" s="156"/>
    </row>
    <row r="11" spans="2:4" ht="12">
      <c r="B11" s="337" t="s">
        <v>369</v>
      </c>
      <c r="C11" s="270">
        <v>30071761</v>
      </c>
      <c r="D11" s="339">
        <v>0</v>
      </c>
    </row>
    <row r="12" spans="2:4" ht="12">
      <c r="B12" s="271" t="s">
        <v>767</v>
      </c>
      <c r="C12" s="340">
        <f>SUM(C5:C11)</f>
        <v>105788675.74000001</v>
      </c>
      <c r="D12" s="340">
        <f>SUM(D5:D11)</f>
        <v>483354282.63</v>
      </c>
    </row>
    <row r="13" spans="2:4" ht="12">
      <c r="B13" s="271" t="s">
        <v>700</v>
      </c>
      <c r="C13" s="341">
        <v>270645809.11950004</v>
      </c>
      <c r="D13" s="340">
        <v>391082620</v>
      </c>
    </row>
    <row r="16" spans="11:15" ht="12">
      <c r="K16" s="333"/>
      <c r="M16" s="334"/>
      <c r="O16" s="334"/>
    </row>
    <row r="17" spans="11:15" ht="12">
      <c r="K17" s="333"/>
      <c r="M17" s="334"/>
      <c r="O17" s="334"/>
    </row>
    <row r="18" spans="11:15" ht="12">
      <c r="K18" s="333"/>
      <c r="M18" s="334"/>
      <c r="O18" s="335"/>
    </row>
    <row r="23" ht="12">
      <c r="G23" s="334"/>
    </row>
  </sheetData>
  <sheetProtection/>
  <hyperlinks>
    <hyperlink ref="B1" location="'Balance Gral. Resol. 1'!A1" display="'Balance Gral. Resol. 1'!A1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J148"/>
  <sheetViews>
    <sheetView showGridLines="0" tabSelected="1" zoomScale="125" zoomScaleNormal="125" zoomScalePageLayoutView="0" workbookViewId="0" topLeftCell="A64">
      <selection activeCell="E14" sqref="E14"/>
    </sheetView>
  </sheetViews>
  <sheetFormatPr defaultColWidth="11.421875" defaultRowHeight="15"/>
  <cols>
    <col min="1" max="1" width="3.8515625" style="1" customWidth="1"/>
    <col min="2" max="2" width="20.8515625" style="1" hidden="1" customWidth="1"/>
    <col min="3" max="3" width="30.421875" style="1" customWidth="1"/>
    <col min="4" max="4" width="13.8515625" style="1" customWidth="1"/>
    <col min="5" max="5" width="13.421875" style="1" customWidth="1"/>
    <col min="6" max="6" width="28.28125" style="1" customWidth="1"/>
    <col min="7" max="7" width="14.28125" style="1" customWidth="1"/>
    <col min="8" max="8" width="13.140625" style="1" customWidth="1"/>
    <col min="9" max="16384" width="11.421875" style="1" customWidth="1"/>
  </cols>
  <sheetData>
    <row r="2" ht="12">
      <c r="E2" s="72" t="s">
        <v>0</v>
      </c>
    </row>
    <row r="3" ht="12">
      <c r="E3" s="72" t="s">
        <v>1</v>
      </c>
    </row>
    <row r="4" spans="3:8" s="62" customFormat="1" ht="31.5" customHeight="1">
      <c r="C4" s="473" t="s">
        <v>745</v>
      </c>
      <c r="D4" s="473"/>
      <c r="E4" s="473"/>
      <c r="F4" s="473"/>
      <c r="G4" s="473"/>
      <c r="H4" s="473"/>
    </row>
    <row r="5" spans="4:6" ht="11.25" customHeight="1">
      <c r="D5" s="59"/>
      <c r="E5" s="73" t="s">
        <v>2</v>
      </c>
      <c r="F5" s="59"/>
    </row>
    <row r="6" spans="2:8" s="62" customFormat="1" ht="33.75">
      <c r="B6" s="61">
        <v>1</v>
      </c>
      <c r="C6" s="74" t="s">
        <v>3</v>
      </c>
      <c r="D6" s="75" t="s">
        <v>746</v>
      </c>
      <c r="E6" s="76" t="s">
        <v>784</v>
      </c>
      <c r="F6" s="77" t="s">
        <v>4</v>
      </c>
      <c r="G6" s="78" t="s">
        <v>746</v>
      </c>
      <c r="H6" s="76" t="s">
        <v>784</v>
      </c>
    </row>
    <row r="7" spans="3:8" s="62" customFormat="1" ht="11.25" customHeight="1">
      <c r="C7" s="79" t="s">
        <v>5</v>
      </c>
      <c r="D7" s="80"/>
      <c r="E7" s="81"/>
      <c r="F7" s="82" t="s">
        <v>6</v>
      </c>
      <c r="G7" s="83"/>
      <c r="H7" s="84"/>
    </row>
    <row r="8" spans="2:8" s="62" customFormat="1" ht="11.25" customHeight="1">
      <c r="B8" s="63" t="s">
        <v>7</v>
      </c>
      <c r="C8" s="79" t="s">
        <v>8</v>
      </c>
      <c r="D8" s="85"/>
      <c r="E8" s="84"/>
      <c r="F8" s="82" t="s">
        <v>9</v>
      </c>
      <c r="G8" s="83"/>
      <c r="H8" s="84"/>
    </row>
    <row r="9" spans="2:8" s="62" customFormat="1" ht="11.25" customHeight="1">
      <c r="B9" s="64" t="s">
        <v>10</v>
      </c>
      <c r="C9" s="86" t="s">
        <v>11</v>
      </c>
      <c r="D9" s="85">
        <v>0</v>
      </c>
      <c r="E9" s="84">
        <v>0</v>
      </c>
      <c r="F9" s="87" t="s">
        <v>12</v>
      </c>
      <c r="G9" s="83">
        <f>+'[4]BALANCE CORREGIDO'!$O$307</f>
        <v>2433369571</v>
      </c>
      <c r="H9" s="84">
        <v>6268600423</v>
      </c>
    </row>
    <row r="10" spans="2:8" s="62" customFormat="1" ht="11.25" customHeight="1">
      <c r="B10" s="64"/>
      <c r="C10" s="86" t="s">
        <v>13</v>
      </c>
      <c r="D10" s="85">
        <f>+'[4]BALANCE CORREGIDO'!$O$97+1</f>
        <v>224678709</v>
      </c>
      <c r="E10" s="84">
        <v>346576922</v>
      </c>
      <c r="F10" s="87" t="s">
        <v>14</v>
      </c>
      <c r="G10" s="83">
        <f>+'[4]BALANCE CORREGIDO'!$O$314+'[4]BALANCE CORREGIDO'!$O$265+'[4]BALANCE CORREGIDO'!$O$303+'[4]BALANCE CORREGIDO'!$O$305+'[4]BALANCE CORREGIDO'!$O$310+'[4]BALANCE CORREGIDO'!$O$312</f>
        <v>9760348453</v>
      </c>
      <c r="H10" s="84">
        <v>146099606</v>
      </c>
    </row>
    <row r="11" spans="2:8" s="62" customFormat="1" ht="11.25" customHeight="1">
      <c r="B11" s="64" t="s">
        <v>15</v>
      </c>
      <c r="C11" s="86" t="s">
        <v>16</v>
      </c>
      <c r="D11" s="85">
        <f>663973443+'[4]BALANCE CORREGIDO'!$O$98</f>
        <v>1856475784</v>
      </c>
      <c r="E11" s="84">
        <v>1324460741</v>
      </c>
      <c r="F11" s="87" t="s">
        <v>17</v>
      </c>
      <c r="G11" s="84">
        <f>+'[4]BALANCE CORREGIDO'!$O$298</f>
        <v>991103732</v>
      </c>
      <c r="H11" s="88">
        <v>167483137</v>
      </c>
    </row>
    <row r="12" spans="2:8" s="62" customFormat="1" ht="11.25" customHeight="1">
      <c r="B12" s="64" t="s">
        <v>18</v>
      </c>
      <c r="C12" s="89"/>
      <c r="D12" s="90">
        <f>SUM(D9:D11)</f>
        <v>2081154493</v>
      </c>
      <c r="E12" s="90">
        <v>1671037663</v>
      </c>
      <c r="F12" s="87" t="s">
        <v>19</v>
      </c>
      <c r="G12" s="83">
        <v>0</v>
      </c>
      <c r="H12" s="84">
        <v>0</v>
      </c>
    </row>
    <row r="13" spans="2:8" s="62" customFormat="1" ht="11.25" customHeight="1">
      <c r="B13" s="64"/>
      <c r="C13" s="89"/>
      <c r="D13" s="85"/>
      <c r="E13" s="84"/>
      <c r="F13" s="87" t="s">
        <v>20</v>
      </c>
      <c r="G13" s="83">
        <v>0</v>
      </c>
      <c r="H13" s="84">
        <v>0</v>
      </c>
    </row>
    <row r="14" spans="2:8" s="62" customFormat="1" ht="11.25" customHeight="1">
      <c r="B14" s="64"/>
      <c r="C14" s="89"/>
      <c r="D14" s="85"/>
      <c r="E14" s="84"/>
      <c r="F14" s="82"/>
      <c r="G14" s="90">
        <f>SUM(G9:G13)</f>
        <v>13184821756</v>
      </c>
      <c r="H14" s="90">
        <v>6582183166</v>
      </c>
    </row>
    <row r="15" spans="2:8" s="62" customFormat="1" ht="11.25" customHeight="1">
      <c r="B15" s="64"/>
      <c r="C15" s="79" t="s">
        <v>785</v>
      </c>
      <c r="D15" s="85">
        <v>0</v>
      </c>
      <c r="E15" s="84">
        <v>0</v>
      </c>
      <c r="F15" s="82" t="s">
        <v>22</v>
      </c>
      <c r="G15" s="83"/>
      <c r="H15" s="84"/>
    </row>
    <row r="16" spans="2:8" s="62" customFormat="1" ht="11.25" customHeight="1">
      <c r="B16" s="64"/>
      <c r="C16" s="89" t="s">
        <v>23</v>
      </c>
      <c r="D16" s="85">
        <v>8758274402</v>
      </c>
      <c r="E16" s="84">
        <v>0</v>
      </c>
      <c r="F16" s="87" t="s">
        <v>24</v>
      </c>
      <c r="G16" s="83">
        <v>1774865256</v>
      </c>
      <c r="H16" s="84">
        <v>0</v>
      </c>
    </row>
    <row r="17" spans="2:8" s="62" customFormat="1" ht="11.25" customHeight="1">
      <c r="B17" s="64"/>
      <c r="C17" s="89" t="s">
        <v>25</v>
      </c>
      <c r="D17" s="85">
        <v>6168121929</v>
      </c>
      <c r="E17" s="84">
        <v>0</v>
      </c>
      <c r="F17" s="87" t="s">
        <v>26</v>
      </c>
      <c r="G17" s="83">
        <v>0</v>
      </c>
      <c r="H17" s="84">
        <v>8590000000</v>
      </c>
    </row>
    <row r="18" spans="2:8" s="62" customFormat="1" ht="11.25" customHeight="1">
      <c r="B18" s="64"/>
      <c r="C18" s="89" t="s">
        <v>27</v>
      </c>
      <c r="D18" s="85">
        <v>0</v>
      </c>
      <c r="E18" s="84">
        <v>0</v>
      </c>
      <c r="F18" s="87" t="s">
        <v>28</v>
      </c>
      <c r="G18" s="91">
        <v>10849315</v>
      </c>
      <c r="H18" s="92">
        <v>295334920</v>
      </c>
    </row>
    <row r="19" spans="2:8" s="62" customFormat="1" ht="11.25" customHeight="1">
      <c r="B19" s="64" t="s">
        <v>29</v>
      </c>
      <c r="C19" s="89"/>
      <c r="D19" s="93">
        <f>SUM(D15:D18)</f>
        <v>14926396331</v>
      </c>
      <c r="E19" s="93">
        <v>0</v>
      </c>
      <c r="F19" s="94"/>
      <c r="G19" s="95">
        <f>SUM(G16:G18)</f>
        <v>1785714571</v>
      </c>
      <c r="H19" s="95">
        <v>8885334920</v>
      </c>
    </row>
    <row r="20" spans="2:8" s="62" customFormat="1" ht="11.25" customHeight="1">
      <c r="B20" s="64" t="s">
        <v>30</v>
      </c>
      <c r="C20" s="79" t="s">
        <v>31</v>
      </c>
      <c r="D20" s="85"/>
      <c r="E20" s="84"/>
      <c r="F20" s="82" t="s">
        <v>32</v>
      </c>
      <c r="G20" s="83"/>
      <c r="H20" s="84"/>
    </row>
    <row r="21" spans="2:8" s="62" customFormat="1" ht="11.25" customHeight="1">
      <c r="B21" s="64"/>
      <c r="C21" s="86" t="s">
        <v>33</v>
      </c>
      <c r="D21" s="85">
        <f>+'[4]BALANCE CORREGIDO'!$O$100+'[4]BALANCE CORREGIDO'!$O$166</f>
        <v>1309435361</v>
      </c>
      <c r="E21" s="88">
        <v>1219151576</v>
      </c>
      <c r="F21" s="87" t="s">
        <v>34</v>
      </c>
      <c r="G21" s="83">
        <v>0</v>
      </c>
      <c r="H21" s="84">
        <v>177672551</v>
      </c>
    </row>
    <row r="22" spans="2:8" s="62" customFormat="1" ht="11.25" customHeight="1">
      <c r="B22" s="64"/>
      <c r="C22" s="86" t="s">
        <v>35</v>
      </c>
      <c r="D22" s="85">
        <f>+'[4]BALANCE CORREGIDO'!$O$195+'[4]BALANCE CORREGIDO'!$O$210+'[4]BALANCE CORREGIDO'!$O$211+'[4]BALANCE CORREGIDO'!$O$212+'[4]BALANCE CORREGIDO'!$O$213+'[4]BALANCE CORREGIDO'!$O$214</f>
        <v>1682381652</v>
      </c>
      <c r="E22" s="84">
        <v>1432772081</v>
      </c>
      <c r="F22" s="87" t="s">
        <v>36</v>
      </c>
      <c r="G22" s="83">
        <v>0</v>
      </c>
      <c r="H22" s="84">
        <v>0</v>
      </c>
    </row>
    <row r="23" spans="2:8" s="62" customFormat="1" ht="11.25" customHeight="1">
      <c r="B23" s="64"/>
      <c r="C23" s="86" t="s">
        <v>37</v>
      </c>
      <c r="D23" s="85">
        <v>0</v>
      </c>
      <c r="E23" s="84">
        <v>0</v>
      </c>
      <c r="F23" s="87" t="s">
        <v>38</v>
      </c>
      <c r="G23" s="83">
        <v>0</v>
      </c>
      <c r="H23" s="84">
        <v>0</v>
      </c>
    </row>
    <row r="24" spans="2:8" s="62" customFormat="1" ht="11.25" customHeight="1">
      <c r="B24" s="64"/>
      <c r="C24" s="89" t="s">
        <v>39</v>
      </c>
      <c r="D24" s="85">
        <v>0</v>
      </c>
      <c r="E24" s="84">
        <v>0</v>
      </c>
      <c r="F24" s="87" t="s">
        <v>40</v>
      </c>
      <c r="G24" s="83">
        <f>+'[4]BALANCE CORREGIDO'!$O$320</f>
        <v>79574279</v>
      </c>
      <c r="H24" s="84">
        <v>35863738</v>
      </c>
    </row>
    <row r="25" spans="2:8" s="62" customFormat="1" ht="11.25" customHeight="1">
      <c r="B25" s="64"/>
      <c r="C25" s="86" t="s">
        <v>41</v>
      </c>
      <c r="D25" s="85">
        <f>+'[4]BALANCE CORREGIDO'!$O$198</f>
        <v>1475592592</v>
      </c>
      <c r="E25" s="84">
        <v>1396573130</v>
      </c>
      <c r="F25" s="87" t="s">
        <v>42</v>
      </c>
      <c r="G25" s="91">
        <v>1995482</v>
      </c>
      <c r="H25" s="92">
        <v>0</v>
      </c>
    </row>
    <row r="26" spans="2:8" s="62" customFormat="1" ht="11.25" customHeight="1">
      <c r="B26" s="64"/>
      <c r="C26" s="89" t="s">
        <v>43</v>
      </c>
      <c r="D26" s="85">
        <v>0</v>
      </c>
      <c r="E26" s="84">
        <v>0</v>
      </c>
      <c r="F26" s="87"/>
      <c r="G26" s="95">
        <f>SUM(G21:G25)</f>
        <v>81569761</v>
      </c>
      <c r="H26" s="95">
        <v>213536289</v>
      </c>
    </row>
    <row r="27" spans="2:8" s="62" customFormat="1" ht="13.5" customHeight="1">
      <c r="B27" s="64"/>
      <c r="C27" s="86" t="s">
        <v>44</v>
      </c>
      <c r="D27" s="85">
        <v>0</v>
      </c>
      <c r="E27" s="84">
        <v>0</v>
      </c>
      <c r="F27" s="87"/>
      <c r="G27" s="83"/>
      <c r="H27" s="84"/>
    </row>
    <row r="28" spans="2:8" s="62" customFormat="1" ht="11.25" customHeight="1">
      <c r="B28" s="64"/>
      <c r="C28" s="86"/>
      <c r="D28" s="90">
        <f>SUM(D21:D27)</f>
        <v>4467409605</v>
      </c>
      <c r="E28" s="90">
        <v>4048496787</v>
      </c>
      <c r="F28" s="87"/>
      <c r="G28" s="83"/>
      <c r="H28" s="84"/>
    </row>
    <row r="29" spans="2:8" s="62" customFormat="1" ht="11.25" customHeight="1">
      <c r="B29" s="64"/>
      <c r="C29" s="79" t="s">
        <v>45</v>
      </c>
      <c r="D29" s="85"/>
      <c r="E29" s="84"/>
      <c r="F29" s="82" t="s">
        <v>46</v>
      </c>
      <c r="G29" s="83"/>
      <c r="H29" s="84"/>
    </row>
    <row r="30" spans="2:8" s="62" customFormat="1" ht="11.25" customHeight="1">
      <c r="B30" s="64" t="s">
        <v>47</v>
      </c>
      <c r="C30" s="96" t="s">
        <v>48</v>
      </c>
      <c r="D30" s="80"/>
      <c r="E30" s="81"/>
      <c r="F30" s="97"/>
      <c r="G30" s="98"/>
      <c r="H30" s="81"/>
    </row>
    <row r="31" spans="2:8" s="62" customFormat="1" ht="11.25" customHeight="1">
      <c r="B31" s="64" t="s">
        <v>49</v>
      </c>
      <c r="C31" s="86" t="s">
        <v>50</v>
      </c>
      <c r="D31" s="85">
        <v>0</v>
      </c>
      <c r="E31" s="84">
        <v>238013955</v>
      </c>
      <c r="F31" s="87" t="s">
        <v>51</v>
      </c>
      <c r="G31" s="83">
        <v>0</v>
      </c>
      <c r="H31" s="84">
        <v>0</v>
      </c>
    </row>
    <row r="32" spans="2:8" s="62" customFormat="1" ht="11.25" customHeight="1">
      <c r="B32" s="64" t="s">
        <v>52</v>
      </c>
      <c r="C32" s="86" t="s">
        <v>53</v>
      </c>
      <c r="D32" s="85">
        <f>+'[4]BALANCE CORREGIDO'!$O$215</f>
        <v>17287182</v>
      </c>
      <c r="E32" s="84">
        <v>6267846</v>
      </c>
      <c r="F32" s="87" t="s">
        <v>54</v>
      </c>
      <c r="G32" s="83">
        <v>0</v>
      </c>
      <c r="H32" s="84">
        <v>0</v>
      </c>
    </row>
    <row r="33" spans="2:10" s="62" customFormat="1" ht="11.25" customHeight="1">
      <c r="B33" s="64"/>
      <c r="C33" s="86"/>
      <c r="D33" s="85"/>
      <c r="E33" s="84"/>
      <c r="F33" s="87" t="s">
        <v>55</v>
      </c>
      <c r="G33" s="83">
        <v>0</v>
      </c>
      <c r="H33" s="84">
        <v>0</v>
      </c>
      <c r="J33" s="65"/>
    </row>
    <row r="34" spans="2:8" s="62" customFormat="1" ht="11.25" customHeight="1">
      <c r="B34" s="64" t="s">
        <v>56</v>
      </c>
      <c r="C34" s="86"/>
      <c r="D34" s="85"/>
      <c r="E34" s="84"/>
      <c r="F34" s="87"/>
      <c r="G34" s="83"/>
      <c r="H34" s="92"/>
    </row>
    <row r="35" spans="2:8" s="62" customFormat="1" ht="11.25" customHeight="1">
      <c r="B35" s="64" t="s">
        <v>57</v>
      </c>
      <c r="C35" s="79"/>
      <c r="D35" s="90">
        <f>SUM(D31:D34)</f>
        <v>17287182</v>
      </c>
      <c r="E35" s="90">
        <f>SUM(E31:E34)</f>
        <v>244281801</v>
      </c>
      <c r="F35" s="87"/>
      <c r="G35" s="99">
        <f>SUM(G31:G34)</f>
        <v>0</v>
      </c>
      <c r="H35" s="95">
        <v>0</v>
      </c>
    </row>
    <row r="36" spans="2:9" s="62" customFormat="1" ht="11.25" customHeight="1" thickBot="1">
      <c r="B36" s="64" t="s">
        <v>58</v>
      </c>
      <c r="C36" s="100" t="s">
        <v>59</v>
      </c>
      <c r="D36" s="101">
        <f>+D12+D19+D28+D35</f>
        <v>21492247611</v>
      </c>
      <c r="E36" s="101">
        <f>+E12+E19+E28+E35</f>
        <v>5963816251</v>
      </c>
      <c r="F36" s="102" t="s">
        <v>60</v>
      </c>
      <c r="G36" s="103">
        <f>+G14+G19+G26+G35</f>
        <v>15052106088</v>
      </c>
      <c r="H36" s="104">
        <v>15681054375</v>
      </c>
      <c r="I36" s="65">
        <v>0</v>
      </c>
    </row>
    <row r="37" spans="2:8" s="62" customFormat="1" ht="11.25" customHeight="1" thickTop="1">
      <c r="B37" s="64" t="s">
        <v>61</v>
      </c>
      <c r="C37" s="86"/>
      <c r="D37" s="105"/>
      <c r="E37" s="84"/>
      <c r="F37" s="94"/>
      <c r="G37" s="83"/>
      <c r="H37" s="84"/>
    </row>
    <row r="38" spans="2:8" s="62" customFormat="1" ht="11.25" customHeight="1">
      <c r="B38" s="64"/>
      <c r="C38" s="79" t="s">
        <v>62</v>
      </c>
      <c r="D38" s="85"/>
      <c r="E38" s="84"/>
      <c r="F38" s="82" t="s">
        <v>63</v>
      </c>
      <c r="G38" s="83"/>
      <c r="H38" s="84"/>
    </row>
    <row r="39" spans="2:8" s="62" customFormat="1" ht="11.25" customHeight="1">
      <c r="B39" s="64"/>
      <c r="C39" s="79" t="s">
        <v>64</v>
      </c>
      <c r="D39" s="85"/>
      <c r="E39" s="84"/>
      <c r="F39" s="82" t="s">
        <v>65</v>
      </c>
      <c r="G39" s="83"/>
      <c r="H39" s="84"/>
    </row>
    <row r="40" spans="2:8" s="62" customFormat="1" ht="11.25" customHeight="1">
      <c r="B40" s="64" t="s">
        <v>66</v>
      </c>
      <c r="C40" s="86" t="s">
        <v>23</v>
      </c>
      <c r="D40" s="85">
        <v>5546451703</v>
      </c>
      <c r="E40" s="84">
        <v>7837571703</v>
      </c>
      <c r="F40" s="87" t="s">
        <v>67</v>
      </c>
      <c r="G40" s="83">
        <v>0</v>
      </c>
      <c r="H40" s="84">
        <v>0</v>
      </c>
    </row>
    <row r="41" spans="2:8" s="62" customFormat="1" ht="11.25" customHeight="1">
      <c r="B41" s="64"/>
      <c r="C41" s="86" t="s">
        <v>68</v>
      </c>
      <c r="D41" s="85">
        <v>0</v>
      </c>
      <c r="E41" s="84">
        <v>13080989000</v>
      </c>
      <c r="F41" s="87" t="s">
        <v>28</v>
      </c>
      <c r="G41" s="83">
        <v>0</v>
      </c>
      <c r="H41" s="84">
        <v>0</v>
      </c>
    </row>
    <row r="42" spans="2:8" s="62" customFormat="1" ht="11.25" customHeight="1">
      <c r="B42" s="64" t="s">
        <v>69</v>
      </c>
      <c r="C42" s="86" t="s">
        <v>70</v>
      </c>
      <c r="D42" s="85">
        <v>851000000</v>
      </c>
      <c r="E42" s="84">
        <v>750000000</v>
      </c>
      <c r="F42" s="94"/>
      <c r="G42" s="90">
        <v>0</v>
      </c>
      <c r="H42" s="93">
        <v>0</v>
      </c>
    </row>
    <row r="43" spans="2:8" s="62" customFormat="1" ht="11.25" customHeight="1">
      <c r="B43" s="64" t="s">
        <v>71</v>
      </c>
      <c r="C43" s="86" t="s">
        <v>72</v>
      </c>
      <c r="D43" s="85">
        <v>0</v>
      </c>
      <c r="E43" s="84">
        <v>903163697</v>
      </c>
      <c r="F43" s="82" t="s">
        <v>73</v>
      </c>
      <c r="G43" s="83"/>
      <c r="H43" s="84"/>
    </row>
    <row r="44" spans="2:8" s="62" customFormat="1" ht="11.25" customHeight="1">
      <c r="B44" s="64"/>
      <c r="C44" s="86" t="s">
        <v>74</v>
      </c>
      <c r="D44" s="85">
        <v>3901805500</v>
      </c>
      <c r="E44" s="84">
        <v>594805500</v>
      </c>
      <c r="F44" s="82"/>
      <c r="G44" s="83"/>
      <c r="H44" s="84"/>
    </row>
    <row r="45" spans="2:8" s="62" customFormat="1" ht="11.25" customHeight="1">
      <c r="B45" s="64"/>
      <c r="C45" s="89" t="s">
        <v>39</v>
      </c>
      <c r="D45" s="85">
        <v>0</v>
      </c>
      <c r="E45" s="84">
        <v>0</v>
      </c>
      <c r="F45" s="87" t="s">
        <v>75</v>
      </c>
      <c r="G45" s="83">
        <v>0</v>
      </c>
      <c r="H45" s="84">
        <v>0</v>
      </c>
    </row>
    <row r="46" spans="2:8" s="62" customFormat="1" ht="11.25" customHeight="1">
      <c r="B46" s="64"/>
      <c r="C46" s="89"/>
      <c r="D46" s="90">
        <f>SUM(D40:D45)</f>
        <v>10299257203</v>
      </c>
      <c r="E46" s="90">
        <v>23166529900</v>
      </c>
      <c r="F46" s="87" t="s">
        <v>76</v>
      </c>
      <c r="G46" s="83">
        <v>0</v>
      </c>
      <c r="H46" s="84">
        <v>0</v>
      </c>
    </row>
    <row r="47" spans="2:8" s="62" customFormat="1" ht="11.25" customHeight="1">
      <c r="B47" s="64"/>
      <c r="C47" s="79" t="s">
        <v>77</v>
      </c>
      <c r="D47" s="85"/>
      <c r="E47" s="84"/>
      <c r="F47" s="87" t="s">
        <v>78</v>
      </c>
      <c r="G47" s="83">
        <v>0</v>
      </c>
      <c r="H47" s="84">
        <v>0</v>
      </c>
    </row>
    <row r="48" spans="2:8" s="62" customFormat="1" ht="11.25" customHeight="1">
      <c r="B48" s="66" t="s">
        <v>79</v>
      </c>
      <c r="C48" s="86" t="s">
        <v>33</v>
      </c>
      <c r="D48" s="85">
        <v>0</v>
      </c>
      <c r="E48" s="85"/>
      <c r="F48" s="94"/>
      <c r="G48" s="83"/>
      <c r="H48" s="84"/>
    </row>
    <row r="49" spans="2:8" s="62" customFormat="1" ht="11.25" customHeight="1">
      <c r="B49" s="64" t="s">
        <v>80</v>
      </c>
      <c r="C49" s="86" t="s">
        <v>37</v>
      </c>
      <c r="D49" s="85">
        <f>+'[4]BALANCE CORREGIDO'!$O$219</f>
        <v>10849315</v>
      </c>
      <c r="E49" s="85">
        <v>10849315</v>
      </c>
      <c r="F49" s="94"/>
      <c r="G49" s="90">
        <v>0</v>
      </c>
      <c r="H49" s="93">
        <v>0</v>
      </c>
    </row>
    <row r="50" spans="2:8" s="62" customFormat="1" ht="11.25" customHeight="1" thickBot="1">
      <c r="B50" s="64" t="s">
        <v>81</v>
      </c>
      <c r="C50" s="86" t="s">
        <v>82</v>
      </c>
      <c r="D50" s="85">
        <v>0</v>
      </c>
      <c r="E50" s="85">
        <v>0</v>
      </c>
      <c r="F50" s="102" t="s">
        <v>83</v>
      </c>
      <c r="G50" s="101">
        <v>0</v>
      </c>
      <c r="H50" s="101">
        <v>0</v>
      </c>
    </row>
    <row r="51" spans="2:8" s="62" customFormat="1" ht="11.25" customHeight="1" thickTop="1">
      <c r="B51" s="64"/>
      <c r="C51" s="89" t="s">
        <v>39</v>
      </c>
      <c r="D51" s="85">
        <v>0</v>
      </c>
      <c r="E51" s="85">
        <v>0</v>
      </c>
      <c r="F51" s="106" t="s">
        <v>84</v>
      </c>
      <c r="G51" s="107">
        <f>+G50+G36</f>
        <v>15052106088</v>
      </c>
      <c r="H51" s="107">
        <v>15681054375</v>
      </c>
    </row>
    <row r="52" spans="2:8" s="62" customFormat="1" ht="11.25" customHeight="1">
      <c r="B52" s="64"/>
      <c r="C52" s="86" t="s">
        <v>41</v>
      </c>
      <c r="D52" s="85">
        <v>0</v>
      </c>
      <c r="E52" s="85">
        <v>0</v>
      </c>
      <c r="F52" s="82" t="s">
        <v>85</v>
      </c>
      <c r="G52" s="83"/>
      <c r="H52" s="84"/>
    </row>
    <row r="53" spans="2:8" s="62" customFormat="1" ht="11.25" customHeight="1">
      <c r="B53" s="64" t="s">
        <v>86</v>
      </c>
      <c r="C53" s="89" t="s">
        <v>43</v>
      </c>
      <c r="D53" s="85">
        <v>0</v>
      </c>
      <c r="E53" s="85">
        <v>0</v>
      </c>
      <c r="F53" s="82" t="s">
        <v>87</v>
      </c>
      <c r="G53" s="83"/>
      <c r="H53" s="84"/>
    </row>
    <row r="54" spans="2:8" s="62" customFormat="1" ht="11.25" customHeight="1">
      <c r="B54" s="64" t="s">
        <v>88</v>
      </c>
      <c r="C54" s="86" t="s">
        <v>44</v>
      </c>
      <c r="D54" s="85">
        <v>0</v>
      </c>
      <c r="E54" s="85">
        <v>0</v>
      </c>
      <c r="F54" s="87" t="s">
        <v>89</v>
      </c>
      <c r="G54" s="83">
        <f>+'[4]BALANCE CORREGIDO'!$O$323</f>
        <v>24288000001</v>
      </c>
      <c r="H54" s="84">
        <v>18400000001</v>
      </c>
    </row>
    <row r="55" spans="2:8" s="62" customFormat="1" ht="11.25" customHeight="1">
      <c r="B55" s="64" t="s">
        <v>90</v>
      </c>
      <c r="C55" s="86"/>
      <c r="D55" s="85"/>
      <c r="E55" s="84"/>
      <c r="F55" s="87" t="s">
        <v>91</v>
      </c>
      <c r="G55" s="91">
        <v>0</v>
      </c>
      <c r="H55" s="92">
        <v>960000091</v>
      </c>
    </row>
    <row r="56" spans="2:8" s="62" customFormat="1" ht="11.25" customHeight="1">
      <c r="B56" s="64" t="s">
        <v>92</v>
      </c>
      <c r="C56" s="89"/>
      <c r="D56" s="90">
        <f>SUM(D48:D55)</f>
        <v>10849315</v>
      </c>
      <c r="E56" s="90">
        <v>10849315</v>
      </c>
      <c r="F56" s="94"/>
      <c r="G56" s="90">
        <f>SUM(G54:G55)</f>
        <v>24288000001</v>
      </c>
      <c r="H56" s="90">
        <v>19360000092</v>
      </c>
    </row>
    <row r="57" spans="2:8" s="62" customFormat="1" ht="11.25" customHeight="1">
      <c r="B57" s="64"/>
      <c r="C57" s="79" t="s">
        <v>93</v>
      </c>
      <c r="D57" s="85"/>
      <c r="E57" s="84"/>
      <c r="F57" s="82" t="s">
        <v>94</v>
      </c>
      <c r="G57" s="83"/>
      <c r="H57" s="84"/>
    </row>
    <row r="58" spans="2:8" s="62" customFormat="1" ht="11.25" customHeight="1">
      <c r="B58" s="64"/>
      <c r="C58" s="86" t="s">
        <v>95</v>
      </c>
      <c r="D58" s="85">
        <f>+'[4]BALANCE CORREGIDO'!$O$229+'[4]BALANCE CORREGIDO'!$O$231+'[4]BALANCE CORREGIDO'!$O$233+'[4]BALANCE CORREGIDO'!$O$235+'[4]BALANCE CORREGIDO'!$O$237+'[4]BALANCE CORREGIDO'!$O$239+'[4]BALANCE CORREGIDO'!$O$240+'[4]BALANCE CORREGIDO'!$O$241+'[4]BALANCE CORREGIDO'!$O$242</f>
        <v>13069301646</v>
      </c>
      <c r="E58" s="84">
        <v>12721001483</v>
      </c>
      <c r="F58" s="87" t="s">
        <v>96</v>
      </c>
      <c r="G58" s="83">
        <f>838780147+283464405</f>
        <v>1122244552</v>
      </c>
      <c r="H58" s="84">
        <v>1122244552</v>
      </c>
    </row>
    <row r="59" spans="2:8" s="62" customFormat="1" ht="11.25" customHeight="1">
      <c r="B59" s="64"/>
      <c r="C59" s="86" t="s">
        <v>97</v>
      </c>
      <c r="D59" s="85">
        <f>+'[4]BALANCE CORREGIDO'!$O$230+'[4]BALANCE CORREGIDO'!$O$232+'[4]BALANCE CORREGIDO'!$O$234+'[4]BALANCE CORREGIDO'!$O$236+'[4]BALANCE CORREGIDO'!$O$238+'[4]BALANCE CORREGIDO'!$O$243</f>
        <v>-322801958</v>
      </c>
      <c r="E59" s="84">
        <v>-322801958</v>
      </c>
      <c r="F59" s="87" t="s">
        <v>98</v>
      </c>
      <c r="G59" s="83">
        <v>946670</v>
      </c>
      <c r="H59" s="85">
        <v>67449446</v>
      </c>
    </row>
    <row r="60" spans="2:8" s="62" customFormat="1" ht="11.25" customHeight="1">
      <c r="B60" s="64" t="s">
        <v>99</v>
      </c>
      <c r="C60" s="86"/>
      <c r="D60" s="90">
        <f>SUM(D58:D59)</f>
        <v>12746499688</v>
      </c>
      <c r="E60" s="90">
        <v>12398199525</v>
      </c>
      <c r="F60" s="87" t="s">
        <v>100</v>
      </c>
      <c r="G60" s="83">
        <v>101000000</v>
      </c>
      <c r="H60" s="84">
        <v>435673535</v>
      </c>
    </row>
    <row r="61" spans="2:8" s="62" customFormat="1" ht="11.25" customHeight="1">
      <c r="B61" s="64"/>
      <c r="C61" s="79" t="s">
        <v>101</v>
      </c>
      <c r="D61" s="85"/>
      <c r="E61" s="84"/>
      <c r="F61" s="87"/>
      <c r="G61" s="83"/>
      <c r="H61" s="84"/>
    </row>
    <row r="62" spans="2:8" s="62" customFormat="1" ht="11.25" customHeight="1">
      <c r="B62" s="64"/>
      <c r="C62" s="86" t="s">
        <v>102</v>
      </c>
      <c r="D62" s="85">
        <f>+'[4]BALANCE CORREGIDO'!$O$247+'[4]BALANCE CORREGIDO'!$O$253</f>
        <v>179209887</v>
      </c>
      <c r="E62" s="84">
        <v>157353207</v>
      </c>
      <c r="F62" s="87"/>
      <c r="G62" s="90">
        <f>SUM(G58:G61)</f>
        <v>1224191222</v>
      </c>
      <c r="H62" s="90">
        <v>1625367533</v>
      </c>
    </row>
    <row r="63" spans="2:8" s="62" customFormat="1" ht="11.25" customHeight="1">
      <c r="B63" s="64"/>
      <c r="C63" s="86" t="s">
        <v>103</v>
      </c>
      <c r="D63" s="85">
        <f>+'[4]BALANCE CORREGIDO'!$O$245</f>
        <v>900000</v>
      </c>
      <c r="E63" s="84">
        <v>900000</v>
      </c>
      <c r="F63" s="82"/>
      <c r="G63" s="98"/>
      <c r="H63" s="81"/>
    </row>
    <row r="64" spans="2:8" s="62" customFormat="1" ht="11.25" customHeight="1">
      <c r="B64" s="64"/>
      <c r="C64" s="86" t="s">
        <v>104</v>
      </c>
      <c r="D64" s="85">
        <f>+'[4]BALANCE CORREGIDO'!$O$251</f>
        <v>27866433</v>
      </c>
      <c r="E64" s="84">
        <v>27866433</v>
      </c>
      <c r="F64" s="82" t="s">
        <v>105</v>
      </c>
      <c r="G64" s="98"/>
      <c r="H64" s="81"/>
    </row>
    <row r="65" spans="2:8" s="62" customFormat="1" ht="11.25" customHeight="1">
      <c r="B65" s="64"/>
      <c r="C65" s="86" t="s">
        <v>106</v>
      </c>
      <c r="D65" s="85">
        <f>+'[4]BALANCE CORREGIDO'!$O$249</f>
        <v>1234359736</v>
      </c>
      <c r="E65" s="84">
        <v>1207087008</v>
      </c>
      <c r="F65" s="94" t="s">
        <v>107</v>
      </c>
      <c r="G65" s="83">
        <v>0</v>
      </c>
      <c r="H65" s="84">
        <v>0</v>
      </c>
    </row>
    <row r="66" spans="2:8" s="62" customFormat="1" ht="11.25" customHeight="1">
      <c r="B66" s="64"/>
      <c r="C66" s="86" t="s">
        <v>108</v>
      </c>
      <c r="D66" s="108">
        <f>+'[4]BALANCE CORREGIDO'!$O$246+'[4]BALANCE CORREGIDO'!$O$248+'[4]BALANCE CORREGIDO'!$O$250+'[4]BALANCE CORREGIDO'!$O$252+'[4]BALANCE CORREGIDO'!$O$254</f>
        <v>-880355950</v>
      </c>
      <c r="E66" s="92">
        <v>-880355950</v>
      </c>
      <c r="F66" s="94" t="s">
        <v>109</v>
      </c>
      <c r="G66" s="109">
        <f>+'[4]Estado de Resultado Resol. 6'!E99</f>
        <v>4546536612</v>
      </c>
      <c r="H66" s="109">
        <v>5385823689</v>
      </c>
    </row>
    <row r="67" spans="2:8" s="62" customFormat="1" ht="11.25" customHeight="1">
      <c r="B67" s="64"/>
      <c r="C67" s="89"/>
      <c r="D67" s="90">
        <f>SUM(D62:D66)</f>
        <v>561980106</v>
      </c>
      <c r="E67" s="90">
        <v>512850698</v>
      </c>
      <c r="F67" s="94"/>
      <c r="G67" s="110">
        <f>SUM(G65:G66)</f>
        <v>4546536612</v>
      </c>
      <c r="H67" s="110">
        <v>5385823689</v>
      </c>
    </row>
    <row r="68" spans="2:8" s="62" customFormat="1" ht="11.25" customHeight="1">
      <c r="B68" s="64"/>
      <c r="C68" s="79" t="s">
        <v>45</v>
      </c>
      <c r="D68" s="85"/>
      <c r="E68" s="84"/>
      <c r="F68" s="111" t="s">
        <v>110</v>
      </c>
      <c r="G68" s="112">
        <f>+G56+G62+G67</f>
        <v>30058727835</v>
      </c>
      <c r="H68" s="112">
        <v>26371191314</v>
      </c>
    </row>
    <row r="69" spans="2:8" s="62" customFormat="1" ht="11.25" customHeight="1">
      <c r="B69" s="64"/>
      <c r="C69" s="79" t="s">
        <v>48</v>
      </c>
      <c r="D69" s="85"/>
      <c r="E69" s="84"/>
      <c r="F69" s="111" t="s">
        <v>111</v>
      </c>
      <c r="G69" s="113">
        <f>+G68+G51</f>
        <v>45110833923</v>
      </c>
      <c r="H69" s="113">
        <v>42052245689</v>
      </c>
    </row>
    <row r="70" spans="2:8" s="62" customFormat="1" ht="11.25" customHeight="1">
      <c r="B70" s="64"/>
      <c r="C70" s="86" t="s">
        <v>112</v>
      </c>
      <c r="D70" s="85">
        <v>0</v>
      </c>
      <c r="E70" s="84">
        <v>0</v>
      </c>
      <c r="F70" s="67"/>
      <c r="G70" s="67"/>
      <c r="H70" s="68"/>
    </row>
    <row r="71" spans="2:8" s="62" customFormat="1" ht="11.25" customHeight="1">
      <c r="B71" s="64"/>
      <c r="C71" s="86" t="s">
        <v>113</v>
      </c>
      <c r="D71" s="85">
        <v>0</v>
      </c>
      <c r="E71" s="84">
        <v>0</v>
      </c>
      <c r="F71" s="67"/>
      <c r="G71" s="67"/>
      <c r="H71" s="69"/>
    </row>
    <row r="72" spans="2:8" s="62" customFormat="1" ht="11.25" customHeight="1">
      <c r="B72" s="64" t="s">
        <v>114</v>
      </c>
      <c r="C72" s="86" t="s">
        <v>115</v>
      </c>
      <c r="D72" s="85">
        <v>0</v>
      </c>
      <c r="E72" s="84">
        <v>0</v>
      </c>
      <c r="F72" s="67"/>
      <c r="G72" s="67"/>
      <c r="H72" s="69"/>
    </row>
    <row r="73" spans="2:8" s="62" customFormat="1" ht="11.25" customHeight="1">
      <c r="B73" s="64" t="s">
        <v>116</v>
      </c>
      <c r="C73" s="89"/>
      <c r="D73" s="114">
        <f>SUM(D70:D72)</f>
        <v>0</v>
      </c>
      <c r="E73" s="114">
        <v>0</v>
      </c>
      <c r="F73" s="67"/>
      <c r="G73" s="67"/>
      <c r="H73" s="69"/>
    </row>
    <row r="74" spans="2:8" s="62" customFormat="1" ht="11.25" customHeight="1">
      <c r="B74" s="64"/>
      <c r="C74" s="115" t="s">
        <v>117</v>
      </c>
      <c r="D74" s="112">
        <f>+D73+D67+D60+D56+D46</f>
        <v>23618586312</v>
      </c>
      <c r="E74" s="112">
        <f>+E73+E67+E60+E56+E46</f>
        <v>36088429438</v>
      </c>
      <c r="F74" s="67"/>
      <c r="G74" s="67"/>
      <c r="H74" s="69"/>
    </row>
    <row r="75" spans="2:8" s="62" customFormat="1" ht="11.25" customHeight="1">
      <c r="B75" s="64" t="s">
        <v>118</v>
      </c>
      <c r="C75" s="115" t="s">
        <v>119</v>
      </c>
      <c r="D75" s="113">
        <f>+D74+D36</f>
        <v>45110833923</v>
      </c>
      <c r="E75" s="113">
        <f>+E74+E36</f>
        <v>42052245689</v>
      </c>
      <c r="F75" s="70"/>
      <c r="G75" s="70"/>
      <c r="H75" s="71"/>
    </row>
    <row r="76" spans="2:5" ht="11.25" customHeight="1">
      <c r="B76" s="3" t="s">
        <v>120</v>
      </c>
      <c r="D76" s="4"/>
      <c r="E76" s="4"/>
    </row>
    <row r="77" ht="11.25" customHeight="1">
      <c r="B77" s="3" t="s">
        <v>121</v>
      </c>
    </row>
    <row r="78" spans="2:4" ht="11.25" customHeight="1">
      <c r="B78" s="3" t="s">
        <v>122</v>
      </c>
      <c r="D78" s="4"/>
    </row>
    <row r="79" ht="11.25" customHeight="1">
      <c r="B79" s="3" t="s">
        <v>123</v>
      </c>
    </row>
    <row r="80" ht="11.25" customHeight="1">
      <c r="B80" s="3"/>
    </row>
    <row r="81" ht="11.25" customHeight="1">
      <c r="B81" s="3" t="s">
        <v>124</v>
      </c>
    </row>
    <row r="82" ht="11.25" customHeight="1">
      <c r="B82" s="3" t="s">
        <v>125</v>
      </c>
    </row>
    <row r="83" ht="11.25" customHeight="1">
      <c r="B83" s="3" t="s">
        <v>126</v>
      </c>
    </row>
    <row r="84" ht="11.25" customHeight="1">
      <c r="B84" s="3"/>
    </row>
    <row r="85" ht="11.25" customHeight="1">
      <c r="B85" s="3" t="s">
        <v>127</v>
      </c>
    </row>
    <row r="86" ht="11.25" customHeight="1">
      <c r="B86" s="3"/>
    </row>
    <row r="87" ht="11.25" customHeight="1">
      <c r="B87" s="3"/>
    </row>
    <row r="88" ht="11.25" customHeight="1">
      <c r="B88" s="3"/>
    </row>
    <row r="89" ht="11.25" customHeight="1">
      <c r="B89" s="3"/>
    </row>
    <row r="90" spans="1:2" ht="11.25" customHeight="1">
      <c r="A90" s="56"/>
      <c r="B90" s="54">
        <v>2</v>
      </c>
    </row>
    <row r="91" spans="2:7" ht="11.25" customHeight="1">
      <c r="B91" s="5" t="s">
        <v>128</v>
      </c>
      <c r="C91" s="116"/>
      <c r="D91" s="117"/>
      <c r="E91" s="117"/>
      <c r="G91" s="118"/>
    </row>
    <row r="92" ht="11.25" customHeight="1">
      <c r="B92" s="3" t="s">
        <v>129</v>
      </c>
    </row>
    <row r="93" ht="11.25" customHeight="1">
      <c r="B93" s="3" t="s">
        <v>130</v>
      </c>
    </row>
    <row r="94" ht="11.25" customHeight="1">
      <c r="B94" s="3" t="s">
        <v>131</v>
      </c>
    </row>
    <row r="95" ht="11.25" customHeight="1">
      <c r="B95" s="3"/>
    </row>
    <row r="96" ht="11.25" customHeight="1">
      <c r="B96" s="3" t="s">
        <v>132</v>
      </c>
    </row>
    <row r="97" ht="11.25" customHeight="1">
      <c r="B97" s="3" t="s">
        <v>133</v>
      </c>
    </row>
    <row r="98" ht="11.25" customHeight="1">
      <c r="B98" s="3" t="s">
        <v>134</v>
      </c>
    </row>
    <row r="99" ht="11.25" customHeight="1">
      <c r="B99" s="3" t="s">
        <v>135</v>
      </c>
    </row>
    <row r="100" ht="11.25" customHeight="1">
      <c r="B100" s="3"/>
    </row>
    <row r="101" ht="11.25" customHeight="1">
      <c r="B101" s="3" t="s">
        <v>136</v>
      </c>
    </row>
    <row r="102" ht="11.25" customHeight="1">
      <c r="B102" s="3" t="s">
        <v>137</v>
      </c>
    </row>
    <row r="103" ht="11.25" customHeight="1">
      <c r="B103" s="3" t="s">
        <v>138</v>
      </c>
    </row>
    <row r="104" ht="11.25" customHeight="1">
      <c r="B104" s="3" t="s">
        <v>139</v>
      </c>
    </row>
    <row r="105" ht="11.25" customHeight="1">
      <c r="B105" s="3"/>
    </row>
    <row r="106" ht="11.25" customHeight="1">
      <c r="B106" s="3" t="s">
        <v>140</v>
      </c>
    </row>
    <row r="107" ht="11.25" customHeight="1">
      <c r="B107" s="3" t="s">
        <v>141</v>
      </c>
    </row>
    <row r="108" ht="11.25" customHeight="1">
      <c r="B108" s="3"/>
    </row>
    <row r="109" ht="11.25" customHeight="1">
      <c r="B109" s="3"/>
    </row>
    <row r="110" ht="11.25" customHeight="1">
      <c r="B110" s="3"/>
    </row>
    <row r="111" ht="11.25" customHeight="1">
      <c r="B111" s="3" t="s">
        <v>142</v>
      </c>
    </row>
    <row r="112" ht="11.25" customHeight="1">
      <c r="B112" s="3"/>
    </row>
    <row r="113" ht="11.25" customHeight="1">
      <c r="B113" s="3" t="s">
        <v>143</v>
      </c>
    </row>
    <row r="114" ht="11.25" customHeight="1">
      <c r="B114" s="3" t="s">
        <v>144</v>
      </c>
    </row>
    <row r="115" ht="11.25" customHeight="1">
      <c r="B115" s="3" t="s">
        <v>145</v>
      </c>
    </row>
    <row r="116" ht="11.25" customHeight="1">
      <c r="B116" s="3"/>
    </row>
    <row r="117" ht="11.25" customHeight="1">
      <c r="B117" s="3" t="s">
        <v>146</v>
      </c>
    </row>
    <row r="118" ht="11.25" customHeight="1">
      <c r="B118" s="3" t="s">
        <v>147</v>
      </c>
    </row>
    <row r="119" ht="11.25" customHeight="1">
      <c r="B119" s="3" t="s">
        <v>148</v>
      </c>
    </row>
    <row r="120" ht="11.25" customHeight="1">
      <c r="B120" s="3"/>
    </row>
    <row r="121" ht="11.25" customHeight="1">
      <c r="B121" s="3"/>
    </row>
    <row r="122" ht="11.25" customHeight="1">
      <c r="B122" s="3"/>
    </row>
    <row r="123" ht="11.25" customHeight="1">
      <c r="B123" s="3"/>
    </row>
    <row r="124" ht="11.25" customHeight="1">
      <c r="B124" s="3"/>
    </row>
    <row r="125" ht="11.25" customHeight="1">
      <c r="B125" s="3" t="s">
        <v>149</v>
      </c>
    </row>
    <row r="126" ht="11.25" customHeight="1">
      <c r="B126" s="3" t="s">
        <v>150</v>
      </c>
    </row>
    <row r="127" ht="11.25" customHeight="1">
      <c r="B127" s="3" t="s">
        <v>151</v>
      </c>
    </row>
    <row r="128" ht="11.25" customHeight="1">
      <c r="B128" s="3" t="s">
        <v>152</v>
      </c>
    </row>
    <row r="129" ht="11.25" customHeight="1">
      <c r="B129" s="3"/>
    </row>
    <row r="130" ht="11.25" customHeight="1">
      <c r="B130" s="3" t="s">
        <v>153</v>
      </c>
    </row>
    <row r="131" ht="11.25" customHeight="1">
      <c r="B131" s="3" t="s">
        <v>154</v>
      </c>
    </row>
    <row r="132" ht="11.25" customHeight="1">
      <c r="B132" s="3" t="s">
        <v>155</v>
      </c>
    </row>
    <row r="133" ht="11.25" customHeight="1">
      <c r="B133" s="3" t="s">
        <v>156</v>
      </c>
    </row>
    <row r="134" ht="11.25" customHeight="1">
      <c r="B134" s="3" t="s">
        <v>157</v>
      </c>
    </row>
    <row r="135" ht="11.25" customHeight="1">
      <c r="B135" s="3"/>
    </row>
    <row r="136" ht="11.25" customHeight="1">
      <c r="B136" s="3" t="s">
        <v>158</v>
      </c>
    </row>
    <row r="137" ht="11.25" customHeight="1">
      <c r="B137" s="3" t="s">
        <v>159</v>
      </c>
    </row>
    <row r="138" ht="11.25" customHeight="1">
      <c r="B138" s="3" t="s">
        <v>160</v>
      </c>
    </row>
    <row r="139" ht="11.25" customHeight="1">
      <c r="B139" s="3"/>
    </row>
    <row r="140" ht="11.25" customHeight="1">
      <c r="B140" s="3"/>
    </row>
    <row r="141" ht="11.25" customHeight="1">
      <c r="B141" s="3"/>
    </row>
    <row r="144" spans="4:5" ht="11.25" customHeight="1">
      <c r="D144" s="6"/>
      <c r="E144" s="6"/>
    </row>
    <row r="145" spans="4:5" ht="11.25" customHeight="1">
      <c r="D145" s="7">
        <v>0</v>
      </c>
      <c r="E145" s="6">
        <v>0</v>
      </c>
    </row>
    <row r="148" ht="11.25" customHeight="1">
      <c r="D148" s="8"/>
    </row>
  </sheetData>
  <sheetProtection/>
  <mergeCells count="1">
    <mergeCell ref="C4:H4"/>
  </mergeCells>
  <printOptions/>
  <pageMargins left="0.25" right="0.25" top="0.75" bottom="0.75" header="0.3" footer="0.3"/>
  <pageSetup fitToHeight="1" fitToWidth="1" horizontalDpi="600" verticalDpi="600" orientation="portrait" paperSize="9" scale="6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B1:H15"/>
  <sheetViews>
    <sheetView showGridLines="0" zoomScale="113" zoomScaleNormal="113" zoomScalePageLayoutView="0" workbookViewId="0" topLeftCell="A1">
      <selection activeCell="B4" sqref="B4:F11"/>
    </sheetView>
  </sheetViews>
  <sheetFormatPr defaultColWidth="11.421875" defaultRowHeight="15"/>
  <cols>
    <col min="1" max="1" width="11.421875" style="224" customWidth="1"/>
    <col min="2" max="2" width="32.57421875" style="224" customWidth="1"/>
    <col min="3" max="3" width="22.140625" style="224" bestFit="1" customWidth="1"/>
    <col min="4" max="4" width="14.57421875" style="224" bestFit="1" customWidth="1"/>
    <col min="5" max="5" width="14.140625" style="224" bestFit="1" customWidth="1"/>
    <col min="6" max="6" width="14.57421875" style="224" bestFit="1" customWidth="1"/>
    <col min="7" max="7" width="14.140625" style="224" bestFit="1" customWidth="1"/>
    <col min="8" max="9" width="12.140625" style="224" bestFit="1" customWidth="1"/>
    <col min="10" max="16384" width="11.421875" style="224" customWidth="1"/>
  </cols>
  <sheetData>
    <row r="1" ht="12">
      <c r="C1" s="342" t="s">
        <v>464</v>
      </c>
    </row>
    <row r="2" ht="12">
      <c r="B2" s="343" t="s">
        <v>374</v>
      </c>
    </row>
    <row r="4" spans="2:6" ht="24">
      <c r="B4" s="52" t="s">
        <v>243</v>
      </c>
      <c r="C4" s="52" t="s">
        <v>370</v>
      </c>
      <c r="D4" s="52" t="s">
        <v>323</v>
      </c>
      <c r="E4" s="52" t="s">
        <v>371</v>
      </c>
      <c r="F4" s="52" t="s">
        <v>748</v>
      </c>
    </row>
    <row r="5" spans="2:7" ht="12">
      <c r="B5" s="261" t="s">
        <v>372</v>
      </c>
      <c r="C5" s="204">
        <v>18400000000</v>
      </c>
      <c r="D5" s="344">
        <f>+F5-C5</f>
        <v>5888000001</v>
      </c>
      <c r="E5" s="344">
        <v>0</v>
      </c>
      <c r="F5" s="204">
        <f>+'[2]Balance Gral. Resol. 6'!$G$54</f>
        <v>24288000001</v>
      </c>
      <c r="G5" s="243"/>
    </row>
    <row r="6" spans="2:6" ht="12">
      <c r="B6" s="261" t="s">
        <v>373</v>
      </c>
      <c r="C6" s="344">
        <v>960000091</v>
      </c>
      <c r="D6" s="344">
        <v>0</v>
      </c>
      <c r="E6" s="344">
        <f>+C6</f>
        <v>960000091</v>
      </c>
      <c r="F6" s="204">
        <v>0</v>
      </c>
    </row>
    <row r="7" spans="2:8" ht="12">
      <c r="B7" s="261" t="s">
        <v>94</v>
      </c>
      <c r="C7" s="204">
        <v>1625367533</v>
      </c>
      <c r="D7" s="345">
        <v>0</v>
      </c>
      <c r="E7" s="344">
        <f>+C7-F7</f>
        <v>502176311</v>
      </c>
      <c r="F7" s="204">
        <f>+'[2]Balance Gral. Resol. 6'!$G$62</f>
        <v>1123191222</v>
      </c>
      <c r="G7" s="225"/>
      <c r="H7" s="243"/>
    </row>
    <row r="8" spans="2:6" ht="12">
      <c r="B8" s="261" t="s">
        <v>107</v>
      </c>
      <c r="C8" s="344">
        <v>0</v>
      </c>
      <c r="D8" s="344">
        <v>0</v>
      </c>
      <c r="E8" s="344">
        <v>0</v>
      </c>
      <c r="F8" s="344">
        <f>SUM(C8:E8)</f>
        <v>0</v>
      </c>
    </row>
    <row r="9" spans="2:6" ht="12">
      <c r="B9" s="261" t="s">
        <v>109</v>
      </c>
      <c r="C9" s="204">
        <v>5385823689</v>
      </c>
      <c r="D9" s="344">
        <v>0</v>
      </c>
      <c r="E9" s="344">
        <f>+C9</f>
        <v>5385823689</v>
      </c>
      <c r="F9" s="204">
        <f>+'[2]Balance Gral. Resol. 6'!$G$66</f>
        <v>4647536612</v>
      </c>
    </row>
    <row r="10" spans="2:6" ht="12">
      <c r="B10" s="271" t="s">
        <v>767</v>
      </c>
      <c r="C10" s="202">
        <f>SUM(C5:C9)</f>
        <v>26371191313</v>
      </c>
      <c r="D10" s="202">
        <f>SUM(D5:D9)</f>
        <v>5888000001</v>
      </c>
      <c r="E10" s="202">
        <f>SUM(E5:E9)</f>
        <v>6848000091</v>
      </c>
      <c r="F10" s="202">
        <f>SUM(F5:F9)</f>
        <v>30058727835</v>
      </c>
    </row>
    <row r="11" spans="2:6" ht="12">
      <c r="B11" s="271" t="s">
        <v>790</v>
      </c>
      <c r="C11" s="202">
        <v>19174432436</v>
      </c>
      <c r="D11" s="202">
        <v>11452483025</v>
      </c>
      <c r="E11" s="346">
        <v>-4255724148</v>
      </c>
      <c r="F11" s="202">
        <v>26371191313</v>
      </c>
    </row>
    <row r="12" ht="12">
      <c r="D12" s="243"/>
    </row>
    <row r="13" spans="4:5" ht="12">
      <c r="D13" s="243"/>
      <c r="E13" s="225"/>
    </row>
    <row r="14" spans="2:5" ht="12">
      <c r="B14" s="278" t="s">
        <v>823</v>
      </c>
      <c r="E14" s="243"/>
    </row>
    <row r="15" spans="2:5" ht="12">
      <c r="B15" s="298" t="s">
        <v>375</v>
      </c>
      <c r="E15" s="225"/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B1:D23"/>
  <sheetViews>
    <sheetView showGridLines="0" zoomScale="119" zoomScaleNormal="119" zoomScalePageLayoutView="0" workbookViewId="0" topLeftCell="A1">
      <selection activeCell="G24" sqref="G24"/>
    </sheetView>
  </sheetViews>
  <sheetFormatPr defaultColWidth="11.421875" defaultRowHeight="15"/>
  <cols>
    <col min="1" max="1" width="11.421875" style="154" customWidth="1"/>
    <col min="2" max="2" width="37.140625" style="154" bestFit="1" customWidth="1"/>
    <col min="3" max="4" width="20.421875" style="154" bestFit="1" customWidth="1"/>
    <col min="5" max="16384" width="11.421875" style="154" customWidth="1"/>
  </cols>
  <sheetData>
    <row r="1" ht="12">
      <c r="B1" s="166" t="s">
        <v>471</v>
      </c>
    </row>
    <row r="3" ht="12">
      <c r="B3" s="278" t="s">
        <v>824</v>
      </c>
    </row>
    <row r="6" ht="12">
      <c r="B6" s="347" t="s">
        <v>376</v>
      </c>
    </row>
    <row r="7" spans="2:4" ht="12">
      <c r="B7" s="201" t="s">
        <v>243</v>
      </c>
      <c r="C7" s="201" t="s">
        <v>771</v>
      </c>
      <c r="D7" s="201" t="s">
        <v>685</v>
      </c>
    </row>
    <row r="8" spans="2:4" ht="12">
      <c r="B8" s="173" t="s">
        <v>377</v>
      </c>
      <c r="C8" s="299">
        <f>+'[2]Sheet1'!$O$332</f>
        <v>30698389</v>
      </c>
      <c r="D8" s="299">
        <v>9588098</v>
      </c>
    </row>
    <row r="9" spans="2:4" ht="12">
      <c r="B9" s="173" t="s">
        <v>378</v>
      </c>
      <c r="C9" s="293">
        <f>+'[2]Sheet1'!$O$333</f>
        <v>121922993</v>
      </c>
      <c r="D9" s="293">
        <v>960605376</v>
      </c>
    </row>
    <row r="10" spans="2:4" ht="12">
      <c r="B10" s="173" t="s">
        <v>379</v>
      </c>
      <c r="C10" s="293">
        <f>+'[2]Sheet1'!$O$335</f>
        <v>1093498630</v>
      </c>
      <c r="D10" s="293">
        <v>1982480656</v>
      </c>
    </row>
    <row r="11" spans="2:4" ht="12">
      <c r="B11" s="173" t="s">
        <v>380</v>
      </c>
      <c r="C11" s="293">
        <f>+'[2]Estado de Resultado Resol. 6'!$E$27</f>
        <v>4531514319</v>
      </c>
      <c r="D11" s="299">
        <v>1603604433</v>
      </c>
    </row>
    <row r="12" spans="2:4" ht="12">
      <c r="B12" s="173" t="s">
        <v>381</v>
      </c>
      <c r="C12" s="293">
        <f>+'[2]Sheet1'!$O$340</f>
        <v>620243209</v>
      </c>
      <c r="D12" s="299">
        <v>93517554</v>
      </c>
    </row>
    <row r="13" spans="2:4" ht="12">
      <c r="B13" s="190" t="s">
        <v>382</v>
      </c>
      <c r="C13" s="294">
        <f>SUM(C8:C12)</f>
        <v>6397877540</v>
      </c>
      <c r="D13" s="294">
        <f>SUM(D8:D12)</f>
        <v>4649796117</v>
      </c>
    </row>
    <row r="15" ht="12">
      <c r="B15" s="347" t="s">
        <v>181</v>
      </c>
    </row>
    <row r="16" spans="2:4" ht="12">
      <c r="B16" s="201" t="s">
        <v>243</v>
      </c>
      <c r="C16" s="201" t="str">
        <f>+C7</f>
        <v>AL 30/06/2020</v>
      </c>
      <c r="D16" s="201" t="s">
        <v>685</v>
      </c>
    </row>
    <row r="17" spans="2:4" ht="12">
      <c r="B17" s="173" t="s">
        <v>383</v>
      </c>
      <c r="C17" s="270">
        <v>0</v>
      </c>
      <c r="D17" s="194">
        <v>0</v>
      </c>
    </row>
    <row r="18" spans="2:4" ht="12">
      <c r="B18" s="173" t="s">
        <v>384</v>
      </c>
      <c r="C18" s="194">
        <f>+'[2]Estado de Resultado Resol. 6'!$E$35</f>
        <v>133760000</v>
      </c>
      <c r="D18" s="270">
        <v>84371598</v>
      </c>
    </row>
    <row r="19" spans="2:4" ht="12">
      <c r="B19" s="173" t="s">
        <v>385</v>
      </c>
      <c r="C19" s="194">
        <v>0</v>
      </c>
      <c r="D19" s="270">
        <v>57009917</v>
      </c>
    </row>
    <row r="20" spans="2:4" ht="12">
      <c r="B20" s="190" t="s">
        <v>386</v>
      </c>
      <c r="C20" s="203">
        <f>SUM(C17:C19)</f>
        <v>133760000</v>
      </c>
      <c r="D20" s="203">
        <f>SUM(D17:D19)</f>
        <v>141381515</v>
      </c>
    </row>
    <row r="22" spans="3:4" ht="12">
      <c r="C22" s="266"/>
      <c r="D22" s="266"/>
    </row>
    <row r="23" ht="12">
      <c r="C23" s="266"/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O42"/>
  <sheetViews>
    <sheetView showGridLines="0" zoomScale="133" zoomScaleNormal="133" zoomScalePageLayoutView="0" workbookViewId="0" topLeftCell="L21">
      <selection activeCell="M6" sqref="M6:O35"/>
    </sheetView>
  </sheetViews>
  <sheetFormatPr defaultColWidth="11.421875" defaultRowHeight="15"/>
  <cols>
    <col min="1" max="1" width="32.140625" style="154" hidden="1" customWidth="1"/>
    <col min="2" max="3" width="13.140625" style="154" hidden="1" customWidth="1"/>
    <col min="4" max="4" width="2.00390625" style="355" hidden="1" customWidth="1"/>
    <col min="5" max="5" width="32.140625" style="154" hidden="1" customWidth="1"/>
    <col min="6" max="6" width="13.140625" style="366" hidden="1" customWidth="1"/>
    <col min="7" max="7" width="13.140625" style="154" hidden="1" customWidth="1"/>
    <col min="8" max="8" width="2.00390625" style="154" hidden="1" customWidth="1"/>
    <col min="9" max="9" width="32.140625" style="154" hidden="1" customWidth="1"/>
    <col min="10" max="11" width="13.140625" style="154" hidden="1" customWidth="1"/>
    <col min="12" max="12" width="11.421875" style="154" customWidth="1"/>
    <col min="13" max="13" width="37.421875" style="154" customWidth="1"/>
    <col min="14" max="14" width="17.28125" style="154" bestFit="1" customWidth="1"/>
    <col min="15" max="15" width="16.28125" style="154" bestFit="1" customWidth="1"/>
    <col min="16" max="16" width="15.140625" style="154" bestFit="1" customWidth="1"/>
    <col min="17" max="16384" width="11.421875" style="154" customWidth="1"/>
  </cols>
  <sheetData>
    <row r="1" spans="1:15" s="349" customFormat="1" ht="12">
      <c r="A1" s="508" t="s">
        <v>387</v>
      </c>
      <c r="B1" s="508"/>
      <c r="C1" s="508"/>
      <c r="D1" s="348"/>
      <c r="E1" s="509" t="s">
        <v>388</v>
      </c>
      <c r="F1" s="509"/>
      <c r="G1" s="509"/>
      <c r="I1" s="510" t="s">
        <v>389</v>
      </c>
      <c r="J1" s="510"/>
      <c r="K1" s="510"/>
      <c r="M1" s="511" t="s">
        <v>472</v>
      </c>
      <c r="N1" s="512"/>
      <c r="O1" s="512"/>
    </row>
    <row r="2" spans="1:15" s="349" customFormat="1" ht="12">
      <c r="A2" s="350"/>
      <c r="B2" s="350"/>
      <c r="C2" s="350"/>
      <c r="D2" s="348"/>
      <c r="E2" s="351"/>
      <c r="F2" s="351"/>
      <c r="G2" s="351"/>
      <c r="I2" s="352"/>
      <c r="J2" s="352"/>
      <c r="K2" s="352"/>
      <c r="M2" s="353"/>
      <c r="N2" s="353"/>
      <c r="O2" s="353"/>
    </row>
    <row r="3" spans="1:15" s="349" customFormat="1" ht="12">
      <c r="A3" s="350"/>
      <c r="B3" s="350"/>
      <c r="C3" s="350"/>
      <c r="D3" s="348"/>
      <c r="E3" s="351"/>
      <c r="F3" s="351"/>
      <c r="G3" s="351"/>
      <c r="I3" s="352"/>
      <c r="J3" s="352"/>
      <c r="K3" s="352"/>
      <c r="M3" s="343" t="s">
        <v>416</v>
      </c>
      <c r="N3" s="353"/>
      <c r="O3" s="353"/>
    </row>
    <row r="4" spans="1:15" s="349" customFormat="1" ht="12">
      <c r="A4" s="350"/>
      <c r="B4" s="350"/>
      <c r="C4" s="350"/>
      <c r="D4" s="348"/>
      <c r="E4" s="351"/>
      <c r="F4" s="351"/>
      <c r="G4" s="351"/>
      <c r="I4" s="352"/>
      <c r="J4" s="352"/>
      <c r="K4" s="352"/>
      <c r="M4" s="353"/>
      <c r="N4" s="353"/>
      <c r="O4" s="353"/>
    </row>
    <row r="5" spans="1:15" ht="12">
      <c r="A5" s="354"/>
      <c r="B5" s="354"/>
      <c r="C5" s="354"/>
      <c r="E5" s="356"/>
      <c r="F5" s="356"/>
      <c r="G5" s="356"/>
      <c r="I5" s="357"/>
      <c r="J5" s="357"/>
      <c r="K5" s="357"/>
      <c r="M5" s="358"/>
      <c r="N5" s="358"/>
      <c r="O5" s="358"/>
    </row>
    <row r="6" spans="1:15" ht="12">
      <c r="A6" s="201" t="s">
        <v>243</v>
      </c>
      <c r="B6" s="201" t="s">
        <v>390</v>
      </c>
      <c r="C6" s="201" t="s">
        <v>391</v>
      </c>
      <c r="E6" s="201" t="s">
        <v>243</v>
      </c>
      <c r="F6" s="201" t="s">
        <v>390</v>
      </c>
      <c r="G6" s="201" t="s">
        <v>391</v>
      </c>
      <c r="H6" s="355"/>
      <c r="I6" s="201" t="s">
        <v>243</v>
      </c>
      <c r="J6" s="201" t="s">
        <v>390</v>
      </c>
      <c r="K6" s="201" t="s">
        <v>391</v>
      </c>
      <c r="M6" s="201" t="s">
        <v>243</v>
      </c>
      <c r="N6" s="201" t="s">
        <v>771</v>
      </c>
      <c r="O6" s="201" t="s">
        <v>685</v>
      </c>
    </row>
    <row r="7" spans="1:15" ht="12">
      <c r="A7" s="190" t="s">
        <v>392</v>
      </c>
      <c r="B7" s="359"/>
      <c r="C7" s="359"/>
      <c r="E7" s="190" t="s">
        <v>392</v>
      </c>
      <c r="F7" s="359"/>
      <c r="G7" s="359"/>
      <c r="H7" s="355"/>
      <c r="I7" s="190" t="s">
        <v>392</v>
      </c>
      <c r="J7" s="359"/>
      <c r="K7" s="359"/>
      <c r="M7" s="190" t="s">
        <v>392</v>
      </c>
      <c r="N7" s="360">
        <f>SUM(N8:N11)</f>
        <v>918100428</v>
      </c>
      <c r="O7" s="360">
        <f>SUM(O8:O11)</f>
        <v>595985467</v>
      </c>
    </row>
    <row r="8" spans="1:15" ht="12">
      <c r="A8" s="173" t="s">
        <v>393</v>
      </c>
      <c r="B8" s="359">
        <v>1304116</v>
      </c>
      <c r="C8" s="359">
        <v>3834483</v>
      </c>
      <c r="D8" s="355">
        <v>1</v>
      </c>
      <c r="E8" s="173" t="s">
        <v>393</v>
      </c>
      <c r="F8" s="359">
        <v>0</v>
      </c>
      <c r="G8" s="359">
        <v>3834483</v>
      </c>
      <c r="H8" s="355">
        <v>1</v>
      </c>
      <c r="I8" s="173" t="s">
        <v>393</v>
      </c>
      <c r="J8" s="359">
        <f>+B8+F8</f>
        <v>1304116</v>
      </c>
      <c r="K8" s="359">
        <v>3834483</v>
      </c>
      <c r="M8" s="173" t="s">
        <v>186</v>
      </c>
      <c r="N8" s="361">
        <v>587913683</v>
      </c>
      <c r="O8" s="362">
        <v>271759036</v>
      </c>
    </row>
    <row r="9" spans="1:15" ht="12">
      <c r="A9" s="173" t="s">
        <v>394</v>
      </c>
      <c r="B9" s="359">
        <f>10055005+3727833</f>
        <v>13782838</v>
      </c>
      <c r="C9" s="359">
        <v>32784404</v>
      </c>
      <c r="D9" s="355">
        <v>2</v>
      </c>
      <c r="E9" s="173" t="s">
        <v>394</v>
      </c>
      <c r="F9" s="359">
        <f>6917265+3714900</f>
        <v>10632165</v>
      </c>
      <c r="G9" s="359">
        <v>32784404</v>
      </c>
      <c r="H9" s="355">
        <v>2</v>
      </c>
      <c r="I9" s="173" t="s">
        <v>394</v>
      </c>
      <c r="J9" s="359">
        <f>+B9+F9</f>
        <v>24415003</v>
      </c>
      <c r="K9" s="359">
        <v>32784404</v>
      </c>
      <c r="M9" s="173" t="s">
        <v>187</v>
      </c>
      <c r="N9" s="361">
        <v>330186745</v>
      </c>
      <c r="O9" s="362">
        <v>324226431</v>
      </c>
    </row>
    <row r="10" spans="1:15" ht="12">
      <c r="A10" s="173"/>
      <c r="B10" s="359"/>
      <c r="C10" s="359"/>
      <c r="E10" s="173"/>
      <c r="F10" s="359"/>
      <c r="G10" s="359"/>
      <c r="H10" s="355"/>
      <c r="I10" s="173"/>
      <c r="J10" s="359"/>
      <c r="K10" s="359"/>
      <c r="M10" s="173" t="s">
        <v>395</v>
      </c>
      <c r="N10" s="361">
        <v>0</v>
      </c>
      <c r="O10" s="362">
        <v>0</v>
      </c>
    </row>
    <row r="11" spans="1:15" ht="12">
      <c r="A11" s="173" t="s">
        <v>396</v>
      </c>
      <c r="B11" s="359">
        <f>2081449</f>
        <v>2081449</v>
      </c>
      <c r="C11" s="359">
        <v>23502676</v>
      </c>
      <c r="D11" s="355">
        <v>3</v>
      </c>
      <c r="E11" s="173" t="s">
        <v>396</v>
      </c>
      <c r="F11" s="359">
        <f>1578053+2600000</f>
        <v>4178053</v>
      </c>
      <c r="G11" s="359">
        <v>23502676</v>
      </c>
      <c r="H11" s="355">
        <v>3</v>
      </c>
      <c r="I11" s="173" t="s">
        <v>396</v>
      </c>
      <c r="J11" s="359">
        <f>+B11+F11</f>
        <v>6259502</v>
      </c>
      <c r="K11" s="359">
        <v>23502676</v>
      </c>
      <c r="M11" s="363" t="s">
        <v>392</v>
      </c>
      <c r="N11" s="299">
        <v>0</v>
      </c>
      <c r="O11" s="362">
        <v>0</v>
      </c>
    </row>
    <row r="12" spans="1:15" ht="12">
      <c r="A12" s="190" t="s">
        <v>386</v>
      </c>
      <c r="B12" s="364">
        <f>SUM(B8:B11)</f>
        <v>17168403</v>
      </c>
      <c r="C12" s="364">
        <f>SUM(C8:C11)</f>
        <v>60121563</v>
      </c>
      <c r="E12" s="190" t="s">
        <v>386</v>
      </c>
      <c r="F12" s="364">
        <f>SUM(F8:F11)</f>
        <v>14810218</v>
      </c>
      <c r="G12" s="364">
        <f>SUM(G8:G11)</f>
        <v>60121563</v>
      </c>
      <c r="H12" s="355"/>
      <c r="I12" s="190" t="s">
        <v>386</v>
      </c>
      <c r="J12" s="364">
        <f>SUM(J8:J11)</f>
        <v>31978621</v>
      </c>
      <c r="K12" s="364">
        <f>SUM(K8:K11)</f>
        <v>60121563</v>
      </c>
      <c r="M12" s="190"/>
      <c r="N12" s="365"/>
      <c r="O12" s="362"/>
    </row>
    <row r="13" spans="1:15" ht="12">
      <c r="A13" s="190" t="s">
        <v>397</v>
      </c>
      <c r="B13" s="359"/>
      <c r="C13" s="359"/>
      <c r="E13" s="190" t="s">
        <v>397</v>
      </c>
      <c r="F13" s="359"/>
      <c r="G13" s="359"/>
      <c r="H13" s="355"/>
      <c r="I13" s="190" t="s">
        <v>397</v>
      </c>
      <c r="J13" s="359"/>
      <c r="K13" s="359"/>
      <c r="M13" s="190" t="s">
        <v>190</v>
      </c>
      <c r="N13" s="360">
        <f>SUM(N14:N16)</f>
        <v>3310164</v>
      </c>
      <c r="O13" s="360">
        <f>SUM(O14:O16)</f>
        <v>48218346</v>
      </c>
    </row>
    <row r="14" spans="1:15" ht="12">
      <c r="A14" s="173" t="s">
        <v>398</v>
      </c>
      <c r="B14" s="359">
        <v>30130273</v>
      </c>
      <c r="C14" s="359">
        <v>9325455</v>
      </c>
      <c r="E14" s="173" t="s">
        <v>398</v>
      </c>
      <c r="F14" s="359">
        <v>0</v>
      </c>
      <c r="G14" s="359">
        <v>9325455</v>
      </c>
      <c r="H14" s="355"/>
      <c r="I14" s="173" t="s">
        <v>398</v>
      </c>
      <c r="J14" s="359">
        <v>118735091</v>
      </c>
      <c r="K14" s="359">
        <v>9325455</v>
      </c>
      <c r="M14" s="173" t="s">
        <v>191</v>
      </c>
      <c r="N14" s="361">
        <v>3310164</v>
      </c>
      <c r="O14" s="362">
        <v>48218346</v>
      </c>
    </row>
    <row r="15" spans="1:15" ht="12">
      <c r="A15" s="173" t="s">
        <v>399</v>
      </c>
      <c r="B15" s="359">
        <v>3202315</v>
      </c>
      <c r="C15" s="359">
        <v>12225897</v>
      </c>
      <c r="E15" s="173" t="s">
        <v>399</v>
      </c>
      <c r="F15" s="359">
        <v>4373014</v>
      </c>
      <c r="G15" s="359">
        <v>12225897</v>
      </c>
      <c r="H15" s="355"/>
      <c r="I15" s="173" t="s">
        <v>399</v>
      </c>
      <c r="J15" s="359">
        <v>17074877</v>
      </c>
      <c r="K15" s="359">
        <v>12225897</v>
      </c>
      <c r="M15" s="173" t="s">
        <v>192</v>
      </c>
      <c r="N15" s="361">
        <v>0</v>
      </c>
      <c r="O15" s="362">
        <v>0</v>
      </c>
    </row>
    <row r="16" spans="1:15" ht="12">
      <c r="A16" s="173" t="s">
        <v>400</v>
      </c>
      <c r="B16" s="359">
        <f>2963306+847400</f>
        <v>3810706</v>
      </c>
      <c r="C16" s="359">
        <v>2196794</v>
      </c>
      <c r="D16" s="355">
        <v>4</v>
      </c>
      <c r="E16" s="173" t="s">
        <v>400</v>
      </c>
      <c r="F16" s="359">
        <f>1057700+462235</f>
        <v>1519935</v>
      </c>
      <c r="G16" s="359">
        <v>2196794</v>
      </c>
      <c r="H16" s="355">
        <v>4</v>
      </c>
      <c r="I16" s="173" t="s">
        <v>400</v>
      </c>
      <c r="J16" s="359">
        <f>+B16+F16</f>
        <v>5330641</v>
      </c>
      <c r="K16" s="359">
        <v>2196794</v>
      </c>
      <c r="M16" s="173" t="s">
        <v>193</v>
      </c>
      <c r="N16" s="361">
        <v>0</v>
      </c>
      <c r="O16" s="362">
        <v>0</v>
      </c>
    </row>
    <row r="17" spans="1:15" ht="12">
      <c r="A17" s="190" t="s">
        <v>386</v>
      </c>
      <c r="B17" s="364">
        <f>SUM(B14:B16)</f>
        <v>37143294</v>
      </c>
      <c r="C17" s="364">
        <f>SUM(C14:C16)</f>
        <v>23748146</v>
      </c>
      <c r="E17" s="190" t="s">
        <v>386</v>
      </c>
      <c r="F17" s="364">
        <f>SUM(F14:F16)</f>
        <v>5892949</v>
      </c>
      <c r="G17" s="364">
        <f>SUM(G14:G16)</f>
        <v>23748146</v>
      </c>
      <c r="H17" s="355"/>
      <c r="I17" s="190" t="s">
        <v>386</v>
      </c>
      <c r="J17" s="364">
        <f>SUM(J14:J16)</f>
        <v>141140609</v>
      </c>
      <c r="K17" s="364">
        <f>SUM(K14:K16)</f>
        <v>23748146</v>
      </c>
      <c r="M17" s="190"/>
      <c r="N17" s="365"/>
      <c r="O17" s="362"/>
    </row>
    <row r="18" spans="1:15" ht="12">
      <c r="A18" s="190" t="s">
        <v>206</v>
      </c>
      <c r="B18" s="359"/>
      <c r="C18" s="359"/>
      <c r="E18" s="190" t="s">
        <v>206</v>
      </c>
      <c r="F18" s="359"/>
      <c r="G18" s="359"/>
      <c r="H18" s="355"/>
      <c r="I18" s="190" t="s">
        <v>206</v>
      </c>
      <c r="J18" s="359"/>
      <c r="K18" s="359"/>
      <c r="M18" s="190" t="s">
        <v>194</v>
      </c>
      <c r="N18" s="360">
        <f>SUM(N19:N39)</f>
        <v>2266225728</v>
      </c>
      <c r="O18" s="360">
        <f>SUM(O19:O39)</f>
        <v>2257971125</v>
      </c>
    </row>
    <row r="19" spans="1:15" ht="12">
      <c r="A19" s="173" t="s">
        <v>401</v>
      </c>
      <c r="B19" s="359">
        <v>42111493</v>
      </c>
      <c r="C19" s="359">
        <v>176537423</v>
      </c>
      <c r="E19" s="173" t="s">
        <v>401</v>
      </c>
      <c r="F19" s="359">
        <v>54072165</v>
      </c>
      <c r="G19" s="359">
        <v>176537423</v>
      </c>
      <c r="H19" s="355"/>
      <c r="I19" s="173" t="s">
        <v>401</v>
      </c>
      <c r="J19" s="359">
        <f>+B19+F19</f>
        <v>96183658</v>
      </c>
      <c r="K19" s="359">
        <v>176537423</v>
      </c>
      <c r="M19" s="173" t="s">
        <v>195</v>
      </c>
      <c r="N19" s="361">
        <v>907067570</v>
      </c>
      <c r="O19" s="362">
        <v>641169053</v>
      </c>
    </row>
    <row r="20" spans="1:15" ht="12">
      <c r="A20" s="173" t="s">
        <v>402</v>
      </c>
      <c r="B20" s="359">
        <v>6948396</v>
      </c>
      <c r="C20" s="359">
        <v>29805924</v>
      </c>
      <c r="E20" s="173" t="s">
        <v>402</v>
      </c>
      <c r="F20" s="359">
        <v>8921907</v>
      </c>
      <c r="G20" s="359">
        <v>29805924</v>
      </c>
      <c r="H20" s="355"/>
      <c r="I20" s="173" t="s">
        <v>402</v>
      </c>
      <c r="J20" s="359">
        <f aca="true" t="shared" si="0" ref="J20:J37">+B20+F20</f>
        <v>15870303</v>
      </c>
      <c r="K20" s="359">
        <v>29805924</v>
      </c>
      <c r="M20" s="173" t="s">
        <v>196</v>
      </c>
      <c r="N20" s="361">
        <v>149666149</v>
      </c>
      <c r="O20" s="362">
        <v>106647021</v>
      </c>
    </row>
    <row r="21" spans="1:15" ht="12">
      <c r="A21" s="173"/>
      <c r="B21" s="359"/>
      <c r="C21" s="359"/>
      <c r="E21" s="173"/>
      <c r="F21" s="359"/>
      <c r="G21" s="359"/>
      <c r="H21" s="355"/>
      <c r="I21" s="173"/>
      <c r="J21" s="359"/>
      <c r="K21" s="359"/>
      <c r="M21" s="173" t="s">
        <v>197</v>
      </c>
      <c r="N21" s="361">
        <v>48730</v>
      </c>
      <c r="O21" s="362">
        <v>1088989</v>
      </c>
    </row>
    <row r="22" spans="1:15" ht="12">
      <c r="A22" s="173" t="s">
        <v>403</v>
      </c>
      <c r="B22" s="359">
        <v>2180000</v>
      </c>
      <c r="C22" s="359">
        <v>13977537</v>
      </c>
      <c r="E22" s="173" t="s">
        <v>403</v>
      </c>
      <c r="F22" s="359">
        <v>0</v>
      </c>
      <c r="G22" s="359">
        <v>13977537</v>
      </c>
      <c r="H22" s="355"/>
      <c r="I22" s="173" t="s">
        <v>403</v>
      </c>
      <c r="J22" s="359">
        <f t="shared" si="0"/>
        <v>2180000</v>
      </c>
      <c r="K22" s="359">
        <v>13977537</v>
      </c>
      <c r="M22" s="173" t="s">
        <v>198</v>
      </c>
      <c r="N22" s="361">
        <v>3947112</v>
      </c>
      <c r="O22" s="362">
        <v>2851957</v>
      </c>
    </row>
    <row r="23" spans="1:15" ht="12">
      <c r="A23" s="173" t="s">
        <v>404</v>
      </c>
      <c r="B23" s="359">
        <v>37329636</v>
      </c>
      <c r="C23" s="359">
        <v>153231429</v>
      </c>
      <c r="E23" s="173" t="s">
        <v>404</v>
      </c>
      <c r="F23" s="359">
        <v>37184415</v>
      </c>
      <c r="G23" s="359">
        <v>153231429</v>
      </c>
      <c r="H23" s="355"/>
      <c r="I23" s="173" t="s">
        <v>404</v>
      </c>
      <c r="J23" s="359">
        <f t="shared" si="0"/>
        <v>74514051</v>
      </c>
      <c r="K23" s="359">
        <v>153231429</v>
      </c>
      <c r="M23" s="173" t="s">
        <v>199</v>
      </c>
      <c r="N23" s="361">
        <v>0</v>
      </c>
      <c r="O23" s="362">
        <v>0</v>
      </c>
    </row>
    <row r="24" spans="1:15" ht="12">
      <c r="A24" s="173"/>
      <c r="B24" s="359"/>
      <c r="C24" s="359"/>
      <c r="E24" s="173"/>
      <c r="F24" s="359"/>
      <c r="G24" s="359"/>
      <c r="H24" s="355"/>
      <c r="I24" s="173"/>
      <c r="J24" s="359"/>
      <c r="K24" s="359"/>
      <c r="M24" s="173" t="s">
        <v>200</v>
      </c>
      <c r="N24" s="361">
        <v>0</v>
      </c>
      <c r="O24" s="362">
        <v>3923717</v>
      </c>
    </row>
    <row r="25" spans="1:15" ht="12">
      <c r="A25" s="173" t="s">
        <v>405</v>
      </c>
      <c r="B25" s="359"/>
      <c r="C25" s="359">
        <v>57608294</v>
      </c>
      <c r="E25" s="173" t="s">
        <v>405</v>
      </c>
      <c r="F25" s="359"/>
      <c r="G25" s="359">
        <v>57608294</v>
      </c>
      <c r="H25" s="355"/>
      <c r="I25" s="173" t="s">
        <v>405</v>
      </c>
      <c r="J25" s="359">
        <f t="shared" si="0"/>
        <v>0</v>
      </c>
      <c r="K25" s="359">
        <v>57608294</v>
      </c>
      <c r="M25" s="173" t="s">
        <v>201</v>
      </c>
      <c r="N25" s="361">
        <v>22308316</v>
      </c>
      <c r="O25" s="362">
        <v>0</v>
      </c>
    </row>
    <row r="26" spans="1:15" ht="12">
      <c r="A26" s="173" t="s">
        <v>406</v>
      </c>
      <c r="B26" s="359">
        <v>5034443</v>
      </c>
      <c r="C26" s="359">
        <v>9660910</v>
      </c>
      <c r="E26" s="173" t="s">
        <v>406</v>
      </c>
      <c r="F26" s="359">
        <v>0</v>
      </c>
      <c r="G26" s="359">
        <v>9660910</v>
      </c>
      <c r="H26" s="355"/>
      <c r="I26" s="173" t="s">
        <v>406</v>
      </c>
      <c r="J26" s="359">
        <f t="shared" si="0"/>
        <v>5034443</v>
      </c>
      <c r="K26" s="359">
        <v>9660910</v>
      </c>
      <c r="M26" s="173" t="s">
        <v>202</v>
      </c>
      <c r="N26" s="361">
        <v>0</v>
      </c>
      <c r="O26" s="362">
        <v>1725281</v>
      </c>
    </row>
    <row r="27" spans="1:15" ht="12">
      <c r="A27" s="173" t="s">
        <v>407</v>
      </c>
      <c r="B27" s="359">
        <v>183846</v>
      </c>
      <c r="C27" s="359">
        <v>5328452</v>
      </c>
      <c r="E27" s="173" t="s">
        <v>407</v>
      </c>
      <c r="F27" s="359">
        <v>11830139</v>
      </c>
      <c r="G27" s="359">
        <v>5328452</v>
      </c>
      <c r="H27" s="355"/>
      <c r="I27" s="173" t="s">
        <v>407</v>
      </c>
      <c r="J27" s="359">
        <v>18126480</v>
      </c>
      <c r="K27" s="359">
        <v>5328452</v>
      </c>
      <c r="M27" s="173" t="s">
        <v>203</v>
      </c>
      <c r="N27" s="361">
        <v>0</v>
      </c>
      <c r="O27" s="362">
        <v>14035929</v>
      </c>
    </row>
    <row r="28" spans="1:15" ht="12">
      <c r="A28" s="173" t="s">
        <v>408</v>
      </c>
      <c r="B28" s="359">
        <v>2631100</v>
      </c>
      <c r="C28" s="359">
        <v>4946956</v>
      </c>
      <c r="E28" s="173" t="s">
        <v>408</v>
      </c>
      <c r="F28" s="359">
        <v>0</v>
      </c>
      <c r="G28" s="359">
        <v>4946956</v>
      </c>
      <c r="H28" s="355"/>
      <c r="I28" s="173" t="s">
        <v>408</v>
      </c>
      <c r="J28" s="359">
        <f t="shared" si="0"/>
        <v>2631100</v>
      </c>
      <c r="K28" s="359">
        <v>4946956</v>
      </c>
      <c r="M28" s="173" t="s">
        <v>204</v>
      </c>
      <c r="N28" s="361">
        <v>13459234</v>
      </c>
      <c r="O28" s="362">
        <v>11898200</v>
      </c>
    </row>
    <row r="29" spans="1:15" ht="12">
      <c r="A29" s="173" t="s">
        <v>409</v>
      </c>
      <c r="B29" s="359">
        <f>2557240+5144442+6537619+8994085+420000+4551013+18126480+3723731+4016787+11605205+3051734</f>
        <v>68728336</v>
      </c>
      <c r="C29" s="359">
        <v>178982976</v>
      </c>
      <c r="D29" s="355">
        <v>5</v>
      </c>
      <c r="E29" s="173" t="s">
        <v>409</v>
      </c>
      <c r="F29" s="359">
        <f>2979582+21944658+520173+866500+6899046+689091+551636+24801036+2545205+1257988+71000+11801324+145+1045455+4629798+363636</f>
        <v>80966273</v>
      </c>
      <c r="G29" s="359">
        <v>178982976</v>
      </c>
      <c r="H29" s="355">
        <v>5</v>
      </c>
      <c r="I29" s="173" t="s">
        <v>409</v>
      </c>
      <c r="J29" s="359">
        <v>112381988</v>
      </c>
      <c r="K29" s="359">
        <v>178982976</v>
      </c>
      <c r="M29" s="173" t="s">
        <v>205</v>
      </c>
      <c r="N29" s="361">
        <v>33610585</v>
      </c>
      <c r="O29" s="362">
        <v>792211736</v>
      </c>
    </row>
    <row r="30" spans="1:15" ht="12">
      <c r="A30" s="173" t="s">
        <v>410</v>
      </c>
      <c r="B30" s="359">
        <v>45865609</v>
      </c>
      <c r="C30" s="359">
        <v>226442873</v>
      </c>
      <c r="E30" s="173" t="s">
        <v>410</v>
      </c>
      <c r="F30" s="359">
        <v>29976971</v>
      </c>
      <c r="G30" s="359">
        <v>226442873</v>
      </c>
      <c r="H30" s="355"/>
      <c r="I30" s="173" t="s">
        <v>410</v>
      </c>
      <c r="J30" s="359">
        <v>79266320</v>
      </c>
      <c r="K30" s="359">
        <v>226442873</v>
      </c>
      <c r="M30" s="173" t="s">
        <v>206</v>
      </c>
      <c r="N30" s="361">
        <v>249861637</v>
      </c>
      <c r="O30" s="362">
        <v>162501624</v>
      </c>
    </row>
    <row r="31" spans="1:15" ht="12">
      <c r="A31" s="173" t="s">
        <v>411</v>
      </c>
      <c r="B31" s="359">
        <v>120000000</v>
      </c>
      <c r="C31" s="359">
        <v>395433334</v>
      </c>
      <c r="E31" s="173" t="s">
        <v>411</v>
      </c>
      <c r="F31" s="359">
        <v>120000000</v>
      </c>
      <c r="G31" s="359">
        <v>395433334</v>
      </c>
      <c r="H31" s="355"/>
      <c r="I31" s="173" t="s">
        <v>411</v>
      </c>
      <c r="J31" s="359">
        <f t="shared" si="0"/>
        <v>240000000</v>
      </c>
      <c r="K31" s="359">
        <v>395433334</v>
      </c>
      <c r="M31" s="173" t="s">
        <v>207</v>
      </c>
      <c r="N31" s="361">
        <v>38751818</v>
      </c>
      <c r="O31" s="362">
        <v>168000000</v>
      </c>
    </row>
    <row r="32" spans="1:15" ht="12">
      <c r="A32" s="173" t="s">
        <v>412</v>
      </c>
      <c r="B32" s="359">
        <v>48727274</v>
      </c>
      <c r="C32" s="359">
        <v>123333334</v>
      </c>
      <c r="E32" s="173" t="s">
        <v>412</v>
      </c>
      <c r="F32" s="359">
        <v>19636364</v>
      </c>
      <c r="G32" s="359">
        <v>123333334</v>
      </c>
      <c r="H32" s="355"/>
      <c r="I32" s="173" t="s">
        <v>412</v>
      </c>
      <c r="J32" s="359">
        <f t="shared" si="0"/>
        <v>68363638</v>
      </c>
      <c r="K32" s="359">
        <v>123333334</v>
      </c>
      <c r="M32" s="173" t="s">
        <v>208</v>
      </c>
      <c r="N32" s="361">
        <v>358545454</v>
      </c>
      <c r="O32" s="362">
        <v>0</v>
      </c>
    </row>
    <row r="33" spans="1:15" ht="12">
      <c r="A33" s="173" t="s">
        <v>413</v>
      </c>
      <c r="B33" s="359">
        <v>5788050</v>
      </c>
      <c r="C33" s="359">
        <v>1154545</v>
      </c>
      <c r="E33" s="173" t="s">
        <v>413</v>
      </c>
      <c r="F33" s="359">
        <v>172727</v>
      </c>
      <c r="G33" s="359">
        <v>1154545</v>
      </c>
      <c r="H33" s="355"/>
      <c r="I33" s="173" t="s">
        <v>413</v>
      </c>
      <c r="J33" s="359">
        <f t="shared" si="0"/>
        <v>5960777</v>
      </c>
      <c r="K33" s="359">
        <v>1154545</v>
      </c>
      <c r="M33" s="173" t="s">
        <v>209</v>
      </c>
      <c r="N33" s="361">
        <v>274679666</v>
      </c>
      <c r="O33" s="362">
        <v>3636363</v>
      </c>
    </row>
    <row r="34" spans="1:15" ht="12">
      <c r="A34" s="173" t="s">
        <v>414</v>
      </c>
      <c r="B34" s="359">
        <v>1747200</v>
      </c>
      <c r="C34" s="359">
        <v>1234487</v>
      </c>
      <c r="E34" s="173" t="s">
        <v>414</v>
      </c>
      <c r="F34" s="359">
        <v>0</v>
      </c>
      <c r="G34" s="359">
        <v>1234487</v>
      </c>
      <c r="H34" s="355"/>
      <c r="I34" s="173" t="s">
        <v>414</v>
      </c>
      <c r="J34" s="359">
        <f t="shared" si="0"/>
        <v>1747200</v>
      </c>
      <c r="K34" s="359">
        <v>1234487</v>
      </c>
      <c r="M34" s="173" t="s">
        <v>210</v>
      </c>
      <c r="N34" s="361">
        <v>863636</v>
      </c>
      <c r="O34" s="362">
        <v>113657379</v>
      </c>
    </row>
    <row r="35" spans="1:15" ht="12">
      <c r="A35" s="173"/>
      <c r="B35" s="359"/>
      <c r="C35" s="359"/>
      <c r="E35" s="173"/>
      <c r="F35" s="359"/>
      <c r="G35" s="359"/>
      <c r="H35" s="355"/>
      <c r="I35" s="173"/>
      <c r="J35" s="359"/>
      <c r="K35" s="359"/>
      <c r="M35" s="173" t="s">
        <v>211</v>
      </c>
      <c r="N35" s="361">
        <v>213415821</v>
      </c>
      <c r="O35" s="362">
        <v>234623876</v>
      </c>
    </row>
    <row r="36" spans="1:15" ht="12">
      <c r="A36" s="173"/>
      <c r="B36" s="359"/>
      <c r="C36" s="359"/>
      <c r="E36" s="173"/>
      <c r="F36" s="359"/>
      <c r="G36" s="359"/>
      <c r="H36" s="355"/>
      <c r="I36" s="173"/>
      <c r="J36" s="359"/>
      <c r="K36" s="359"/>
      <c r="M36" s="173" t="s">
        <v>212</v>
      </c>
      <c r="N36" s="361"/>
      <c r="O36" s="362">
        <v>0</v>
      </c>
    </row>
    <row r="37" spans="1:15" ht="12">
      <c r="A37" s="173" t="s">
        <v>415</v>
      </c>
      <c r="B37" s="359"/>
      <c r="C37" s="359">
        <v>1000000</v>
      </c>
      <c r="E37" s="173" t="s">
        <v>415</v>
      </c>
      <c r="F37" s="359">
        <v>0</v>
      </c>
      <c r="G37" s="359">
        <v>1000000</v>
      </c>
      <c r="H37" s="355"/>
      <c r="I37" s="173" t="s">
        <v>415</v>
      </c>
      <c r="J37" s="359">
        <f t="shared" si="0"/>
        <v>0</v>
      </c>
      <c r="K37" s="359">
        <v>1000000</v>
      </c>
      <c r="M37" s="173" t="s">
        <v>213</v>
      </c>
      <c r="N37" s="361">
        <v>0</v>
      </c>
      <c r="O37" s="362">
        <v>0</v>
      </c>
    </row>
    <row r="38" spans="1:15" ht="12">
      <c r="A38" s="173"/>
      <c r="B38" s="359"/>
      <c r="C38" s="359"/>
      <c r="E38" s="173"/>
      <c r="F38" s="359"/>
      <c r="G38" s="359"/>
      <c r="H38" s="355"/>
      <c r="I38" s="173"/>
      <c r="J38" s="359"/>
      <c r="K38" s="359"/>
      <c r="M38" s="173" t="s">
        <v>214</v>
      </c>
      <c r="N38" s="361">
        <v>0</v>
      </c>
      <c r="O38" s="362">
        <v>0</v>
      </c>
    </row>
    <row r="39" spans="1:15" ht="12">
      <c r="A39" s="173"/>
      <c r="B39" s="359"/>
      <c r="C39" s="359"/>
      <c r="E39" s="173"/>
      <c r="F39" s="359"/>
      <c r="G39" s="359"/>
      <c r="H39" s="355"/>
      <c r="I39" s="173"/>
      <c r="J39" s="359"/>
      <c r="K39" s="359"/>
      <c r="M39" s="173" t="s">
        <v>215</v>
      </c>
      <c r="N39" s="361">
        <v>0</v>
      </c>
      <c r="O39" s="362">
        <v>0</v>
      </c>
    </row>
    <row r="40" ht="12">
      <c r="N40" s="156"/>
    </row>
    <row r="41" ht="12">
      <c r="N41" s="366"/>
    </row>
    <row r="42" ht="12">
      <c r="N42" s="156"/>
    </row>
  </sheetData>
  <sheetProtection/>
  <mergeCells count="4">
    <mergeCell ref="A1:C1"/>
    <mergeCell ref="E1:G1"/>
    <mergeCell ref="I1:K1"/>
    <mergeCell ref="M1:O1"/>
  </mergeCells>
  <hyperlinks>
    <hyperlink ref="M1:O1" location="'Balance 14 04'!A1" display="'Balance 14 04'!A1"/>
  </hyperlinks>
  <printOptions/>
  <pageMargins left="0.7" right="0.7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B1:D10"/>
  <sheetViews>
    <sheetView showGridLines="0" zoomScalePageLayoutView="0" workbookViewId="0" topLeftCell="A1">
      <selection activeCell="B5" sqref="B5:D10"/>
    </sheetView>
  </sheetViews>
  <sheetFormatPr defaultColWidth="11.421875" defaultRowHeight="15"/>
  <cols>
    <col min="1" max="1" width="11.421875" style="154" customWidth="1"/>
    <col min="2" max="2" width="37.7109375" style="154" bestFit="1" customWidth="1"/>
    <col min="3" max="3" width="13.7109375" style="154" bestFit="1" customWidth="1"/>
    <col min="4" max="4" width="13.28125" style="154" bestFit="1" customWidth="1"/>
    <col min="5" max="16384" width="11.421875" style="154" customWidth="1"/>
  </cols>
  <sheetData>
    <row r="1" ht="12">
      <c r="B1" s="166" t="s">
        <v>471</v>
      </c>
    </row>
    <row r="2" ht="12">
      <c r="B2" s="278" t="s">
        <v>825</v>
      </c>
    </row>
    <row r="5" spans="2:4" ht="12">
      <c r="B5" s="201" t="s">
        <v>243</v>
      </c>
      <c r="C5" s="201" t="s">
        <v>771</v>
      </c>
      <c r="D5" s="201" t="s">
        <v>685</v>
      </c>
    </row>
    <row r="6" spans="2:4" ht="12">
      <c r="B6" s="190" t="s">
        <v>219</v>
      </c>
      <c r="C6" s="367">
        <f>+C7</f>
        <v>0</v>
      </c>
      <c r="D6" s="203">
        <f>+D7</f>
        <v>0</v>
      </c>
    </row>
    <row r="7" spans="2:4" ht="12">
      <c r="B7" s="173" t="s">
        <v>219</v>
      </c>
      <c r="C7" s="368">
        <v>0</v>
      </c>
      <c r="D7" s="194">
        <v>0</v>
      </c>
    </row>
    <row r="8" spans="2:4" ht="12">
      <c r="B8" s="190" t="s">
        <v>218</v>
      </c>
      <c r="C8" s="367">
        <f>+C9</f>
        <v>702695828</v>
      </c>
      <c r="D8" s="203"/>
    </row>
    <row r="9" spans="2:4" ht="12">
      <c r="B9" s="173" t="str">
        <f>+B8</f>
        <v>Otros Ingresos</v>
      </c>
      <c r="C9" s="368">
        <f>+'[2]Estado de Resultado Resol. 6'!$E$75</f>
        <v>702695828</v>
      </c>
      <c r="D9" s="194">
        <v>0</v>
      </c>
    </row>
    <row r="10" spans="2:4" ht="12">
      <c r="B10" s="190" t="s">
        <v>386</v>
      </c>
      <c r="C10" s="367">
        <f>+C8</f>
        <v>702695828</v>
      </c>
      <c r="D10" s="203">
        <v>0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B1:D13"/>
  <sheetViews>
    <sheetView showGridLines="0" zoomScale="115" zoomScaleNormal="115" zoomScalePageLayoutView="0" workbookViewId="0" topLeftCell="A1">
      <selection activeCell="B5" sqref="B5:D13"/>
    </sheetView>
  </sheetViews>
  <sheetFormatPr defaultColWidth="11.421875" defaultRowHeight="15"/>
  <cols>
    <col min="1" max="1" width="11.421875" style="154" customWidth="1"/>
    <col min="2" max="2" width="37.7109375" style="154" bestFit="1" customWidth="1"/>
    <col min="3" max="4" width="14.28125" style="154" bestFit="1" customWidth="1"/>
    <col min="5" max="16384" width="11.421875" style="154" customWidth="1"/>
  </cols>
  <sheetData>
    <row r="1" ht="12">
      <c r="B1" s="166" t="s">
        <v>471</v>
      </c>
    </row>
    <row r="3" ht="12">
      <c r="B3" s="278" t="s">
        <v>826</v>
      </c>
    </row>
    <row r="5" spans="2:4" ht="12">
      <c r="B5" s="201" t="s">
        <v>243</v>
      </c>
      <c r="C5" s="201" t="s">
        <v>771</v>
      </c>
      <c r="D5" s="201" t="s">
        <v>685</v>
      </c>
    </row>
    <row r="6" spans="2:4" ht="12">
      <c r="B6" s="190" t="s">
        <v>417</v>
      </c>
      <c r="C6" s="194"/>
      <c r="D6" s="194"/>
    </row>
    <row r="7" spans="2:4" ht="12">
      <c r="B7" s="173" t="s">
        <v>418</v>
      </c>
      <c r="C7" s="194">
        <v>620243209</v>
      </c>
      <c r="D7" s="194">
        <v>491000</v>
      </c>
    </row>
    <row r="8" spans="2:4" ht="12">
      <c r="B8" s="173" t="s">
        <v>223</v>
      </c>
      <c r="C8" s="194">
        <v>1170551570</v>
      </c>
      <c r="D8" s="270">
        <v>1787207215</v>
      </c>
    </row>
    <row r="9" spans="2:4" ht="12">
      <c r="B9" s="190" t="s">
        <v>386</v>
      </c>
      <c r="C9" s="203">
        <f>SUM(C7:C8)</f>
        <v>1790794779</v>
      </c>
      <c r="D9" s="203">
        <f>SUM(D7:D8)</f>
        <v>1787698215</v>
      </c>
    </row>
    <row r="10" spans="2:4" ht="12">
      <c r="B10" s="190" t="s">
        <v>419</v>
      </c>
      <c r="C10" s="194"/>
      <c r="D10" s="194"/>
    </row>
    <row r="11" spans="2:4" ht="12">
      <c r="B11" s="173" t="s">
        <v>420</v>
      </c>
      <c r="C11" s="270">
        <v>336498990</v>
      </c>
      <c r="D11" s="194">
        <v>766259197</v>
      </c>
    </row>
    <row r="12" spans="2:4" ht="12">
      <c r="B12" s="173" t="s">
        <v>223</v>
      </c>
      <c r="C12" s="270">
        <v>334213016</v>
      </c>
      <c r="D12" s="270">
        <v>129350869</v>
      </c>
    </row>
    <row r="13" spans="2:4" ht="12">
      <c r="B13" s="190" t="s">
        <v>386</v>
      </c>
      <c r="C13" s="365">
        <f>SUM(C11:C12)</f>
        <v>670712006</v>
      </c>
      <c r="D13" s="203">
        <f>SUM(D11:D12)</f>
        <v>895610066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B1:D11"/>
  <sheetViews>
    <sheetView showGridLines="0" zoomScalePageLayoutView="0" workbookViewId="0" topLeftCell="A1">
      <selection activeCell="B28" sqref="B28"/>
    </sheetView>
  </sheetViews>
  <sheetFormatPr defaultColWidth="11.421875" defaultRowHeight="15"/>
  <cols>
    <col min="1" max="1" width="11.421875" style="154" customWidth="1"/>
    <col min="2" max="2" width="37.7109375" style="154" bestFit="1" customWidth="1"/>
    <col min="3" max="3" width="13.7109375" style="154" bestFit="1" customWidth="1"/>
    <col min="4" max="4" width="13.28125" style="154" bestFit="1" customWidth="1"/>
    <col min="5" max="16384" width="11.421875" style="154" customWidth="1"/>
  </cols>
  <sheetData>
    <row r="1" ht="12">
      <c r="B1" s="166" t="s">
        <v>471</v>
      </c>
    </row>
    <row r="3" ht="12">
      <c r="B3" s="154" t="s">
        <v>827</v>
      </c>
    </row>
    <row r="5" spans="2:4" ht="12">
      <c r="B5" s="201" t="s">
        <v>243</v>
      </c>
      <c r="C5" s="201" t="s">
        <v>771</v>
      </c>
      <c r="D5" s="201" t="s">
        <v>685</v>
      </c>
    </row>
    <row r="6" spans="2:4" ht="12">
      <c r="B6" s="190" t="s">
        <v>421</v>
      </c>
      <c r="C6" s="190"/>
      <c r="D6" s="190"/>
    </row>
    <row r="7" spans="2:4" ht="12">
      <c r="B7" s="173" t="s">
        <v>422</v>
      </c>
      <c r="C7" s="369">
        <v>0</v>
      </c>
      <c r="D7" s="368">
        <v>0</v>
      </c>
    </row>
    <row r="8" spans="2:4" ht="12">
      <c r="B8" s="190" t="s">
        <v>386</v>
      </c>
      <c r="C8" s="370">
        <f>SUM(C7)</f>
        <v>0</v>
      </c>
      <c r="D8" s="370">
        <f>SUM(D7)</f>
        <v>0</v>
      </c>
    </row>
    <row r="9" spans="2:4" ht="12">
      <c r="B9" s="190" t="s">
        <v>423</v>
      </c>
      <c r="C9" s="190"/>
      <c r="D9" s="190"/>
    </row>
    <row r="10" spans="2:4" ht="12">
      <c r="B10" s="173" t="s">
        <v>424</v>
      </c>
      <c r="C10" s="369">
        <v>0</v>
      </c>
      <c r="D10" s="369">
        <v>0</v>
      </c>
    </row>
    <row r="11" spans="2:4" ht="12">
      <c r="B11" s="190" t="s">
        <v>386</v>
      </c>
      <c r="C11" s="370">
        <f>SUM(C10)</f>
        <v>0</v>
      </c>
      <c r="D11" s="370">
        <f>SUM(D10)</f>
        <v>0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C1:C20"/>
  <sheetViews>
    <sheetView showGridLines="0" zoomScale="138" zoomScaleNormal="138" zoomScalePageLayoutView="0" workbookViewId="0" topLeftCell="A1">
      <selection activeCell="A1" sqref="A1:IV16384"/>
    </sheetView>
  </sheetViews>
  <sheetFormatPr defaultColWidth="11.421875" defaultRowHeight="15"/>
  <cols>
    <col min="3" max="3" width="93.140625" style="17" customWidth="1"/>
  </cols>
  <sheetData>
    <row r="1" ht="15">
      <c r="C1" s="39" t="s">
        <v>464</v>
      </c>
    </row>
    <row r="3" ht="15">
      <c r="C3" s="12" t="s">
        <v>425</v>
      </c>
    </row>
    <row r="4" ht="15">
      <c r="C4" s="9" t="s">
        <v>426</v>
      </c>
    </row>
    <row r="5" ht="15">
      <c r="C5" s="13" t="s">
        <v>427</v>
      </c>
    </row>
    <row r="6" ht="15">
      <c r="C6" s="9" t="s">
        <v>428</v>
      </c>
    </row>
    <row r="7" ht="15">
      <c r="C7" s="13" t="s">
        <v>427</v>
      </c>
    </row>
    <row r="8" ht="15">
      <c r="C8" s="9" t="s">
        <v>429</v>
      </c>
    </row>
    <row r="9" ht="54.75" customHeight="1">
      <c r="C9" s="60" t="s">
        <v>792</v>
      </c>
    </row>
    <row r="10" ht="15">
      <c r="C10" s="9" t="s">
        <v>430</v>
      </c>
    </row>
    <row r="11" ht="15">
      <c r="C11" s="13" t="s">
        <v>431</v>
      </c>
    </row>
    <row r="12" ht="15">
      <c r="C12" s="9" t="s">
        <v>432</v>
      </c>
    </row>
    <row r="13" ht="15">
      <c r="C13" s="13" t="s">
        <v>433</v>
      </c>
    </row>
    <row r="14" ht="15">
      <c r="C14" s="9" t="s">
        <v>434</v>
      </c>
    </row>
    <row r="15" ht="15">
      <c r="C15" s="13" t="s">
        <v>433</v>
      </c>
    </row>
    <row r="16" ht="15">
      <c r="C16" s="9" t="s">
        <v>435</v>
      </c>
    </row>
    <row r="17" ht="15">
      <c r="C17" s="13" t="s">
        <v>433</v>
      </c>
    </row>
    <row r="18" ht="15">
      <c r="C18" s="13"/>
    </row>
    <row r="19" ht="15">
      <c r="C19" s="9" t="s">
        <v>436</v>
      </c>
    </row>
    <row r="20" ht="15">
      <c r="C20" s="13" t="s">
        <v>437</v>
      </c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C3:J103"/>
  <sheetViews>
    <sheetView showGridLines="0" zoomScale="156" zoomScaleNormal="156" zoomScalePageLayoutView="0" workbookViewId="0" topLeftCell="A43">
      <selection activeCell="E110" sqref="E110"/>
    </sheetView>
  </sheetViews>
  <sheetFormatPr defaultColWidth="11.421875" defaultRowHeight="15"/>
  <cols>
    <col min="1" max="2" width="11.421875" style="1" customWidth="1"/>
    <col min="3" max="3" width="43.421875" style="1" customWidth="1"/>
    <col min="4" max="4" width="0.2890625" style="1" customWidth="1"/>
    <col min="5" max="6" width="11.8515625" style="1" customWidth="1"/>
    <col min="7" max="7" width="14.28125" style="1" bestFit="1" customWidth="1"/>
    <col min="8" max="8" width="13.8515625" style="6" bestFit="1" customWidth="1"/>
    <col min="9" max="9" width="12.28125" style="1" bestFit="1" customWidth="1"/>
    <col min="10" max="16384" width="11.421875" style="1" customWidth="1"/>
  </cols>
  <sheetData>
    <row r="3" spans="3:6" ht="15" customHeight="1">
      <c r="C3" s="475" t="s">
        <v>0</v>
      </c>
      <c r="D3" s="475"/>
      <c r="E3" s="475"/>
      <c r="F3" s="475"/>
    </row>
    <row r="4" spans="3:6" ht="15" customHeight="1">
      <c r="C4" s="475" t="s">
        <v>161</v>
      </c>
      <c r="D4" s="475"/>
      <c r="E4" s="475"/>
      <c r="F4" s="475"/>
    </row>
    <row r="5" spans="3:9" s="62" customFormat="1" ht="26.25" customHeight="1">
      <c r="C5" s="474" t="str">
        <f>+'[2]Balance Gral. Resol. 6'!E4</f>
        <v>CORRESPONDIENTE AL 30 DE JUNIO DE 2020 PRESENTADO EN FORMA COMPARATIVA CON EL EJERCICIO ANTERIOR CERRADO EL  30 DE JUNIO DE  2019.</v>
      </c>
      <c r="D5" s="474"/>
      <c r="E5" s="474"/>
      <c r="F5" s="474"/>
      <c r="G5" s="119"/>
      <c r="H5" s="119"/>
      <c r="I5" s="119"/>
    </row>
    <row r="6" ht="11.25">
      <c r="E6" s="120"/>
    </row>
    <row r="7" ht="11.25">
      <c r="E7" s="121" t="s">
        <v>162</v>
      </c>
    </row>
    <row r="9" spans="3:6" ht="9.75" customHeight="1">
      <c r="C9" s="371"/>
      <c r="D9" s="372"/>
      <c r="E9" s="373">
        <v>44012</v>
      </c>
      <c r="F9" s="374">
        <v>43646</v>
      </c>
    </row>
    <row r="10" spans="3:6" ht="9.75" customHeight="1">
      <c r="C10" s="375" t="s">
        <v>163</v>
      </c>
      <c r="D10" s="376"/>
      <c r="E10" s="133"/>
      <c r="F10" s="377"/>
    </row>
    <row r="11" spans="3:6" ht="9.75" customHeight="1">
      <c r="C11" s="375" t="s">
        <v>164</v>
      </c>
      <c r="D11" s="376"/>
      <c r="E11" s="378">
        <v>152621382</v>
      </c>
      <c r="F11" s="379">
        <v>970193474</v>
      </c>
    </row>
    <row r="12" spans="3:6" ht="9.75" customHeight="1">
      <c r="C12" s="380" t="s">
        <v>165</v>
      </c>
      <c r="D12" s="376"/>
      <c r="E12" s="133">
        <v>30698389</v>
      </c>
      <c r="F12" s="377">
        <v>9588098</v>
      </c>
    </row>
    <row r="13" spans="3:6" ht="9.75" customHeight="1">
      <c r="C13" s="380" t="s">
        <v>166</v>
      </c>
      <c r="D13" s="376"/>
      <c r="E13" s="133">
        <v>121922993</v>
      </c>
      <c r="F13" s="377">
        <v>960605376</v>
      </c>
    </row>
    <row r="14" spans="3:6" ht="9.75" customHeight="1">
      <c r="C14" s="380"/>
      <c r="D14" s="376"/>
      <c r="E14" s="133"/>
      <c r="F14" s="377"/>
    </row>
    <row r="15" spans="3:6" ht="9.75" customHeight="1">
      <c r="C15" s="375" t="s">
        <v>167</v>
      </c>
      <c r="D15" s="376"/>
      <c r="E15" s="133"/>
      <c r="F15" s="377"/>
    </row>
    <row r="16" spans="3:6" ht="9.75" customHeight="1">
      <c r="C16" s="380" t="s">
        <v>168</v>
      </c>
      <c r="D16" s="376"/>
      <c r="E16" s="133">
        <v>0</v>
      </c>
      <c r="F16" s="377">
        <v>0</v>
      </c>
    </row>
    <row r="17" spans="3:6" ht="9.75" customHeight="1">
      <c r="C17" s="380" t="s">
        <v>169</v>
      </c>
      <c r="D17" s="376"/>
      <c r="E17" s="133">
        <v>0</v>
      </c>
      <c r="F17" s="377">
        <v>0</v>
      </c>
    </row>
    <row r="18" spans="3:6" ht="9.75" customHeight="1">
      <c r="C18" s="380"/>
      <c r="D18" s="376"/>
      <c r="E18" s="133"/>
      <c r="F18" s="377"/>
    </row>
    <row r="19" spans="3:6" ht="9.75" customHeight="1">
      <c r="C19" s="375" t="s">
        <v>170</v>
      </c>
      <c r="D19" s="376"/>
      <c r="E19" s="133"/>
      <c r="F19" s="377"/>
    </row>
    <row r="20" spans="3:6" ht="9.75" customHeight="1">
      <c r="C20" s="380" t="s">
        <v>171</v>
      </c>
      <c r="D20" s="376"/>
      <c r="E20" s="133">
        <v>0</v>
      </c>
      <c r="F20" s="377">
        <v>0</v>
      </c>
    </row>
    <row r="21" spans="3:6" ht="9.75" customHeight="1">
      <c r="C21" s="380" t="s">
        <v>172</v>
      </c>
      <c r="D21" s="376"/>
      <c r="E21" s="133">
        <v>0</v>
      </c>
      <c r="F21" s="377">
        <v>0</v>
      </c>
    </row>
    <row r="22" spans="3:6" ht="9.75" customHeight="1">
      <c r="C22" s="380"/>
      <c r="D22" s="376"/>
      <c r="E22" s="133"/>
      <c r="F22" s="377"/>
    </row>
    <row r="23" spans="3:6" ht="9.75" customHeight="1">
      <c r="C23" s="375" t="s">
        <v>173</v>
      </c>
      <c r="D23" s="376"/>
      <c r="E23" s="133">
        <v>0</v>
      </c>
      <c r="F23" s="377">
        <v>0</v>
      </c>
    </row>
    <row r="24" spans="3:6" ht="9.75" customHeight="1">
      <c r="C24" s="375" t="s">
        <v>174</v>
      </c>
      <c r="D24" s="376"/>
      <c r="E24" s="133">
        <v>0</v>
      </c>
      <c r="F24" s="377">
        <v>0</v>
      </c>
    </row>
    <row r="25" spans="3:6" ht="9.75" customHeight="1">
      <c r="C25" s="375" t="s">
        <v>175</v>
      </c>
      <c r="D25" s="376"/>
      <c r="E25" s="378">
        <v>1093498630</v>
      </c>
      <c r="F25" s="379">
        <v>1982480656</v>
      </c>
    </row>
    <row r="26" spans="3:6" ht="9.75" customHeight="1">
      <c r="C26" s="375" t="s">
        <v>176</v>
      </c>
      <c r="D26" s="376"/>
      <c r="E26" s="378"/>
      <c r="F26" s="379">
        <v>93517554</v>
      </c>
    </row>
    <row r="27" spans="3:6" ht="9.75" customHeight="1">
      <c r="C27" s="375" t="s">
        <v>177</v>
      </c>
      <c r="D27" s="376"/>
      <c r="E27" s="378">
        <v>4531514319</v>
      </c>
      <c r="F27" s="379">
        <v>1603604433</v>
      </c>
    </row>
    <row r="28" spans="3:6" ht="9.75" customHeight="1">
      <c r="C28" s="375" t="s">
        <v>178</v>
      </c>
      <c r="D28" s="376"/>
      <c r="E28" s="133">
        <v>0</v>
      </c>
      <c r="F28" s="377">
        <v>0</v>
      </c>
    </row>
    <row r="29" spans="3:6" ht="9.75" customHeight="1">
      <c r="C29" s="375" t="s">
        <v>179</v>
      </c>
      <c r="D29" s="376"/>
      <c r="E29" s="133">
        <v>0</v>
      </c>
      <c r="F29" s="377">
        <v>0</v>
      </c>
    </row>
    <row r="30" spans="3:6" ht="9.75" customHeight="1">
      <c r="C30" s="380"/>
      <c r="D30" s="59"/>
      <c r="E30" s="133"/>
      <c r="F30" s="377"/>
    </row>
    <row r="31" spans="3:6" ht="9.75" customHeight="1">
      <c r="C31" s="375" t="s">
        <v>180</v>
      </c>
      <c r="D31" s="376"/>
      <c r="E31" s="133">
        <v>0</v>
      </c>
      <c r="F31" s="377">
        <v>0</v>
      </c>
    </row>
    <row r="32" spans="3:6" ht="9.75" customHeight="1">
      <c r="C32" s="375"/>
      <c r="D32" s="376"/>
      <c r="E32" s="133"/>
      <c r="F32" s="377"/>
    </row>
    <row r="33" spans="3:9" ht="9.75" customHeight="1">
      <c r="C33" s="375" t="s">
        <v>181</v>
      </c>
      <c r="D33" s="376"/>
      <c r="E33" s="378">
        <v>133760000</v>
      </c>
      <c r="F33" s="379">
        <v>141381315</v>
      </c>
      <c r="G33" s="118"/>
      <c r="I33" s="118"/>
    </row>
    <row r="34" spans="3:6" ht="9.75" customHeight="1">
      <c r="C34" s="380" t="s">
        <v>182</v>
      </c>
      <c r="D34" s="376"/>
      <c r="E34" s="378">
        <v>0</v>
      </c>
      <c r="F34" s="377">
        <v>0</v>
      </c>
    </row>
    <row r="35" spans="3:6" ht="9.75" customHeight="1">
      <c r="C35" s="381" t="s">
        <v>183</v>
      </c>
      <c r="D35" s="382"/>
      <c r="E35" s="133">
        <v>133760000</v>
      </c>
      <c r="F35" s="377">
        <v>84371598</v>
      </c>
    </row>
    <row r="36" spans="3:7" ht="9.75" customHeight="1">
      <c r="C36" s="381" t="s">
        <v>184</v>
      </c>
      <c r="D36" s="382"/>
      <c r="E36" s="133">
        <v>0</v>
      </c>
      <c r="F36" s="377">
        <v>57009717</v>
      </c>
      <c r="G36" s="6"/>
    </row>
    <row r="37" spans="3:9" ht="9.75" customHeight="1">
      <c r="C37" s="380"/>
      <c r="D37" s="382"/>
      <c r="E37" s="133"/>
      <c r="F37" s="377"/>
      <c r="I37" s="6"/>
    </row>
    <row r="38" spans="3:9" ht="9.75" customHeight="1">
      <c r="C38" s="375" t="s">
        <v>185</v>
      </c>
      <c r="D38" s="382"/>
      <c r="E38" s="378">
        <v>918100428</v>
      </c>
      <c r="F38" s="379">
        <v>595985467</v>
      </c>
      <c r="I38" s="6"/>
    </row>
    <row r="39" spans="3:6" ht="9.75" customHeight="1">
      <c r="C39" s="380" t="s">
        <v>186</v>
      </c>
      <c r="D39" s="382"/>
      <c r="E39" s="133">
        <v>587913683</v>
      </c>
      <c r="F39" s="377">
        <v>271759036</v>
      </c>
    </row>
    <row r="40" spans="3:6" ht="9.75" customHeight="1">
      <c r="C40" s="380" t="s">
        <v>187</v>
      </c>
      <c r="D40" s="382"/>
      <c r="E40" s="133">
        <v>330186745</v>
      </c>
      <c r="F40" s="377">
        <v>324226431</v>
      </c>
    </row>
    <row r="41" spans="3:6" ht="9.75" customHeight="1">
      <c r="C41" s="380" t="s">
        <v>188</v>
      </c>
      <c r="D41" s="382"/>
      <c r="E41" s="133">
        <v>0</v>
      </c>
      <c r="F41" s="377">
        <v>0</v>
      </c>
    </row>
    <row r="42" spans="3:6" ht="9.75" customHeight="1">
      <c r="C42" s="383"/>
      <c r="D42" s="125"/>
      <c r="E42" s="126"/>
      <c r="F42" s="384"/>
    </row>
    <row r="43" spans="3:6" ht="15.75" customHeight="1">
      <c r="C43" s="134" t="s">
        <v>189</v>
      </c>
      <c r="D43" s="127"/>
      <c r="E43" s="128">
        <v>4993293903</v>
      </c>
      <c r="F43" s="136">
        <v>4195191965</v>
      </c>
    </row>
    <row r="44" spans="3:6" ht="9.75" customHeight="1">
      <c r="C44" s="380"/>
      <c r="D44" s="382"/>
      <c r="E44" s="133"/>
      <c r="F44" s="377"/>
    </row>
    <row r="45" spans="3:6" ht="9.75" customHeight="1">
      <c r="C45" s="385" t="s">
        <v>190</v>
      </c>
      <c r="D45" s="376"/>
      <c r="E45" s="378">
        <v>3310164</v>
      </c>
      <c r="F45" s="379">
        <v>48218346</v>
      </c>
    </row>
    <row r="46" spans="3:6" ht="9.75" customHeight="1">
      <c r="C46" s="381" t="s">
        <v>191</v>
      </c>
      <c r="D46" s="376"/>
      <c r="E46" s="133">
        <v>3310164</v>
      </c>
      <c r="F46" s="377">
        <v>48218346</v>
      </c>
    </row>
    <row r="47" spans="3:6" ht="9.75" customHeight="1">
      <c r="C47" s="381" t="s">
        <v>192</v>
      </c>
      <c r="D47" s="376"/>
      <c r="E47" s="133">
        <v>0</v>
      </c>
      <c r="F47" s="377">
        <v>0</v>
      </c>
    </row>
    <row r="48" spans="3:6" ht="9.75" customHeight="1">
      <c r="C48" s="381" t="s">
        <v>193</v>
      </c>
      <c r="D48" s="376"/>
      <c r="E48" s="133">
        <v>0</v>
      </c>
      <c r="F48" s="377">
        <v>0</v>
      </c>
    </row>
    <row r="49" spans="3:6" ht="9.75" customHeight="1">
      <c r="C49" s="381"/>
      <c r="D49" s="382"/>
      <c r="E49" s="133"/>
      <c r="F49" s="377"/>
    </row>
    <row r="50" spans="3:10" ht="9.75" customHeight="1">
      <c r="C50" s="385" t="s">
        <v>194</v>
      </c>
      <c r="D50" s="382"/>
      <c r="E50" s="378">
        <v>2266225728</v>
      </c>
      <c r="F50" s="379">
        <v>2257971125</v>
      </c>
      <c r="G50" s="8"/>
      <c r="I50" s="118"/>
      <c r="J50" s="129"/>
    </row>
    <row r="51" spans="3:7" ht="9.75" customHeight="1">
      <c r="C51" s="381" t="s">
        <v>195</v>
      </c>
      <c r="D51" s="382"/>
      <c r="E51" s="133">
        <v>907067570</v>
      </c>
      <c r="F51" s="377">
        <v>641169053</v>
      </c>
      <c r="G51" s="118"/>
    </row>
    <row r="52" spans="3:7" ht="9.75" customHeight="1">
      <c r="C52" s="381" t="s">
        <v>196</v>
      </c>
      <c r="D52" s="382"/>
      <c r="E52" s="133">
        <v>149666149</v>
      </c>
      <c r="F52" s="377">
        <v>106647021</v>
      </c>
      <c r="G52" s="118"/>
    </row>
    <row r="53" spans="3:7" ht="9.75" customHeight="1">
      <c r="C53" s="381" t="s">
        <v>197</v>
      </c>
      <c r="D53" s="382"/>
      <c r="E53" s="133">
        <v>48730</v>
      </c>
      <c r="F53" s="377">
        <v>1088989</v>
      </c>
      <c r="G53" s="118"/>
    </row>
    <row r="54" spans="3:7" ht="9.75" customHeight="1">
      <c r="C54" s="381" t="s">
        <v>198</v>
      </c>
      <c r="D54" s="382"/>
      <c r="E54" s="133">
        <v>3947112</v>
      </c>
      <c r="F54" s="377">
        <v>2851957</v>
      </c>
      <c r="G54" s="118"/>
    </row>
    <row r="55" spans="3:7" ht="9.75" customHeight="1">
      <c r="C55" s="381" t="s">
        <v>199</v>
      </c>
      <c r="D55" s="382"/>
      <c r="E55" s="133">
        <v>0</v>
      </c>
      <c r="F55" s="377">
        <v>0</v>
      </c>
      <c r="G55" s="118"/>
    </row>
    <row r="56" spans="3:7" ht="9.75" customHeight="1">
      <c r="C56" s="381" t="s">
        <v>200</v>
      </c>
      <c r="D56" s="382"/>
      <c r="E56" s="133">
        <v>0</v>
      </c>
      <c r="F56" s="377">
        <v>3923717</v>
      </c>
      <c r="G56" s="8"/>
    </row>
    <row r="57" spans="3:7" ht="9.75" customHeight="1">
      <c r="C57" s="381" t="s">
        <v>201</v>
      </c>
      <c r="D57" s="382"/>
      <c r="E57" s="133">
        <v>22308316</v>
      </c>
      <c r="F57" s="377">
        <v>0</v>
      </c>
      <c r="G57" s="8"/>
    </row>
    <row r="58" spans="3:7" ht="9.75" customHeight="1">
      <c r="C58" s="381" t="s">
        <v>202</v>
      </c>
      <c r="D58" s="382"/>
      <c r="E58" s="133">
        <v>0</v>
      </c>
      <c r="F58" s="377">
        <v>1725281</v>
      </c>
      <c r="G58" s="8"/>
    </row>
    <row r="59" spans="3:7" ht="9.75" customHeight="1">
      <c r="C59" s="381" t="s">
        <v>203</v>
      </c>
      <c r="D59" s="382"/>
      <c r="E59" s="133">
        <v>0</v>
      </c>
      <c r="F59" s="377">
        <v>14035929</v>
      </c>
      <c r="G59" s="8"/>
    </row>
    <row r="60" spans="3:7" ht="9.75" customHeight="1">
      <c r="C60" s="381" t="s">
        <v>204</v>
      </c>
      <c r="D60" s="382"/>
      <c r="E60" s="133">
        <v>13459234</v>
      </c>
      <c r="F60" s="377">
        <v>11898200</v>
      </c>
      <c r="G60" s="8"/>
    </row>
    <row r="61" spans="3:7" ht="9.75" customHeight="1">
      <c r="C61" s="381" t="s">
        <v>205</v>
      </c>
      <c r="D61" s="382"/>
      <c r="E61" s="133">
        <v>33610585</v>
      </c>
      <c r="F61" s="377">
        <v>792211736</v>
      </c>
      <c r="G61" s="8"/>
    </row>
    <row r="62" spans="3:7" ht="9.75" customHeight="1">
      <c r="C62" s="381" t="s">
        <v>206</v>
      </c>
      <c r="D62" s="382"/>
      <c r="E62" s="133">
        <v>249861637</v>
      </c>
      <c r="F62" s="377">
        <v>162501624</v>
      </c>
      <c r="G62" s="8"/>
    </row>
    <row r="63" spans="3:7" ht="9.75" customHeight="1">
      <c r="C63" s="381" t="s">
        <v>207</v>
      </c>
      <c r="D63" s="382"/>
      <c r="E63" s="133">
        <v>38751818</v>
      </c>
      <c r="F63" s="377">
        <v>168000000</v>
      </c>
      <c r="G63" s="8"/>
    </row>
    <row r="64" spans="3:7" ht="9.75" customHeight="1">
      <c r="C64" s="381" t="s">
        <v>208</v>
      </c>
      <c r="D64" s="382"/>
      <c r="E64" s="133">
        <v>358545454</v>
      </c>
      <c r="F64" s="377">
        <v>0</v>
      </c>
      <c r="G64" s="8"/>
    </row>
    <row r="65" spans="3:7" ht="9.75" customHeight="1">
      <c r="C65" s="381" t="s">
        <v>209</v>
      </c>
      <c r="D65" s="382"/>
      <c r="E65" s="133">
        <v>274679666</v>
      </c>
      <c r="F65" s="377">
        <v>3636363</v>
      </c>
      <c r="G65" s="8"/>
    </row>
    <row r="66" spans="3:7" ht="9.75" customHeight="1">
      <c r="C66" s="381" t="s">
        <v>210</v>
      </c>
      <c r="D66" s="382"/>
      <c r="E66" s="133">
        <v>863636</v>
      </c>
      <c r="F66" s="377">
        <v>113657379</v>
      </c>
      <c r="G66" s="8"/>
    </row>
    <row r="67" spans="3:7" ht="9.75" customHeight="1">
      <c r="C67" s="381" t="s">
        <v>211</v>
      </c>
      <c r="D67" s="382"/>
      <c r="E67" s="133">
        <v>213415821</v>
      </c>
      <c r="F67" s="377">
        <v>234623876</v>
      </c>
      <c r="G67" s="8"/>
    </row>
    <row r="68" spans="3:7" ht="9.75" customHeight="1">
      <c r="C68" s="381" t="s">
        <v>212</v>
      </c>
      <c r="D68" s="382"/>
      <c r="E68" s="133"/>
      <c r="F68" s="377">
        <v>0</v>
      </c>
      <c r="G68" s="8"/>
    </row>
    <row r="69" spans="3:7" ht="9.75" customHeight="1">
      <c r="C69" s="381" t="s">
        <v>213</v>
      </c>
      <c r="D69" s="382"/>
      <c r="E69" s="133">
        <v>0</v>
      </c>
      <c r="F69" s="377">
        <v>0</v>
      </c>
      <c r="G69" s="8"/>
    </row>
    <row r="70" spans="3:7" ht="9.75" customHeight="1">
      <c r="C70" s="381" t="s">
        <v>214</v>
      </c>
      <c r="D70" s="382"/>
      <c r="E70" s="133">
        <v>0</v>
      </c>
      <c r="F70" s="377">
        <v>0</v>
      </c>
      <c r="G70" s="8"/>
    </row>
    <row r="71" spans="3:7" ht="9.75" customHeight="1">
      <c r="C71" s="386" t="s">
        <v>215</v>
      </c>
      <c r="D71" s="125"/>
      <c r="E71" s="126"/>
      <c r="F71" s="384">
        <v>0</v>
      </c>
      <c r="G71" s="8"/>
    </row>
    <row r="72" spans="3:7" ht="15" customHeight="1">
      <c r="C72" s="134" t="s">
        <v>216</v>
      </c>
      <c r="D72" s="127"/>
      <c r="E72" s="128">
        <v>2723758011</v>
      </c>
      <c r="F72" s="136">
        <v>1889002494</v>
      </c>
      <c r="G72" s="8"/>
    </row>
    <row r="73" spans="3:7" ht="9.75" customHeight="1">
      <c r="C73" s="124"/>
      <c r="D73" s="8"/>
      <c r="E73" s="123"/>
      <c r="F73" s="123"/>
      <c r="G73" s="8"/>
    </row>
    <row r="74" spans="3:7" ht="9.75" customHeight="1">
      <c r="C74" s="387" t="s">
        <v>217</v>
      </c>
      <c r="D74" s="388"/>
      <c r="E74" s="389">
        <v>0</v>
      </c>
      <c r="F74" s="390">
        <v>0</v>
      </c>
      <c r="G74" s="122"/>
    </row>
    <row r="75" spans="3:7" ht="9.75" customHeight="1">
      <c r="C75" s="381" t="s">
        <v>218</v>
      </c>
      <c r="D75" s="376"/>
      <c r="E75" s="378">
        <v>702695828</v>
      </c>
      <c r="F75" s="379">
        <v>0</v>
      </c>
      <c r="G75" s="122"/>
    </row>
    <row r="76" spans="3:7" ht="9.75" customHeight="1">
      <c r="C76" s="381" t="s">
        <v>219</v>
      </c>
      <c r="D76" s="382"/>
      <c r="E76" s="130">
        <v>0</v>
      </c>
      <c r="F76" s="391">
        <v>0</v>
      </c>
      <c r="G76" s="122"/>
    </row>
    <row r="77" spans="3:6" ht="9.75" customHeight="1">
      <c r="C77" s="385"/>
      <c r="D77" s="382"/>
      <c r="E77" s="133"/>
      <c r="F77" s="377"/>
    </row>
    <row r="78" spans="3:6" ht="9.75" customHeight="1">
      <c r="C78" s="385" t="s">
        <v>220</v>
      </c>
      <c r="D78" s="382"/>
      <c r="E78" s="378">
        <v>1120082773</v>
      </c>
      <c r="F78" s="379">
        <v>892088149</v>
      </c>
    </row>
    <row r="79" spans="3:6" ht="9.75" customHeight="1">
      <c r="C79" s="385"/>
      <c r="D79" s="382"/>
      <c r="E79" s="378"/>
      <c r="F79" s="379"/>
    </row>
    <row r="80" spans="3:6" ht="9.75" customHeight="1">
      <c r="C80" s="385" t="s">
        <v>221</v>
      </c>
      <c r="D80" s="382"/>
      <c r="E80" s="378">
        <v>1790794779</v>
      </c>
      <c r="F80" s="379">
        <v>1787698215</v>
      </c>
    </row>
    <row r="81" spans="3:6" ht="9.75" customHeight="1">
      <c r="C81" s="381" t="s">
        <v>222</v>
      </c>
      <c r="D81" s="382"/>
      <c r="E81" s="133">
        <v>620243209</v>
      </c>
      <c r="F81" s="377">
        <v>491000</v>
      </c>
    </row>
    <row r="82" spans="3:6" ht="9.75" customHeight="1">
      <c r="C82" s="381" t="s">
        <v>223</v>
      </c>
      <c r="D82" s="382"/>
      <c r="E82" s="133">
        <v>1170551570</v>
      </c>
      <c r="F82" s="377">
        <v>1787207215</v>
      </c>
    </row>
    <row r="83" spans="3:6" ht="9.75" customHeight="1">
      <c r="C83" s="385" t="s">
        <v>224</v>
      </c>
      <c r="D83" s="382"/>
      <c r="E83" s="378">
        <v>-670712006</v>
      </c>
      <c r="F83" s="379">
        <v>-895610066</v>
      </c>
    </row>
    <row r="84" spans="3:9" ht="9.75" customHeight="1">
      <c r="C84" s="381" t="s">
        <v>225</v>
      </c>
      <c r="D84" s="382"/>
      <c r="E84" s="133">
        <v>336498990</v>
      </c>
      <c r="F84" s="377">
        <v>766259197</v>
      </c>
      <c r="G84" s="131"/>
      <c r="H84" s="132"/>
      <c r="I84" s="132"/>
    </row>
    <row r="85" spans="3:6" ht="9.75" customHeight="1">
      <c r="C85" s="381" t="s">
        <v>223</v>
      </c>
      <c r="D85" s="382"/>
      <c r="E85" s="133">
        <v>334213016</v>
      </c>
      <c r="F85" s="377">
        <v>129350869</v>
      </c>
    </row>
    <row r="86" spans="3:7" ht="9.75" customHeight="1">
      <c r="C86" s="381"/>
      <c r="D86" s="382"/>
      <c r="E86" s="133"/>
      <c r="F86" s="377"/>
      <c r="G86" s="118"/>
    </row>
    <row r="87" spans="3:7" ht="9.75" customHeight="1">
      <c r="C87" s="375" t="s">
        <v>226</v>
      </c>
      <c r="D87" s="376"/>
      <c r="E87" s="378">
        <v>0</v>
      </c>
      <c r="F87" s="379">
        <v>0</v>
      </c>
      <c r="G87" s="118"/>
    </row>
    <row r="88" spans="3:7" ht="9.75" customHeight="1">
      <c r="C88" s="380" t="s">
        <v>227</v>
      </c>
      <c r="D88" s="382"/>
      <c r="E88" s="133">
        <v>0</v>
      </c>
      <c r="F88" s="377">
        <v>0</v>
      </c>
      <c r="G88" s="118"/>
    </row>
    <row r="89" spans="3:6" ht="9.75" customHeight="1">
      <c r="C89" s="380" t="s">
        <v>228</v>
      </c>
      <c r="D89" s="382"/>
      <c r="E89" s="133">
        <v>0</v>
      </c>
      <c r="F89" s="377">
        <v>0</v>
      </c>
    </row>
    <row r="90" spans="3:6" ht="9.75" customHeight="1">
      <c r="C90" s="380"/>
      <c r="D90" s="382"/>
      <c r="E90" s="133"/>
      <c r="F90" s="377"/>
    </row>
    <row r="91" spans="3:6" ht="9.75" customHeight="1">
      <c r="C91" s="375" t="s">
        <v>229</v>
      </c>
      <c r="D91" s="376"/>
      <c r="E91" s="378">
        <v>0</v>
      </c>
      <c r="F91" s="379">
        <v>0</v>
      </c>
    </row>
    <row r="92" spans="3:6" ht="9.75" customHeight="1">
      <c r="C92" s="380" t="s">
        <v>230</v>
      </c>
      <c r="D92" s="382"/>
      <c r="E92" s="133">
        <v>0</v>
      </c>
      <c r="F92" s="377">
        <v>0</v>
      </c>
    </row>
    <row r="93" spans="3:6" ht="9.75" customHeight="1">
      <c r="C93" s="380" t="s">
        <v>231</v>
      </c>
      <c r="D93" s="382"/>
      <c r="E93" s="133"/>
      <c r="F93" s="377"/>
    </row>
    <row r="94" spans="3:6" ht="9.75" customHeight="1">
      <c r="C94" s="380"/>
      <c r="D94" s="382"/>
      <c r="E94" s="133"/>
      <c r="F94" s="377"/>
    </row>
    <row r="95" spans="3:7" ht="11.25">
      <c r="C95" s="134" t="s">
        <v>232</v>
      </c>
      <c r="D95" s="135"/>
      <c r="E95" s="136">
        <f>3843840784+E75</f>
        <v>4546536612</v>
      </c>
      <c r="F95" s="136">
        <v>2781090643</v>
      </c>
      <c r="G95" s="118"/>
    </row>
    <row r="96" spans="3:6" ht="11.25">
      <c r="C96" s="380"/>
      <c r="D96" s="382"/>
      <c r="E96" s="133"/>
      <c r="F96" s="377"/>
    </row>
    <row r="97" spans="3:6" ht="11.25">
      <c r="C97" s="375" t="s">
        <v>233</v>
      </c>
      <c r="D97" s="376"/>
      <c r="E97" s="133">
        <v>0</v>
      </c>
      <c r="F97" s="377">
        <v>0</v>
      </c>
    </row>
    <row r="98" spans="3:7" ht="11.25">
      <c r="C98" s="375" t="s">
        <v>96</v>
      </c>
      <c r="D98" s="382"/>
      <c r="E98" s="133">
        <v>0</v>
      </c>
      <c r="F98" s="377">
        <v>0</v>
      </c>
      <c r="G98" s="118"/>
    </row>
    <row r="99" spans="3:7" ht="10.5" customHeight="1" thickBot="1">
      <c r="C99" s="375" t="s">
        <v>234</v>
      </c>
      <c r="D99" s="376"/>
      <c r="E99" s="137">
        <v>4546536612</v>
      </c>
      <c r="F99" s="392">
        <v>2781090643</v>
      </c>
      <c r="G99" s="8"/>
    </row>
    <row r="100" spans="3:6" ht="9.75" customHeight="1" thickTop="1">
      <c r="C100" s="393"/>
      <c r="D100" s="55"/>
      <c r="E100" s="394"/>
      <c r="F100" s="395"/>
    </row>
    <row r="101" spans="5:6" ht="9.75" customHeight="1">
      <c r="E101" s="138"/>
      <c r="F101" s="138"/>
    </row>
    <row r="103" ht="9.75" customHeight="1">
      <c r="E103" s="139"/>
    </row>
  </sheetData>
  <sheetProtection/>
  <mergeCells count="3">
    <mergeCell ref="C5:F5"/>
    <mergeCell ref="C4:F4"/>
    <mergeCell ref="C3:F3"/>
  </mergeCells>
  <printOptions/>
  <pageMargins left="0.25" right="0.25" top="0.75" bottom="0.75" header="0.3" footer="0.3"/>
  <pageSetup fitToHeight="1" fitToWidth="1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D1:H59"/>
  <sheetViews>
    <sheetView showGridLines="0" zoomScale="131" zoomScaleNormal="131" zoomScalePageLayoutView="0" workbookViewId="0" topLeftCell="E31">
      <selection activeCell="G60" sqref="G60"/>
    </sheetView>
  </sheetViews>
  <sheetFormatPr defaultColWidth="11.421875" defaultRowHeight="15"/>
  <cols>
    <col min="1" max="1" width="11.421875" style="1" customWidth="1"/>
    <col min="2" max="4" width="8.140625" style="1" customWidth="1"/>
    <col min="5" max="5" width="65.421875" style="1" bestFit="1" customWidth="1"/>
    <col min="6" max="6" width="16.421875" style="1" customWidth="1"/>
    <col min="7" max="7" width="15.57421875" style="1" customWidth="1"/>
    <col min="8" max="8" width="14.28125" style="1" bestFit="1" customWidth="1"/>
    <col min="9" max="16384" width="11.421875" style="1" customWidth="1"/>
  </cols>
  <sheetData>
    <row r="1" spans="5:7" ht="11.25">
      <c r="E1" s="477" t="s">
        <v>0</v>
      </c>
      <c r="F1" s="477"/>
      <c r="G1" s="477"/>
    </row>
    <row r="2" spans="5:7" ht="11.25">
      <c r="E2" s="477" t="s">
        <v>551</v>
      </c>
      <c r="F2" s="477"/>
      <c r="G2" s="477"/>
    </row>
    <row r="3" spans="4:7" ht="23.25" customHeight="1">
      <c r="D3" s="57"/>
      <c r="E3" s="476" t="str">
        <f>+'[2]Estado de Resultado Resol. 6'!E5</f>
        <v>CORRESPONDIENTE AL 30 DE JUNIO DE 2020 PRESENTADO EN FORMA COMPARATIVA CON EL EJERCICIO ANTERIOR CERRADO EL  30 DE JUNIO DE  2019.</v>
      </c>
      <c r="F3" s="476"/>
      <c r="G3" s="476"/>
    </row>
    <row r="4" spans="5:7" ht="11.25">
      <c r="E4" s="478" t="s">
        <v>2</v>
      </c>
      <c r="F4" s="478"/>
      <c r="G4" s="478"/>
    </row>
    <row r="5" spans="5:7" ht="33.75">
      <c r="E5" s="140"/>
      <c r="F5" s="141" t="s">
        <v>747</v>
      </c>
      <c r="G5" s="141" t="s">
        <v>743</v>
      </c>
    </row>
    <row r="6" spans="5:7" ht="11.25">
      <c r="E6" s="142" t="s">
        <v>552</v>
      </c>
      <c r="F6" s="143"/>
      <c r="G6" s="143"/>
    </row>
    <row r="7" spans="5:7" ht="11.25">
      <c r="E7" s="144"/>
      <c r="F7" s="145"/>
      <c r="G7" s="145"/>
    </row>
    <row r="8" spans="5:7" ht="11.25">
      <c r="E8" s="144" t="s">
        <v>553</v>
      </c>
      <c r="F8" s="146">
        <f>+'[2]CALCULO FLUJO'!B63-1</f>
        <v>-25980826</v>
      </c>
      <c r="G8" s="146">
        <f>4809857079+1</f>
        <v>4809857080</v>
      </c>
    </row>
    <row r="9" spans="5:7" ht="11.25">
      <c r="E9" s="144" t="s">
        <v>554</v>
      </c>
      <c r="F9" s="146">
        <f>+'[2]CALCULO FLUJO'!B66</f>
        <v>-907067570</v>
      </c>
      <c r="G9" s="146">
        <v>-828113719</v>
      </c>
    </row>
    <row r="10" spans="5:8" ht="11.25">
      <c r="E10" s="144" t="s">
        <v>555</v>
      </c>
      <c r="F10" s="146">
        <v>10355768122</v>
      </c>
      <c r="G10" s="146">
        <v>-7667254738</v>
      </c>
      <c r="H10" s="8"/>
    </row>
    <row r="11" spans="5:8" ht="11.25">
      <c r="E11" s="144"/>
      <c r="F11" s="146"/>
      <c r="G11" s="146"/>
      <c r="H11" s="8"/>
    </row>
    <row r="12" spans="5:7" ht="12" customHeight="1">
      <c r="E12" s="147" t="s">
        <v>556</v>
      </c>
      <c r="F12" s="148"/>
      <c r="G12" s="148"/>
    </row>
    <row r="13" spans="5:7" ht="11.25">
      <c r="E13" s="147" t="s">
        <v>557</v>
      </c>
      <c r="F13" s="152">
        <f>SUM(F8:F11)</f>
        <v>9422719726</v>
      </c>
      <c r="G13" s="152">
        <f>SUM(G8:G11)</f>
        <v>-3685511377</v>
      </c>
    </row>
    <row r="14" spans="5:7" ht="11.25">
      <c r="E14" s="149"/>
      <c r="F14" s="148"/>
      <c r="G14" s="148"/>
    </row>
    <row r="15" spans="5:7" ht="11.25">
      <c r="E15" s="147" t="s">
        <v>558</v>
      </c>
      <c r="F15" s="148"/>
      <c r="G15" s="148"/>
    </row>
    <row r="16" spans="5:7" ht="11.25">
      <c r="E16" s="149"/>
      <c r="F16" s="148"/>
      <c r="G16" s="148"/>
    </row>
    <row r="17" spans="5:7" ht="11.25">
      <c r="E17" s="149" t="s">
        <v>559</v>
      </c>
      <c r="F17" s="148">
        <v>0</v>
      </c>
      <c r="G17" s="148">
        <v>0</v>
      </c>
    </row>
    <row r="18" spans="5:7" ht="11.25">
      <c r="E18" s="149"/>
      <c r="F18" s="152">
        <f>SUM(F16:F17)</f>
        <v>0</v>
      </c>
      <c r="G18" s="152">
        <v>0</v>
      </c>
    </row>
    <row r="19" spans="5:7" ht="11.25">
      <c r="E19" s="147" t="s">
        <v>560</v>
      </c>
      <c r="F19" s="148"/>
      <c r="G19" s="148"/>
    </row>
    <row r="20" spans="5:7" ht="11.25">
      <c r="E20" s="149" t="s">
        <v>561</v>
      </c>
      <c r="F20" s="148">
        <v>0</v>
      </c>
      <c r="G20" s="148">
        <v>0</v>
      </c>
    </row>
    <row r="21" spans="5:7" ht="11.25">
      <c r="E21" s="149"/>
      <c r="F21" s="148"/>
      <c r="G21" s="148"/>
    </row>
    <row r="22" spans="5:7" ht="11.25">
      <c r="E22" s="147" t="s">
        <v>562</v>
      </c>
      <c r="F22" s="152">
        <f>F13+F18+F20</f>
        <v>9422719726</v>
      </c>
      <c r="G22" s="152">
        <f>G13+G18+G20</f>
        <v>-3685511377</v>
      </c>
    </row>
    <row r="23" spans="5:7" ht="11.25">
      <c r="E23" s="149"/>
      <c r="F23" s="148"/>
      <c r="G23" s="148"/>
    </row>
    <row r="24" spans="5:7" ht="11.25">
      <c r="E24" s="149" t="s">
        <v>233</v>
      </c>
      <c r="F24" s="148">
        <f>+'[2]CALCULO FLUJO'!B68</f>
        <v>-177672551</v>
      </c>
      <c r="G24" s="148">
        <v>0</v>
      </c>
    </row>
    <row r="25" spans="5:7" ht="11.25">
      <c r="E25" s="149"/>
      <c r="F25" s="148"/>
      <c r="G25" s="148"/>
    </row>
    <row r="26" spans="5:7" ht="11.25">
      <c r="E26" s="147" t="s">
        <v>563</v>
      </c>
      <c r="F26" s="152">
        <f>+F22+F24</f>
        <v>9245047175</v>
      </c>
      <c r="G26" s="152">
        <f>+G22+G24</f>
        <v>-3685511377</v>
      </c>
    </row>
    <row r="27" spans="5:7" ht="11.25">
      <c r="E27" s="147"/>
      <c r="F27" s="150"/>
      <c r="G27" s="150"/>
    </row>
    <row r="28" spans="5:7" ht="11.25">
      <c r="E28" s="147" t="s">
        <v>564</v>
      </c>
      <c r="F28" s="148"/>
      <c r="G28" s="148"/>
    </row>
    <row r="29" spans="5:7" ht="11.25">
      <c r="E29" s="147"/>
      <c r="F29" s="148"/>
      <c r="G29" s="148"/>
    </row>
    <row r="30" spans="5:7" ht="11.25">
      <c r="E30" s="149" t="s">
        <v>565</v>
      </c>
      <c r="F30" s="148">
        <v>0</v>
      </c>
      <c r="G30" s="148">
        <v>1892497595</v>
      </c>
    </row>
    <row r="31" spans="5:7" ht="11.25">
      <c r="E31" s="149" t="s">
        <v>21</v>
      </c>
      <c r="F31" s="148">
        <v>0</v>
      </c>
      <c r="G31" s="148">
        <v>0</v>
      </c>
    </row>
    <row r="32" spans="5:7" ht="11.25">
      <c r="E32" s="149" t="s">
        <v>566</v>
      </c>
      <c r="F32" s="148">
        <v>0</v>
      </c>
      <c r="G32" s="148">
        <v>0</v>
      </c>
    </row>
    <row r="33" spans="5:7" ht="11.25">
      <c r="E33" s="149" t="s">
        <v>567</v>
      </c>
      <c r="F33" s="148">
        <f>+'[2]CALCULO FLUJO'!B73</f>
        <v>-397429571</v>
      </c>
      <c r="G33" s="148">
        <v>-1329765379</v>
      </c>
    </row>
    <row r="34" spans="5:7" ht="11.25">
      <c r="E34" s="149" t="s">
        <v>568</v>
      </c>
      <c r="F34" s="148">
        <v>-1958123634</v>
      </c>
      <c r="G34" s="148">
        <v>4061288582</v>
      </c>
    </row>
    <row r="35" spans="5:7" ht="11.25">
      <c r="E35" s="149" t="s">
        <v>569</v>
      </c>
      <c r="F35" s="148">
        <f>+'[2]CALCULO FLUJO'!B75</f>
        <v>486483209</v>
      </c>
      <c r="G35" s="148">
        <v>0</v>
      </c>
    </row>
    <row r="36" spans="5:7" ht="11.25">
      <c r="E36" s="149" t="s">
        <v>570</v>
      </c>
      <c r="F36" s="148">
        <f>+'[2]CALCULO FLUJO'!B76</f>
        <v>133760000</v>
      </c>
      <c r="G36" s="148">
        <v>0</v>
      </c>
    </row>
    <row r="37" spans="5:7" ht="11.25">
      <c r="E37" s="149"/>
      <c r="F37" s="148"/>
      <c r="G37" s="148"/>
    </row>
    <row r="38" spans="5:7" ht="11.25">
      <c r="E38" s="147" t="s">
        <v>571</v>
      </c>
      <c r="F38" s="152">
        <f>SUM(F30:F36)</f>
        <v>-1735309996</v>
      </c>
      <c r="G38" s="152">
        <f>SUM(G30:G36)</f>
        <v>4624020798</v>
      </c>
    </row>
    <row r="39" spans="5:7" ht="11.25">
      <c r="E39" s="147"/>
      <c r="F39" s="150"/>
      <c r="G39" s="150"/>
    </row>
    <row r="40" spans="5:7" ht="11.25">
      <c r="E40" s="147" t="s">
        <v>572</v>
      </c>
      <c r="F40" s="148"/>
      <c r="G40" s="148"/>
    </row>
    <row r="41" spans="5:7" ht="11.25">
      <c r="E41" s="147"/>
      <c r="F41" s="148"/>
      <c r="G41" s="148"/>
    </row>
    <row r="42" spans="5:7" ht="11.25">
      <c r="E42" s="149" t="s">
        <v>573</v>
      </c>
      <c r="F42" s="148">
        <f>+'[2]CALCULO FLUJO'!B86</f>
        <v>0</v>
      </c>
      <c r="G42" s="148">
        <v>0</v>
      </c>
    </row>
    <row r="43" spans="5:7" ht="11.25">
      <c r="E43" s="149" t="s">
        <v>574</v>
      </c>
      <c r="F43" s="148">
        <f>+'[2]CALCULO FLUJO'!B84</f>
        <v>-7099620349</v>
      </c>
      <c r="G43" s="148">
        <v>-1165058902</v>
      </c>
    </row>
    <row r="44" spans="5:7" ht="11.25">
      <c r="E44" s="149" t="s">
        <v>575</v>
      </c>
      <c r="F44" s="148">
        <v>0</v>
      </c>
      <c r="G44" s="148">
        <v>0</v>
      </c>
    </row>
    <row r="45" spans="5:7" ht="11.25">
      <c r="E45" s="149" t="s">
        <v>225</v>
      </c>
      <c r="F45" s="148">
        <v>0</v>
      </c>
      <c r="G45" s="148">
        <v>0</v>
      </c>
    </row>
    <row r="46" spans="5:7" ht="11.25">
      <c r="E46" s="149"/>
      <c r="F46" s="148"/>
      <c r="G46" s="148"/>
    </row>
    <row r="47" spans="5:7" ht="11.25">
      <c r="E47" s="147" t="s">
        <v>576</v>
      </c>
      <c r="F47" s="152">
        <f>SUM(F42:F46)</f>
        <v>-7099620349</v>
      </c>
      <c r="G47" s="152">
        <f>SUM(G42:G46)</f>
        <v>-1165058902</v>
      </c>
    </row>
    <row r="48" spans="5:7" ht="12.75" customHeight="1">
      <c r="E48" s="149"/>
      <c r="F48" s="148"/>
      <c r="G48" s="148"/>
    </row>
    <row r="49" spans="5:7" ht="12.75" customHeight="1">
      <c r="E49" s="147" t="s">
        <v>577</v>
      </c>
      <c r="F49" s="148"/>
      <c r="G49" s="148"/>
    </row>
    <row r="50" spans="5:7" ht="12.75" customHeight="1">
      <c r="E50" s="147"/>
      <c r="F50" s="148"/>
      <c r="G50" s="148"/>
    </row>
    <row r="51" spans="5:7" ht="11.25">
      <c r="E51" s="149" t="s">
        <v>578</v>
      </c>
      <c r="F51" s="150">
        <f>+F22+F24+F38+F47</f>
        <v>410116830</v>
      </c>
      <c r="G51" s="150">
        <f>+G22+G24+G38+G47</f>
        <v>-226549481</v>
      </c>
    </row>
    <row r="52" spans="5:7" ht="11.25">
      <c r="E52" s="149" t="s">
        <v>579</v>
      </c>
      <c r="F52" s="148">
        <f>+'[2]CALCULO FLUJO'!C91</f>
        <v>1671037663</v>
      </c>
      <c r="G52" s="148">
        <v>1806453323</v>
      </c>
    </row>
    <row r="53" spans="5:7" ht="11.25">
      <c r="E53" s="151" t="s">
        <v>580</v>
      </c>
      <c r="F53" s="396">
        <f>F51+F52</f>
        <v>2081154493</v>
      </c>
      <c r="G53" s="396">
        <f>G51+G52</f>
        <v>1579903842</v>
      </c>
    </row>
    <row r="54" spans="5:8" ht="16.5" customHeight="1">
      <c r="E54" s="44"/>
      <c r="F54" s="45"/>
      <c r="G54" s="46"/>
      <c r="H54" s="47"/>
    </row>
    <row r="55" spans="5:7" ht="12.75">
      <c r="E55" s="48"/>
      <c r="F55" s="153">
        <f>+F53-'[2]Balance Gral. Resol. 6'!D12</f>
        <v>0</v>
      </c>
      <c r="G55" s="58">
        <f>+G53-'[2]Balance Gral. Resol. 6'!E12</f>
        <v>0</v>
      </c>
    </row>
    <row r="56" spans="5:7" ht="12.75">
      <c r="E56" s="48"/>
      <c r="F56" s="49"/>
      <c r="G56" s="48"/>
    </row>
    <row r="57" spans="5:7" ht="12.75">
      <c r="E57" s="48"/>
      <c r="F57" s="48"/>
      <c r="G57" s="48"/>
    </row>
    <row r="58" spans="5:7" ht="12.75">
      <c r="E58" s="48"/>
      <c r="F58" s="48"/>
      <c r="G58" s="48"/>
    </row>
    <row r="59" spans="5:7" ht="12.75">
      <c r="E59" s="48"/>
      <c r="F59" s="48"/>
      <c r="G59" s="48"/>
    </row>
  </sheetData>
  <sheetProtection/>
  <mergeCells count="4">
    <mergeCell ref="E3:G3"/>
    <mergeCell ref="E1:G1"/>
    <mergeCell ref="E2:G2"/>
    <mergeCell ref="E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2:K29"/>
  <sheetViews>
    <sheetView showGridLines="0" zoomScale="90" zoomScaleNormal="90" zoomScalePageLayoutView="0" workbookViewId="0" topLeftCell="A1">
      <selection activeCell="K24" sqref="K24"/>
    </sheetView>
  </sheetViews>
  <sheetFormatPr defaultColWidth="11.421875" defaultRowHeight="15"/>
  <cols>
    <col min="1" max="1" width="11.421875" style="157" customWidth="1"/>
    <col min="2" max="2" width="23.421875" style="157" customWidth="1"/>
    <col min="3" max="3" width="16.7109375" style="158" customWidth="1"/>
    <col min="4" max="4" width="18.00390625" style="158" customWidth="1"/>
    <col min="5" max="5" width="15.00390625" style="158" customWidth="1"/>
    <col min="6" max="6" width="17.421875" style="158" bestFit="1" customWidth="1"/>
    <col min="7" max="7" width="13.00390625" style="158" customWidth="1"/>
    <col min="8" max="8" width="16.28125" style="158" customWidth="1"/>
    <col min="9" max="9" width="14.8515625" style="157" bestFit="1" customWidth="1"/>
    <col min="10" max="10" width="17.421875" style="157" bestFit="1" customWidth="1"/>
    <col min="11" max="11" width="16.7109375" style="157" customWidth="1"/>
    <col min="12" max="16384" width="11.421875" style="157" customWidth="1"/>
  </cols>
  <sheetData>
    <row r="2" ht="11.25">
      <c r="G2" s="159" t="s">
        <v>0</v>
      </c>
    </row>
    <row r="3" ht="11.25">
      <c r="G3" s="159" t="s">
        <v>581</v>
      </c>
    </row>
    <row r="4" spans="3:7" ht="11.25">
      <c r="C4" s="160" t="str">
        <f>+'[2]Flujo de Efectivo Resol. Res 6'!E3</f>
        <v>CORRESPONDIENTE AL 30 DE JUNIO DE 2020 PRESENTADO EN FORMA COMPARATIVA CON EL EJERCICIO ANTERIOR CERRADO EL  30 DE JUNIO DE  2019.</v>
      </c>
      <c r="G4" s="159"/>
    </row>
    <row r="5" ht="11.25">
      <c r="G5" s="161" t="s">
        <v>2</v>
      </c>
    </row>
    <row r="6" spans="2:3" ht="12" thickBot="1">
      <c r="B6" s="3"/>
      <c r="C6" s="162"/>
    </row>
    <row r="7" spans="2:11" s="165" customFormat="1" ht="13.5" thickBot="1">
      <c r="B7" s="397"/>
      <c r="C7" s="479" t="s">
        <v>235</v>
      </c>
      <c r="D7" s="480"/>
      <c r="E7" s="479" t="s">
        <v>582</v>
      </c>
      <c r="F7" s="480"/>
      <c r="G7" s="481"/>
      <c r="H7" s="480" t="s">
        <v>583</v>
      </c>
      <c r="I7" s="482"/>
      <c r="J7" s="483" t="s">
        <v>584</v>
      </c>
      <c r="K7" s="481"/>
    </row>
    <row r="8" spans="2:11" s="165" customFormat="1" ht="39" thickBot="1">
      <c r="B8" s="398" t="s">
        <v>236</v>
      </c>
      <c r="C8" s="399" t="s">
        <v>585</v>
      </c>
      <c r="D8" s="400" t="s">
        <v>586</v>
      </c>
      <c r="E8" s="399" t="s">
        <v>587</v>
      </c>
      <c r="F8" s="401" t="s">
        <v>588</v>
      </c>
      <c r="G8" s="400" t="s">
        <v>589</v>
      </c>
      <c r="H8" s="399" t="s">
        <v>590</v>
      </c>
      <c r="I8" s="402" t="s">
        <v>591</v>
      </c>
      <c r="J8" s="403" t="s">
        <v>794</v>
      </c>
      <c r="K8" s="402" t="s">
        <v>793</v>
      </c>
    </row>
    <row r="9" spans="2:11" s="164" customFormat="1" ht="12.75">
      <c r="B9" s="404"/>
      <c r="C9" s="405"/>
      <c r="D9" s="406"/>
      <c r="E9" s="405"/>
      <c r="F9" s="407"/>
      <c r="G9" s="406"/>
      <c r="H9" s="405"/>
      <c r="I9" s="406"/>
      <c r="J9" s="405"/>
      <c r="K9" s="406"/>
    </row>
    <row r="10" spans="2:11" s="164" customFormat="1" ht="24" customHeight="1">
      <c r="B10" s="404" t="s">
        <v>592</v>
      </c>
      <c r="C10" s="408">
        <v>960000091</v>
      </c>
      <c r="D10" s="409">
        <v>18400000001</v>
      </c>
      <c r="E10" s="408">
        <v>1122244552</v>
      </c>
      <c r="F10" s="410">
        <v>435673535</v>
      </c>
      <c r="G10" s="409">
        <v>67449446</v>
      </c>
      <c r="H10" s="411">
        <v>0</v>
      </c>
      <c r="I10" s="409">
        <v>5385823689</v>
      </c>
      <c r="J10" s="412">
        <f>SUM(C10:I10)</f>
        <v>26371191314</v>
      </c>
      <c r="K10" s="413">
        <v>19174432436</v>
      </c>
    </row>
    <row r="11" spans="2:11" s="164" customFormat="1" ht="24" customHeight="1">
      <c r="B11" s="404"/>
      <c r="C11" s="408"/>
      <c r="D11" s="409"/>
      <c r="E11" s="408"/>
      <c r="F11" s="410"/>
      <c r="G11" s="409"/>
      <c r="H11" s="411"/>
      <c r="I11" s="409"/>
      <c r="J11" s="412">
        <f>SUM(C11:I11)</f>
        <v>0</v>
      </c>
      <c r="K11" s="413">
        <v>0</v>
      </c>
    </row>
    <row r="12" spans="2:11" s="164" customFormat="1" ht="24" customHeight="1">
      <c r="B12" s="414" t="s">
        <v>594</v>
      </c>
      <c r="C12" s="408"/>
      <c r="D12" s="409"/>
      <c r="E12" s="408"/>
      <c r="F12" s="415"/>
      <c r="G12" s="416"/>
      <c r="H12" s="411"/>
      <c r="I12" s="409"/>
      <c r="J12" s="412">
        <f>SUM(C12:I12)</f>
        <v>0</v>
      </c>
      <c r="K12" s="413">
        <v>0</v>
      </c>
    </row>
    <row r="13" spans="2:11" s="164" customFormat="1" ht="24" customHeight="1">
      <c r="B13" s="404"/>
      <c r="C13" s="408"/>
      <c r="D13" s="409"/>
      <c r="E13" s="408"/>
      <c r="F13" s="415"/>
      <c r="G13" s="416"/>
      <c r="H13" s="411"/>
      <c r="I13" s="409"/>
      <c r="J13" s="412">
        <f>SUM(C13:I13)</f>
        <v>0</v>
      </c>
      <c r="K13" s="413">
        <v>0</v>
      </c>
    </row>
    <row r="14" spans="2:11" s="164" customFormat="1" ht="24" customHeight="1">
      <c r="B14" s="404" t="s">
        <v>595</v>
      </c>
      <c r="C14" s="408" t="s">
        <v>593</v>
      </c>
      <c r="D14" s="409" t="s">
        <v>593</v>
      </c>
      <c r="E14" s="411">
        <f>+E26-E10</f>
        <v>0</v>
      </c>
      <c r="F14" s="415">
        <v>0</v>
      </c>
      <c r="G14" s="416" t="s">
        <v>593</v>
      </c>
      <c r="H14" s="411" t="s">
        <v>593</v>
      </c>
      <c r="I14" s="409" t="s">
        <v>593</v>
      </c>
      <c r="J14" s="412">
        <f>SUM(C14:I14)</f>
        <v>0</v>
      </c>
      <c r="K14" s="413">
        <v>719137940</v>
      </c>
    </row>
    <row r="15" spans="2:11" s="164" customFormat="1" ht="24" customHeight="1">
      <c r="B15" s="404"/>
      <c r="C15" s="408"/>
      <c r="D15" s="409"/>
      <c r="E15" s="411"/>
      <c r="F15" s="415"/>
      <c r="G15" s="416"/>
      <c r="H15" s="411"/>
      <c r="I15" s="409"/>
      <c r="J15" s="412">
        <f aca="true" t="shared" si="0" ref="J15:J25">SUM(C15:I15)</f>
        <v>0</v>
      </c>
      <c r="K15" s="413">
        <v>0</v>
      </c>
    </row>
    <row r="16" spans="2:11" s="164" customFormat="1" ht="24" customHeight="1">
      <c r="B16" s="404" t="s">
        <v>596</v>
      </c>
      <c r="C16" s="408" t="s">
        <v>593</v>
      </c>
      <c r="D16" s="409" t="s">
        <v>593</v>
      </c>
      <c r="E16" s="411" t="s">
        <v>593</v>
      </c>
      <c r="F16" s="417" t="s">
        <v>593</v>
      </c>
      <c r="G16" s="416">
        <f>+G26-G10-G24</f>
        <v>0</v>
      </c>
      <c r="H16" s="411" t="s">
        <v>593</v>
      </c>
      <c r="I16" s="409" t="s">
        <v>593</v>
      </c>
      <c r="J16" s="412">
        <f t="shared" si="0"/>
        <v>0</v>
      </c>
      <c r="K16" s="413">
        <v>67449446</v>
      </c>
    </row>
    <row r="17" spans="2:11" s="164" customFormat="1" ht="24" customHeight="1">
      <c r="B17" s="404"/>
      <c r="C17" s="408"/>
      <c r="D17" s="409"/>
      <c r="E17" s="411"/>
      <c r="F17" s="415"/>
      <c r="G17" s="416"/>
      <c r="H17" s="411"/>
      <c r="I17" s="409"/>
      <c r="J17" s="412">
        <f t="shared" si="0"/>
        <v>0</v>
      </c>
      <c r="K17" s="413">
        <v>0</v>
      </c>
    </row>
    <row r="18" spans="2:11" s="164" customFormat="1" ht="24" customHeight="1">
      <c r="B18" s="404" t="s">
        <v>107</v>
      </c>
      <c r="C18" s="408" t="s">
        <v>593</v>
      </c>
      <c r="D18" s="409" t="s">
        <v>593</v>
      </c>
      <c r="E18" s="411" t="s">
        <v>593</v>
      </c>
      <c r="F18" s="417" t="s">
        <v>593</v>
      </c>
      <c r="G18" s="416" t="s">
        <v>593</v>
      </c>
      <c r="H18" s="411" t="s">
        <v>593</v>
      </c>
      <c r="I18" s="409" t="s">
        <v>593</v>
      </c>
      <c r="J18" s="412">
        <f t="shared" si="0"/>
        <v>0</v>
      </c>
      <c r="K18" s="413">
        <v>0</v>
      </c>
    </row>
    <row r="19" spans="2:11" s="164" customFormat="1" ht="24" customHeight="1">
      <c r="B19" s="404"/>
      <c r="C19" s="408"/>
      <c r="D19" s="409"/>
      <c r="E19" s="411"/>
      <c r="F19" s="417"/>
      <c r="G19" s="416"/>
      <c r="H19" s="411"/>
      <c r="I19" s="409"/>
      <c r="J19" s="412">
        <f t="shared" si="0"/>
        <v>0</v>
      </c>
      <c r="K19" s="413">
        <v>0</v>
      </c>
    </row>
    <row r="20" spans="2:11" s="164" customFormat="1" ht="24" customHeight="1">
      <c r="B20" s="404" t="s">
        <v>597</v>
      </c>
      <c r="C20" s="408">
        <f>+C26-C10</f>
        <v>-960000091</v>
      </c>
      <c r="D20" s="409" t="s">
        <v>593</v>
      </c>
      <c r="E20" s="411">
        <v>0</v>
      </c>
      <c r="F20" s="417" t="s">
        <v>593</v>
      </c>
      <c r="G20" s="416" t="s">
        <v>593</v>
      </c>
      <c r="H20" s="411" t="s">
        <v>593</v>
      </c>
      <c r="I20" s="409" t="s">
        <v>593</v>
      </c>
      <c r="J20" s="412">
        <f t="shared" si="0"/>
        <v>-960000091</v>
      </c>
      <c r="K20" s="413">
        <v>960000091</v>
      </c>
    </row>
    <row r="21" spans="2:11" s="164" customFormat="1" ht="24" customHeight="1">
      <c r="B21" s="404"/>
      <c r="C21" s="408"/>
      <c r="D21" s="409"/>
      <c r="E21" s="411"/>
      <c r="F21" s="417"/>
      <c r="G21" s="416"/>
      <c r="H21" s="411"/>
      <c r="I21" s="409"/>
      <c r="J21" s="412">
        <f t="shared" si="0"/>
        <v>0</v>
      </c>
      <c r="K21" s="413">
        <v>0</v>
      </c>
    </row>
    <row r="22" spans="2:11" s="164" customFormat="1" ht="24" customHeight="1">
      <c r="B22" s="404" t="s">
        <v>598</v>
      </c>
      <c r="C22" s="408" t="s">
        <v>593</v>
      </c>
      <c r="D22" s="409" t="s">
        <v>593</v>
      </c>
      <c r="E22" s="411" t="s">
        <v>593</v>
      </c>
      <c r="F22" s="417" t="s">
        <v>593</v>
      </c>
      <c r="G22" s="416" t="s">
        <v>593</v>
      </c>
      <c r="H22" s="411" t="s">
        <v>593</v>
      </c>
      <c r="I22" s="409" t="s">
        <v>593</v>
      </c>
      <c r="J22" s="412">
        <f t="shared" si="0"/>
        <v>0</v>
      </c>
      <c r="K22" s="413">
        <v>0</v>
      </c>
    </row>
    <row r="23" spans="2:11" s="164" customFormat="1" ht="24" customHeight="1">
      <c r="B23" s="404"/>
      <c r="C23" s="408"/>
      <c r="D23" s="409"/>
      <c r="E23" s="411"/>
      <c r="F23" s="415"/>
      <c r="G23" s="416"/>
      <c r="H23" s="411"/>
      <c r="I23" s="409"/>
      <c r="J23" s="412">
        <f t="shared" si="0"/>
        <v>0</v>
      </c>
      <c r="K23" s="413">
        <v>0</v>
      </c>
    </row>
    <row r="24" spans="2:11" s="164" customFormat="1" ht="24" customHeight="1">
      <c r="B24" s="404" t="s">
        <v>599</v>
      </c>
      <c r="C24" s="408">
        <v>0</v>
      </c>
      <c r="D24" s="409">
        <f>+D26-D10</f>
        <v>5888000000</v>
      </c>
      <c r="E24" s="411">
        <v>0</v>
      </c>
      <c r="F24" s="417">
        <f>+F26-F10</f>
        <v>-334673535</v>
      </c>
      <c r="G24" s="416">
        <f>+G26-G10</f>
        <v>-66502776</v>
      </c>
      <c r="H24" s="411" t="s">
        <v>739</v>
      </c>
      <c r="I24" s="409">
        <f>-I10</f>
        <v>-5385823689</v>
      </c>
      <c r="J24" s="412">
        <f>SUM(C24:I24)</f>
        <v>101000000</v>
      </c>
      <c r="K24" s="413">
        <v>64347712</v>
      </c>
    </row>
    <row r="25" spans="2:11" s="164" customFormat="1" ht="24" customHeight="1" thickBot="1">
      <c r="B25" s="404" t="s">
        <v>109</v>
      </c>
      <c r="C25" s="418" t="s">
        <v>593</v>
      </c>
      <c r="D25" s="419" t="s">
        <v>593</v>
      </c>
      <c r="E25" s="418" t="s">
        <v>593</v>
      </c>
      <c r="F25" s="420" t="s">
        <v>593</v>
      </c>
      <c r="G25" s="419" t="s">
        <v>593</v>
      </c>
      <c r="H25" s="421"/>
      <c r="I25" s="419">
        <v>4546536612</v>
      </c>
      <c r="J25" s="422">
        <f t="shared" si="0"/>
        <v>4546536612</v>
      </c>
      <c r="K25" s="423">
        <v>5385823689</v>
      </c>
    </row>
    <row r="26" spans="2:11" s="164" customFormat="1" ht="24" customHeight="1" thickBot="1">
      <c r="B26" s="424" t="s">
        <v>748</v>
      </c>
      <c r="C26" s="425">
        <f>+'[2]Balance Gral. Resol. 6'!G55</f>
        <v>0</v>
      </c>
      <c r="D26" s="426">
        <f>+'[2]Balance Gral. Resol. 6'!G54</f>
        <v>24288000001</v>
      </c>
      <c r="E26" s="427">
        <f>+'[2]Balance Gral. Resol. 6'!G58</f>
        <v>1122244552</v>
      </c>
      <c r="F26" s="426">
        <v>101000000</v>
      </c>
      <c r="G26" s="428">
        <f>+'[2]Balance Gral. Resol. 6'!G59</f>
        <v>946670</v>
      </c>
      <c r="H26" s="425">
        <f>+'[2]Balance Gral. Resol. 6'!G65</f>
        <v>0</v>
      </c>
      <c r="I26" s="426">
        <v>4546536612</v>
      </c>
      <c r="J26" s="429">
        <f>SUM(C26:I26)</f>
        <v>30058727835</v>
      </c>
      <c r="K26" s="430">
        <f>SUM(K10:K25)</f>
        <v>26371191314</v>
      </c>
    </row>
    <row r="27" spans="2:11" s="164" customFormat="1" ht="24" customHeight="1" thickBot="1">
      <c r="B27" s="431" t="s">
        <v>744</v>
      </c>
      <c r="C27" s="432" t="s">
        <v>593</v>
      </c>
      <c r="D27" s="433">
        <v>18400000000</v>
      </c>
      <c r="E27" s="434">
        <v>838780147</v>
      </c>
      <c r="F27" s="433">
        <v>435673535</v>
      </c>
      <c r="G27" s="435">
        <v>0</v>
      </c>
      <c r="H27" s="436" t="s">
        <v>593</v>
      </c>
      <c r="I27" s="433">
        <v>2781090643</v>
      </c>
      <c r="J27" s="435">
        <v>22455544325</v>
      </c>
      <c r="K27" s="437" t="s">
        <v>593</v>
      </c>
    </row>
    <row r="29" spans="10:11" ht="11.25">
      <c r="J29" s="163"/>
      <c r="K29" s="163"/>
    </row>
  </sheetData>
  <sheetProtection/>
  <mergeCells count="4">
    <mergeCell ref="C7:D7"/>
    <mergeCell ref="E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B1:E61"/>
  <sheetViews>
    <sheetView showGridLines="0" zoomScale="143" zoomScaleNormal="143" zoomScalePageLayoutView="0" workbookViewId="0" topLeftCell="A1">
      <selection activeCell="C8" sqref="C8"/>
    </sheetView>
  </sheetViews>
  <sheetFormatPr defaultColWidth="11.421875" defaultRowHeight="15"/>
  <cols>
    <col min="3" max="3" width="74.421875" style="0" customWidth="1"/>
  </cols>
  <sheetData>
    <row r="1" ht="15">
      <c r="C1" s="50" t="s">
        <v>600</v>
      </c>
    </row>
    <row r="2" spans="2:3" ht="15">
      <c r="B2" s="50"/>
      <c r="C2" s="9"/>
    </row>
    <row r="3" spans="2:5" ht="15">
      <c r="B3" s="9"/>
      <c r="C3" s="9" t="s">
        <v>601</v>
      </c>
      <c r="D3" s="9"/>
      <c r="E3" s="9"/>
    </row>
    <row r="4" spans="2:3" ht="15">
      <c r="B4" s="9"/>
      <c r="C4" s="9"/>
    </row>
    <row r="5" spans="2:3" ht="51">
      <c r="B5" s="9"/>
      <c r="C5" s="10" t="s">
        <v>843</v>
      </c>
    </row>
    <row r="6" spans="2:3" ht="15">
      <c r="B6" s="10"/>
      <c r="C6" s="10"/>
    </row>
    <row r="7" spans="2:5" ht="15">
      <c r="B7" s="10"/>
      <c r="C7" s="9" t="s">
        <v>602</v>
      </c>
      <c r="D7" s="9"/>
      <c r="E7" s="9"/>
    </row>
    <row r="8" spans="2:3" ht="15">
      <c r="B8" s="9"/>
      <c r="C8" s="10"/>
    </row>
    <row r="9" spans="2:3" ht="15">
      <c r="B9" s="10"/>
      <c r="C9" s="11" t="s">
        <v>603</v>
      </c>
    </row>
    <row r="10" spans="2:3" ht="15">
      <c r="B10" s="11"/>
      <c r="C10" s="11"/>
    </row>
    <row r="11" spans="2:3" ht="76.5">
      <c r="B11" s="11"/>
      <c r="C11" s="11" t="s">
        <v>604</v>
      </c>
    </row>
    <row r="12" spans="2:3" ht="15">
      <c r="B12" s="11"/>
      <c r="C12" s="10"/>
    </row>
    <row r="13" spans="2:3" ht="38.25">
      <c r="B13" s="10"/>
      <c r="C13" s="10" t="s">
        <v>605</v>
      </c>
    </row>
    <row r="14" spans="2:3" ht="15">
      <c r="B14" s="10"/>
      <c r="C14" s="10"/>
    </row>
    <row r="15" spans="2:5" ht="15">
      <c r="B15" s="10"/>
      <c r="C15" s="10" t="s">
        <v>606</v>
      </c>
      <c r="E15" s="10"/>
    </row>
    <row r="16" ht="25.5">
      <c r="C16" s="10" t="s">
        <v>607</v>
      </c>
    </row>
    <row r="17" spans="2:3" ht="25.5">
      <c r="B17" s="10"/>
      <c r="C17" s="10" t="s">
        <v>608</v>
      </c>
    </row>
    <row r="18" spans="2:3" ht="25.5">
      <c r="B18" s="10"/>
      <c r="C18" s="10" t="s">
        <v>609</v>
      </c>
    </row>
    <row r="19" spans="2:3" ht="25.5">
      <c r="B19" s="10"/>
      <c r="C19" s="10" t="s">
        <v>610</v>
      </c>
    </row>
    <row r="20" spans="2:3" ht="15">
      <c r="B20" s="10"/>
      <c r="C20" s="10" t="s">
        <v>611</v>
      </c>
    </row>
    <row r="21" spans="2:3" ht="15">
      <c r="B21" s="10"/>
      <c r="C21" s="10" t="s">
        <v>612</v>
      </c>
    </row>
    <row r="22" spans="2:3" ht="38.25">
      <c r="B22" s="10"/>
      <c r="C22" s="10" t="s">
        <v>613</v>
      </c>
    </row>
    <row r="23" spans="2:3" ht="38.25">
      <c r="B23" s="10"/>
      <c r="C23" s="10" t="s">
        <v>614</v>
      </c>
    </row>
    <row r="24" spans="2:3" ht="25.5">
      <c r="B24" s="10"/>
      <c r="C24" s="10" t="s">
        <v>615</v>
      </c>
    </row>
    <row r="25" spans="2:3" ht="38.25">
      <c r="B25" s="10"/>
      <c r="C25" s="10" t="s">
        <v>616</v>
      </c>
    </row>
    <row r="26" spans="2:3" ht="15">
      <c r="B26" s="10"/>
      <c r="C26" s="11"/>
    </row>
    <row r="27" spans="2:3" ht="15">
      <c r="B27" s="11"/>
      <c r="C27" s="11" t="s">
        <v>617</v>
      </c>
    </row>
    <row r="28" spans="2:3" ht="15">
      <c r="B28" s="11"/>
      <c r="C28" s="51"/>
    </row>
    <row r="29" spans="2:3" ht="38.25">
      <c r="B29" s="51"/>
      <c r="C29" s="10" t="s">
        <v>618</v>
      </c>
    </row>
    <row r="30" spans="2:3" ht="15">
      <c r="B30" s="10"/>
      <c r="C30" s="10"/>
    </row>
    <row r="31" spans="2:3" ht="38.25">
      <c r="B31" s="10"/>
      <c r="C31" s="10" t="s">
        <v>619</v>
      </c>
    </row>
    <row r="32" spans="2:3" ht="15">
      <c r="B32" s="10"/>
      <c r="C32" s="10"/>
    </row>
    <row r="33" spans="2:3" ht="38.25">
      <c r="B33" s="10"/>
      <c r="C33" s="10" t="s">
        <v>620</v>
      </c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5" ht="15">
      <c r="B38" s="10"/>
      <c r="C38" s="9" t="s">
        <v>621</v>
      </c>
      <c r="D38" s="9"/>
      <c r="E38" s="9"/>
    </row>
    <row r="39" spans="2:3" ht="15">
      <c r="B39" s="9"/>
      <c r="C39" s="10"/>
    </row>
    <row r="40" spans="2:3" ht="15">
      <c r="B40" s="10"/>
      <c r="C40" s="11" t="s">
        <v>622</v>
      </c>
    </row>
    <row r="41" spans="2:3" ht="25.5">
      <c r="B41" s="11"/>
      <c r="C41" s="10" t="s">
        <v>623</v>
      </c>
    </row>
    <row r="42" spans="2:3" ht="15">
      <c r="B42" s="10"/>
      <c r="C42" s="10"/>
    </row>
    <row r="43" spans="2:3" ht="15">
      <c r="B43" s="10"/>
      <c r="C43" s="11" t="s">
        <v>624</v>
      </c>
    </row>
    <row r="44" spans="2:3" ht="38.25">
      <c r="B44" s="11"/>
      <c r="C44" s="10" t="s">
        <v>625</v>
      </c>
    </row>
    <row r="45" spans="2:3" ht="15">
      <c r="B45" s="10"/>
      <c r="C45" s="10"/>
    </row>
    <row r="46" spans="2:3" ht="15">
      <c r="B46" s="10"/>
      <c r="C46" s="11" t="s">
        <v>626</v>
      </c>
    </row>
    <row r="47" spans="2:3" ht="15">
      <c r="B47" s="11"/>
      <c r="C47" s="10" t="s">
        <v>627</v>
      </c>
    </row>
    <row r="48" spans="2:3" ht="15">
      <c r="B48" s="10"/>
      <c r="C48" s="11"/>
    </row>
    <row r="49" spans="2:3" ht="15">
      <c r="B49" s="11"/>
      <c r="C49" s="11" t="s">
        <v>628</v>
      </c>
    </row>
    <row r="50" spans="2:3" ht="25.5">
      <c r="B50" s="11"/>
      <c r="C50" s="10" t="s">
        <v>629</v>
      </c>
    </row>
    <row r="51" spans="2:3" ht="25.5">
      <c r="B51" s="10"/>
      <c r="C51" s="10" t="s">
        <v>630</v>
      </c>
    </row>
    <row r="52" spans="2:3" ht="15">
      <c r="B52" s="10"/>
      <c r="C52" s="10"/>
    </row>
    <row r="53" spans="2:3" ht="15">
      <c r="B53" s="10"/>
      <c r="C53" s="11" t="s">
        <v>631</v>
      </c>
    </row>
    <row r="54" spans="2:3" ht="38.25">
      <c r="B54" s="11"/>
      <c r="C54" s="10" t="s">
        <v>632</v>
      </c>
    </row>
    <row r="55" spans="2:3" ht="15">
      <c r="B55" s="10"/>
      <c r="C55" s="10"/>
    </row>
    <row r="56" spans="2:3" ht="15">
      <c r="B56" s="10"/>
      <c r="C56" s="11" t="s">
        <v>633</v>
      </c>
    </row>
    <row r="57" spans="2:3" ht="38.25">
      <c r="B57" s="11"/>
      <c r="C57" s="10" t="s">
        <v>634</v>
      </c>
    </row>
    <row r="58" spans="2:3" ht="15">
      <c r="B58" s="10"/>
      <c r="C58" s="12"/>
    </row>
    <row r="59" spans="2:5" ht="15">
      <c r="B59" s="12"/>
      <c r="C59" s="12" t="s">
        <v>635</v>
      </c>
      <c r="D59" s="12"/>
      <c r="E59" s="12"/>
    </row>
    <row r="60" spans="2:3" ht="15">
      <c r="B60" s="12"/>
      <c r="C60" s="13" t="s">
        <v>636</v>
      </c>
    </row>
    <row r="61" ht="15">
      <c r="B61" s="13"/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C1:K119"/>
  <sheetViews>
    <sheetView showGridLines="0" zoomScalePageLayoutView="0" workbookViewId="0" topLeftCell="A101">
      <selection activeCell="D112" sqref="D112:K119"/>
    </sheetView>
  </sheetViews>
  <sheetFormatPr defaultColWidth="11.421875" defaultRowHeight="15"/>
  <cols>
    <col min="1" max="2" width="11.421875" style="154" customWidth="1"/>
    <col min="3" max="3" width="47.57421875" style="154" bestFit="1" customWidth="1"/>
    <col min="4" max="4" width="11.8515625" style="154" bestFit="1" customWidth="1"/>
    <col min="5" max="5" width="15.421875" style="154" bestFit="1" customWidth="1"/>
    <col min="6" max="6" width="9.8515625" style="154" bestFit="1" customWidth="1"/>
    <col min="7" max="7" width="13.140625" style="154" bestFit="1" customWidth="1"/>
    <col min="8" max="8" width="12.57421875" style="154" customWidth="1"/>
    <col min="9" max="9" width="13.8515625" style="154" bestFit="1" customWidth="1"/>
    <col min="10" max="10" width="14.140625" style="154" bestFit="1" customWidth="1"/>
    <col min="11" max="16384" width="11.421875" style="154" customWidth="1"/>
  </cols>
  <sheetData>
    <row r="1" ht="12">
      <c r="C1" s="166" t="s">
        <v>464</v>
      </c>
    </row>
    <row r="3" spans="3:4" ht="12">
      <c r="C3" s="167" t="s">
        <v>637</v>
      </c>
      <c r="D3" s="167"/>
    </row>
    <row r="4" ht="18.75" customHeight="1">
      <c r="C4" s="168" t="s">
        <v>804</v>
      </c>
    </row>
    <row r="5" ht="12">
      <c r="C5" s="169"/>
    </row>
    <row r="6" spans="3:5" ht="12">
      <c r="C6" s="170" t="s">
        <v>638</v>
      </c>
      <c r="D6" s="199">
        <v>44012</v>
      </c>
      <c r="E6" s="199">
        <v>43646</v>
      </c>
    </row>
    <row r="7" spans="3:5" ht="12">
      <c r="C7" s="171" t="s">
        <v>639</v>
      </c>
      <c r="D7" s="172">
        <v>6793.79</v>
      </c>
      <c r="E7" s="172">
        <v>6183.21</v>
      </c>
    </row>
    <row r="8" spans="3:5" ht="12">
      <c r="C8" s="173" t="s">
        <v>640</v>
      </c>
      <c r="D8" s="172">
        <v>6820.47</v>
      </c>
      <c r="E8" s="172">
        <v>6197.68</v>
      </c>
    </row>
    <row r="9" ht="12">
      <c r="C9" s="169"/>
    </row>
    <row r="15" ht="12">
      <c r="C15" s="168" t="s">
        <v>805</v>
      </c>
    </row>
    <row r="16" ht="12">
      <c r="C16" s="168"/>
    </row>
    <row r="17" ht="12">
      <c r="C17" s="174" t="s">
        <v>641</v>
      </c>
    </row>
    <row r="20" spans="3:9" ht="60">
      <c r="C20" s="170" t="s">
        <v>642</v>
      </c>
      <c r="D20" s="52" t="s">
        <v>643</v>
      </c>
      <c r="E20" s="52" t="s">
        <v>644</v>
      </c>
      <c r="F20" s="52" t="s">
        <v>749</v>
      </c>
      <c r="G20" s="52" t="s">
        <v>643</v>
      </c>
      <c r="H20" s="52" t="s">
        <v>644</v>
      </c>
      <c r="I20" s="52" t="s">
        <v>786</v>
      </c>
    </row>
    <row r="21" spans="3:9" ht="12">
      <c r="C21" s="175" t="s">
        <v>3</v>
      </c>
      <c r="D21" s="176"/>
      <c r="E21" s="176"/>
      <c r="F21" s="176"/>
      <c r="G21" s="176"/>
      <c r="H21" s="176"/>
      <c r="I21" s="176"/>
    </row>
    <row r="22" spans="3:9" ht="12">
      <c r="C22" s="175" t="s">
        <v>645</v>
      </c>
      <c r="D22" s="176"/>
      <c r="E22" s="176"/>
      <c r="F22" s="176"/>
      <c r="G22" s="176"/>
      <c r="H22" s="176"/>
      <c r="I22" s="176"/>
    </row>
    <row r="23" spans="3:10" ht="12">
      <c r="C23" s="175" t="s">
        <v>646</v>
      </c>
      <c r="D23" s="176"/>
      <c r="E23" s="177"/>
      <c r="F23" s="176"/>
      <c r="G23" s="176"/>
      <c r="H23" s="177"/>
      <c r="I23" s="176"/>
      <c r="J23" s="155"/>
    </row>
    <row r="24" spans="3:9" ht="12">
      <c r="C24" s="176" t="s">
        <v>11</v>
      </c>
      <c r="D24" s="178" t="s">
        <v>647</v>
      </c>
      <c r="E24" s="179">
        <v>0</v>
      </c>
      <c r="F24" s="180">
        <f>+D7</f>
        <v>6793.79</v>
      </c>
      <c r="G24" s="178" t="s">
        <v>647</v>
      </c>
      <c r="H24" s="179">
        <v>0</v>
      </c>
      <c r="I24" s="180">
        <v>6442.33</v>
      </c>
    </row>
    <row r="25" spans="3:9" ht="12">
      <c r="C25" s="176" t="s">
        <v>16</v>
      </c>
      <c r="D25" s="178" t="s">
        <v>647</v>
      </c>
      <c r="E25" s="179">
        <f>1697940416/F25</f>
        <v>249925.36066025004</v>
      </c>
      <c r="F25" s="180">
        <v>6793.79</v>
      </c>
      <c r="G25" s="178" t="s">
        <v>647</v>
      </c>
      <c r="H25" s="179">
        <v>179305.8899497542</v>
      </c>
      <c r="I25" s="180">
        <v>6442.33</v>
      </c>
    </row>
    <row r="26" spans="3:9" ht="12">
      <c r="C26" s="175" t="s">
        <v>77</v>
      </c>
      <c r="D26" s="176"/>
      <c r="E26" s="179"/>
      <c r="F26" s="181"/>
      <c r="G26" s="176"/>
      <c r="H26" s="179"/>
      <c r="I26" s="176"/>
    </row>
    <row r="27" spans="3:9" ht="12">
      <c r="C27" s="176" t="s">
        <v>33</v>
      </c>
      <c r="D27" s="178" t="s">
        <v>647</v>
      </c>
      <c r="E27" s="179">
        <v>192740.04068421308</v>
      </c>
      <c r="F27" s="180">
        <v>6793.79</v>
      </c>
      <c r="G27" s="178" t="s">
        <v>647</v>
      </c>
      <c r="H27" s="179">
        <v>81121.81</v>
      </c>
      <c r="I27" s="180">
        <v>6442.33</v>
      </c>
    </row>
    <row r="28" spans="3:9" ht="12">
      <c r="C28" s="176" t="s">
        <v>648</v>
      </c>
      <c r="D28" s="178" t="s">
        <v>647</v>
      </c>
      <c r="E28" s="179">
        <v>0</v>
      </c>
      <c r="F28" s="180">
        <v>6793.79</v>
      </c>
      <c r="G28" s="178" t="s">
        <v>647</v>
      </c>
      <c r="H28" s="179">
        <v>140331.65</v>
      </c>
      <c r="I28" s="180">
        <v>6442.33</v>
      </c>
    </row>
    <row r="29" spans="3:9" ht="12">
      <c r="C29" s="176" t="s">
        <v>649</v>
      </c>
      <c r="D29" s="178" t="s">
        <v>647</v>
      </c>
      <c r="E29" s="179">
        <v>0</v>
      </c>
      <c r="F29" s="180">
        <v>6793.79</v>
      </c>
      <c r="G29" s="178" t="s">
        <v>647</v>
      </c>
      <c r="H29" s="179">
        <v>0</v>
      </c>
      <c r="I29" s="180">
        <v>6442.33</v>
      </c>
    </row>
    <row r="30" spans="3:9" ht="12">
      <c r="C30" s="176" t="s">
        <v>650</v>
      </c>
      <c r="D30" s="178" t="s">
        <v>647</v>
      </c>
      <c r="E30" s="179">
        <v>0</v>
      </c>
      <c r="F30" s="180">
        <v>6793.79</v>
      </c>
      <c r="G30" s="178" t="s">
        <v>647</v>
      </c>
      <c r="H30" s="179">
        <v>0</v>
      </c>
      <c r="I30" s="180">
        <v>6442.33</v>
      </c>
    </row>
    <row r="31" spans="3:9" ht="12">
      <c r="C31" s="176" t="s">
        <v>41</v>
      </c>
      <c r="D31" s="178" t="s">
        <v>647</v>
      </c>
      <c r="E31" s="179">
        <f>1070620503/F31</f>
        <v>157588.10663856257</v>
      </c>
      <c r="F31" s="180">
        <v>6793.79</v>
      </c>
      <c r="G31" s="178" t="s">
        <v>647</v>
      </c>
      <c r="H31" s="179">
        <v>0</v>
      </c>
      <c r="I31" s="180">
        <v>6442.33</v>
      </c>
    </row>
    <row r="32" spans="3:9" ht="12">
      <c r="C32" s="176" t="s">
        <v>651</v>
      </c>
      <c r="D32" s="178" t="s">
        <v>647</v>
      </c>
      <c r="E32" s="179">
        <v>0</v>
      </c>
      <c r="F32" s="180">
        <v>6793.79</v>
      </c>
      <c r="G32" s="178" t="s">
        <v>647</v>
      </c>
      <c r="H32" s="179">
        <v>0</v>
      </c>
      <c r="I32" s="180">
        <v>6442.33</v>
      </c>
    </row>
    <row r="33" spans="3:9" ht="12">
      <c r="C33" s="175" t="s">
        <v>652</v>
      </c>
      <c r="D33" s="176"/>
      <c r="E33" s="179"/>
      <c r="F33" s="181"/>
      <c r="G33" s="176"/>
      <c r="H33" s="179"/>
      <c r="I33" s="176"/>
    </row>
    <row r="34" spans="3:9" ht="12">
      <c r="C34" s="176" t="s">
        <v>237</v>
      </c>
      <c r="D34" s="178" t="s">
        <v>647</v>
      </c>
      <c r="E34" s="179">
        <v>0</v>
      </c>
      <c r="F34" s="180">
        <v>6793.79</v>
      </c>
      <c r="G34" s="178" t="s">
        <v>647</v>
      </c>
      <c r="H34" s="179">
        <v>0</v>
      </c>
      <c r="I34" s="180">
        <v>6442.33</v>
      </c>
    </row>
    <row r="35" spans="3:9" ht="12">
      <c r="C35" s="176" t="s">
        <v>653</v>
      </c>
      <c r="D35" s="178" t="s">
        <v>647</v>
      </c>
      <c r="E35" s="179">
        <v>0</v>
      </c>
      <c r="F35" s="180">
        <v>6793.79</v>
      </c>
      <c r="G35" s="178" t="s">
        <v>647</v>
      </c>
      <c r="H35" s="179">
        <v>0</v>
      </c>
      <c r="I35" s="180">
        <v>6442.33</v>
      </c>
    </row>
    <row r="36" spans="3:9" ht="12">
      <c r="C36" s="175" t="s">
        <v>45</v>
      </c>
      <c r="D36" s="176"/>
      <c r="E36" s="179"/>
      <c r="F36" s="181"/>
      <c r="G36" s="176"/>
      <c r="H36" s="179"/>
      <c r="I36" s="176"/>
    </row>
    <row r="37" spans="3:9" ht="12">
      <c r="C37" s="176" t="s">
        <v>238</v>
      </c>
      <c r="D37" s="178" t="s">
        <v>647</v>
      </c>
      <c r="E37" s="179">
        <v>0</v>
      </c>
      <c r="F37" s="180">
        <v>6793.79</v>
      </c>
      <c r="G37" s="178" t="s">
        <v>647</v>
      </c>
      <c r="H37" s="179">
        <v>0</v>
      </c>
      <c r="I37" s="180">
        <v>6442.33</v>
      </c>
    </row>
    <row r="38" spans="3:9" ht="12">
      <c r="C38" s="176" t="s">
        <v>239</v>
      </c>
      <c r="D38" s="178" t="s">
        <v>647</v>
      </c>
      <c r="E38" s="179">
        <v>0</v>
      </c>
      <c r="F38" s="180">
        <v>6793.79</v>
      </c>
      <c r="G38" s="178" t="s">
        <v>647</v>
      </c>
      <c r="H38" s="179">
        <v>0</v>
      </c>
      <c r="I38" s="180">
        <v>6442.33</v>
      </c>
    </row>
    <row r="39" spans="3:9" ht="12">
      <c r="C39" s="182" t="s">
        <v>62</v>
      </c>
      <c r="D39" s="178"/>
      <c r="E39" s="179"/>
      <c r="F39" s="180"/>
      <c r="G39" s="178"/>
      <c r="H39" s="179"/>
      <c r="I39" s="180">
        <v>6442.33</v>
      </c>
    </row>
    <row r="40" spans="3:9" ht="12">
      <c r="C40" s="183" t="s">
        <v>77</v>
      </c>
      <c r="D40" s="184"/>
      <c r="E40" s="179"/>
      <c r="F40" s="181"/>
      <c r="G40" s="184"/>
      <c r="H40" s="179"/>
      <c r="I40" s="184"/>
    </row>
    <row r="41" spans="3:9" ht="14.25" customHeight="1">
      <c r="C41" s="184" t="s">
        <v>240</v>
      </c>
      <c r="D41" s="185" t="s">
        <v>647</v>
      </c>
      <c r="E41" s="179">
        <v>0</v>
      </c>
      <c r="F41" s="180">
        <v>6793.79</v>
      </c>
      <c r="G41" s="185" t="s">
        <v>647</v>
      </c>
      <c r="H41" s="179">
        <v>0</v>
      </c>
      <c r="I41" s="180">
        <v>6442.33</v>
      </c>
    </row>
    <row r="42" spans="3:9" ht="12">
      <c r="C42" s="183" t="s">
        <v>654</v>
      </c>
      <c r="D42" s="184"/>
      <c r="E42" s="179"/>
      <c r="F42" s="181"/>
      <c r="G42" s="184"/>
      <c r="H42" s="179"/>
      <c r="I42" s="184"/>
    </row>
    <row r="43" spans="3:9" ht="12">
      <c r="C43" s="184" t="s">
        <v>655</v>
      </c>
      <c r="D43" s="185" t="s">
        <v>647</v>
      </c>
      <c r="E43" s="179">
        <v>0</v>
      </c>
      <c r="F43" s="180">
        <v>6793.79</v>
      </c>
      <c r="G43" s="185" t="s">
        <v>647</v>
      </c>
      <c r="H43" s="179">
        <v>0</v>
      </c>
      <c r="I43" s="180">
        <v>6442.33</v>
      </c>
    </row>
    <row r="44" spans="3:9" ht="12">
      <c r="C44" s="184" t="s">
        <v>656</v>
      </c>
      <c r="D44" s="185" t="s">
        <v>647</v>
      </c>
      <c r="E44" s="179">
        <v>852320.37</v>
      </c>
      <c r="F44" s="180">
        <v>6793.79</v>
      </c>
      <c r="G44" s="185" t="s">
        <v>647</v>
      </c>
      <c r="H44" s="179">
        <v>693672.15</v>
      </c>
      <c r="I44" s="180">
        <v>6442.33</v>
      </c>
    </row>
    <row r="45" spans="3:9" ht="12">
      <c r="C45" s="184" t="s">
        <v>657</v>
      </c>
      <c r="D45" s="185" t="s">
        <v>647</v>
      </c>
      <c r="E45" s="179"/>
      <c r="F45" s="180">
        <v>6793.79</v>
      </c>
      <c r="G45" s="185" t="s">
        <v>647</v>
      </c>
      <c r="H45" s="179">
        <v>0</v>
      </c>
      <c r="I45" s="180">
        <v>6442.33</v>
      </c>
    </row>
    <row r="46" spans="3:9" ht="12">
      <c r="C46" s="183" t="s">
        <v>658</v>
      </c>
      <c r="D46" s="184"/>
      <c r="E46" s="179"/>
      <c r="F46" s="181"/>
      <c r="G46" s="184"/>
      <c r="H46" s="179"/>
      <c r="I46" s="181"/>
    </row>
    <row r="47" spans="3:9" ht="12">
      <c r="C47" s="184" t="s">
        <v>659</v>
      </c>
      <c r="D47" s="185" t="s">
        <v>647</v>
      </c>
      <c r="E47" s="179">
        <v>0</v>
      </c>
      <c r="F47" s="180">
        <v>6793.79</v>
      </c>
      <c r="G47" s="185" t="s">
        <v>647</v>
      </c>
      <c r="H47" s="179"/>
      <c r="I47" s="180">
        <v>6442.33</v>
      </c>
    </row>
    <row r="48" spans="3:9" ht="12">
      <c r="C48" s="184" t="s">
        <v>660</v>
      </c>
      <c r="D48" s="185" t="s">
        <v>647</v>
      </c>
      <c r="E48" s="179">
        <v>0</v>
      </c>
      <c r="F48" s="180">
        <v>6793.79</v>
      </c>
      <c r="G48" s="185" t="s">
        <v>647</v>
      </c>
      <c r="H48" s="179"/>
      <c r="I48" s="180">
        <v>6442.33</v>
      </c>
    </row>
    <row r="49" spans="3:9" ht="12">
      <c r="C49" s="183" t="s">
        <v>661</v>
      </c>
      <c r="D49" s="184"/>
      <c r="E49" s="179"/>
      <c r="F49" s="181"/>
      <c r="G49" s="184"/>
      <c r="H49" s="179"/>
      <c r="I49" s="181"/>
    </row>
    <row r="50" spans="3:9" ht="12">
      <c r="C50" s="184" t="s">
        <v>102</v>
      </c>
      <c r="D50" s="185" t="s">
        <v>647</v>
      </c>
      <c r="E50" s="179">
        <v>0</v>
      </c>
      <c r="F50" s="180">
        <v>6793.79</v>
      </c>
      <c r="G50" s="185" t="s">
        <v>647</v>
      </c>
      <c r="H50" s="179">
        <v>0</v>
      </c>
      <c r="I50" s="180">
        <v>6442.33</v>
      </c>
    </row>
    <row r="51" spans="3:9" ht="12">
      <c r="C51" s="184" t="s">
        <v>103</v>
      </c>
      <c r="D51" s="185" t="s">
        <v>647</v>
      </c>
      <c r="E51" s="179">
        <v>0</v>
      </c>
      <c r="F51" s="180">
        <v>6793.79</v>
      </c>
      <c r="G51" s="185" t="s">
        <v>647</v>
      </c>
      <c r="H51" s="179">
        <v>0</v>
      </c>
      <c r="I51" s="180">
        <v>6442.33</v>
      </c>
    </row>
    <row r="52" spans="3:9" ht="12">
      <c r="C52" s="184" t="s">
        <v>106</v>
      </c>
      <c r="D52" s="185" t="s">
        <v>647</v>
      </c>
      <c r="E52" s="179">
        <v>0</v>
      </c>
      <c r="F52" s="180">
        <v>6793.79</v>
      </c>
      <c r="G52" s="185" t="s">
        <v>647</v>
      </c>
      <c r="H52" s="179">
        <v>0</v>
      </c>
      <c r="I52" s="180">
        <v>6442.33</v>
      </c>
    </row>
    <row r="53" spans="3:9" ht="12">
      <c r="C53" s="184" t="s">
        <v>662</v>
      </c>
      <c r="D53" s="185" t="s">
        <v>647</v>
      </c>
      <c r="E53" s="179">
        <v>0</v>
      </c>
      <c r="F53" s="180">
        <v>6793.79</v>
      </c>
      <c r="G53" s="185" t="s">
        <v>647</v>
      </c>
      <c r="H53" s="179">
        <v>0</v>
      </c>
      <c r="I53" s="180">
        <v>6442.33</v>
      </c>
    </row>
    <row r="54" spans="3:9" ht="12">
      <c r="C54" s="184" t="s">
        <v>108</v>
      </c>
      <c r="D54" s="185" t="s">
        <v>647</v>
      </c>
      <c r="E54" s="179">
        <v>0</v>
      </c>
      <c r="F54" s="180">
        <v>6793.79</v>
      </c>
      <c r="G54" s="185" t="s">
        <v>647</v>
      </c>
      <c r="H54" s="179">
        <v>0</v>
      </c>
      <c r="I54" s="180">
        <v>6442.33</v>
      </c>
    </row>
    <row r="55" spans="3:9" ht="12">
      <c r="C55" s="182" t="s">
        <v>45</v>
      </c>
      <c r="D55" s="186"/>
      <c r="E55" s="179"/>
      <c r="F55" s="187"/>
      <c r="G55" s="186"/>
      <c r="H55" s="179"/>
      <c r="I55" s="187"/>
    </row>
    <row r="56" spans="3:9" ht="12">
      <c r="C56" s="184" t="s">
        <v>241</v>
      </c>
      <c r="D56" s="185" t="s">
        <v>647</v>
      </c>
      <c r="E56" s="179">
        <v>0</v>
      </c>
      <c r="F56" s="180">
        <v>6793.79</v>
      </c>
      <c r="G56" s="185" t="s">
        <v>647</v>
      </c>
      <c r="H56" s="179">
        <v>0</v>
      </c>
      <c r="I56" s="180">
        <v>6442.33</v>
      </c>
    </row>
    <row r="60" spans="3:9" ht="60">
      <c r="C60" s="170" t="s">
        <v>642</v>
      </c>
      <c r="D60" s="52" t="s">
        <v>643</v>
      </c>
      <c r="E60" s="52" t="s">
        <v>644</v>
      </c>
      <c r="F60" s="52" t="str">
        <f>+F20</f>
        <v>CAMBIO CIERRE PERIODO ACTUAL 30/06/2020</v>
      </c>
      <c r="G60" s="52" t="s">
        <v>643</v>
      </c>
      <c r="H60" s="52" t="s">
        <v>644</v>
      </c>
      <c r="I60" s="52" t="s">
        <v>786</v>
      </c>
    </row>
    <row r="61" spans="3:9" ht="12">
      <c r="C61" s="182" t="s">
        <v>4</v>
      </c>
      <c r="D61" s="186"/>
      <c r="E61" s="186"/>
      <c r="F61" s="186"/>
      <c r="G61" s="186"/>
      <c r="H61" s="186"/>
      <c r="I61" s="186"/>
    </row>
    <row r="62" spans="3:9" ht="12">
      <c r="C62" s="182" t="s">
        <v>6</v>
      </c>
      <c r="D62" s="186"/>
      <c r="E62" s="186"/>
      <c r="F62" s="186"/>
      <c r="G62" s="186"/>
      <c r="H62" s="186"/>
      <c r="I62" s="186"/>
    </row>
    <row r="63" spans="3:9" ht="12">
      <c r="C63" s="175" t="s">
        <v>663</v>
      </c>
      <c r="D63" s="176"/>
      <c r="E63" s="177"/>
      <c r="F63" s="188"/>
      <c r="G63" s="176"/>
      <c r="H63" s="177"/>
      <c r="I63" s="176"/>
    </row>
    <row r="64" spans="3:9" ht="12">
      <c r="C64" s="176" t="s">
        <v>664</v>
      </c>
      <c r="D64" s="178" t="s">
        <v>647</v>
      </c>
      <c r="E64" s="179">
        <v>0</v>
      </c>
      <c r="F64" s="180">
        <v>6793.79</v>
      </c>
      <c r="G64" s="178" t="s">
        <v>647</v>
      </c>
      <c r="H64" s="179">
        <v>3961.62</v>
      </c>
      <c r="I64" s="180">
        <v>6463.95</v>
      </c>
    </row>
    <row r="65" spans="3:9" ht="12">
      <c r="C65" s="176" t="s">
        <v>665</v>
      </c>
      <c r="D65" s="178" t="s">
        <v>647</v>
      </c>
      <c r="E65" s="179">
        <v>358175.5648908783</v>
      </c>
      <c r="F65" s="180">
        <v>6793.79</v>
      </c>
      <c r="G65" s="178" t="s">
        <v>647</v>
      </c>
      <c r="H65" s="179">
        <v>853873.85</v>
      </c>
      <c r="I65" s="180">
        <v>6463.95</v>
      </c>
    </row>
    <row r="66" spans="3:9" ht="12">
      <c r="C66" s="176" t="s">
        <v>666</v>
      </c>
      <c r="D66" s="178" t="s">
        <v>647</v>
      </c>
      <c r="E66" s="179">
        <v>0</v>
      </c>
      <c r="F66" s="180">
        <v>6793.79</v>
      </c>
      <c r="G66" s="178" t="s">
        <v>647</v>
      </c>
      <c r="H66" s="179">
        <v>0</v>
      </c>
      <c r="I66" s="180">
        <v>6463.95</v>
      </c>
    </row>
    <row r="67" spans="3:9" ht="12">
      <c r="C67" s="176" t="s">
        <v>667</v>
      </c>
      <c r="D67" s="178" t="s">
        <v>647</v>
      </c>
      <c r="E67" s="179">
        <v>0</v>
      </c>
      <c r="F67" s="180">
        <v>6793.79</v>
      </c>
      <c r="G67" s="178" t="s">
        <v>647</v>
      </c>
      <c r="H67" s="179">
        <v>0</v>
      </c>
      <c r="I67" s="180">
        <v>6463.95</v>
      </c>
    </row>
    <row r="68" spans="3:9" ht="12">
      <c r="C68" s="175" t="s">
        <v>65</v>
      </c>
      <c r="D68" s="176"/>
      <c r="E68" s="179"/>
      <c r="F68" s="188"/>
      <c r="G68" s="176"/>
      <c r="H68" s="179"/>
      <c r="I68" s="188"/>
    </row>
    <row r="69" spans="3:9" ht="12">
      <c r="C69" s="176" t="s">
        <v>668</v>
      </c>
      <c r="D69" s="178" t="s">
        <v>647</v>
      </c>
      <c r="E69" s="179">
        <v>0</v>
      </c>
      <c r="F69" s="180">
        <v>6793.79</v>
      </c>
      <c r="G69" s="178" t="s">
        <v>647</v>
      </c>
      <c r="H69" s="179">
        <v>0</v>
      </c>
      <c r="I69" s="180">
        <v>6463.95</v>
      </c>
    </row>
    <row r="70" spans="3:9" ht="12">
      <c r="C70" s="176" t="s">
        <v>669</v>
      </c>
      <c r="D70" s="178" t="s">
        <v>647</v>
      </c>
      <c r="E70" s="189">
        <v>0</v>
      </c>
      <c r="F70" s="180">
        <v>6793.79</v>
      </c>
      <c r="G70" s="178" t="s">
        <v>647</v>
      </c>
      <c r="H70" s="179">
        <v>0</v>
      </c>
      <c r="I70" s="180">
        <v>6463.95</v>
      </c>
    </row>
    <row r="71" spans="3:9" ht="12">
      <c r="C71" s="176" t="s">
        <v>24</v>
      </c>
      <c r="D71" s="178" t="s">
        <v>647</v>
      </c>
      <c r="E71" s="179">
        <f>643381612/F71</f>
        <v>94701.42762728904</v>
      </c>
      <c r="F71" s="180">
        <v>6793.79</v>
      </c>
      <c r="G71" s="178" t="s">
        <v>647</v>
      </c>
      <c r="H71" s="179">
        <v>0</v>
      </c>
      <c r="I71" s="180">
        <v>6463.95</v>
      </c>
    </row>
    <row r="72" spans="3:9" ht="12">
      <c r="C72" s="175" t="s">
        <v>32</v>
      </c>
      <c r="D72" s="176"/>
      <c r="E72" s="179"/>
      <c r="F72" s="188"/>
      <c r="G72" s="176"/>
      <c r="H72" s="179"/>
      <c r="I72" s="188"/>
    </row>
    <row r="73" spans="3:9" ht="12">
      <c r="C73" s="176" t="s">
        <v>242</v>
      </c>
      <c r="D73" s="178" t="s">
        <v>647</v>
      </c>
      <c r="E73" s="179">
        <v>0</v>
      </c>
      <c r="F73" s="180">
        <v>6793.79</v>
      </c>
      <c r="G73" s="178" t="s">
        <v>647</v>
      </c>
      <c r="H73" s="179">
        <v>0</v>
      </c>
      <c r="I73" s="180">
        <v>6463.95</v>
      </c>
    </row>
    <row r="74" spans="3:9" ht="12">
      <c r="C74" s="176" t="s">
        <v>670</v>
      </c>
      <c r="D74" s="178" t="s">
        <v>647</v>
      </c>
      <c r="E74" s="179">
        <v>0</v>
      </c>
      <c r="F74" s="180">
        <v>6793.79</v>
      </c>
      <c r="G74" s="178" t="s">
        <v>647</v>
      </c>
      <c r="H74" s="179">
        <v>0</v>
      </c>
      <c r="I74" s="180">
        <v>6463.95</v>
      </c>
    </row>
    <row r="75" spans="3:9" ht="12">
      <c r="C75" s="176" t="s">
        <v>40</v>
      </c>
      <c r="D75" s="178" t="s">
        <v>647</v>
      </c>
      <c r="E75" s="179">
        <v>0</v>
      </c>
      <c r="F75" s="180">
        <v>6793.79</v>
      </c>
      <c r="G75" s="178" t="s">
        <v>647</v>
      </c>
      <c r="H75" s="179">
        <v>0</v>
      </c>
      <c r="I75" s="180">
        <v>6463.95</v>
      </c>
    </row>
    <row r="76" spans="3:9" ht="12">
      <c r="C76" s="176" t="s">
        <v>54</v>
      </c>
      <c r="D76" s="178" t="s">
        <v>647</v>
      </c>
      <c r="E76" s="179">
        <v>0</v>
      </c>
      <c r="F76" s="180">
        <v>6793.79</v>
      </c>
      <c r="G76" s="178" t="s">
        <v>647</v>
      </c>
      <c r="H76" s="179">
        <v>0</v>
      </c>
      <c r="I76" s="180">
        <v>6463.95</v>
      </c>
    </row>
    <row r="77" spans="3:9" ht="12">
      <c r="C77" s="176" t="s">
        <v>671</v>
      </c>
      <c r="D77" s="178" t="s">
        <v>647</v>
      </c>
      <c r="E77" s="179">
        <v>0</v>
      </c>
      <c r="F77" s="188">
        <v>6793.79</v>
      </c>
      <c r="G77" s="178" t="s">
        <v>647</v>
      </c>
      <c r="H77" s="179">
        <v>0</v>
      </c>
      <c r="I77" s="188">
        <v>6463.95</v>
      </c>
    </row>
    <row r="78" spans="3:9" ht="12">
      <c r="C78" s="182" t="s">
        <v>672</v>
      </c>
      <c r="D78" s="186"/>
      <c r="E78" s="179"/>
      <c r="F78" s="188"/>
      <c r="G78" s="186"/>
      <c r="H78" s="179"/>
      <c r="I78" s="188"/>
    </row>
    <row r="79" spans="3:9" ht="12">
      <c r="C79" s="175" t="s">
        <v>65</v>
      </c>
      <c r="D79" s="176"/>
      <c r="E79" s="179"/>
      <c r="F79" s="188"/>
      <c r="G79" s="176"/>
      <c r="H79" s="179"/>
      <c r="I79" s="188"/>
    </row>
    <row r="80" spans="3:9" ht="12">
      <c r="C80" s="176" t="s">
        <v>668</v>
      </c>
      <c r="D80" s="178" t="s">
        <v>647</v>
      </c>
      <c r="E80" s="179">
        <v>0</v>
      </c>
      <c r="F80" s="180">
        <v>6793.79</v>
      </c>
      <c r="G80" s="178" t="s">
        <v>647</v>
      </c>
      <c r="H80" s="179">
        <v>0</v>
      </c>
      <c r="I80" s="180">
        <v>6463.95</v>
      </c>
    </row>
    <row r="81" spans="3:9" ht="12">
      <c r="C81" s="176" t="s">
        <v>669</v>
      </c>
      <c r="D81" s="178" t="s">
        <v>647</v>
      </c>
      <c r="E81" s="179">
        <v>0</v>
      </c>
      <c r="F81" s="180">
        <v>6793.79</v>
      </c>
      <c r="G81" s="178" t="s">
        <v>647</v>
      </c>
      <c r="H81" s="179">
        <v>0</v>
      </c>
      <c r="I81" s="180">
        <v>6463.95</v>
      </c>
    </row>
    <row r="82" spans="3:9" ht="12">
      <c r="C82" s="175" t="s">
        <v>46</v>
      </c>
      <c r="D82" s="176"/>
      <c r="E82" s="179"/>
      <c r="F82" s="188"/>
      <c r="G82" s="176"/>
      <c r="H82" s="179"/>
      <c r="I82" s="188"/>
    </row>
    <row r="83" spans="3:9" ht="12">
      <c r="C83" s="176" t="s">
        <v>28</v>
      </c>
      <c r="D83" s="178" t="s">
        <v>647</v>
      </c>
      <c r="E83" s="179">
        <v>0</v>
      </c>
      <c r="F83" s="180">
        <v>6793.79</v>
      </c>
      <c r="G83" s="178" t="s">
        <v>647</v>
      </c>
      <c r="H83" s="179">
        <v>0</v>
      </c>
      <c r="I83" s="180">
        <v>6463.95</v>
      </c>
    </row>
    <row r="84" spans="3:9" ht="12">
      <c r="C84" s="176" t="s">
        <v>673</v>
      </c>
      <c r="D84" s="178" t="s">
        <v>647</v>
      </c>
      <c r="E84" s="179">
        <v>0</v>
      </c>
      <c r="F84" s="180">
        <v>6793.79</v>
      </c>
      <c r="G84" s="178" t="s">
        <v>647</v>
      </c>
      <c r="H84" s="179">
        <v>0</v>
      </c>
      <c r="I84" s="180">
        <v>6463.95</v>
      </c>
    </row>
    <row r="85" spans="3:9" ht="12">
      <c r="C85" s="176" t="s">
        <v>674</v>
      </c>
      <c r="D85" s="178" t="s">
        <v>647</v>
      </c>
      <c r="E85" s="179">
        <v>0</v>
      </c>
      <c r="F85" s="180">
        <v>6793.79</v>
      </c>
      <c r="G85" s="178" t="s">
        <v>647</v>
      </c>
      <c r="H85" s="179">
        <v>0</v>
      </c>
      <c r="I85" s="180">
        <v>6463.95</v>
      </c>
    </row>
    <row r="88" ht="12">
      <c r="C88" s="168" t="s">
        <v>806</v>
      </c>
    </row>
    <row r="90" spans="3:7" ht="12">
      <c r="C90" s="190"/>
      <c r="D90" s="484">
        <v>44012</v>
      </c>
      <c r="E90" s="485"/>
      <c r="F90" s="484">
        <v>43646</v>
      </c>
      <c r="G90" s="485"/>
    </row>
    <row r="91" spans="3:7" ht="48">
      <c r="C91" s="52" t="s">
        <v>243</v>
      </c>
      <c r="D91" s="191" t="s">
        <v>675</v>
      </c>
      <c r="E91" s="191" t="s">
        <v>676</v>
      </c>
      <c r="F91" s="191" t="s">
        <v>677</v>
      </c>
      <c r="G91" s="191" t="s">
        <v>678</v>
      </c>
    </row>
    <row r="92" spans="3:9" ht="25.5" customHeight="1">
      <c r="C92" s="192" t="s">
        <v>679</v>
      </c>
      <c r="D92" s="193">
        <f>+D7</f>
        <v>6793.79</v>
      </c>
      <c r="E92" s="194">
        <v>1170347845</v>
      </c>
      <c r="F92" s="195">
        <v>6183.21</v>
      </c>
      <c r="G92" s="194">
        <v>1657377309</v>
      </c>
      <c r="I92" s="156"/>
    </row>
    <row r="93" spans="3:7" ht="25.5" customHeight="1">
      <c r="C93" s="192" t="s">
        <v>680</v>
      </c>
      <c r="D93" s="193">
        <f>+D8</f>
        <v>6820.47</v>
      </c>
      <c r="E93" s="194">
        <v>203725</v>
      </c>
      <c r="F93" s="195">
        <v>6197.68</v>
      </c>
      <c r="G93" s="194">
        <v>129829906</v>
      </c>
    </row>
    <row r="94" spans="3:7" ht="25.5" customHeight="1">
      <c r="C94" s="192" t="s">
        <v>681</v>
      </c>
      <c r="D94" s="193">
        <f>+D92</f>
        <v>6793.79</v>
      </c>
      <c r="E94" s="194">
        <v>334213015</v>
      </c>
      <c r="F94" s="195">
        <v>6183.21</v>
      </c>
      <c r="G94" s="194">
        <v>123996218</v>
      </c>
    </row>
    <row r="95" spans="3:7" ht="25.5" customHeight="1">
      <c r="C95" s="192" t="s">
        <v>682</v>
      </c>
      <c r="D95" s="193">
        <f>+D93</f>
        <v>6820.47</v>
      </c>
      <c r="E95" s="194">
        <v>0</v>
      </c>
      <c r="F95" s="195">
        <v>6197.68</v>
      </c>
      <c r="G95" s="194">
        <v>5354651</v>
      </c>
    </row>
    <row r="96" spans="3:7" ht="12">
      <c r="C96" s="190" t="s">
        <v>683</v>
      </c>
      <c r="D96" s="196"/>
      <c r="E96" s="196">
        <f>+E92+E93-E94-E95</f>
        <v>836338555</v>
      </c>
      <c r="F96" s="196"/>
      <c r="G96" s="196">
        <f>+G92+G93-G94-G95</f>
        <v>1657856346</v>
      </c>
    </row>
    <row r="109" s="448" customFormat="1" ht="12"/>
    <row r="110" s="448" customFormat="1" ht="12"/>
    <row r="111" s="448" customFormat="1" ht="12"/>
    <row r="112" s="448" customFormat="1" ht="12.75" thickBot="1"/>
    <row r="113" spans="4:11" s="448" customFormat="1" ht="36.75" thickBot="1">
      <c r="D113" s="451" t="s">
        <v>828</v>
      </c>
      <c r="E113" s="452" t="s">
        <v>829</v>
      </c>
      <c r="F113" s="452" t="s">
        <v>830</v>
      </c>
      <c r="G113" s="453" t="s">
        <v>831</v>
      </c>
      <c r="H113" s="453" t="s">
        <v>832</v>
      </c>
      <c r="I113" s="452" t="s">
        <v>833</v>
      </c>
      <c r="J113" s="454" t="s">
        <v>834</v>
      </c>
      <c r="K113" s="455" t="s">
        <v>835</v>
      </c>
    </row>
    <row r="114" spans="4:11" s="448" customFormat="1" ht="24">
      <c r="D114" s="456">
        <v>1</v>
      </c>
      <c r="E114" s="463" t="s">
        <v>836</v>
      </c>
      <c r="F114" s="465">
        <v>1</v>
      </c>
      <c r="G114" s="457">
        <v>10626</v>
      </c>
      <c r="H114" s="457" t="s">
        <v>841</v>
      </c>
      <c r="I114" s="458">
        <v>10626</v>
      </c>
      <c r="J114" s="458">
        <f>+I114*1000000</f>
        <v>10626000000</v>
      </c>
      <c r="K114" s="469">
        <v>0.4375</v>
      </c>
    </row>
    <row r="115" spans="4:11" s="448" customFormat="1" ht="24">
      <c r="D115" s="459">
        <v>2</v>
      </c>
      <c r="E115" s="464" t="s">
        <v>837</v>
      </c>
      <c r="F115" s="446">
        <v>1</v>
      </c>
      <c r="G115" s="449">
        <v>5313</v>
      </c>
      <c r="H115" s="449" t="s">
        <v>841</v>
      </c>
      <c r="I115" s="450">
        <v>5313</v>
      </c>
      <c r="J115" s="450">
        <f>+I115*1000000</f>
        <v>5313000000</v>
      </c>
      <c r="K115" s="470">
        <v>0.2188</v>
      </c>
    </row>
    <row r="116" spans="4:11" s="448" customFormat="1" ht="24">
      <c r="D116" s="459">
        <v>3</v>
      </c>
      <c r="E116" s="464" t="s">
        <v>838</v>
      </c>
      <c r="F116" s="446">
        <v>1</v>
      </c>
      <c r="G116" s="449">
        <f>+G115</f>
        <v>5313</v>
      </c>
      <c r="H116" s="449" t="s">
        <v>841</v>
      </c>
      <c r="I116" s="450">
        <v>5313</v>
      </c>
      <c r="J116" s="450">
        <f>+I116*1000000</f>
        <v>5313000000</v>
      </c>
      <c r="K116" s="470">
        <v>0.2188</v>
      </c>
    </row>
    <row r="117" spans="4:11" s="448" customFormat="1" ht="24">
      <c r="D117" s="459">
        <v>4</v>
      </c>
      <c r="E117" s="464" t="s">
        <v>839</v>
      </c>
      <c r="F117" s="446">
        <v>1</v>
      </c>
      <c r="G117" s="449">
        <v>1518</v>
      </c>
      <c r="H117" s="449" t="s">
        <v>841</v>
      </c>
      <c r="I117" s="450">
        <v>1518</v>
      </c>
      <c r="J117" s="450">
        <f>+I117*1000000</f>
        <v>1518000000</v>
      </c>
      <c r="K117" s="470">
        <v>0.0625</v>
      </c>
    </row>
    <row r="118" spans="4:11" s="448" customFormat="1" ht="36.75" thickBot="1">
      <c r="D118" s="461">
        <v>5</v>
      </c>
      <c r="E118" s="327" t="s">
        <v>840</v>
      </c>
      <c r="F118" s="466">
        <v>1</v>
      </c>
      <c r="G118" s="462">
        <f>+G117</f>
        <v>1518</v>
      </c>
      <c r="H118" s="462" t="s">
        <v>841</v>
      </c>
      <c r="I118" s="460">
        <v>1518</v>
      </c>
      <c r="J118" s="460">
        <f>+I118*1000000</f>
        <v>1518000000</v>
      </c>
      <c r="K118" s="471">
        <v>0.0625</v>
      </c>
    </row>
    <row r="119" spans="4:11" ht="12.75" thickBot="1">
      <c r="D119" s="486" t="s">
        <v>842</v>
      </c>
      <c r="E119" s="487"/>
      <c r="F119" s="487"/>
      <c r="G119" s="487"/>
      <c r="H119" s="488"/>
      <c r="I119" s="467">
        <f>SUM(I114:I118)</f>
        <v>24288</v>
      </c>
      <c r="J119" s="467">
        <f>SUM(J114:J118)</f>
        <v>24288000000</v>
      </c>
      <c r="K119" s="468">
        <f>SUM(K114:K118)</f>
        <v>1.0001</v>
      </c>
    </row>
  </sheetData>
  <sheetProtection/>
  <mergeCells count="3">
    <mergeCell ref="D90:E90"/>
    <mergeCell ref="F90:G90"/>
    <mergeCell ref="D119:H119"/>
  </mergeCells>
  <hyperlinks>
    <hyperlink ref="C1" location="'Estado de Resultado Resol. 1'!A1" display="Balance Gral. Resol. 1'!A1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99FF"/>
  </sheetPr>
  <dimension ref="B1:F99"/>
  <sheetViews>
    <sheetView showGridLines="0" zoomScale="125" zoomScaleNormal="125" zoomScalePageLayoutView="0" workbookViewId="0" topLeftCell="A3">
      <selection activeCell="D53" sqref="B6:D53"/>
    </sheetView>
  </sheetViews>
  <sheetFormatPr defaultColWidth="11.421875" defaultRowHeight="15"/>
  <cols>
    <col min="1" max="1" width="11.421875" style="154" customWidth="1"/>
    <col min="2" max="2" width="47.7109375" style="154" customWidth="1"/>
    <col min="3" max="3" width="14.7109375" style="200" bestFit="1" customWidth="1"/>
    <col min="4" max="4" width="14.140625" style="200" bestFit="1" customWidth="1"/>
    <col min="5" max="5" width="37.421875" style="154" bestFit="1" customWidth="1"/>
    <col min="6" max="6" width="14.7109375" style="155" bestFit="1" customWidth="1"/>
    <col min="7" max="16384" width="11.421875" style="154" customWidth="1"/>
  </cols>
  <sheetData>
    <row r="1" ht="12">
      <c r="B1" s="166" t="s">
        <v>464</v>
      </c>
    </row>
    <row r="4" ht="12">
      <c r="B4" s="168" t="s">
        <v>807</v>
      </c>
    </row>
    <row r="5" ht="24">
      <c r="B5" s="169" t="s">
        <v>751</v>
      </c>
    </row>
    <row r="6" spans="2:4" ht="12">
      <c r="B6" s="438"/>
      <c r="C6" s="439">
        <v>44012</v>
      </c>
      <c r="D6" s="440">
        <v>43830</v>
      </c>
    </row>
    <row r="7" spans="2:4" ht="12">
      <c r="B7" s="197" t="s">
        <v>244</v>
      </c>
      <c r="C7" s="441"/>
      <c r="D7" s="198"/>
    </row>
    <row r="8" spans="2:4" ht="12">
      <c r="B8" s="442" t="s">
        <v>686</v>
      </c>
      <c r="C8" s="443">
        <v>224678709</v>
      </c>
      <c r="D8" s="443">
        <v>0</v>
      </c>
    </row>
    <row r="9" spans="2:4" ht="12">
      <c r="B9" s="442" t="s">
        <v>687</v>
      </c>
      <c r="C9" s="443">
        <v>0</v>
      </c>
      <c r="D9" s="443">
        <v>346576922</v>
      </c>
    </row>
    <row r="10" spans="2:4" ht="12">
      <c r="B10" s="442" t="s">
        <v>693</v>
      </c>
      <c r="C10" s="444">
        <v>4000000</v>
      </c>
      <c r="D10" s="444">
        <v>200000</v>
      </c>
    </row>
    <row r="11" spans="2:4" ht="12">
      <c r="B11" s="442" t="s">
        <v>763</v>
      </c>
      <c r="C11" s="444">
        <v>39974660</v>
      </c>
      <c r="D11" s="443">
        <v>0</v>
      </c>
    </row>
    <row r="12" spans="2:4" ht="12">
      <c r="B12" s="442" t="s">
        <v>695</v>
      </c>
      <c r="C12" s="444">
        <v>313026</v>
      </c>
      <c r="D12" s="444">
        <v>1305023</v>
      </c>
    </row>
    <row r="13" spans="2:4" ht="12">
      <c r="B13" s="442" t="s">
        <v>727</v>
      </c>
      <c r="C13" s="444">
        <v>1889638</v>
      </c>
      <c r="D13" s="444"/>
    </row>
    <row r="14" spans="2:4" ht="12">
      <c r="B14" s="442" t="s">
        <v>696</v>
      </c>
      <c r="C14" s="444">
        <v>27175160</v>
      </c>
      <c r="D14" s="444">
        <v>25769320</v>
      </c>
    </row>
    <row r="15" spans="2:4" ht="12">
      <c r="B15" s="442" t="s">
        <v>759</v>
      </c>
      <c r="C15" s="444">
        <v>14227187</v>
      </c>
      <c r="D15" s="444">
        <v>100000</v>
      </c>
    </row>
    <row r="16" spans="2:4" ht="12">
      <c r="B16" s="442" t="s">
        <v>760</v>
      </c>
      <c r="C16" s="444">
        <v>40437589</v>
      </c>
      <c r="D16" s="443">
        <v>1417764</v>
      </c>
    </row>
    <row r="17" spans="2:4" ht="12">
      <c r="B17" s="442" t="s">
        <v>697</v>
      </c>
      <c r="C17" s="444">
        <v>0</v>
      </c>
      <c r="D17" s="444">
        <v>-1136427</v>
      </c>
    </row>
    <row r="18" spans="2:4" ht="12">
      <c r="B18" s="442" t="s">
        <v>757</v>
      </c>
      <c r="C18" s="444">
        <v>40000</v>
      </c>
      <c r="D18" s="444">
        <v>40000</v>
      </c>
    </row>
    <row r="19" spans="2:4" ht="12">
      <c r="B19" s="442" t="s">
        <v>756</v>
      </c>
      <c r="C19" s="444">
        <v>71618572</v>
      </c>
      <c r="D19" s="444">
        <v>61009</v>
      </c>
    </row>
    <row r="20" spans="2:4" ht="12">
      <c r="B20" s="442" t="s">
        <v>690</v>
      </c>
      <c r="C20" s="444">
        <v>1000000</v>
      </c>
      <c r="D20" s="444">
        <v>200000</v>
      </c>
    </row>
    <row r="21" spans="2:4" ht="12">
      <c r="B21" s="442" t="s">
        <v>753</v>
      </c>
      <c r="C21" s="444">
        <v>9927494</v>
      </c>
      <c r="D21" s="444">
        <v>644233</v>
      </c>
    </row>
    <row r="22" spans="2:4" ht="12">
      <c r="B22" s="442" t="s">
        <v>699</v>
      </c>
      <c r="C22" s="444">
        <v>3419654</v>
      </c>
      <c r="D22" s="444">
        <v>0</v>
      </c>
    </row>
    <row r="23" spans="2:4" ht="12">
      <c r="B23" s="442" t="s">
        <v>689</v>
      </c>
      <c r="C23" s="444">
        <v>13189042</v>
      </c>
      <c r="D23" s="444">
        <v>100000</v>
      </c>
    </row>
    <row r="24" spans="2:6" ht="12">
      <c r="B24" s="442" t="s">
        <v>688</v>
      </c>
      <c r="C24" s="444">
        <v>5000000</v>
      </c>
      <c r="D24" s="444">
        <v>4276153</v>
      </c>
      <c r="F24" s="154"/>
    </row>
    <row r="25" spans="2:4" ht="12">
      <c r="B25" s="442" t="s">
        <v>755</v>
      </c>
      <c r="C25" s="444">
        <v>36377077</v>
      </c>
      <c r="D25" s="444">
        <v>2927781</v>
      </c>
    </row>
    <row r="26" spans="2:4" ht="12">
      <c r="B26" s="442" t="s">
        <v>691</v>
      </c>
      <c r="C26" s="444">
        <v>3999990</v>
      </c>
      <c r="D26" s="444">
        <v>331950</v>
      </c>
    </row>
    <row r="27" spans="2:4" ht="12">
      <c r="B27" s="442" t="s">
        <v>729</v>
      </c>
      <c r="C27" s="444">
        <v>13639707</v>
      </c>
      <c r="D27" s="444">
        <v>0</v>
      </c>
    </row>
    <row r="28" spans="2:4" ht="12">
      <c r="B28" s="442" t="s">
        <v>729</v>
      </c>
      <c r="C28" s="444">
        <v>71098711</v>
      </c>
      <c r="D28" s="444">
        <v>0</v>
      </c>
    </row>
    <row r="29" spans="2:4" ht="12">
      <c r="B29" s="442" t="s">
        <v>765</v>
      </c>
      <c r="C29" s="444">
        <v>9452096</v>
      </c>
      <c r="D29" s="444">
        <v>0</v>
      </c>
    </row>
    <row r="30" spans="2:4" ht="12">
      <c r="B30" s="442" t="s">
        <v>733</v>
      </c>
      <c r="C30" s="444">
        <v>14319951</v>
      </c>
      <c r="D30" s="444">
        <v>1215732</v>
      </c>
    </row>
    <row r="31" spans="2:4" ht="12">
      <c r="B31" s="442" t="s">
        <v>694</v>
      </c>
      <c r="C31" s="444">
        <v>21740538</v>
      </c>
      <c r="D31" s="444">
        <v>9864</v>
      </c>
    </row>
    <row r="32" spans="2:4" ht="12">
      <c r="B32" s="442" t="s">
        <v>730</v>
      </c>
      <c r="C32" s="444">
        <v>61858817</v>
      </c>
      <c r="D32" s="444">
        <v>0</v>
      </c>
    </row>
    <row r="33" spans="2:4" ht="12">
      <c r="B33" s="442" t="s">
        <v>762</v>
      </c>
      <c r="C33" s="444">
        <v>28299695</v>
      </c>
      <c r="D33" s="444">
        <v>0</v>
      </c>
    </row>
    <row r="34" spans="2:6" ht="12">
      <c r="B34" s="442" t="s">
        <v>764</v>
      </c>
      <c r="C34" s="198">
        <v>24490050</v>
      </c>
      <c r="D34" s="443">
        <v>206433</v>
      </c>
      <c r="F34" s="154"/>
    </row>
    <row r="35" spans="2:6" ht="12">
      <c r="B35" s="442" t="s">
        <v>758</v>
      </c>
      <c r="C35" s="444">
        <v>679379</v>
      </c>
      <c r="D35" s="444">
        <v>644233</v>
      </c>
      <c r="F35" s="154"/>
    </row>
    <row r="36" spans="2:6" ht="12">
      <c r="B36" s="442" t="s">
        <v>723</v>
      </c>
      <c r="C36" s="444">
        <v>40922661</v>
      </c>
      <c r="D36" s="444">
        <v>6322606</v>
      </c>
      <c r="F36" s="154"/>
    </row>
    <row r="37" spans="2:6" ht="12">
      <c r="B37" s="442" t="s">
        <v>724</v>
      </c>
      <c r="C37" s="444">
        <v>922189</v>
      </c>
      <c r="D37" s="444">
        <v>0</v>
      </c>
      <c r="F37" s="154"/>
    </row>
    <row r="38" spans="2:6" ht="12">
      <c r="B38" s="442" t="s">
        <v>750</v>
      </c>
      <c r="C38" s="444">
        <v>0</v>
      </c>
      <c r="D38" s="443">
        <v>40302765</v>
      </c>
      <c r="F38" s="154"/>
    </row>
    <row r="39" spans="2:6" ht="12">
      <c r="B39" s="442" t="s">
        <v>731</v>
      </c>
      <c r="C39" s="444">
        <v>22984411</v>
      </c>
      <c r="D39" s="443">
        <v>96348137</v>
      </c>
      <c r="F39" s="154"/>
    </row>
    <row r="40" spans="2:6" ht="12">
      <c r="B40" s="442" t="s">
        <v>732</v>
      </c>
      <c r="C40" s="444">
        <v>662666</v>
      </c>
      <c r="D40" s="444">
        <v>5657243</v>
      </c>
      <c r="F40" s="154"/>
    </row>
    <row r="41" spans="2:6" ht="12">
      <c r="B41" s="442" t="s">
        <v>752</v>
      </c>
      <c r="C41" s="444">
        <v>8462345</v>
      </c>
      <c r="D41" s="444">
        <v>652286</v>
      </c>
      <c r="F41" s="154"/>
    </row>
    <row r="42" spans="2:6" ht="12">
      <c r="B42" s="442" t="s">
        <v>788</v>
      </c>
      <c r="C42" s="444">
        <v>0</v>
      </c>
      <c r="D42" s="444">
        <v>644233</v>
      </c>
      <c r="F42" s="154"/>
    </row>
    <row r="43" spans="2:6" ht="12">
      <c r="B43" s="442" t="s">
        <v>787</v>
      </c>
      <c r="C43" s="444">
        <v>0</v>
      </c>
      <c r="D43" s="444">
        <v>-1663987</v>
      </c>
      <c r="F43" s="154"/>
    </row>
    <row r="44" spans="2:6" ht="12">
      <c r="B44" s="442" t="s">
        <v>789</v>
      </c>
      <c r="C44" s="444">
        <v>0</v>
      </c>
      <c r="D44" s="444">
        <v>-5760269</v>
      </c>
      <c r="F44" s="154"/>
    </row>
    <row r="45" spans="2:6" ht="12">
      <c r="B45" s="442" t="s">
        <v>725</v>
      </c>
      <c r="C45" s="444">
        <v>40518367</v>
      </c>
      <c r="D45" s="444">
        <v>0</v>
      </c>
      <c r="F45" s="154"/>
    </row>
    <row r="46" spans="2:6" ht="12">
      <c r="B46" s="442" t="s">
        <v>726</v>
      </c>
      <c r="C46" s="444">
        <v>13189736</v>
      </c>
      <c r="D46" s="444">
        <v>0</v>
      </c>
      <c r="F46" s="154"/>
    </row>
    <row r="47" spans="2:6" ht="12">
      <c r="B47" s="442" t="s">
        <v>761</v>
      </c>
      <c r="C47" s="444">
        <v>14357534</v>
      </c>
      <c r="D47" s="444">
        <v>100000</v>
      </c>
      <c r="F47" s="154"/>
    </row>
    <row r="48" spans="2:6" ht="12">
      <c r="B48" s="442" t="s">
        <v>754</v>
      </c>
      <c r="C48" s="444">
        <v>679379</v>
      </c>
      <c r="D48" s="444">
        <v>644233</v>
      </c>
      <c r="F48" s="154"/>
    </row>
    <row r="49" spans="2:6" ht="12">
      <c r="B49" s="442" t="s">
        <v>698</v>
      </c>
      <c r="C49" s="444">
        <v>3002855</v>
      </c>
      <c r="D49" s="444">
        <v>2847510</v>
      </c>
      <c r="F49" s="154"/>
    </row>
    <row r="50" spans="2:6" ht="12">
      <c r="B50" s="442" t="s">
        <v>692</v>
      </c>
      <c r="C50" s="444">
        <v>0</v>
      </c>
      <c r="D50" s="444">
        <v>159142052</v>
      </c>
      <c r="F50" s="154"/>
    </row>
    <row r="51" spans="2:6" ht="12">
      <c r="B51" s="442" t="s">
        <v>728</v>
      </c>
      <c r="C51" s="444">
        <v>103267</v>
      </c>
      <c r="D51" s="444">
        <v>0</v>
      </c>
      <c r="F51" s="154"/>
    </row>
    <row r="52" spans="2:6" ht="12">
      <c r="B52" s="442" t="s">
        <v>734</v>
      </c>
      <c r="C52" s="444">
        <v>1192502341</v>
      </c>
      <c r="D52" s="444">
        <v>980910864</v>
      </c>
      <c r="F52" s="154"/>
    </row>
    <row r="53" spans="2:6" ht="12">
      <c r="B53" s="197" t="s">
        <v>245</v>
      </c>
      <c r="C53" s="445">
        <f>SUM(C8:C52)</f>
        <v>2081154493</v>
      </c>
      <c r="D53" s="277">
        <f>SUM(D8:D52)</f>
        <v>1671037663</v>
      </c>
      <c r="F53" s="154"/>
    </row>
    <row r="54" ht="12">
      <c r="F54" s="154"/>
    </row>
    <row r="55" ht="12">
      <c r="F55" s="154"/>
    </row>
    <row r="56" ht="12">
      <c r="F56" s="154"/>
    </row>
    <row r="57" ht="12">
      <c r="F57" s="154"/>
    </row>
    <row r="58" ht="12">
      <c r="F58" s="154"/>
    </row>
    <row r="59" spans="3:4" ht="12">
      <c r="C59" s="200">
        <v>0</v>
      </c>
      <c r="D59" s="200">
        <v>0</v>
      </c>
    </row>
    <row r="63" ht="12">
      <c r="B63" s="154" t="s">
        <v>701</v>
      </c>
    </row>
    <row r="64" ht="12">
      <c r="B64" s="154" t="s">
        <v>701</v>
      </c>
    </row>
    <row r="65" ht="12">
      <c r="B65" s="154" t="s">
        <v>701</v>
      </c>
    </row>
    <row r="66" ht="12">
      <c r="B66" s="154" t="s">
        <v>701</v>
      </c>
    </row>
    <row r="67" ht="12">
      <c r="B67" s="154" t="s">
        <v>701</v>
      </c>
    </row>
    <row r="68" ht="12">
      <c r="B68" s="154" t="s">
        <v>701</v>
      </c>
    </row>
    <row r="69" ht="12">
      <c r="B69" s="154" t="s">
        <v>701</v>
      </c>
    </row>
    <row r="70" ht="12">
      <c r="B70" s="154" t="s">
        <v>701</v>
      </c>
    </row>
    <row r="71" ht="12">
      <c r="B71" s="154" t="s">
        <v>701</v>
      </c>
    </row>
    <row r="72" ht="12">
      <c r="B72" s="154" t="s">
        <v>701</v>
      </c>
    </row>
    <row r="73" ht="12">
      <c r="B73" s="154" t="s">
        <v>701</v>
      </c>
    </row>
    <row r="74" ht="12">
      <c r="B74" s="154" t="s">
        <v>701</v>
      </c>
    </row>
    <row r="75" ht="12">
      <c r="B75" s="154" t="s">
        <v>701</v>
      </c>
    </row>
    <row r="76" ht="12">
      <c r="B76" s="154" t="s">
        <v>701</v>
      </c>
    </row>
    <row r="77" ht="12">
      <c r="B77" s="154" t="s">
        <v>701</v>
      </c>
    </row>
    <row r="78" ht="12">
      <c r="B78" s="154" t="s">
        <v>701</v>
      </c>
    </row>
    <row r="79" ht="12">
      <c r="B79" s="154" t="s">
        <v>701</v>
      </c>
    </row>
    <row r="80" ht="12">
      <c r="B80" s="154" t="s">
        <v>701</v>
      </c>
    </row>
    <row r="81" ht="12">
      <c r="B81" s="154" t="s">
        <v>701</v>
      </c>
    </row>
    <row r="98" ht="12">
      <c r="E98" s="154" t="s">
        <v>701</v>
      </c>
    </row>
    <row r="99" ht="12">
      <c r="E99" s="154" t="s">
        <v>701</v>
      </c>
    </row>
  </sheetData>
  <sheetProtection/>
  <hyperlinks>
    <hyperlink ref="B1" location="'Balance Gral. Resol. 1'!A1" display="'Balance Gral. Resol. 1'!A1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B1:J81"/>
  <sheetViews>
    <sheetView showGridLines="0" zoomScalePageLayoutView="0" workbookViewId="0" topLeftCell="C59">
      <selection activeCell="C9" sqref="C9:J81"/>
    </sheetView>
  </sheetViews>
  <sheetFormatPr defaultColWidth="11.421875" defaultRowHeight="15"/>
  <cols>
    <col min="1" max="1" width="11.421875" style="154" customWidth="1"/>
    <col min="2" max="2" width="22.8515625" style="154" bestFit="1" customWidth="1"/>
    <col min="3" max="3" width="39.421875" style="154" bestFit="1" customWidth="1"/>
    <col min="4" max="4" width="14.8515625" style="154" bestFit="1" customWidth="1"/>
    <col min="5" max="5" width="19.421875" style="154" bestFit="1" customWidth="1"/>
    <col min="6" max="6" width="14.7109375" style="154" bestFit="1" customWidth="1"/>
    <col min="7" max="7" width="16.140625" style="154" bestFit="1" customWidth="1"/>
    <col min="8" max="8" width="16.7109375" style="154" bestFit="1" customWidth="1"/>
    <col min="9" max="9" width="15.140625" style="154" bestFit="1" customWidth="1"/>
    <col min="10" max="10" width="16.7109375" style="154" bestFit="1" customWidth="1"/>
    <col min="11" max="16384" width="11.421875" style="154" customWidth="1"/>
  </cols>
  <sheetData>
    <row r="1" ht="12">
      <c r="C1" s="166" t="s">
        <v>464</v>
      </c>
    </row>
    <row r="3" ht="12">
      <c r="C3" s="169"/>
    </row>
    <row r="4" ht="44.25" customHeight="1">
      <c r="C4" s="168" t="s">
        <v>808</v>
      </c>
    </row>
    <row r="5" ht="12">
      <c r="C5" s="168"/>
    </row>
    <row r="6" ht="12">
      <c r="C6" s="205" t="s">
        <v>809</v>
      </c>
    </row>
    <row r="10" spans="3:10" ht="12">
      <c r="C10" s="489" t="s">
        <v>246</v>
      </c>
      <c r="D10" s="490"/>
      <c r="E10" s="490"/>
      <c r="F10" s="491"/>
      <c r="G10" s="493" t="s">
        <v>766</v>
      </c>
      <c r="H10" s="493"/>
      <c r="I10" s="493"/>
      <c r="J10" s="493"/>
    </row>
    <row r="11" spans="3:10" ht="12">
      <c r="C11" s="489" t="s">
        <v>247</v>
      </c>
      <c r="D11" s="490"/>
      <c r="E11" s="490"/>
      <c r="F11" s="490"/>
      <c r="G11" s="490"/>
      <c r="H11" s="490"/>
      <c r="I11" s="490"/>
      <c r="J11" s="491"/>
    </row>
    <row r="12" spans="3:10" ht="12">
      <c r="C12" s="206"/>
      <c r="D12" s="207" t="s">
        <v>248</v>
      </c>
      <c r="E12" s="207" t="s">
        <v>249</v>
      </c>
      <c r="F12" s="207" t="s">
        <v>250</v>
      </c>
      <c r="G12" s="207" t="s">
        <v>250</v>
      </c>
      <c r="H12" s="207" t="s">
        <v>235</v>
      </c>
      <c r="I12" s="207" t="s">
        <v>251</v>
      </c>
      <c r="J12" s="207" t="s">
        <v>252</v>
      </c>
    </row>
    <row r="13" spans="3:10" ht="12">
      <c r="C13" s="208" t="s">
        <v>253</v>
      </c>
      <c r="D13" s="208" t="s">
        <v>254</v>
      </c>
      <c r="E13" s="208" t="s">
        <v>255</v>
      </c>
      <c r="F13" s="208" t="s">
        <v>256</v>
      </c>
      <c r="G13" s="208" t="s">
        <v>257</v>
      </c>
      <c r="H13" s="209"/>
      <c r="I13" s="209"/>
      <c r="J13" s="209"/>
    </row>
    <row r="14" spans="3:10" ht="12">
      <c r="C14" s="184" t="s">
        <v>774</v>
      </c>
      <c r="D14" s="184" t="s">
        <v>258</v>
      </c>
      <c r="E14" s="210"/>
      <c r="F14" s="211">
        <v>300000000</v>
      </c>
      <c r="G14" s="211">
        <f>+F14</f>
        <v>300000000</v>
      </c>
      <c r="H14" s="212"/>
      <c r="I14" s="212"/>
      <c r="J14" s="212"/>
    </row>
    <row r="15" spans="3:10" ht="12">
      <c r="C15" s="184" t="s">
        <v>266</v>
      </c>
      <c r="D15" s="184" t="s">
        <v>258</v>
      </c>
      <c r="E15" s="210"/>
      <c r="F15" s="211">
        <v>775608175.4651</v>
      </c>
      <c r="G15" s="211">
        <f aca="true" t="shared" si="0" ref="G15:G28">+F15</f>
        <v>775608175.4651</v>
      </c>
      <c r="H15" s="212">
        <v>348339600000</v>
      </c>
      <c r="I15" s="212">
        <v>2799575036</v>
      </c>
      <c r="J15" s="212">
        <v>381904225189</v>
      </c>
    </row>
    <row r="16" spans="3:10" ht="12">
      <c r="C16" s="184" t="s">
        <v>775</v>
      </c>
      <c r="D16" s="184" t="s">
        <v>258</v>
      </c>
      <c r="E16" s="210"/>
      <c r="F16" s="211">
        <v>500000000</v>
      </c>
      <c r="G16" s="211">
        <f t="shared" si="0"/>
        <v>500000000</v>
      </c>
      <c r="H16" s="212">
        <v>178568000000</v>
      </c>
      <c r="I16" s="212">
        <v>5625314707</v>
      </c>
      <c r="J16" s="212">
        <v>221067611535</v>
      </c>
    </row>
    <row r="17" spans="2:10" ht="12">
      <c r="B17" s="155"/>
      <c r="C17" s="184" t="s">
        <v>776</v>
      </c>
      <c r="D17" s="184" t="s">
        <v>258</v>
      </c>
      <c r="E17" s="210"/>
      <c r="F17" s="211">
        <v>230000000</v>
      </c>
      <c r="G17" s="211">
        <f t="shared" si="0"/>
        <v>230000000</v>
      </c>
      <c r="H17" s="212"/>
      <c r="I17" s="212"/>
      <c r="J17" s="212"/>
    </row>
    <row r="18" spans="2:10" ht="12">
      <c r="B18" s="213"/>
      <c r="C18" s="184" t="s">
        <v>777</v>
      </c>
      <c r="D18" s="184" t="s">
        <v>258</v>
      </c>
      <c r="E18" s="210"/>
      <c r="F18" s="211">
        <v>212691675.1684</v>
      </c>
      <c r="G18" s="211">
        <f t="shared" si="0"/>
        <v>212691675.1684</v>
      </c>
      <c r="H18" s="212">
        <v>1151242860000</v>
      </c>
      <c r="I18" s="212">
        <v>2173308721</v>
      </c>
      <c r="J18" s="212">
        <v>1739139780668</v>
      </c>
    </row>
    <row r="19" spans="2:10" ht="12">
      <c r="B19" s="156"/>
      <c r="C19" s="184" t="s">
        <v>778</v>
      </c>
      <c r="D19" s="184" t="s">
        <v>258</v>
      </c>
      <c r="E19" s="210"/>
      <c r="F19" s="211">
        <v>434848090.36</v>
      </c>
      <c r="G19" s="211">
        <f t="shared" si="0"/>
        <v>434848090.36</v>
      </c>
      <c r="H19" s="212"/>
      <c r="I19" s="212"/>
      <c r="J19" s="212"/>
    </row>
    <row r="20" spans="3:10" ht="12">
      <c r="C20" s="184" t="s">
        <v>779</v>
      </c>
      <c r="D20" s="184" t="s">
        <v>258</v>
      </c>
      <c r="E20" s="210"/>
      <c r="F20" s="211">
        <f>254629318-8862648</f>
        <v>245766670</v>
      </c>
      <c r="G20" s="211">
        <f t="shared" si="0"/>
        <v>245766670</v>
      </c>
      <c r="H20" s="212"/>
      <c r="I20" s="212"/>
      <c r="J20" s="212"/>
    </row>
    <row r="21" spans="3:10" ht="12">
      <c r="C21" s="184" t="s">
        <v>737</v>
      </c>
      <c r="D21" s="184" t="s">
        <v>258</v>
      </c>
      <c r="E21" s="210"/>
      <c r="F21" s="211">
        <f>247316900</f>
        <v>247316900</v>
      </c>
      <c r="G21" s="211">
        <f>+F21</f>
        <v>247316900</v>
      </c>
      <c r="H21" s="212">
        <v>750000000000</v>
      </c>
      <c r="I21" s="212">
        <v>144325327072</v>
      </c>
      <c r="J21" s="212">
        <v>2854575823103</v>
      </c>
    </row>
    <row r="22" spans="3:10" ht="12">
      <c r="C22" s="184" t="s">
        <v>780</v>
      </c>
      <c r="D22" s="184" t="s">
        <v>258</v>
      </c>
      <c r="E22" s="210"/>
      <c r="F22" s="211">
        <v>230000000</v>
      </c>
      <c r="G22" s="211">
        <f>+F22</f>
        <v>230000000</v>
      </c>
      <c r="H22" s="212">
        <v>684460278503</v>
      </c>
      <c r="I22" s="212">
        <v>35730025942</v>
      </c>
      <c r="J22" s="212">
        <v>1053056002112</v>
      </c>
    </row>
    <row r="23" spans="3:10" ht="12">
      <c r="C23" s="184" t="s">
        <v>456</v>
      </c>
      <c r="D23" s="184" t="s">
        <v>259</v>
      </c>
      <c r="E23" s="210"/>
      <c r="F23" s="211">
        <v>5220555</v>
      </c>
      <c r="G23" s="211">
        <f t="shared" si="0"/>
        <v>5220555</v>
      </c>
      <c r="H23" s="212">
        <v>64109200000</v>
      </c>
      <c r="I23" s="212">
        <v>-2587465323.083308</v>
      </c>
      <c r="J23" s="212">
        <v>68123206969.77</v>
      </c>
    </row>
    <row r="24" spans="3:10" ht="12">
      <c r="C24" s="184" t="s">
        <v>738</v>
      </c>
      <c r="D24" s="184" t="s">
        <v>259</v>
      </c>
      <c r="E24" s="210"/>
      <c r="F24" s="211">
        <v>414421190</v>
      </c>
      <c r="G24" s="211">
        <f t="shared" si="0"/>
        <v>414421190</v>
      </c>
      <c r="H24" s="212">
        <v>476000000000</v>
      </c>
      <c r="I24" s="212">
        <v>1175282647</v>
      </c>
      <c r="J24" s="212">
        <v>573326388163</v>
      </c>
    </row>
    <row r="25" spans="3:10" ht="12">
      <c r="C25" s="184" t="s">
        <v>773</v>
      </c>
      <c r="D25" s="184" t="s">
        <v>259</v>
      </c>
      <c r="E25" s="210"/>
      <c r="F25" s="211">
        <v>120604834</v>
      </c>
      <c r="G25" s="211">
        <f t="shared" si="0"/>
        <v>120604834</v>
      </c>
      <c r="H25" s="212"/>
      <c r="I25" s="212"/>
      <c r="J25" s="212"/>
    </row>
    <row r="26" spans="3:10" ht="12">
      <c r="C26" s="184" t="s">
        <v>457</v>
      </c>
      <c r="D26" s="184" t="s">
        <v>259</v>
      </c>
      <c r="E26" s="210"/>
      <c r="F26" s="211">
        <v>636000000</v>
      </c>
      <c r="G26" s="211">
        <f t="shared" si="0"/>
        <v>636000000</v>
      </c>
      <c r="H26" s="212">
        <v>164008000000</v>
      </c>
      <c r="I26" s="212">
        <v>211007000000</v>
      </c>
      <c r="J26" s="212">
        <v>675541000000</v>
      </c>
    </row>
    <row r="27" spans="3:10" ht="12">
      <c r="C27" s="184" t="s">
        <v>454</v>
      </c>
      <c r="D27" s="184" t="s">
        <v>259</v>
      </c>
      <c r="E27" s="210"/>
      <c r="F27" s="211">
        <v>7057912.17383</v>
      </c>
      <c r="G27" s="211">
        <f t="shared" si="0"/>
        <v>7057912.17383</v>
      </c>
      <c r="H27" s="212">
        <v>399238301862</v>
      </c>
      <c r="I27" s="212">
        <v>5887049368</v>
      </c>
      <c r="J27" s="212">
        <v>625575828145</v>
      </c>
    </row>
    <row r="28" spans="3:10" ht="12">
      <c r="C28" s="184" t="s">
        <v>455</v>
      </c>
      <c r="D28" s="184" t="s">
        <v>259</v>
      </c>
      <c r="E28" s="210"/>
      <c r="F28" s="211">
        <f>1345306295.8+463279631</f>
        <v>1808585926.8</v>
      </c>
      <c r="G28" s="211">
        <f t="shared" si="0"/>
        <v>1808585926.8</v>
      </c>
      <c r="H28" s="212">
        <v>1151242860000</v>
      </c>
      <c r="I28" s="212">
        <v>2173308721</v>
      </c>
      <c r="J28" s="212">
        <v>1739139780668</v>
      </c>
    </row>
    <row r="29" spans="3:10" ht="12">
      <c r="C29" s="214" t="s">
        <v>767</v>
      </c>
      <c r="D29" s="214"/>
      <c r="E29" s="214"/>
      <c r="F29" s="215">
        <f>SUM(F14:F28)</f>
        <v>6168121928.96733</v>
      </c>
      <c r="G29" s="215">
        <f>SUM(G14:G28)</f>
        <v>6168121928.96733</v>
      </c>
      <c r="H29" s="216"/>
      <c r="I29" s="216"/>
      <c r="J29" s="216"/>
    </row>
    <row r="30" spans="3:10" ht="12">
      <c r="C30" s="217" t="s">
        <v>790</v>
      </c>
      <c r="D30" s="217"/>
      <c r="E30" s="217"/>
      <c r="F30" s="218">
        <v>13080989000.45</v>
      </c>
      <c r="G30" s="218">
        <v>13080989000.45</v>
      </c>
      <c r="H30" s="219"/>
      <c r="I30" s="219"/>
      <c r="J30" s="219"/>
    </row>
    <row r="31" spans="3:10" ht="12">
      <c r="C31" s="220"/>
      <c r="D31" s="221"/>
      <c r="E31" s="220"/>
      <c r="F31" s="222"/>
      <c r="G31" s="222"/>
      <c r="H31" s="223"/>
      <c r="I31" s="223"/>
      <c r="J31" s="223"/>
    </row>
    <row r="32" spans="3:10" ht="12">
      <c r="C32" s="224"/>
      <c r="D32" s="225"/>
      <c r="E32" s="224"/>
      <c r="F32" s="222"/>
      <c r="G32" s="224"/>
      <c r="H32" s="224"/>
      <c r="I32" s="224"/>
      <c r="J32" s="224"/>
    </row>
    <row r="33" spans="3:10" ht="12">
      <c r="C33" s="489" t="s">
        <v>246</v>
      </c>
      <c r="D33" s="490"/>
      <c r="E33" s="490"/>
      <c r="F33" s="492"/>
      <c r="G33" s="494" t="str">
        <f>+G10</f>
        <v> INFORMACION SOBRE EL EMISOR AL 30/06/2020</v>
      </c>
      <c r="H33" s="490"/>
      <c r="I33" s="490"/>
      <c r="J33" s="491"/>
    </row>
    <row r="34" spans="3:10" ht="12">
      <c r="C34" s="489" t="s">
        <v>247</v>
      </c>
      <c r="D34" s="490"/>
      <c r="E34" s="490"/>
      <c r="F34" s="490"/>
      <c r="G34" s="490"/>
      <c r="H34" s="490"/>
      <c r="I34" s="490"/>
      <c r="J34" s="492"/>
    </row>
    <row r="35" spans="3:10" ht="15" customHeight="1">
      <c r="C35" s="226"/>
      <c r="D35" s="227" t="s">
        <v>248</v>
      </c>
      <c r="E35" s="227" t="s">
        <v>249</v>
      </c>
      <c r="F35" s="227" t="s">
        <v>250</v>
      </c>
      <c r="G35" s="227" t="s">
        <v>250</v>
      </c>
      <c r="H35" s="227" t="s">
        <v>235</v>
      </c>
      <c r="I35" s="227" t="s">
        <v>251</v>
      </c>
      <c r="J35" s="227" t="s">
        <v>252</v>
      </c>
    </row>
    <row r="36" spans="3:10" ht="12">
      <c r="C36" s="228" t="s">
        <v>253</v>
      </c>
      <c r="D36" s="229" t="s">
        <v>254</v>
      </c>
      <c r="E36" s="229" t="s">
        <v>255</v>
      </c>
      <c r="F36" s="229" t="s">
        <v>256</v>
      </c>
      <c r="G36" s="229" t="s">
        <v>257</v>
      </c>
      <c r="H36" s="230"/>
      <c r="I36" s="230"/>
      <c r="J36" s="230"/>
    </row>
    <row r="37" spans="3:10" ht="12">
      <c r="C37" s="184" t="s">
        <v>458</v>
      </c>
      <c r="D37" s="231" t="s">
        <v>273</v>
      </c>
      <c r="E37" s="232"/>
      <c r="F37" s="233">
        <v>175000000</v>
      </c>
      <c r="G37" s="233">
        <f aca="true" t="shared" si="1" ref="G37:G42">+F37</f>
        <v>175000000</v>
      </c>
      <c r="H37" s="234">
        <v>66333000375</v>
      </c>
      <c r="I37" s="234">
        <v>1254533476</v>
      </c>
      <c r="J37" s="234">
        <v>80951103774</v>
      </c>
    </row>
    <row r="38" spans="3:10" ht="14.25" customHeight="1">
      <c r="C38" s="184" t="s">
        <v>266</v>
      </c>
      <c r="D38" s="231" t="s">
        <v>273</v>
      </c>
      <c r="E38" s="232"/>
      <c r="F38" s="233">
        <v>8370000</v>
      </c>
      <c r="G38" s="233">
        <f t="shared" si="1"/>
        <v>8370000</v>
      </c>
      <c r="H38" s="234">
        <v>348339600000</v>
      </c>
      <c r="I38" s="234">
        <v>2799575036</v>
      </c>
      <c r="J38" s="234">
        <v>381904225189</v>
      </c>
    </row>
    <row r="39" spans="3:10" ht="14.25" customHeight="1">
      <c r="C39" s="235" t="s">
        <v>781</v>
      </c>
      <c r="D39" s="231" t="s">
        <v>273</v>
      </c>
      <c r="E39" s="236"/>
      <c r="F39" s="237">
        <v>5011050355</v>
      </c>
      <c r="G39" s="233">
        <f t="shared" si="1"/>
        <v>5011050355</v>
      </c>
      <c r="H39" s="238"/>
      <c r="I39" s="238"/>
      <c r="J39" s="238"/>
    </row>
    <row r="40" spans="3:10" ht="12">
      <c r="C40" s="235" t="s">
        <v>459</v>
      </c>
      <c r="D40" s="239" t="s">
        <v>273</v>
      </c>
      <c r="E40" s="236"/>
      <c r="F40" s="237">
        <v>425770000</v>
      </c>
      <c r="G40" s="233">
        <f t="shared" si="1"/>
        <v>425770000</v>
      </c>
      <c r="H40" s="238">
        <v>330000000000</v>
      </c>
      <c r="I40" s="238">
        <v>31516307247</v>
      </c>
      <c r="J40" s="238">
        <v>840823644653</v>
      </c>
    </row>
    <row r="41" spans="3:10" ht="12">
      <c r="C41" s="235" t="s">
        <v>782</v>
      </c>
      <c r="D41" s="239" t="s">
        <v>273</v>
      </c>
      <c r="E41" s="236"/>
      <c r="F41" s="237">
        <v>10000000</v>
      </c>
      <c r="G41" s="233">
        <f t="shared" si="1"/>
        <v>10000000</v>
      </c>
      <c r="H41" s="238"/>
      <c r="I41" s="238"/>
      <c r="J41" s="238"/>
    </row>
    <row r="42" spans="3:10" ht="12">
      <c r="C42" s="235" t="s">
        <v>460</v>
      </c>
      <c r="D42" s="239" t="s">
        <v>273</v>
      </c>
      <c r="E42" s="236"/>
      <c r="F42" s="237">
        <f>3211784000-83699953</f>
        <v>3128084047</v>
      </c>
      <c r="G42" s="233">
        <f t="shared" si="1"/>
        <v>3128084047</v>
      </c>
      <c r="H42" s="216"/>
      <c r="I42" s="216"/>
      <c r="J42" s="216"/>
    </row>
    <row r="43" spans="3:10" ht="12">
      <c r="C43" s="240" t="str">
        <f>+C29</f>
        <v>Total al 30/06/2020</v>
      </c>
      <c r="D43" s="240"/>
      <c r="E43" s="240"/>
      <c r="F43" s="215">
        <f>SUM(F37:F42)</f>
        <v>8758274402</v>
      </c>
      <c r="G43" s="215">
        <f>SUM(G36:G42)</f>
        <v>8758274402</v>
      </c>
      <c r="H43" s="241"/>
      <c r="I43" s="241"/>
      <c r="J43" s="241"/>
    </row>
    <row r="44" spans="3:10" ht="12">
      <c r="C44" s="217" t="s">
        <v>790</v>
      </c>
      <c r="D44" s="217"/>
      <c r="E44" s="217"/>
      <c r="F44" s="242">
        <v>2291120000</v>
      </c>
      <c r="G44" s="242">
        <v>2291120000</v>
      </c>
      <c r="H44" s="241"/>
      <c r="I44" s="241"/>
      <c r="J44" s="241"/>
    </row>
    <row r="45" spans="3:10" ht="12">
      <c r="C45" s="224"/>
      <c r="D45" s="224"/>
      <c r="E45" s="224"/>
      <c r="F45" s="243">
        <f>+F43-'[2]Sheet1'!$O$221</f>
        <v>0</v>
      </c>
      <c r="G45" s="243"/>
      <c r="H45" s="224"/>
      <c r="I45" s="224"/>
      <c r="J45" s="224"/>
    </row>
    <row r="46" spans="3:10" ht="12">
      <c r="C46" s="224"/>
      <c r="D46" s="224"/>
      <c r="E46" s="224"/>
      <c r="F46" s="224"/>
      <c r="G46" s="224"/>
      <c r="H46" s="224"/>
      <c r="I46" s="224"/>
      <c r="J46" s="224"/>
    </row>
    <row r="47" spans="3:10" ht="12">
      <c r="C47" s="493" t="s">
        <v>267</v>
      </c>
      <c r="D47" s="493"/>
      <c r="E47" s="493"/>
      <c r="F47" s="493"/>
      <c r="G47" s="493"/>
      <c r="H47" s="493"/>
      <c r="I47" s="493"/>
      <c r="J47" s="224"/>
    </row>
    <row r="48" spans="3:10" ht="24">
      <c r="C48" s="16" t="s">
        <v>268</v>
      </c>
      <c r="D48" s="16" t="s">
        <v>269</v>
      </c>
      <c r="E48" s="16" t="s">
        <v>263</v>
      </c>
      <c r="F48" s="244" t="s">
        <v>270</v>
      </c>
      <c r="G48" s="16" t="s">
        <v>271</v>
      </c>
      <c r="H48" s="16" t="s">
        <v>251</v>
      </c>
      <c r="I48" s="16" t="s">
        <v>252</v>
      </c>
      <c r="J48" s="224"/>
    </row>
    <row r="49" spans="3:10" ht="12">
      <c r="C49" s="206" t="s">
        <v>272</v>
      </c>
      <c r="D49" s="206" t="s">
        <v>273</v>
      </c>
      <c r="E49" s="245">
        <v>200000000</v>
      </c>
      <c r="F49" s="246">
        <v>411930779</v>
      </c>
      <c r="G49" s="246">
        <v>851000000</v>
      </c>
      <c r="H49" s="245"/>
      <c r="I49" s="245"/>
      <c r="J49" s="224"/>
    </row>
    <row r="50" spans="3:10" ht="12">
      <c r="C50" s="217" t="str">
        <f>+C43</f>
        <v>Total al 30/06/2020</v>
      </c>
      <c r="D50" s="217"/>
      <c r="E50" s="247">
        <f>SUM(E49:E49)</f>
        <v>200000000</v>
      </c>
      <c r="F50" s="247">
        <f>SUM(F49:F49)</f>
        <v>411930779</v>
      </c>
      <c r="G50" s="247">
        <f>+G49</f>
        <v>851000000</v>
      </c>
      <c r="H50" s="247"/>
      <c r="I50" s="247"/>
      <c r="J50" s="224"/>
    </row>
    <row r="51" spans="3:10" ht="12">
      <c r="C51" s="217" t="s">
        <v>790</v>
      </c>
      <c r="D51" s="217"/>
      <c r="E51" s="218">
        <v>200000000</v>
      </c>
      <c r="F51" s="218">
        <v>361481649</v>
      </c>
      <c r="G51" s="247">
        <v>750000000</v>
      </c>
      <c r="H51" s="247"/>
      <c r="I51" s="247"/>
      <c r="J51" s="224"/>
    </row>
    <row r="52" spans="3:10" ht="12">
      <c r="C52" s="248"/>
      <c r="D52" s="248"/>
      <c r="E52" s="249"/>
      <c r="F52" s="249"/>
      <c r="G52" s="222"/>
      <c r="H52" s="222"/>
      <c r="I52" s="222"/>
      <c r="J52" s="224"/>
    </row>
    <row r="53" spans="3:10" ht="12">
      <c r="C53" s="220"/>
      <c r="D53" s="250"/>
      <c r="E53" s="250"/>
      <c r="F53" s="251"/>
      <c r="G53" s="251"/>
      <c r="H53" s="252"/>
      <c r="I53" s="252"/>
      <c r="J53" s="252"/>
    </row>
    <row r="54" spans="3:10" ht="12">
      <c r="C54" s="220"/>
      <c r="D54" s="250"/>
      <c r="E54" s="250"/>
      <c r="F54" s="251"/>
      <c r="G54" s="251"/>
      <c r="H54" s="252"/>
      <c r="I54" s="252"/>
      <c r="J54" s="252"/>
    </row>
    <row r="55" spans="3:10" ht="12">
      <c r="C55" s="220"/>
      <c r="D55" s="250"/>
      <c r="E55" s="250"/>
      <c r="F55" s="251"/>
      <c r="G55" s="251"/>
      <c r="H55" s="252"/>
      <c r="I55" s="252"/>
      <c r="J55" s="252"/>
    </row>
    <row r="56" spans="3:10" ht="12">
      <c r="C56" s="496" t="s">
        <v>275</v>
      </c>
      <c r="D56" s="496"/>
      <c r="E56" s="496"/>
      <c r="F56" s="496"/>
      <c r="G56" s="496"/>
      <c r="H56" s="496"/>
      <c r="I56" s="496"/>
      <c r="J56" s="224"/>
    </row>
    <row r="57" spans="3:10" ht="24">
      <c r="C57" s="16" t="s">
        <v>268</v>
      </c>
      <c r="D57" s="16" t="s">
        <v>269</v>
      </c>
      <c r="E57" s="16" t="s">
        <v>263</v>
      </c>
      <c r="F57" s="16" t="s">
        <v>270</v>
      </c>
      <c r="G57" s="16" t="s">
        <v>271</v>
      </c>
      <c r="H57" s="16" t="s">
        <v>251</v>
      </c>
      <c r="I57" s="16" t="s">
        <v>252</v>
      </c>
      <c r="J57" s="224"/>
    </row>
    <row r="58" spans="3:10" ht="36">
      <c r="C58" s="206" t="s">
        <v>274</v>
      </c>
      <c r="D58" s="253" t="s">
        <v>772</v>
      </c>
      <c r="E58" s="246">
        <v>44805500</v>
      </c>
      <c r="F58" s="246">
        <v>44805500</v>
      </c>
      <c r="G58" s="254" t="s">
        <v>274</v>
      </c>
      <c r="H58" s="254" t="s">
        <v>276</v>
      </c>
      <c r="I58" s="254" t="s">
        <v>276</v>
      </c>
      <c r="J58" s="224"/>
    </row>
    <row r="59" spans="3:10" ht="12">
      <c r="C59" s="255">
        <v>600</v>
      </c>
      <c r="D59" s="256" t="s">
        <v>783</v>
      </c>
      <c r="E59" s="246">
        <v>600000000</v>
      </c>
      <c r="F59" s="246">
        <f>+E59</f>
        <v>600000000</v>
      </c>
      <c r="G59" s="254" t="s">
        <v>274</v>
      </c>
      <c r="H59" s="254" t="s">
        <v>276</v>
      </c>
      <c r="I59" s="254" t="s">
        <v>276</v>
      </c>
      <c r="J59" s="224"/>
    </row>
    <row r="60" spans="3:10" ht="12">
      <c r="C60" s="255">
        <v>3257</v>
      </c>
      <c r="D60" s="256" t="s">
        <v>783</v>
      </c>
      <c r="E60" s="246">
        <v>3257000000</v>
      </c>
      <c r="F60" s="246">
        <v>3257000000</v>
      </c>
      <c r="G60" s="254" t="s">
        <v>274</v>
      </c>
      <c r="H60" s="254" t="s">
        <v>276</v>
      </c>
      <c r="I60" s="254" t="s">
        <v>276</v>
      </c>
      <c r="J60" s="224"/>
    </row>
    <row r="61" spans="3:10" ht="12">
      <c r="C61" s="217" t="str">
        <f>+C50</f>
        <v>Total al 30/06/2020</v>
      </c>
      <c r="D61" s="217"/>
      <c r="E61" s="257">
        <f>SUM(E58:E60)</f>
        <v>3901805500</v>
      </c>
      <c r="F61" s="257">
        <f>SUM(F58:F60)</f>
        <v>3901805500</v>
      </c>
      <c r="G61" s="257"/>
      <c r="H61" s="258"/>
      <c r="I61" s="258"/>
      <c r="J61" s="252"/>
    </row>
    <row r="62" spans="3:10" ht="12">
      <c r="C62" s="217" t="s">
        <v>790</v>
      </c>
      <c r="D62" s="259"/>
      <c r="E62" s="259"/>
      <c r="F62" s="257">
        <v>594805500</v>
      </c>
      <c r="G62" s="257"/>
      <c r="H62" s="258"/>
      <c r="I62" s="258"/>
      <c r="J62" s="252"/>
    </row>
    <row r="63" spans="3:10" ht="12">
      <c r="C63" s="224"/>
      <c r="D63" s="224"/>
      <c r="E63" s="224"/>
      <c r="F63" s="224"/>
      <c r="G63" s="224"/>
      <c r="H63" s="224"/>
      <c r="I63" s="224"/>
      <c r="J63" s="224"/>
    </row>
    <row r="64" spans="3:10" ht="12">
      <c r="C64" s="224"/>
      <c r="D64" s="224"/>
      <c r="E64" s="224"/>
      <c r="F64" s="224"/>
      <c r="G64" s="224"/>
      <c r="H64" s="224"/>
      <c r="I64" s="224"/>
      <c r="J64" s="224"/>
    </row>
    <row r="65" spans="3:10" ht="12">
      <c r="C65" s="489" t="s">
        <v>260</v>
      </c>
      <c r="D65" s="490"/>
      <c r="E65" s="490"/>
      <c r="F65" s="491"/>
      <c r="G65" s="489" t="str">
        <f>+G33</f>
        <v> INFORMACION SOBRE EL EMISOR AL 30/06/2020</v>
      </c>
      <c r="H65" s="490"/>
      <c r="I65" s="490"/>
      <c r="J65" s="491"/>
    </row>
    <row r="66" spans="3:10" ht="12">
      <c r="C66" s="489" t="s">
        <v>277</v>
      </c>
      <c r="D66" s="490"/>
      <c r="E66" s="490"/>
      <c r="F66" s="490"/>
      <c r="G66" s="490"/>
      <c r="H66" s="490"/>
      <c r="I66" s="490"/>
      <c r="J66" s="491"/>
    </row>
    <row r="67" spans="3:10" ht="12">
      <c r="C67" s="493" t="s">
        <v>253</v>
      </c>
      <c r="D67" s="497" t="s">
        <v>261</v>
      </c>
      <c r="E67" s="497" t="s">
        <v>262</v>
      </c>
      <c r="F67" s="497" t="s">
        <v>263</v>
      </c>
      <c r="G67" s="497" t="s">
        <v>264</v>
      </c>
      <c r="H67" s="495" t="s">
        <v>235</v>
      </c>
      <c r="I67" s="495" t="s">
        <v>251</v>
      </c>
      <c r="J67" s="495" t="s">
        <v>252</v>
      </c>
    </row>
    <row r="68" spans="3:10" ht="12">
      <c r="C68" s="493"/>
      <c r="D68" s="497"/>
      <c r="E68" s="497"/>
      <c r="F68" s="497"/>
      <c r="G68" s="497"/>
      <c r="H68" s="495"/>
      <c r="I68" s="495"/>
      <c r="J68" s="495"/>
    </row>
    <row r="69" spans="3:10" ht="12">
      <c r="C69" s="176" t="s">
        <v>278</v>
      </c>
      <c r="D69" s="176" t="s">
        <v>265</v>
      </c>
      <c r="E69" s="176">
        <v>2348</v>
      </c>
      <c r="F69" s="178">
        <v>2329691864</v>
      </c>
      <c r="G69" s="178">
        <v>2495451703</v>
      </c>
      <c r="H69" s="260">
        <v>2760000000</v>
      </c>
      <c r="I69" s="260">
        <v>112098826</v>
      </c>
      <c r="J69" s="260">
        <v>2789481337</v>
      </c>
    </row>
    <row r="70" spans="3:10" ht="12">
      <c r="C70" s="261" t="s">
        <v>279</v>
      </c>
      <c r="D70" s="176" t="s">
        <v>265</v>
      </c>
      <c r="E70" s="176">
        <v>25000</v>
      </c>
      <c r="F70" s="178">
        <v>2800000000</v>
      </c>
      <c r="G70" s="178">
        <v>2800000000</v>
      </c>
      <c r="H70" s="260">
        <v>2501000000</v>
      </c>
      <c r="I70" s="260">
        <v>-35646095</v>
      </c>
      <c r="J70" s="260">
        <v>2747133603</v>
      </c>
    </row>
    <row r="71" spans="3:10" ht="12">
      <c r="C71" s="261" t="s">
        <v>280</v>
      </c>
      <c r="D71" s="176" t="s">
        <v>265</v>
      </c>
      <c r="E71" s="176">
        <v>251</v>
      </c>
      <c r="F71" s="178">
        <v>251000000</v>
      </c>
      <c r="G71" s="178">
        <v>251000000</v>
      </c>
      <c r="H71" s="260">
        <v>500000000</v>
      </c>
      <c r="I71" s="260"/>
      <c r="J71" s="260">
        <f>+H71</f>
        <v>500000000</v>
      </c>
    </row>
    <row r="72" spans="3:10" ht="12">
      <c r="C72" s="217" t="s">
        <v>767</v>
      </c>
      <c r="D72" s="217"/>
      <c r="E72" s="217"/>
      <c r="F72" s="257">
        <f>SUM(F69:F71)</f>
        <v>5380691864</v>
      </c>
      <c r="G72" s="257">
        <f>SUM(G69:G71)</f>
        <v>5546451703</v>
      </c>
      <c r="H72" s="258"/>
      <c r="I72" s="258"/>
      <c r="J72" s="258"/>
    </row>
    <row r="73" spans="3:10" ht="12">
      <c r="C73" s="217" t="s">
        <v>790</v>
      </c>
      <c r="D73" s="259"/>
      <c r="E73" s="259"/>
      <c r="F73" s="257">
        <v>5380691864</v>
      </c>
      <c r="G73" s="257">
        <v>5546451703</v>
      </c>
      <c r="H73" s="258"/>
      <c r="I73" s="258"/>
      <c r="J73" s="258"/>
    </row>
    <row r="74" spans="3:10" ht="12">
      <c r="C74" s="224"/>
      <c r="D74" s="224"/>
      <c r="E74" s="224"/>
      <c r="F74" s="224"/>
      <c r="G74" s="224"/>
      <c r="H74" s="224"/>
      <c r="I74" s="224"/>
      <c r="J74" s="224"/>
    </row>
    <row r="75" spans="3:10" ht="12.75" thickBot="1">
      <c r="C75" s="262" t="s">
        <v>281</v>
      </c>
      <c r="D75" s="263"/>
      <c r="E75" s="263"/>
      <c r="F75" s="264"/>
      <c r="G75" s="264">
        <f>+G72+G50+G43+G29+F61</f>
        <v>25225653533.96733</v>
      </c>
      <c r="H75" s="263"/>
      <c r="I75" s="263"/>
      <c r="J75" s="263"/>
    </row>
    <row r="76" ht="12.75" thickTop="1">
      <c r="G76" s="265"/>
    </row>
    <row r="78" spans="3:6" ht="12">
      <c r="C78" s="489" t="s">
        <v>795</v>
      </c>
      <c r="D78" s="490"/>
      <c r="E78" s="490"/>
      <c r="F78" s="491"/>
    </row>
    <row r="79" spans="3:6" ht="12">
      <c r="C79" s="154" t="s">
        <v>796</v>
      </c>
      <c r="F79" s="213">
        <f>+F29+F43</f>
        <v>14926396330.96733</v>
      </c>
    </row>
    <row r="80" spans="3:6" ht="12">
      <c r="C80" s="154" t="s">
        <v>797</v>
      </c>
      <c r="F80" s="266">
        <f>+G50+F61+G72</f>
        <v>10299257203</v>
      </c>
    </row>
    <row r="81" spans="3:6" ht="12.75" thickBot="1">
      <c r="C81" s="262" t="s">
        <v>798</v>
      </c>
      <c r="D81" s="264">
        <f>+D80+D79</f>
        <v>0</v>
      </c>
      <c r="E81" s="264">
        <f>+E80+E79</f>
        <v>0</v>
      </c>
      <c r="F81" s="264">
        <f>+F80+F79</f>
        <v>25225653533.96733</v>
      </c>
    </row>
    <row r="82" ht="12.75" thickTop="1"/>
  </sheetData>
  <sheetProtection/>
  <mergeCells count="20">
    <mergeCell ref="C56:I56"/>
    <mergeCell ref="C65:F65"/>
    <mergeCell ref="G65:J65"/>
    <mergeCell ref="C66:J66"/>
    <mergeCell ref="C67:C68"/>
    <mergeCell ref="D67:D68"/>
    <mergeCell ref="E67:E68"/>
    <mergeCell ref="F67:F68"/>
    <mergeCell ref="G67:G68"/>
    <mergeCell ref="H67:H68"/>
    <mergeCell ref="C78:F78"/>
    <mergeCell ref="C34:J34"/>
    <mergeCell ref="C10:F10"/>
    <mergeCell ref="G10:J10"/>
    <mergeCell ref="C11:J11"/>
    <mergeCell ref="C33:F33"/>
    <mergeCell ref="G33:J33"/>
    <mergeCell ref="C47:I47"/>
    <mergeCell ref="I67:I68"/>
    <mergeCell ref="J67:J68"/>
  </mergeCells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maria.araujo</cp:lastModifiedBy>
  <dcterms:created xsi:type="dcterms:W3CDTF">2019-11-21T14:06:50Z</dcterms:created>
  <dcterms:modified xsi:type="dcterms:W3CDTF">2020-08-31T21:11:22Z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