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10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0.Investor SA/Contabilidad/CNV_EEFF_Informes/2020/EEFF a presentar/CNV FINAL/3.CNV Informe 3er Trim SETIEMBRE/Presentado 17 de Noviembre 2020/"/>
    </mc:Choice>
  </mc:AlternateContent>
  <xr:revisionPtr revIDLastSave="0" documentId="10_ncr:200_{EB3347A7-3B22-4EC5-945F-5C6961C217AE}" xr6:coauthVersionLast="45" xr6:coauthVersionMax="45" xr10:uidLastSave="{00000000-0000-0000-0000-000000000000}"/>
  <bookViews>
    <workbookView xWindow="-108" yWindow="-108" windowWidth="23256" windowHeight="12576" tabRatio="870" activeTab="1" xr2:uid="{00000000-000D-0000-FFFF-FFFF00000000}"/>
  </bookViews>
  <sheets>
    <sheet name="Indice" sheetId="33" r:id="rId1"/>
    <sheet name="Balance Gral. Resol. 6" sheetId="1" r:id="rId2"/>
    <sheet name="Estado de Resultado Resol. 6" sheetId="2" r:id="rId3"/>
    <sheet name="Flujo de Efectivo Resol. Res 6" sheetId="34" r:id="rId4"/>
    <sheet name="Estado de Variacion PN " sheetId="35" r:id="rId5"/>
    <sheet name="NOTA A LOS ESTADOS CONTA. 1-4" sheetId="36" r:id="rId6"/>
    <sheet name="NOTA 5 A-C CRITERIOS ESPECIF.OK" sheetId="37" r:id="rId7"/>
    <sheet name="NOTA D - DISPONIBILIDADES ok" sheetId="7" r:id="rId8"/>
    <sheet name="NOTA E - INVERSIONES ok" sheetId="8" r:id="rId9"/>
    <sheet name="NOTA F - CREDITOSok" sheetId="9" r:id="rId10"/>
    <sheet name="NOTA G BIENES DE USOok" sheetId="11" r:id="rId11"/>
    <sheet name="NOTA H CARGOS DIFERIDOSok" sheetId="13" r:id="rId12"/>
    <sheet name=" NOTA I INTANGIBLESok" sheetId="14" r:id="rId13"/>
    <sheet name="NOTA J OTROS ACTIVOS CTES Y NO " sheetId="15" r:id="rId14"/>
    <sheet name="NOTA K PRESTAMOSok" sheetId="17" r:id="rId15"/>
    <sheet name="NOTA L DOCUM y CTAS A PAG OK" sheetId="18" r:id="rId16"/>
    <sheet name="NOTAS M-Q ACREED CP OK" sheetId="16" r:id="rId17"/>
    <sheet name="NOTA R SALDOS Y TRANSACC ok" sheetId="19" r:id="rId18"/>
    <sheet name="NOTA S RESULTADOS CON PERS ok" sheetId="21" r:id="rId19"/>
    <sheet name=" NOTA T PATRIMONIO U PREVIS OK" sheetId="22" r:id="rId20"/>
    <sheet name="NOTA V INGRESOS OPERATIVOS OK" sheetId="23" r:id="rId21"/>
    <sheet name="NOTA W OTROS GASTOS OPER OK" sheetId="24" r:id="rId22"/>
    <sheet name="NOTA X OTROS INGRESOS Y EGR OK" sheetId="25" r:id="rId23"/>
    <sheet name="NOTA Y RESULTADOS FINANC OK" sheetId="27" r:id="rId24"/>
    <sheet name="NOTA Z RESULT EXTRA no" sheetId="28" r:id="rId25"/>
    <sheet name="NOTA 6 INFORMACION REFERENTE" sheetId="26" r:id="rId26"/>
  </sheets>
  <externalReferences>
    <externalReference r:id="rId27"/>
    <externalReference r:id="rId28"/>
  </externalReferences>
  <definedNames>
    <definedName name="_xlnm._FilterDatabase" localSheetId="7" hidden="1">'NOTA D - DISPONIBILIDADES ok'!$B$7:$D$59</definedName>
    <definedName name="_xlnm._FilterDatabase" localSheetId="17" hidden="1">#N/A</definedName>
    <definedName name="_MON_1268749014" localSheetId="6">#N/A</definedName>
    <definedName name="a" localSheetId="4">#N/A</definedName>
    <definedName name="a" localSheetId="3">#N/A</definedName>
    <definedName name="a" localSheetId="6">#N/A</definedName>
    <definedName name="a" localSheetId="5">#N/A</definedName>
    <definedName name="a">#N/A</definedName>
    <definedName name="aa" localSheetId="4">#N/A</definedName>
    <definedName name="aa" localSheetId="3">#N/A</definedName>
    <definedName name="aa" localSheetId="6">#N/A</definedName>
    <definedName name="aa" localSheetId="5">#N/A</definedName>
    <definedName name="aa">#N/A</definedName>
    <definedName name="_xlnm.Print_Area" localSheetId="1">#N/A</definedName>
    <definedName name="_xlnm.Print_Area" localSheetId="2">#N/A</definedName>
    <definedName name="_xlnm.Print_Area" localSheetId="21">#N/A</definedName>
    <definedName name="BuiltIn_Print_Area___0___0" localSheetId="4">#N/A</definedName>
    <definedName name="BuiltIn_Print_Area___0___0" localSheetId="3">#N/A</definedName>
    <definedName name="BuiltIn_Print_Area___0___0" localSheetId="6">#N/A</definedName>
    <definedName name="BuiltIn_Print_Area___0___0" localSheetId="5">#N/A</definedName>
    <definedName name="BuiltIn_Print_Area___0___0">#N/A</definedName>
    <definedName name="BuiltIn_Print_Area___0___0___0___0___0" localSheetId="4">#N/A</definedName>
    <definedName name="BuiltIn_Print_Area___0___0___0___0___0" localSheetId="3">#N/A</definedName>
    <definedName name="BuiltIn_Print_Area___0___0___0___0___0" localSheetId="6">#N/A</definedName>
    <definedName name="BuiltIn_Print_Area___0___0___0___0___0" localSheetId="5">#N/A</definedName>
    <definedName name="BuiltIn_Print_Area___0___0___0___0___0">#N/A</definedName>
    <definedName name="Clientes" localSheetId="4">#N/A</definedName>
    <definedName name="Clientes" localSheetId="3">#N/A</definedName>
    <definedName name="Clientes" localSheetId="6">#N/A</definedName>
    <definedName name="Clientes" localSheetId="5">#N/A</definedName>
    <definedName name="Clientes">#N/A</definedName>
    <definedName name="DATA16" localSheetId="4">#N/A</definedName>
    <definedName name="DATA16" localSheetId="3">#N/A</definedName>
    <definedName name="DATA16" localSheetId="6">#N/A</definedName>
    <definedName name="DATA16" localSheetId="5">#N/A</definedName>
    <definedName name="DATA16">#N/A</definedName>
    <definedName name="DATA17" localSheetId="4">#N/A</definedName>
    <definedName name="DATA17" localSheetId="3">#N/A</definedName>
    <definedName name="DATA17" localSheetId="6">#N/A</definedName>
    <definedName name="DATA17" localSheetId="5">#N/A</definedName>
    <definedName name="DATA17">#N/A</definedName>
    <definedName name="DATA18" localSheetId="4">#N/A</definedName>
    <definedName name="DATA18" localSheetId="3">#N/A</definedName>
    <definedName name="DATA18" localSheetId="6">#N/A</definedName>
    <definedName name="DATA18" localSheetId="5">#N/A</definedName>
    <definedName name="DATA18">#N/A</definedName>
    <definedName name="DATA20" localSheetId="4">#N/A</definedName>
    <definedName name="DATA20" localSheetId="3">#N/A</definedName>
    <definedName name="DATA20" localSheetId="6">#N/A</definedName>
    <definedName name="DATA20" localSheetId="5">#N/A</definedName>
    <definedName name="DATA20">#N/A</definedName>
    <definedName name="datos" localSheetId="4">#N/A</definedName>
    <definedName name="datos" localSheetId="3">#N/A</definedName>
    <definedName name="datos" localSheetId="6">#N/A</definedName>
    <definedName name="datos" localSheetId="5">#N/A</definedName>
    <definedName name="datos">#N/A</definedName>
    <definedName name="k" localSheetId="4">#N/A</definedName>
    <definedName name="k" localSheetId="3">#N/A</definedName>
    <definedName name="k" localSheetId="6">#N/A</definedName>
    <definedName name="k" localSheetId="5">#N/A</definedName>
    <definedName name="k">#N/A</definedName>
    <definedName name="klkl" localSheetId="4">#N/A</definedName>
    <definedName name="klkl" localSheetId="3">#N/A</definedName>
    <definedName name="klkl" localSheetId="6">#N/A</definedName>
    <definedName name="klkl" localSheetId="5">#N/A</definedName>
    <definedName name="klkl">#N/A</definedName>
    <definedName name="klll" localSheetId="4">#N/A</definedName>
    <definedName name="klll" localSheetId="3">#N/A</definedName>
    <definedName name="klll" localSheetId="6">#N/A</definedName>
    <definedName name="klll" localSheetId="5">#N/A</definedName>
    <definedName name="klll">#N/A</definedName>
    <definedName name="ver" localSheetId="4">#N/A</definedName>
    <definedName name="ver" localSheetId="3">#N/A</definedName>
    <definedName name="ver" localSheetId="6">#N/A</definedName>
    <definedName name="ver" localSheetId="5">#N/A</definedName>
    <definedName name="ver">#N/A</definedName>
    <definedName name="verificar" localSheetId="4">#N/A</definedName>
    <definedName name="verificar" localSheetId="3">#N/A</definedName>
    <definedName name="verificar" localSheetId="6">#N/A</definedName>
    <definedName name="verificar" localSheetId="5">#N/A</definedName>
    <definedName name="verificar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95" i="37" l="1"/>
  <c r="F94" i="37"/>
  <c r="F93" i="37"/>
  <c r="F92" i="37"/>
  <c r="F90" i="37"/>
  <c r="I64" i="37"/>
  <c r="I60" i="37"/>
  <c r="I24" i="37"/>
  <c r="D17" i="21"/>
  <c r="C17" i="21"/>
  <c r="F10" i="19"/>
  <c r="F32" i="19" s="1"/>
  <c r="F25" i="19"/>
  <c r="F8" i="19"/>
  <c r="E31" i="19"/>
  <c r="E44" i="37" l="1"/>
  <c r="F25" i="35" l="1"/>
  <c r="G75" i="8" l="1"/>
  <c r="F64" i="8"/>
  <c r="F32" i="8" s="1"/>
  <c r="G32" i="8" s="1"/>
  <c r="F41" i="8"/>
  <c r="F47" i="8" s="1"/>
  <c r="E41" i="8"/>
  <c r="G25" i="8"/>
  <c r="G26" i="8"/>
  <c r="G27" i="8"/>
  <c r="G29" i="8"/>
  <c r="G30" i="8"/>
  <c r="G31" i="8"/>
  <c r="F28" i="8"/>
  <c r="F33" i="8" s="1"/>
  <c r="G28" i="8"/>
  <c r="E28" i="8"/>
  <c r="F14" i="8"/>
  <c r="E14" i="8"/>
  <c r="D59" i="7"/>
  <c r="C51" i="7"/>
  <c r="C59" i="7"/>
  <c r="E25" i="37"/>
  <c r="D12" i="27"/>
  <c r="D13" i="27" s="1"/>
  <c r="D11" i="27"/>
  <c r="D8" i="27"/>
  <c r="D7" i="27"/>
  <c r="C12" i="27"/>
  <c r="C11" i="27"/>
  <c r="C8" i="27"/>
  <c r="C7" i="27"/>
  <c r="C9" i="27" s="1"/>
  <c r="D7" i="25"/>
  <c r="D6" i="25" s="1"/>
  <c r="C7" i="25"/>
  <c r="C9" i="25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19" i="24"/>
  <c r="N14" i="24"/>
  <c r="N13" i="24" s="1"/>
  <c r="N9" i="24"/>
  <c r="N7" i="24"/>
  <c r="N8" i="24"/>
  <c r="O18" i="24"/>
  <c r="O13" i="24"/>
  <c r="O7" i="24"/>
  <c r="C19" i="23"/>
  <c r="C20" i="23" s="1"/>
  <c r="D8" i="18"/>
  <c r="D9" i="18" s="1"/>
  <c r="D11" i="17"/>
  <c r="D9" i="14"/>
  <c r="D8" i="14"/>
  <c r="F7" i="13"/>
  <c r="F8" i="13"/>
  <c r="C19" i="9"/>
  <c r="C26" i="9" s="1"/>
  <c r="D5" i="25"/>
  <c r="D5" i="27" s="1"/>
  <c r="D5" i="28" s="1"/>
  <c r="C5" i="25"/>
  <c r="C5" i="27" s="1"/>
  <c r="C5" i="28" s="1"/>
  <c r="D16" i="23"/>
  <c r="B13" i="9"/>
  <c r="B26" i="9" s="1"/>
  <c r="B17" i="11" s="1"/>
  <c r="B9" i="13" s="1"/>
  <c r="B12" i="14" s="1"/>
  <c r="B10" i="15" s="1"/>
  <c r="C11" i="17" s="1"/>
  <c r="C9" i="18" s="1"/>
  <c r="B6" i="16" s="1"/>
  <c r="B19" i="16" s="1"/>
  <c r="B31" i="16" s="1"/>
  <c r="B31" i="19" s="1"/>
  <c r="B37" i="19" s="1"/>
  <c r="B17" i="21" s="1"/>
  <c r="B10" i="22" s="1"/>
  <c r="F64" i="37"/>
  <c r="F24" i="37"/>
  <c r="K27" i="35"/>
  <c r="I27" i="35"/>
  <c r="I26" i="35" s="1"/>
  <c r="J26" i="35"/>
  <c r="D27" i="35"/>
  <c r="D25" i="35" s="1"/>
  <c r="C27" i="35"/>
  <c r="I25" i="35"/>
  <c r="G25" i="35"/>
  <c r="G17" i="35" s="1"/>
  <c r="J17" i="35" s="1"/>
  <c r="J24" i="35"/>
  <c r="J23" i="35"/>
  <c r="J22" i="35"/>
  <c r="J20" i="35"/>
  <c r="J19" i="35"/>
  <c r="J18" i="35"/>
  <c r="J16" i="35"/>
  <c r="E15" i="35"/>
  <c r="J15" i="35" s="1"/>
  <c r="J14" i="35"/>
  <c r="J13" i="35"/>
  <c r="J12" i="35"/>
  <c r="J11" i="35"/>
  <c r="G7" i="34"/>
  <c r="F7" i="34"/>
  <c r="F100" i="2"/>
  <c r="E76" i="1"/>
  <c r="D75" i="1"/>
  <c r="D68" i="1"/>
  <c r="D66" i="1"/>
  <c r="D65" i="1"/>
  <c r="D69" i="1" s="1"/>
  <c r="D76" i="1" s="1"/>
  <c r="D64" i="1"/>
  <c r="D62" i="1"/>
  <c r="D61" i="1"/>
  <c r="G60" i="1"/>
  <c r="G64" i="1" s="1"/>
  <c r="D60" i="1"/>
  <c r="D58" i="1"/>
  <c r="G56" i="1"/>
  <c r="G58" i="1" s="1"/>
  <c r="G70" i="1" s="1"/>
  <c r="D42" i="1"/>
  <c r="D48" i="1"/>
  <c r="G37" i="1"/>
  <c r="E37" i="1"/>
  <c r="E38" i="1" s="1"/>
  <c r="E77" i="1" s="1"/>
  <c r="D37" i="1"/>
  <c r="D30" i="1"/>
  <c r="G28" i="1"/>
  <c r="D24" i="1"/>
  <c r="D21" i="1"/>
  <c r="G19" i="1"/>
  <c r="G21" i="1"/>
  <c r="D19" i="1"/>
  <c r="D13" i="1"/>
  <c r="D14" i="1" s="1"/>
  <c r="D38" i="1" s="1"/>
  <c r="G12" i="1"/>
  <c r="G16" i="1"/>
  <c r="G38" i="1" s="1"/>
  <c r="G53" i="1" s="1"/>
  <c r="D12" i="1"/>
  <c r="H8" i="1"/>
  <c r="G8" i="1"/>
  <c r="E85" i="8"/>
  <c r="D85" i="8"/>
  <c r="C6" i="25"/>
  <c r="C8" i="25"/>
  <c r="C10" i="25"/>
  <c r="B9" i="25"/>
  <c r="C19" i="16"/>
  <c r="G45" i="8"/>
  <c r="G43" i="8"/>
  <c r="G21" i="8"/>
  <c r="G22" i="8"/>
  <c r="E65" i="8"/>
  <c r="C13" i="23"/>
  <c r="C16" i="23"/>
  <c r="C10" i="22"/>
  <c r="D5" i="22"/>
  <c r="D10" i="22" s="1"/>
  <c r="C31" i="16"/>
  <c r="C6" i="16"/>
  <c r="B38" i="19"/>
  <c r="E9" i="13"/>
  <c r="F9" i="13"/>
  <c r="C9" i="13"/>
  <c r="D15" i="11"/>
  <c r="D14" i="11"/>
  <c r="M13" i="11"/>
  <c r="D12" i="11"/>
  <c r="M11" i="11"/>
  <c r="M10" i="11"/>
  <c r="M17" i="11" s="1"/>
  <c r="D9" i="11"/>
  <c r="M8" i="11"/>
  <c r="C17" i="11"/>
  <c r="C35" i="9"/>
  <c r="C13" i="9"/>
  <c r="C47" i="8"/>
  <c r="C54" i="8"/>
  <c r="C65" i="8"/>
  <c r="C76" i="8" s="1"/>
  <c r="F60" i="37"/>
  <c r="G24" i="8"/>
  <c r="G42" i="8"/>
  <c r="G44" i="8"/>
  <c r="G46" i="8"/>
  <c r="G41" i="8"/>
  <c r="G47" i="8" s="1"/>
  <c r="G15" i="8"/>
  <c r="G16" i="8"/>
  <c r="G17" i="8"/>
  <c r="G18" i="8"/>
  <c r="G19" i="8"/>
  <c r="G23" i="8"/>
  <c r="G14" i="8"/>
  <c r="G33" i="8" s="1"/>
  <c r="N18" i="24"/>
  <c r="E7" i="22"/>
  <c r="E10" i="22"/>
  <c r="E6" i="22"/>
  <c r="E9" i="22"/>
  <c r="D13" i="23"/>
  <c r="D11" i="11"/>
  <c r="D8" i="11"/>
  <c r="D17" i="11" s="1"/>
  <c r="G37" i="8"/>
  <c r="G69" i="8" s="1"/>
  <c r="G96" i="37"/>
  <c r="E96" i="37"/>
  <c r="D92" i="37"/>
  <c r="D94" i="37"/>
  <c r="D93" i="37"/>
  <c r="D95" i="37"/>
  <c r="C11" i="28"/>
  <c r="D11" i="28"/>
  <c r="C8" i="28"/>
  <c r="D8" i="28"/>
  <c r="C13" i="27"/>
  <c r="D20" i="23"/>
  <c r="F6" i="15"/>
  <c r="F7" i="15"/>
  <c r="F8" i="15"/>
  <c r="F9" i="15"/>
  <c r="J15" i="11"/>
  <c r="M15" i="11"/>
  <c r="F63" i="8"/>
  <c r="F65" i="8"/>
  <c r="D9" i="27"/>
  <c r="J37" i="24"/>
  <c r="J34" i="24"/>
  <c r="J33" i="24"/>
  <c r="J32" i="24"/>
  <c r="J31" i="24"/>
  <c r="F29" i="24"/>
  <c r="B29" i="24"/>
  <c r="J28" i="24"/>
  <c r="J26" i="24"/>
  <c r="J25" i="24"/>
  <c r="J23" i="24"/>
  <c r="J22" i="24"/>
  <c r="J20" i="24"/>
  <c r="J19" i="24"/>
  <c r="K17" i="24"/>
  <c r="G17" i="24"/>
  <c r="C17" i="24"/>
  <c r="F16" i="24"/>
  <c r="F17" i="24" s="1"/>
  <c r="B16" i="24"/>
  <c r="B17" i="24"/>
  <c r="K12" i="24"/>
  <c r="G12" i="24"/>
  <c r="C12" i="24"/>
  <c r="F11" i="24"/>
  <c r="B11" i="24"/>
  <c r="J11" i="24"/>
  <c r="F9" i="24"/>
  <c r="B9" i="24"/>
  <c r="J9" i="24" s="1"/>
  <c r="J12" i="24" s="1"/>
  <c r="B12" i="24"/>
  <c r="J8" i="24"/>
  <c r="F8" i="22"/>
  <c r="F10" i="22" s="1"/>
  <c r="C10" i="15"/>
  <c r="E10" i="15"/>
  <c r="D12" i="14"/>
  <c r="D9" i="13"/>
  <c r="I17" i="11"/>
  <c r="H17" i="11"/>
  <c r="L16" i="11"/>
  <c r="M16" i="11" s="1"/>
  <c r="G76" i="8"/>
  <c r="F76" i="8"/>
  <c r="J75" i="8"/>
  <c r="G54" i="8"/>
  <c r="F54" i="8"/>
  <c r="E54" i="8"/>
  <c r="D10" i="15"/>
  <c r="F10" i="15" s="1"/>
  <c r="F5" i="15"/>
  <c r="M12" i="11"/>
  <c r="J16" i="24"/>
  <c r="J17" i="24"/>
  <c r="D13" i="11"/>
  <c r="M9" i="11"/>
  <c r="D10" i="11"/>
  <c r="G17" i="11"/>
  <c r="M14" i="11"/>
  <c r="F12" i="24"/>
  <c r="G20" i="8"/>
  <c r="C21" i="35"/>
  <c r="J21" i="35"/>
  <c r="G79" i="8" l="1"/>
  <c r="F83" i="8"/>
  <c r="G71" i="1"/>
  <c r="G72" i="1" s="1"/>
  <c r="B35" i="9"/>
  <c r="F84" i="8"/>
  <c r="F85" i="8" s="1"/>
  <c r="L17" i="11"/>
  <c r="D77" i="1"/>
  <c r="J27" i="35"/>
  <c r="J32" i="35" s="1"/>
  <c r="J25" i="35"/>
</calcChain>
</file>

<file path=xl/sharedStrings.xml><?xml version="1.0" encoding="utf-8"?>
<sst xmlns="http://schemas.openxmlformats.org/spreadsheetml/2006/main" count="1378" uniqueCount="846">
  <si>
    <t>INVESTOR CASA DE BOLSA S.A.</t>
  </si>
  <si>
    <t>ANEXO F DE LA RESOLUCION Nº 6/19</t>
  </si>
  <si>
    <t>Enero</t>
  </si>
  <si>
    <t>Febrero</t>
  </si>
  <si>
    <t>Marzo</t>
  </si>
  <si>
    <t>Abril</t>
  </si>
  <si>
    <t>Fecha Presentación:</t>
  </si>
  <si>
    <t>30 DE SETIEMBRE DE 2020</t>
  </si>
  <si>
    <t>Mayo</t>
  </si>
  <si>
    <t>Junio</t>
  </si>
  <si>
    <t>Julio</t>
  </si>
  <si>
    <t>INDICE</t>
  </si>
  <si>
    <t>REF.</t>
  </si>
  <si>
    <t>Agosto</t>
  </si>
  <si>
    <t>I-INFORMACIÓN GENERAL DE INVESTOR CASA DE BOLSA SA</t>
  </si>
  <si>
    <t>Infome en Word.</t>
  </si>
  <si>
    <t>II-ESTADOS FINANCIEROS BASICOS</t>
  </si>
  <si>
    <t>Septiembre</t>
  </si>
  <si>
    <t>Balance General</t>
  </si>
  <si>
    <t>Balance Gral. Resol. 1'!A1</t>
  </si>
  <si>
    <t>Octubre</t>
  </si>
  <si>
    <t>Cuadro de Resultados</t>
  </si>
  <si>
    <t>Estado de Resultado Resol. 1'!A1</t>
  </si>
  <si>
    <t>Noviembre</t>
  </si>
  <si>
    <t>Flujo de Efectivo</t>
  </si>
  <si>
    <t>Flujo de Efectivo Resol. 950'!A1</t>
  </si>
  <si>
    <t>Estado de Variacion Patrimonial</t>
  </si>
  <si>
    <t>Calculo de IRACIS</t>
  </si>
  <si>
    <t>CALCULO DE IRACIS (2019)'!A1</t>
  </si>
  <si>
    <t>Balance del Sistema</t>
  </si>
  <si>
    <t>Balance Final 15'!A1</t>
  </si>
  <si>
    <t>Calculo de Flujo de Caja</t>
  </si>
  <si>
    <t>2018 (2)'!A1</t>
  </si>
  <si>
    <t>Informe del Sindico</t>
  </si>
  <si>
    <t>Informe del Auditor Externo</t>
  </si>
  <si>
    <t>Memoria del Directorio</t>
  </si>
  <si>
    <t xml:space="preserve"> Notas a los Estados Contables</t>
  </si>
  <si>
    <t>Diciembre</t>
  </si>
  <si>
    <t>Nota 1- Consideraciones de EEFF</t>
  </si>
  <si>
    <t>NOTA A LOS ESTADOS CONTA. 1-4'!A1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</si>
  <si>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</si>
  <si>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</si>
  <si>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</si>
  <si>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</si>
  <si>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</si>
  <si>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NOTA 5 A-C CRITERIOS ESPECIF.'!A1</t>
  </si>
  <si>
    <t>b.Posición Moneda Extranjera</t>
  </si>
  <si>
    <t>c.Diferencia de cambio</t>
  </si>
  <si>
    <t>d. Disponibiliadades</t>
  </si>
  <si>
    <t>NOTA D - DISPONIBILIDADES'!A1</t>
  </si>
  <si>
    <t>e. Inversiones</t>
  </si>
  <si>
    <t>NOTA E - INVERSIONES'!A1</t>
  </si>
  <si>
    <t>f.Créditos</t>
  </si>
  <si>
    <t>NOTA F - CREDITOS'!A1</t>
  </si>
  <si>
    <t>g.Bienes de Cambio</t>
  </si>
  <si>
    <t>NOTA G BIENES DE USO'!A1</t>
  </si>
  <si>
    <t>h.Cargos Diferidos</t>
  </si>
  <si>
    <t>NOTA H CARGOS DIFERIDOS'!A1</t>
  </si>
  <si>
    <t>i. Bienes Intangibles</t>
  </si>
  <si>
    <t xml:space="preserve"> NOTA I INTANGIBLES'!A1</t>
  </si>
  <si>
    <t>j. Otros Activos</t>
  </si>
  <si>
    <t>NOTA J OTROS ACTIVOS CTES Y NO '!A1</t>
  </si>
  <si>
    <t xml:space="preserve">k.Prestamos </t>
  </si>
  <si>
    <t>NOTA K PRESTAMOS'!A1</t>
  </si>
  <si>
    <t>l.Documentos y Ctas a Cobrar</t>
  </si>
  <si>
    <t>NOTA L DOCUMENTOS Y CTAS A PAGA'!A1</t>
  </si>
  <si>
    <t>m.Acreedores por Intermediación</t>
  </si>
  <si>
    <t>NOTAS M-Q ACREEDORES CTO PLAZO'!A1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</si>
  <si>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</si>
  <si>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</si>
  <si>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</si>
  <si>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</si>
  <si>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</si>
  <si>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NOTA R SALDOS Y TRANSACCIONES '!A1</t>
  </si>
  <si>
    <t>s. Resultados con Relacionadas</t>
  </si>
  <si>
    <t>NOTA S RESULTADOS CON PERSONAS'!A1</t>
  </si>
  <si>
    <t>t.Patrimonio</t>
  </si>
  <si>
    <t xml:space="preserve"> NOTA T PATRIMONIO'!A1</t>
  </si>
  <si>
    <t>u. Previsiones</t>
  </si>
  <si>
    <t>v.Ingresos Operativos</t>
  </si>
  <si>
    <t>NOTA V INGRESOS OPERATIVOS'!A1</t>
  </si>
  <si>
    <t>w.Otros Gastos Operativos</t>
  </si>
  <si>
    <t>NOTA W OTROS GASTOS OPERATIVOS'!A1</t>
  </si>
  <si>
    <t>x. Otros Ingresos y Egresos</t>
  </si>
  <si>
    <t>NOTA X OTROS INGRESOS Y EGRESOS'!A1</t>
  </si>
  <si>
    <t>y. Resultados Financieros</t>
  </si>
  <si>
    <t>NOTA Y RESULTADOS FINANCIEROS'!A1</t>
  </si>
  <si>
    <t>z. Resultados Extraordinarios</t>
  </si>
  <si>
    <t>NOTA Z RESULT EXTRAORD'!A1</t>
  </si>
  <si>
    <t>Nota 6- Información Referente a Contingencias</t>
  </si>
  <si>
    <t>NOTA 6 INFORMACION REFERENTE'!A1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</si>
  <si>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</si>
  <si>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</si>
  <si>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</si>
  <si>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</si>
  <si>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</si>
  <si>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</si>
  <si>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</si>
  <si>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</si>
  <si>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 xml:space="preserve">BALANCE GENERAL </t>
  </si>
  <si>
    <t>1 01</t>
  </si>
  <si>
    <t>CORRESPONDIENTE AL 30 DE SETIEMBRE DE 2020 PRESENTADO EN FORMA COMPARATIVA CON EL EJERCICIO ECONOMICO ANTERIOR  AL  31 DE DICIEMBRE DE  2019.</t>
  </si>
  <si>
    <t>1 01 01</t>
  </si>
  <si>
    <t xml:space="preserve"> (Expresado en Guaraníes)</t>
  </si>
  <si>
    <t>ACTIVO</t>
  </si>
  <si>
    <t>PERIODO ACTUAL 30/09/ 2020</t>
  </si>
  <si>
    <t>PERIODO ANTERIOR 31/12/2019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</si>
  <si>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</si>
  <si>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</si>
  <si>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</si>
  <si>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</si>
  <si>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</si>
  <si>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</si>
  <si>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DOCUEMENTOS Y CUENTAS A PAGAR</t>
  </si>
  <si>
    <t>Caja</t>
  </si>
  <si>
    <t>Acreedores por Intermediación. Nota 5 q</t>
  </si>
  <si>
    <t>Recaudaciones a Depositar</t>
  </si>
  <si>
    <t>Acreedores Varios  - Nota 5 l</t>
  </si>
  <si>
    <t>Bancos</t>
  </si>
  <si>
    <t>Cuentas por Pagar a Personas y Emp. Relacionadas</t>
  </si>
  <si>
    <t>Obligaciones  por Contratos de Underwiting</t>
  </si>
  <si>
    <t>Obligaciones por Administracion de Carteras</t>
  </si>
  <si>
    <t>1 01 03</t>
  </si>
  <si>
    <t>Inversiones Temporarias  Nota 5 e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</si>
  <si>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</si>
  <si>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</si>
  <si>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</si>
  <si>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</si>
  <si>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</si>
  <si>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</si>
  <si>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</si>
  <si>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</si>
  <si>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</si>
  <si>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</si>
  <si>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</si>
  <si>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</si>
  <si>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</si>
  <si>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</si>
  <si>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</si>
  <si>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</si>
  <si>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</si>
  <si>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</si>
  <si>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</si>
  <si>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</si>
  <si>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</si>
  <si>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</si>
  <si>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</si>
  <si>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</si>
  <si>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</si>
  <si>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</si>
  <si>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</si>
  <si>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</si>
  <si>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Gastos No Devengados</t>
  </si>
  <si>
    <t>1 01 15 02</t>
  </si>
  <si>
    <t>Intereses a Vencer -  Nota 5 h</t>
  </si>
  <si>
    <t>Prestamos de Terceros</t>
  </si>
  <si>
    <t>1 01 15 03</t>
  </si>
  <si>
    <t xml:space="preserve">Seguros a Vencer  -  Nota 5 h 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</si>
  <si>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</si>
  <si>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</si>
  <si>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</si>
  <si>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</si>
  <si>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</si>
  <si>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</si>
  <si>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</si>
  <si>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</si>
  <si>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</si>
  <si>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</si>
  <si>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</si>
  <si>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</si>
  <si>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</si>
  <si>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</si>
  <si>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</si>
  <si>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</si>
  <si>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</si>
  <si>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</si>
  <si>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</si>
  <si>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</si>
  <si>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</si>
  <si>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</si>
  <si>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</si>
  <si>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</si>
  <si>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</si>
  <si>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</si>
  <si>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</si>
  <si>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</si>
  <si>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</si>
  <si>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</si>
  <si>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</si>
  <si>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</si>
  <si>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</si>
  <si>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</si>
  <si>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</si>
  <si>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</si>
  <si>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</si>
  <si>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</si>
  <si>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</si>
  <si>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</si>
  <si>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</si>
  <si>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</si>
  <si>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</si>
  <si>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</si>
  <si>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</si>
  <si>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</si>
  <si>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</si>
  <si>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</si>
  <si>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 xml:space="preserve">Resultados   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</si>
  <si>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</si>
  <si>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</si>
  <si>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</si>
  <si>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</si>
  <si>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</si>
  <si>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</si>
  <si>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</si>
  <si>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</si>
  <si>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Garantía de Alquiler   - Nota 5 j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</si>
  <si>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</si>
  <si>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</si>
  <si>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</si>
  <si>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</si>
  <si>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</si>
  <si>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</si>
  <si>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</si>
  <si>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</si>
  <si>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</si>
  <si>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</si>
  <si>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</si>
  <si>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</si>
  <si>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</si>
  <si>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</si>
  <si>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</si>
  <si>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</si>
  <si>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</si>
  <si>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</si>
  <si>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</si>
  <si>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</si>
  <si>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</si>
  <si>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</si>
  <si>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</si>
  <si>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</si>
  <si>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</si>
  <si>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</si>
  <si>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</si>
  <si>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</si>
  <si>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</si>
  <si>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</si>
  <si>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</si>
  <si>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</si>
  <si>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</si>
  <si>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</si>
  <si>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</si>
  <si>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</si>
  <si>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</si>
  <si>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</si>
  <si>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</si>
  <si>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</si>
  <si>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</si>
  <si>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</si>
  <si>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</si>
  <si>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</si>
  <si>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</si>
  <si>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</si>
  <si>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</si>
  <si>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CORRESPONDIENTE AL 30 DE SETIEMBRE DE 2020 PRESENTADO EN FORMA COMPARATIVA CON EL 30 DE SETIEMBRE DE 2019</t>
  </si>
  <si>
    <t>(Expresado en guaraníes)</t>
  </si>
  <si>
    <t>PERIODO 30/09/2020</t>
  </si>
  <si>
    <t>PERIODO 30/09/2019</t>
  </si>
  <si>
    <t>Ingresos Operativos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</si>
  <si>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</si>
  <si>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</si>
  <si>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</si>
  <si>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</si>
  <si>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</si>
  <si>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</si>
  <si>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</si>
  <si>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</si>
  <si>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</si>
  <si>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</si>
  <si>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</si>
  <si>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</si>
  <si>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</si>
  <si>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</si>
  <si>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</si>
  <si>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</si>
  <si>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- Dividendos  Cobrados</t>
  </si>
  <si>
    <t>- Otros Ingresos</t>
  </si>
  <si>
    <t>Gastos Operativos</t>
  </si>
  <si>
    <t>Gastos por Comisiones y Servicios</t>
  </si>
  <si>
    <t>Aranceles por negociación Bolsa de Valores</t>
  </si>
  <si>
    <t>Perdida por Venta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</si>
  <si>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</si>
  <si>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</si>
  <si>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</si>
  <si>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</si>
  <si>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</si>
  <si>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</si>
  <si>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Sueldos y Jornales</t>
  </si>
  <si>
    <t>Aporte Patronal</t>
  </si>
  <si>
    <t>Aguinaldos Pagados</t>
  </si>
  <si>
    <t>Bonificacion Familiar</t>
  </si>
  <si>
    <t>Vacaciones Pagadas</t>
  </si>
  <si>
    <t>Indemnizaciones</t>
  </si>
  <si>
    <t>Mantenimiento</t>
  </si>
  <si>
    <t>Alquileres</t>
  </si>
  <si>
    <t>Gastos Generales</t>
  </si>
  <si>
    <t>Seguros</t>
  </si>
  <si>
    <t>Impuestos, Tasas y Contribuciones</t>
  </si>
  <si>
    <t>Otros Gastos de Administración</t>
  </si>
  <si>
    <t>Honorarios Profesianales</t>
  </si>
  <si>
    <t>Remuneracion Personal Superior</t>
  </si>
  <si>
    <t>Servicios Personales</t>
  </si>
  <si>
    <t>Gastos de Capacitación</t>
  </si>
  <si>
    <t>Servicios Contratados</t>
  </si>
  <si>
    <t>Iva Gastos</t>
  </si>
  <si>
    <t>Donaciones y Contribuciones</t>
  </si>
  <si>
    <t>Servicios de Asesoramiento</t>
  </si>
  <si>
    <t>Depreciaciones del Ejercicio</t>
  </si>
  <si>
    <t>Resultado Operativo Neto</t>
  </si>
  <si>
    <t>- Otros ingresos y Egresos</t>
  </si>
  <si>
    <t>Otros Ingresos</t>
  </si>
  <si>
    <t>Otros Egresos</t>
  </si>
  <si>
    <t>Resultados financieros</t>
  </si>
  <si>
    <t>Generados por Activos</t>
  </si>
  <si>
    <t>Intereses cobrados</t>
  </si>
  <si>
    <t>Diferencia de Cambio</t>
  </si>
  <si>
    <t>Generados por Pasivos</t>
  </si>
  <si>
    <t>Intereses pagados</t>
  </si>
  <si>
    <t>Resultados  extraordinarias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</si>
  <si>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</si>
  <si>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</si>
  <si>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</si>
  <si>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</si>
  <si>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</si>
  <si>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</si>
  <si>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</si>
  <si>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</si>
  <si>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</si>
  <si>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</si>
  <si>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</si>
  <si>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</si>
  <si>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</si>
  <si>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</si>
  <si>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</si>
  <si>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</si>
  <si>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</si>
  <si>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</si>
  <si>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</si>
  <si>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</si>
  <si>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</si>
  <si>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</si>
  <si>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</si>
  <si>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</si>
  <si>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</si>
  <si>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</si>
  <si>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</si>
  <si>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</si>
  <si>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</si>
  <si>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</si>
  <si>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</si>
  <si>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</si>
  <si>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</si>
  <si>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</si>
  <si>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</si>
  <si>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</si>
  <si>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</si>
  <si>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</si>
  <si>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</si>
  <si>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</si>
  <si>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</si>
  <si>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</si>
  <si>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</si>
  <si>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</si>
  <si>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</si>
  <si>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</si>
  <si>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</si>
  <si>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</si>
  <si>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REGULARIZACION</t>
  </si>
  <si>
    <t>REVALÚO</t>
  </si>
  <si>
    <t>ACUMULADOS</t>
  </si>
  <si>
    <t>DEL EJERCICIO</t>
  </si>
  <si>
    <t>PERIODO ACTUAL</t>
  </si>
  <si>
    <t>PERIODO ANTERIOR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</si>
  <si>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</si>
  <si>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</si>
  <si>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</si>
  <si>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</si>
  <si>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</si>
  <si>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</si>
  <si>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</si>
  <si>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</si>
  <si>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SALDO AL 30/09/2020</t>
  </si>
  <si>
    <t>SALDO AL 30/09/2019</t>
  </si>
  <si>
    <t xml:space="preserve">NOTA A LOS ESTADOS CONTABLES </t>
  </si>
  <si>
    <t>NOTA 1: CONSIDERACION DE LOS ESTADOS CONTABLES</t>
  </si>
  <si>
    <r>
      <t>Los Estados Contables semestrales (Balance General, Estado de Resultados, Estado de Flujo de Efectivo y Estado de Variación del Patrimonio Neto) correspondientes al 3O de junio de 2020 han sido</t>
    </r>
    <r>
      <rPr>
        <sz val="10"/>
        <color indexed="10"/>
        <rFont val="Cambria"/>
        <family val="1"/>
      </rPr>
      <t xml:space="preserve"> </t>
    </r>
    <r>
      <rPr>
        <sz val="10"/>
        <color indexed="8"/>
        <rFont val="Cambria"/>
        <family val="1"/>
      </rPr>
      <t xml:space="preserve">considerados y aprobados según Acta de Directorio  </t>
    </r>
    <r>
      <rPr>
        <sz val="10"/>
        <color indexed="10"/>
        <rFont val="Cambria"/>
        <family val="1"/>
      </rPr>
      <t>Nro. 139./2020, de fecha 11 de noviembre  de 2020.-</t>
    </r>
  </si>
  <si>
    <t>NOTA 2:  INFORMACIÓN BÁSICA DE LA EMPRESA</t>
  </si>
  <si>
    <r>
      <t>2.1</t>
    </r>
    <r>
      <rPr>
        <b/>
        <sz val="7"/>
        <color indexed="8"/>
        <rFont val="Times New Roman"/>
        <family val="1"/>
      </rPr>
      <t xml:space="preserve">              </t>
    </r>
    <r>
      <rPr>
        <b/>
        <sz val="10"/>
        <color indexed="8"/>
        <rFont val="Cambria"/>
        <family val="1"/>
      </rPr>
      <t>Naturaleza jurídica de las actividades de la sociedad</t>
    </r>
  </si>
  <si>
    <r>
      <t>INVESTOR CASA DE BOLSA S.A</t>
    </r>
    <r>
      <rPr>
        <sz val="10"/>
        <color indexed="8"/>
        <rFont val="Cambria"/>
        <family val="1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</si>
  <si>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</si>
  <si>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</si>
  <si>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</si>
  <si>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</si>
  <si>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</si>
  <si>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</si>
  <si>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</si>
  <si>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</si>
  <si>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</si>
  <si>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</si>
  <si>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</si>
  <si>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</si>
  <si>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r>
      <t>2.2</t>
    </r>
    <r>
      <rPr>
        <b/>
        <sz val="7"/>
        <color indexed="8"/>
        <rFont val="Times New Roman"/>
        <family val="1"/>
      </rPr>
      <t xml:space="preserve">   </t>
    </r>
    <r>
      <rPr>
        <b/>
        <sz val="10"/>
        <color indexed="8"/>
        <rFont val="Cambria"/>
        <family val="1"/>
      </rPr>
      <t>Participación en empresas vinculadas</t>
    </r>
  </si>
  <si>
    <t>Investor Casa de Bolsa. S.A. posee Acciones de la Empresa Procampo S.A., constituida en Asunción-Paraguay, por valor de Gs. 251.000.000 que representan el 50,20% del Capital Social. – Ha realizado Aportes de Capital para Futuras Integraciones por un valor de Gs. 1.952.082.495-</t>
  </si>
  <si>
    <t>NOTA 3: PRINCIPALES POLÍTICAS Y PRÁCTICAS CONTABLES APLICADAS</t>
  </si>
  <si>
    <t>3.1.  Base de preparación de los estados contables</t>
  </si>
  <si>
    <t xml:space="preserve">Los estados Contables han sido preparados de acuerdo a la Resolución Nro. 06/19 de la Comisión Nacional de Valores y a Principios y Normas Contables Vigentes en Paraguay. </t>
  </si>
  <si>
    <t>3.2. Criterios de valuación</t>
  </si>
  <si>
    <t>Son aplicados los criterios de valuación y exposición aceptados por las Normas Contables y Tributarias Vigentes en Paraguay y de acuerdo a la Resolución 6/19 y la Resolución 763/04 de la Comisión Nacional de Valores.</t>
  </si>
  <si>
    <t>3.3. Previsión para cuentas incobrables</t>
  </si>
  <si>
    <t xml:space="preserve">La entidad no posee previsión para cuentas incobrables. </t>
  </si>
  <si>
    <r>
      <t>3.4.</t>
    </r>
    <r>
      <rPr>
        <sz val="10"/>
        <color indexed="8"/>
        <rFont val="Cambria"/>
        <family val="1"/>
      </rPr>
      <t xml:space="preserve"> </t>
    </r>
    <r>
      <rPr>
        <b/>
        <sz val="10"/>
        <color indexed="8"/>
        <rFont val="Cambria"/>
        <family val="1"/>
      </rPr>
      <t>Depreciación de bienes de uso</t>
    </r>
  </si>
  <si>
    <t>Los Bienes de Uso se expresan a su valor de adquisición, revaluados de acuerdo al índice de revalúo fijado por la Subsecretaria del Estado de Tributación del Ministerio de Hacienda.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</si>
  <si>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</si>
  <si>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</si>
  <si>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</si>
  <si>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</si>
  <si>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</si>
  <si>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</si>
  <si>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</si>
  <si>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</si>
  <si>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r>
      <t>a)</t>
    </r>
    <r>
      <rPr>
        <b/>
        <sz val="9"/>
        <color indexed="8"/>
        <rFont val="Arial"/>
        <family val="2"/>
      </rPr>
      <t>      Valuación en moneda extranjera</t>
    </r>
  </si>
  <si>
    <t>Tipos de Cambio</t>
  </si>
  <si>
    <t>Comprador</t>
  </si>
  <si>
    <t>Vendedor</t>
  </si>
  <si>
    <r>
      <t>a)</t>
    </r>
    <r>
      <rPr>
        <b/>
        <sz val="9"/>
        <color indexed="8"/>
        <rFont val="Arial"/>
        <family val="2"/>
      </rPr>
      <t>       Posición en moneda extranjera</t>
    </r>
  </si>
  <si>
    <t>Activos y Pasivos en Moneda Extranjera</t>
  </si>
  <si>
    <t>DETALLE</t>
  </si>
  <si>
    <t>MONEDA EXTRANJERA CLASE</t>
  </si>
  <si>
    <t>MONEDA EXTRANJERA MONTO</t>
  </si>
  <si>
    <t>CAMBIO CIERRE PERIODO ACTUAL 30/09/2020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</si>
  <si>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</si>
  <si>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</si>
  <si>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</si>
  <si>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</si>
  <si>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</si>
  <si>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</si>
  <si>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</si>
  <si>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</si>
  <si>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</si>
  <si>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</si>
  <si>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</si>
  <si>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</si>
  <si>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</si>
  <si>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</si>
  <si>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</si>
  <si>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</si>
  <si>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</si>
  <si>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</si>
  <si>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</si>
  <si>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</si>
  <si>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</si>
  <si>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</si>
  <si>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</si>
  <si>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</si>
  <si>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</si>
  <si>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</si>
  <si>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</si>
  <si>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</si>
  <si>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</si>
  <si>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</si>
  <si>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</si>
  <si>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</si>
  <si>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</si>
  <si>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</si>
  <si>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</si>
  <si>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</si>
  <si>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r>
      <t>C)</t>
    </r>
    <r>
      <rPr>
        <b/>
        <sz val="9"/>
        <color indexed="8"/>
        <rFont val="Arial"/>
        <family val="2"/>
      </rPr>
      <t>      Diferencia de cambio en moneda extranjera.</t>
    </r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</si>
  <si>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</si>
  <si>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</si>
  <si>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</si>
  <si>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</si>
  <si>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</si>
  <si>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</si>
  <si>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</si>
  <si>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</si>
  <si>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</si>
  <si>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</si>
  <si>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r>
      <t>d)</t>
    </r>
    <r>
      <rPr>
        <b/>
        <sz val="9"/>
        <color indexed="8"/>
        <rFont val="Arial"/>
        <family val="2"/>
      </rPr>
      <t>       Disponibilidades</t>
    </r>
  </si>
  <si>
    <t>La composición de los fondos disponibles en Bancos al 30 de setiembre de 2020, es como sigue:</t>
  </si>
  <si>
    <t>Saldos de Cuentas</t>
  </si>
  <si>
    <t xml:space="preserve">  DISPONIBILIDADES                       </t>
  </si>
  <si>
    <t>Amambay</t>
  </si>
  <si>
    <t>Amambay 139-5 Usd</t>
  </si>
  <si>
    <t>Atlas Gs.</t>
  </si>
  <si>
    <t>Banco Familiar 22-02962092 Gs.</t>
  </si>
  <si>
    <t>Banco Familiar Comp. Usd</t>
  </si>
  <si>
    <t>Banco Gnb Gs 1-219468-002</t>
  </si>
  <si>
    <t>Banco Gnb Usd 1-219468-003</t>
  </si>
  <si>
    <t>Banco Regional Cta Comp. Usd</t>
  </si>
  <si>
    <t>Bancop Gs 0410022837</t>
  </si>
  <si>
    <t>Bancop Usd 0310024650</t>
  </si>
  <si>
    <t>Bbva Cta.Cte. Gs</t>
  </si>
  <si>
    <t>Bbva Cta.Cte. U$S-11-1705507</t>
  </si>
  <si>
    <t>Atlas Cta Comp Usd</t>
  </si>
  <si>
    <t xml:space="preserve">Bco Regional Comp Gs </t>
  </si>
  <si>
    <t>Bco. Familiar Comp. Gs-</t>
  </si>
  <si>
    <t>Broker Interactive U$S</t>
  </si>
  <si>
    <t>Continental Cta.Cte.Gs</t>
  </si>
  <si>
    <t>Continental Cta.Cte.U$S -1100105507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</si>
  <si>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</si>
  <si>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</si>
  <si>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</si>
  <si>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</si>
  <si>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El Comercio Caja De Ahor</t>
  </si>
  <si>
    <t>Financiera El Comercio U$D 95704003</t>
  </si>
  <si>
    <t>Financiera Paraguaya Japonesa Gs.</t>
  </si>
  <si>
    <t>Financiera Paraguaya Japonesa U$S</t>
  </si>
  <si>
    <t>Financiera Rio 100165400-0</t>
  </si>
  <si>
    <t>Financiera Rio Saeca U$S</t>
  </si>
  <si>
    <t>Finexpar Gs 155000841</t>
  </si>
  <si>
    <t>Finexpar Usd 0192356</t>
  </si>
  <si>
    <t xml:space="preserve">Fondo Fijo </t>
  </si>
  <si>
    <t>Interfisa Banco Gs 874</t>
  </si>
  <si>
    <t>Interfisa Banco U$D 10208646</t>
  </si>
  <si>
    <t>Itau Cta. Cte. Admin 338</t>
  </si>
  <si>
    <t>Itau Cta. Cte. Gs 741</t>
  </si>
  <si>
    <t>Itau Cta. Cte. U$S -75080051-6</t>
  </si>
  <si>
    <t>Itau Cta. Cte. Usd 3485</t>
  </si>
  <si>
    <t>Itau Cta.Cte. Gs Nº 734</t>
  </si>
  <si>
    <t>Itau Cta.Cte. U$S Nº 75080052-3</t>
  </si>
  <si>
    <t>Itau Internacional Usd 75080363-6</t>
  </si>
  <si>
    <t>Otros Bancos</t>
  </si>
  <si>
    <t xml:space="preserve">Recaudaciones A Depositar </t>
  </si>
  <si>
    <t>Recaudaciones A Depositar Suspenso</t>
  </si>
  <si>
    <t>Solar S.A. De Ahorro Y Prestamo Gs.</t>
  </si>
  <si>
    <t xml:space="preserve">Solar S.A. De Ahorro Y Prestamo U$D </t>
  </si>
  <si>
    <t>Sudameris Cta. Cte. Gs 1862952</t>
  </si>
  <si>
    <t>Sudameris Cta.Cte.U$S-186295/2</t>
  </si>
  <si>
    <t>Tu Financiera 5688382</t>
  </si>
  <si>
    <t>Vision Banco Cta.Cte Usd</t>
  </si>
  <si>
    <t>Vision Banco Cta.Cte.Gs</t>
  </si>
  <si>
    <t>TOTAL DISPONIBILIDADES</t>
  </si>
  <si>
    <t/>
  </si>
  <si>
    <r>
      <t>e)</t>
    </r>
    <r>
      <rPr>
        <b/>
        <sz val="9"/>
        <color indexed="8"/>
        <rFont val="Arial"/>
        <family val="2"/>
      </rPr>
      <t>   Inversiones  Temporales y Permanentes</t>
    </r>
  </si>
  <si>
    <r>
      <t xml:space="preserve">Guaraníes. </t>
    </r>
    <r>
      <rPr>
        <sz val="9"/>
        <color indexed="8"/>
        <rFont val="Arial"/>
        <family val="2"/>
      </rPr>
      <t xml:space="preserve">    </t>
    </r>
  </si>
  <si>
    <t xml:space="preserve">                INFORMACION SOBRE EL DOCUMENTO Y EL EMISOR</t>
  </si>
  <si>
    <t xml:space="preserve"> INFORMACION SOBRE EL EMISOR AL 30/09/2020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</si>
  <si>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</si>
  <si>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</si>
  <si>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</si>
  <si>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</si>
  <si>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</si>
  <si>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</si>
  <si>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</si>
  <si>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</si>
  <si>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</si>
  <si>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</si>
  <si>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</si>
  <si>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BANCO NACIONAL DE FOMENTO</t>
  </si>
  <si>
    <t>CDA</t>
  </si>
  <si>
    <t>FINANCIERA EL COMERCIO S.A.E.C.A.</t>
  </si>
  <si>
    <t xml:space="preserve">BANCO FAMILIAR S.A.E.C.A. </t>
  </si>
  <si>
    <t>BANCO REGIONAL S.A.E.C.A.</t>
  </si>
  <si>
    <t>BANCO RIO SAECA</t>
  </si>
  <si>
    <t>BANCOP S.A.</t>
  </si>
  <si>
    <t>INTERFISA BANCO S.A.E.C.A.</t>
  </si>
  <si>
    <t xml:space="preserve">SUDAMERIS BANK S.A.E.C.A. </t>
  </si>
  <si>
    <t>NUCLEO S.A.</t>
  </si>
  <si>
    <t>Bonos</t>
  </si>
  <si>
    <t>TAPE RUVICHA S.A.E.C.A.</t>
  </si>
  <si>
    <t>TELEFONICA CELULAR DEL PARAGUAY S.A.E.</t>
  </si>
  <si>
    <t>BANCO ATLAS S.A.</t>
  </si>
  <si>
    <t>BANCO BASA S.A.</t>
  </si>
  <si>
    <t>BANCO BILBAO VIZCAYA ARGENTARIA PARAGUAY S.A.</t>
  </si>
  <si>
    <t>FINANCIERA FINEXPAR S.A.E.C.A.</t>
  </si>
  <si>
    <t>PTP PARAGUAY S.A.E.</t>
  </si>
  <si>
    <t>RIEDER &amp; CÍA. S.A.C.I.</t>
  </si>
  <si>
    <t>VISION BANCO S.A.E.C.A.</t>
  </si>
  <si>
    <t>(Menos) CDAs Cedidos en Garantia REPOS</t>
  </si>
  <si>
    <t>CDa</t>
  </si>
  <si>
    <t>Total al 30/09/2020</t>
  </si>
  <si>
    <t>Total al 31/12/2019</t>
  </si>
  <si>
    <t xml:space="preserve">BANCO CONTINENTAL S.A.E.C.A. </t>
  </si>
  <si>
    <t>Acción</t>
  </si>
  <si>
    <t>COMPAÑIA ADMINISTRADORA DE RIESGOS SA</t>
  </si>
  <si>
    <t xml:space="preserve">LC RISK MANAGEMENT S.A.E.C.A. </t>
  </si>
  <si>
    <t>ACCIONES Y FIDEICOMISO DE LA BOLSA DE VALORES Y PRODUCTOS DE ASUNCION S.A.</t>
  </si>
  <si>
    <t>CANTIDAD</t>
  </si>
  <si>
    <t>TIPO DE TITULO</t>
  </si>
  <si>
    <t>VALOR NOMINAL</t>
  </si>
  <si>
    <t>VALOR LIBRO</t>
  </si>
  <si>
    <t>VALOR ULTIMO REMATE</t>
  </si>
  <si>
    <t>1 (UNA)</t>
  </si>
  <si>
    <t xml:space="preserve">INSTRUMENTOS FINANCIEROS CEDIDOS </t>
  </si>
  <si>
    <t>No aplicable</t>
  </si>
  <si>
    <t>FIDEIC. DE GTIA POR OPERAC. FUTUROS</t>
  </si>
  <si>
    <t>no aplicable</t>
  </si>
  <si>
    <t xml:space="preserve">              INFORMACION SOBRE EL DOCUMENTO Y EL EMISOR</t>
  </si>
  <si>
    <t>ACCIONES EN OTRAS EMPRESAS</t>
  </si>
  <si>
    <t>TIPO DE TITULOS</t>
  </si>
  <si>
    <t>CANTIDAD DE TITULOS</t>
  </si>
  <si>
    <t>VALOR CONTABLE</t>
  </si>
  <si>
    <t>ADMINISTRADORA DE FONDOS SA</t>
  </si>
  <si>
    <t>ACCION</t>
  </si>
  <si>
    <t>INCUBATE SA</t>
  </si>
  <si>
    <t>PROCAMPO</t>
  </si>
  <si>
    <t>TOTALES INVERSIONES</t>
  </si>
  <si>
    <t>Resumen</t>
  </si>
  <si>
    <t>Inversiones Temporales</t>
  </si>
  <si>
    <t>Inversiones Permanentes</t>
  </si>
  <si>
    <t>Totales de Inversiones</t>
  </si>
  <si>
    <r>
      <t>f)</t>
    </r>
    <r>
      <rPr>
        <b/>
        <sz val="9"/>
        <color indexed="8"/>
        <rFont val="Arial"/>
        <family val="2"/>
      </rPr>
      <t>       Créditos</t>
    </r>
  </si>
  <si>
    <t>Corresponde a cuentas por cobrar a diversos clientes. Su composición al 30 de setiembre de 2020 comparativo con el ejercicio anterior, es como sigue:</t>
  </si>
  <si>
    <t>DEUDORES POR INTERMEDIACION</t>
  </si>
  <si>
    <t>GUARANIES</t>
  </si>
  <si>
    <t>Corto Plazo Gs.</t>
  </si>
  <si>
    <t>Largo Plazo Gs.</t>
  </si>
  <si>
    <t>Clientes por Operaciones</t>
  </si>
  <si>
    <t>Clientes por Asesoramientos</t>
  </si>
  <si>
    <t>Credito Fiscal IVA</t>
  </si>
  <si>
    <t>Anticipo al Personal</t>
  </si>
  <si>
    <t>Deudores por Operaciones</t>
  </si>
  <si>
    <t>Derechos a cobrar</t>
  </si>
  <si>
    <t>Deudores empresas relacionadas</t>
  </si>
  <si>
    <t>Dividendos a cobrar</t>
  </si>
  <si>
    <t>Poyectos Inmobiliarios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</si>
  <si>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</si>
  <si>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</si>
  <si>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</si>
  <si>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</si>
  <si>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</si>
  <si>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</si>
  <si>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</si>
  <si>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</si>
  <si>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</si>
  <si>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</si>
  <si>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</si>
  <si>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</si>
  <si>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r>
      <t>g)</t>
    </r>
    <r>
      <rPr>
        <b/>
        <sz val="9"/>
        <color indexed="8"/>
        <rFont val="Arial"/>
        <family val="2"/>
      </rPr>
      <t>      Bienes de Uso</t>
    </r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</si>
  <si>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</si>
  <si>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</si>
  <si>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</si>
  <si>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</si>
  <si>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</si>
  <si>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</si>
  <si>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</si>
  <si>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</si>
  <si>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</si>
  <si>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</si>
  <si>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</si>
  <si>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</si>
  <si>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</si>
  <si>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</si>
  <si>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</si>
  <si>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</si>
  <si>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</si>
  <si>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</si>
  <si>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</si>
  <si>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r>
      <t>h)</t>
    </r>
    <r>
      <rPr>
        <b/>
        <sz val="9"/>
        <color indexed="8"/>
        <rFont val="Arial"/>
        <family val="2"/>
      </rPr>
      <t>       Cargos Diferidos</t>
    </r>
  </si>
  <si>
    <t>SALDO INICIAL</t>
  </si>
  <si>
    <t>AUMENTOS</t>
  </si>
  <si>
    <t>AMORTIZACIONES</t>
  </si>
  <si>
    <t>SALDO NETO FINAL</t>
  </si>
  <si>
    <t>i)   Intangibles</t>
  </si>
  <si>
    <t>CUENTA</t>
  </si>
  <si>
    <t>Valores al 30/09/2020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</si>
  <si>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</si>
  <si>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</si>
  <si>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</si>
  <si>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</si>
  <si>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</si>
  <si>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</si>
  <si>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</si>
  <si>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r>
      <t>j)</t>
    </r>
    <r>
      <rPr>
        <b/>
        <sz val="9"/>
        <color indexed="8"/>
        <rFont val="Arial"/>
        <family val="2"/>
      </rPr>
      <t>       Otros Activos Corrientes y No Corrientes</t>
    </r>
  </si>
  <si>
    <t>Deudores varios</t>
  </si>
  <si>
    <t>Cupones a cobrar</t>
  </si>
  <si>
    <t>Seguros pagados por adelantado</t>
  </si>
  <si>
    <t>Anticipos a proveedores y otros</t>
  </si>
  <si>
    <r>
      <t>k)</t>
    </r>
    <r>
      <rPr>
        <b/>
        <sz val="9"/>
        <color indexed="8"/>
        <rFont val="Arial"/>
        <family val="2"/>
      </rPr>
      <t>       Préstamos Financieros a corto y a largo plazo.</t>
    </r>
  </si>
  <si>
    <t>INSTITUCION</t>
  </si>
  <si>
    <t>CORTO PLAZO GS.</t>
  </si>
  <si>
    <t>LARGO PLAZO GS.</t>
  </si>
  <si>
    <t>Prestamo BBVA</t>
  </si>
  <si>
    <t>Prestamo ITAU</t>
  </si>
  <si>
    <t>Prestamo Continental</t>
  </si>
  <si>
    <t>Prestamos por Repos</t>
  </si>
  <si>
    <r>
      <t>l)</t>
    </r>
    <r>
      <rPr>
        <b/>
        <sz val="9"/>
        <color indexed="8"/>
        <rFont val="Arial"/>
        <family val="2"/>
      </rPr>
      <t>       Documentos y cuentas por pagar (Corto y largo plazo)</t>
    </r>
  </si>
  <si>
    <t>Proveedores Locales</t>
  </si>
  <si>
    <t>Acreedores Varios</t>
  </si>
  <si>
    <t>Tarjetas de Creditos a Pagar</t>
  </si>
  <si>
    <r>
      <t>m)</t>
    </r>
    <r>
      <rPr>
        <b/>
        <sz val="9"/>
        <color indexed="8"/>
        <rFont val="Arial"/>
        <family val="2"/>
      </rPr>
      <t>       Acreedores Corto y Largo Plazo. No aplicable.</t>
    </r>
  </si>
  <si>
    <t>CORRIENTE G.</t>
  </si>
  <si>
    <t>NO CORRIENTE G.</t>
  </si>
  <si>
    <t>Acreedores por Intermediacion</t>
  </si>
  <si>
    <r>
      <t>n)</t>
    </r>
    <r>
      <rPr>
        <b/>
        <sz val="9"/>
        <color indexed="8"/>
        <rFont val="Arial"/>
        <family val="2"/>
      </rPr>
      <t>       Administración de Cartera (Corto y Largo Plazo)</t>
    </r>
  </si>
  <si>
    <t>A la fecha la entidad no registra administración de Cartera a Corto y Largo Plazo</t>
  </si>
  <si>
    <r>
      <t>o)</t>
    </r>
    <r>
      <rPr>
        <b/>
        <sz val="9"/>
        <color indexed="8"/>
        <rFont val="Arial"/>
        <family val="2"/>
      </rPr>
      <t>       Cuentas a Pagar a personas y empresas relacionadas (Corto y Largo plazo)</t>
    </r>
  </si>
  <si>
    <t>Alvaro Acosta</t>
  </si>
  <si>
    <t>Maria Alejandra Achon</t>
  </si>
  <si>
    <t>Codesarrollos SA</t>
  </si>
  <si>
    <t>Aportes a Devolver a Acionistas</t>
  </si>
  <si>
    <r>
      <t>p)</t>
    </r>
    <r>
      <rPr>
        <b/>
        <sz val="9"/>
        <color indexed="8"/>
        <rFont val="Arial"/>
        <family val="2"/>
      </rPr>
      <t>       Obligaciones por contrato de Underwriting (Corto y Largo Plazo)</t>
    </r>
  </si>
  <si>
    <t xml:space="preserve"> No aplicable</t>
  </si>
  <si>
    <r>
      <t>q)</t>
    </r>
    <r>
      <rPr>
        <b/>
        <sz val="9"/>
        <color indexed="8"/>
        <rFont val="Arial"/>
        <family val="2"/>
      </rPr>
      <t>       Otros Pasivos Corrientes y No Corrientes</t>
    </r>
  </si>
  <si>
    <t>Corriente Gs.</t>
  </si>
  <si>
    <t>No corrientes Gs.</t>
  </si>
  <si>
    <t>Aportes y retenciones a Pagar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</si>
  <si>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</si>
  <si>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</si>
  <si>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</si>
  <si>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</si>
  <si>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</si>
  <si>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EDGE S.A.</t>
  </si>
  <si>
    <t>Empresa Vinculada</t>
  </si>
  <si>
    <t>Cuentas a cobrar</t>
  </si>
  <si>
    <t>MARION LANGE VASEK Y/O ROLANDO JOSE NATA</t>
  </si>
  <si>
    <t>Director y Accionista</t>
  </si>
  <si>
    <t>INVESTOR AFPISA</t>
  </si>
  <si>
    <t>MANUEL FERREIRA</t>
  </si>
  <si>
    <t>Ex Director y accionista</t>
  </si>
  <si>
    <t>INVESTOR AGRIBUSINESS S.A.</t>
  </si>
  <si>
    <t>Anticipo proveedores</t>
  </si>
  <si>
    <t>ALBARO ACOSTA</t>
  </si>
  <si>
    <t>NOELIA ROJAS</t>
  </si>
  <si>
    <t>Funcionaria</t>
  </si>
  <si>
    <t>Anticipo de salario</t>
  </si>
  <si>
    <t>SONIA GODOY</t>
  </si>
  <si>
    <t>M ALEJANDRA ACHON</t>
  </si>
  <si>
    <t>INVESTOR AFPI S.A.</t>
  </si>
  <si>
    <t>JAZMIN SUAREZ</t>
  </si>
  <si>
    <t>JESUS BAEZ</t>
  </si>
  <si>
    <t>CODESARROLLOS SA</t>
  </si>
  <si>
    <t>ROLANDO NATALIZIA</t>
  </si>
  <si>
    <t>INVESTOR REAL ESTATE S.A</t>
  </si>
  <si>
    <t>INPOSITIVA S.A.</t>
  </si>
  <si>
    <t>CODESARROLLOS S.A.</t>
  </si>
  <si>
    <t>FEDERICO SEBASTIAN OPORTO</t>
  </si>
  <si>
    <t>FABIO ZARZA</t>
  </si>
  <si>
    <t>ADRIAN APONTE</t>
  </si>
  <si>
    <t>FEDERICO CALLIZO PECCI</t>
  </si>
  <si>
    <t>ANTIGÜEDAD DE LA DEUDA</t>
  </si>
  <si>
    <t>PERIODO ACTUAL G.</t>
  </si>
  <si>
    <t>Sueldos a pagar</t>
  </si>
  <si>
    <t>Funcionarios</t>
  </si>
  <si>
    <t>Sueldos</t>
  </si>
  <si>
    <r>
      <t>S)</t>
    </r>
    <r>
      <rPr>
        <b/>
        <sz val="9"/>
        <color indexed="8"/>
        <rFont val="Arial"/>
        <family val="2"/>
      </rPr>
      <t>       Resultados con Personas y Empresas Vinculadas</t>
    </r>
  </si>
  <si>
    <t>PERSONA O EMPRESA RELACIONADA</t>
  </si>
  <si>
    <t>Total Ingresos</t>
  </si>
  <si>
    <t>Total Egresos</t>
  </si>
  <si>
    <t>Albaro Acosta - Presidente</t>
  </si>
  <si>
    <t>Federico Callizo-Vice Presidente</t>
  </si>
  <si>
    <t>Federico Sebastián Oporto Leiva Espínola</t>
  </si>
  <si>
    <t>Edge S.A.</t>
  </si>
  <si>
    <t>Codesarrollos S.A.</t>
  </si>
  <si>
    <t>Investor AFPI SA</t>
  </si>
  <si>
    <t>Incubate SA</t>
  </si>
  <si>
    <t>Total al 30/09/2019</t>
  </si>
  <si>
    <t>t) Patrimonio</t>
  </si>
  <si>
    <t>SALDO AL INICIO DEL EJERCICIO</t>
  </si>
  <si>
    <t>DISMINUCIÓN</t>
  </si>
  <si>
    <t>Saldos al 30/09/2020</t>
  </si>
  <si>
    <t>Capital Integrado</t>
  </si>
  <si>
    <t>Aportes no capitalizados</t>
  </si>
  <si>
    <r>
      <t>u)</t>
    </r>
    <r>
      <rPr>
        <b/>
        <sz val="9"/>
        <color indexed="8"/>
        <rFont val="Arial"/>
        <family val="2"/>
      </rPr>
      <t xml:space="preserve">       Previsiones </t>
    </r>
  </si>
  <si>
    <t>La entidad no registra previsiones a la fecha.</t>
  </si>
  <si>
    <r>
      <t>v)</t>
    </r>
    <r>
      <rPr>
        <b/>
        <sz val="9"/>
        <color indexed="8"/>
        <rFont val="Arial"/>
        <family val="2"/>
      </rPr>
      <t>       Ingresos Operativos</t>
    </r>
  </si>
  <si>
    <t>Ingresos por Operaciones</t>
  </si>
  <si>
    <t>AL 30/09/2020</t>
  </si>
  <si>
    <t>AL 30/09/2019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</si>
  <si>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</si>
  <si>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</si>
  <si>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</si>
  <si>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</si>
  <si>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</si>
  <si>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</si>
  <si>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</si>
  <si>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</si>
  <si>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</si>
  <si>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</si>
  <si>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t>BALANCE DESCALZO</t>
  </si>
  <si>
    <t>BALANCE A MARZO'13</t>
  </si>
  <si>
    <t>BALANCE FINAL A JUNIO</t>
  </si>
  <si>
    <t>Balance 14 04'!A1</t>
  </si>
  <si>
    <t>w) Otros Gastos Operativos, de comercialización y de administración</t>
  </si>
  <si>
    <t>AL 30/06/2013</t>
  </si>
  <si>
    <t>AL 31/12/2012</t>
  </si>
  <si>
    <t>Otros Gastos Operativos</t>
  </si>
  <si>
    <t xml:space="preserve">  Gastos por comisiones y servicios</t>
  </si>
  <si>
    <t xml:space="preserve">  Aranceles por neg. BVPASA</t>
  </si>
  <si>
    <t>Perdida por venta de valores</t>
  </si>
  <si>
    <t xml:space="preserve">  Otros Gastos Operativos</t>
  </si>
  <si>
    <t>Otros Gastos de Comercialización</t>
  </si>
  <si>
    <t xml:space="preserve">  Puclicidad</t>
  </si>
  <si>
    <t xml:space="preserve">  Folletos e impresiones</t>
  </si>
  <si>
    <t xml:space="preserve">  Otros Gastos de Comercialización</t>
  </si>
  <si>
    <t xml:space="preserve">  Sueldos y Jornales</t>
  </si>
  <si>
    <t xml:space="preserve">  Aporte Patronal</t>
  </si>
  <si>
    <t xml:space="preserve">  Aguinaldos Pagados</t>
  </si>
  <si>
    <t xml:space="preserve">  Alquileres</t>
  </si>
  <si>
    <t xml:space="preserve">  Gastos Generales</t>
  </si>
  <si>
    <t xml:space="preserve">  Seguros Pagados</t>
  </si>
  <si>
    <t xml:space="preserve">  Multas</t>
  </si>
  <si>
    <t xml:space="preserve">  Impuestos Tasas y Contribuciones</t>
  </si>
  <si>
    <t xml:space="preserve">  Otros Gastos de Administración</t>
  </si>
  <si>
    <t xml:space="preserve">  Honorarios Profesionales</t>
  </si>
  <si>
    <t xml:space="preserve">  Remuneración Personal Superior</t>
  </si>
  <si>
    <t xml:space="preserve">  Servicios Personales</t>
  </si>
  <si>
    <t xml:space="preserve">  Gastos de Capacitación</t>
  </si>
  <si>
    <t xml:space="preserve">  Vacaciones Pagadas</t>
  </si>
  <si>
    <t xml:space="preserve">  Donaciones y Contribuciones</t>
  </si>
  <si>
    <r>
      <t>x)</t>
    </r>
    <r>
      <rPr>
        <b/>
        <sz val="9"/>
        <color indexed="8"/>
        <rFont val="Arial"/>
        <family val="2"/>
      </rPr>
      <t>       Otros Ingresos y Egresos</t>
    </r>
  </si>
  <si>
    <r>
      <t>y)</t>
    </r>
    <r>
      <rPr>
        <b/>
        <sz val="9"/>
        <color indexed="8"/>
        <rFont val="Arial"/>
        <family val="2"/>
      </rPr>
      <t>       Resultados Financieros</t>
    </r>
  </si>
  <si>
    <t>Generados Por Activos</t>
  </si>
  <si>
    <t>Intereses Cobrados</t>
  </si>
  <si>
    <t>Generados Por Pasivos</t>
  </si>
  <si>
    <t>Intereses Pagados</t>
  </si>
  <si>
    <r>
      <t xml:space="preserve">z)  </t>
    </r>
    <r>
      <rPr>
        <b/>
        <sz val="9"/>
        <color indexed="8"/>
        <rFont val="Arial"/>
        <family val="2"/>
      </rPr>
      <t xml:space="preserve">Resultados Extraordinarios </t>
    </r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</si>
  <si>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</si>
  <si>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</si>
  <si>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</si>
  <si>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</si>
  <si>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</si>
  <si>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r>
      <t>a)</t>
    </r>
    <r>
      <rPr>
        <b/>
        <sz val="7"/>
        <color indexed="8"/>
        <rFont val="Times New Roman"/>
        <family val="1"/>
      </rPr>
      <t xml:space="preserve">        </t>
    </r>
    <r>
      <rPr>
        <b/>
        <sz val="10"/>
        <color indexed="8"/>
        <rFont val="Cambria"/>
        <family val="1"/>
      </rPr>
      <t>Compromisos Directos</t>
    </r>
  </si>
  <si>
    <t>No registra</t>
  </si>
  <si>
    <r>
      <t>b)</t>
    </r>
    <r>
      <rPr>
        <b/>
        <sz val="7"/>
        <color indexed="8"/>
        <rFont val="Times New Roman"/>
        <family val="1"/>
      </rPr>
      <t xml:space="preserve">        </t>
    </r>
    <r>
      <rPr>
        <b/>
        <sz val="10"/>
        <color indexed="8"/>
        <rFont val="Cambria"/>
        <family val="1"/>
      </rPr>
      <t>Contingencias Legales</t>
    </r>
  </si>
  <si>
    <r>
      <t>c)</t>
    </r>
    <r>
      <rPr>
        <b/>
        <sz val="7"/>
        <color indexed="8"/>
        <rFont val="Times New Roman"/>
        <family val="1"/>
      </rPr>
      <t xml:space="preserve">        </t>
    </r>
    <r>
      <rPr>
        <b/>
        <sz val="10"/>
        <color indexed="8"/>
        <rFont val="Cambria"/>
        <family val="1"/>
      </rPr>
      <t>Garantías Constituidas</t>
    </r>
  </si>
  <si>
    <t>De acuerdo a lo previsto en el artículo 111 de la Ley 5810/17, la entidad tiene constituida como garantía la suma de Gs. 600.00.000.- (guaraníes seiscientos millones), representados por seiscientos (600) bonos emitidos por TELEFONICA CELULAR DEL PARAGUAY S.A. (TELECEL S.A.E) con ISIN NUMBER PYTEL06F0277..</t>
  </si>
  <si>
    <t>NOTA 7. HECHOS POSTERIORES AL CIERRE DEL EJERCICIO</t>
  </si>
  <si>
    <t>No corresponde al presente periodo.</t>
  </si>
  <si>
    <r>
      <t>NOTA 8.</t>
    </r>
    <r>
      <rPr>
        <sz val="10"/>
        <color indexed="8"/>
        <rFont val="Cambria"/>
        <family val="1"/>
      </rPr>
      <t xml:space="preserve"> </t>
    </r>
    <r>
      <rPr>
        <b/>
        <sz val="10"/>
        <color indexed="8"/>
        <rFont val="Cambria"/>
        <family val="1"/>
      </rPr>
      <t>LIMITACION A LA LIBRE DISPONIBILIDAD DE LOS ACTIVOS O DEL PATRIMONIO Y DE CUALQUIER RESTRICCION AL DERECHO DE PROPIEDAD.</t>
    </r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</si>
  <si>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</si>
  <si>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</si>
  <si>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</si>
  <si>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</si>
  <si>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</si>
  <si>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Valores al 30/09/2019</t>
  </si>
  <si>
    <t>Cuentas a cobrar/pagar</t>
  </si>
  <si>
    <t>Rolando Natalizia</t>
  </si>
  <si>
    <t>Anibal Acosta</t>
  </si>
  <si>
    <t>In Positiva</t>
  </si>
  <si>
    <t>Metis SA</t>
  </si>
  <si>
    <t>CAMBIO CIERRE PERIODO ANTERIOR 30/09/2019</t>
  </si>
  <si>
    <t>Ingresos por Administracion de Carteras</t>
  </si>
  <si>
    <t>Ingresos por Custodia de Valores</t>
  </si>
  <si>
    <t>Ingresos por Operaciones y Servicios Extrabursatiles</t>
  </si>
  <si>
    <t>Investor Casa de Bolsa. S.A. posee Acciones de la Empresa Incubate S.A., constituida en Asunción-Paraguay, por valor de Gs. 2.800.000.000 que representan el 99% del Capital Social. –</t>
  </si>
  <si>
    <t>Investor Casa de Bolsa. S.A. posee Acciones de la Empresa Investor Administradora de Fondos Patrimoniales de Inversión S.A., constituida en Asunción-Paraguay, por valor de Gs.2.431.691.864 que representan el 85% del Capital Social.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</si>
</sst>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</numFmts>
  <fonts count="6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mbria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mbria"/>
      <family val="1"/>
    </font>
    <font>
      <b/>
      <sz val="7"/>
      <color indexed="8"/>
      <name val="Times New Roman"/>
      <family val="1"/>
    </font>
    <font>
      <b/>
      <sz val="10"/>
      <name val="Cambria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10"/>
      <name val="Cambria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8"/>
      <color theme="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i/>
      <u/>
      <sz val="9"/>
      <color rgb="FF00B050"/>
      <name val="Arial"/>
      <family val="2"/>
    </font>
    <font>
      <b/>
      <i/>
      <u/>
      <sz val="9"/>
      <color theme="5" tint="-0.249977111117893"/>
      <name val="Arial"/>
      <family val="2"/>
    </font>
    <font>
      <b/>
      <i/>
      <u/>
      <sz val="9"/>
      <color rgb="FFFF0000"/>
      <name val="Arial"/>
      <family val="2"/>
    </font>
    <font>
      <b/>
      <i/>
      <u/>
      <sz val="9"/>
      <color theme="7" tint="-0.249977111117893"/>
      <name val="Arial"/>
      <family val="2"/>
    </font>
    <font>
      <sz val="8"/>
      <color rgb="FF00000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mbria"/>
      <family val="1"/>
    </font>
    <font>
      <b/>
      <sz val="8"/>
      <color theme="1"/>
      <name val="Cambria"/>
      <family val="1"/>
    </font>
    <font>
      <b/>
      <sz val="9"/>
      <color theme="1"/>
      <name val="Calibri"/>
      <family val="2"/>
      <scheme val="minor"/>
    </font>
    <font>
      <sz val="10"/>
      <color rgb="FF202124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3" fillId="2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41" fontId="26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/>
    <xf numFmtId="0" fontId="26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4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8" fontId="1" fillId="0" borderId="0" xfId="4" applyNumberFormat="1" applyFont="1" applyFill="1"/>
    <xf numFmtId="168" fontId="1" fillId="0" borderId="0" xfId="4" applyNumberFormat="1" applyFont="1" applyFill="1" applyProtection="1">
      <protection hidden="1"/>
    </xf>
    <xf numFmtId="3" fontId="1" fillId="0" borderId="0" xfId="0" applyNumberFormat="1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left"/>
    </xf>
    <xf numFmtId="0" fontId="34" fillId="0" borderId="0" xfId="3" quotePrefix="1" applyFont="1" applyBorder="1" applyAlignment="1">
      <alignment horizontal="left"/>
    </xf>
    <xf numFmtId="0" fontId="25" fillId="0" borderId="2" xfId="3" applyBorder="1" applyAlignment="1">
      <alignment horizontal="center" vertical="center"/>
    </xf>
    <xf numFmtId="0" fontId="31" fillId="0" borderId="3" xfId="0" applyFont="1" applyBorder="1"/>
    <xf numFmtId="0" fontId="31" fillId="0" borderId="4" xfId="0" applyFont="1" applyBorder="1"/>
    <xf numFmtId="0" fontId="25" fillId="0" borderId="5" xfId="3" applyBorder="1" applyAlignment="1">
      <alignment horizontal="center"/>
    </xf>
    <xf numFmtId="0" fontId="31" fillId="0" borderId="6" xfId="0" applyFont="1" applyBorder="1"/>
    <xf numFmtId="0" fontId="25" fillId="0" borderId="5" xfId="3" quotePrefix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0" fontId="34" fillId="0" borderId="5" xfId="3" quotePrefix="1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1" fillId="0" borderId="9" xfId="0" applyFont="1" applyBorder="1"/>
    <xf numFmtId="0" fontId="35" fillId="0" borderId="0" xfId="0" applyFont="1" applyAlignment="1">
      <alignment horizontal="center" vertical="center"/>
    </xf>
    <xf numFmtId="0" fontId="31" fillId="4" borderId="0" xfId="0" applyFont="1" applyFill="1" applyAlignment="1">
      <alignment horizontal="left"/>
    </xf>
    <xf numFmtId="0" fontId="31" fillId="4" borderId="0" xfId="0" applyFont="1" applyFill="1"/>
    <xf numFmtId="0" fontId="32" fillId="0" borderId="0" xfId="0" applyFont="1" applyAlignment="1">
      <alignment horizontal="right"/>
    </xf>
    <xf numFmtId="0" fontId="25" fillId="0" borderId="0" xfId="3" quotePrefix="1"/>
    <xf numFmtId="0" fontId="25" fillId="0" borderId="0" xfId="3" quotePrefix="1" applyAlignment="1"/>
    <xf numFmtId="0" fontId="4" fillId="3" borderId="0" xfId="0" applyFont="1" applyFill="1" applyBorder="1" applyAlignment="1">
      <alignment horizontal="center" vertical="center"/>
    </xf>
    <xf numFmtId="0" fontId="25" fillId="0" borderId="5" xfId="3" quotePrefix="1" applyBorder="1" applyAlignment="1">
      <alignment horizontal="center" vertical="center"/>
    </xf>
    <xf numFmtId="0" fontId="36" fillId="0" borderId="0" xfId="0" applyFont="1"/>
    <xf numFmtId="0" fontId="37" fillId="0" borderId="5" xfId="3" quotePrefix="1" applyFont="1" applyBorder="1" applyAlignment="1">
      <alignment horizontal="center"/>
    </xf>
    <xf numFmtId="0" fontId="9" fillId="0" borderId="0" xfId="0" applyFont="1"/>
    <xf numFmtId="0" fontId="38" fillId="0" borderId="0" xfId="0" applyFont="1"/>
    <xf numFmtId="0" fontId="5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5"/>
    </xf>
    <xf numFmtId="0" fontId="25" fillId="0" borderId="5" xfId="3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1" fillId="0" borderId="3" xfId="0" applyFont="1" applyBorder="1"/>
    <xf numFmtId="0" fontId="2" fillId="0" borderId="10" xfId="0" applyFont="1" applyBorder="1"/>
    <xf numFmtId="0" fontId="8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1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5" fillId="0" borderId="0" xfId="0" applyFont="1"/>
    <xf numFmtId="168" fontId="15" fillId="0" borderId="0" xfId="4" applyNumberFormat="1" applyFont="1" applyFill="1"/>
    <xf numFmtId="168" fontId="1" fillId="0" borderId="0" xfId="0" applyNumberFormat="1" applyFont="1"/>
    <xf numFmtId="3" fontId="16" fillId="0" borderId="0" xfId="0" applyNumberFormat="1" applyFont="1"/>
    <xf numFmtId="41" fontId="1" fillId="0" borderId="0" xfId="5" applyFont="1" applyFill="1"/>
    <xf numFmtId="169" fontId="1" fillId="0" borderId="0" xfId="0" applyNumberFormat="1" applyFont="1"/>
    <xf numFmtId="169" fontId="1" fillId="0" borderId="0" xfId="4" applyNumberFormat="1" applyFont="1" applyFill="1"/>
    <xf numFmtId="0" fontId="40" fillId="0" borderId="0" xfId="0" applyFont="1"/>
    <xf numFmtId="41" fontId="40" fillId="0" borderId="0" xfId="5" applyFont="1"/>
    <xf numFmtId="41" fontId="40" fillId="0" borderId="0" xfId="0" applyNumberFormat="1" applyFont="1"/>
    <xf numFmtId="0" fontId="35" fillId="0" borderId="0" xfId="0" applyFont="1"/>
    <xf numFmtId="41" fontId="35" fillId="0" borderId="0" xfId="5" applyFont="1"/>
    <xf numFmtId="41" fontId="35" fillId="0" borderId="0" xfId="0" applyNumberFormat="1" applyFont="1"/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vertical="center" wrapText="1"/>
    </xf>
    <xf numFmtId="0" fontId="41" fillId="0" borderId="0" xfId="3" quotePrefix="1" applyFo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justify" vertical="center"/>
    </xf>
    <xf numFmtId="167" fontId="40" fillId="0" borderId="1" xfId="0" applyNumberFormat="1" applyFont="1" applyBorder="1"/>
    <xf numFmtId="0" fontId="40" fillId="0" borderId="1" xfId="0" applyFont="1" applyBorder="1"/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4" fontId="40" fillId="0" borderId="1" xfId="0" applyNumberFormat="1" applyFont="1" applyBorder="1" applyAlignment="1">
      <alignment horizontal="center" vertical="center"/>
    </xf>
    <xf numFmtId="3" fontId="40" fillId="0" borderId="1" xfId="0" applyNumberFormat="1" applyFont="1" applyBorder="1" applyAlignment="1">
      <alignment vertical="center"/>
    </xf>
    <xf numFmtId="172" fontId="40" fillId="0" borderId="1" xfId="5" applyNumberFormat="1" applyFont="1" applyBorder="1" applyAlignment="1">
      <alignment horizontal="center" vertical="center"/>
    </xf>
    <xf numFmtId="167" fontId="40" fillId="0" borderId="1" xfId="4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39" fillId="0" borderId="1" xfId="0" applyNumberFormat="1" applyFont="1" applyBorder="1" applyAlignment="1">
      <alignment horizontal="center" vertical="center"/>
    </xf>
    <xf numFmtId="43" fontId="40" fillId="0" borderId="1" xfId="4" applyFont="1" applyBorder="1" applyAlignment="1">
      <alignment horizontal="center" vertical="center"/>
    </xf>
    <xf numFmtId="0" fontId="39" fillId="0" borderId="1" xfId="0" applyFont="1" applyBorder="1"/>
    <xf numFmtId="0" fontId="39" fillId="0" borderId="7" xfId="0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167" fontId="40" fillId="0" borderId="1" xfId="0" applyNumberFormat="1" applyFont="1" applyBorder="1" applyAlignment="1">
      <alignment horizontal="center" vertical="center"/>
    </xf>
    <xf numFmtId="41" fontId="40" fillId="0" borderId="1" xfId="5" applyFont="1" applyBorder="1" applyAlignment="1">
      <alignment horizontal="right"/>
    </xf>
    <xf numFmtId="167" fontId="40" fillId="0" borderId="1" xfId="4" applyNumberFormat="1" applyFont="1" applyBorder="1" applyAlignment="1">
      <alignment horizontal="right"/>
    </xf>
    <xf numFmtId="3" fontId="39" fillId="0" borderId="1" xfId="0" applyNumberFormat="1" applyFont="1" applyBorder="1" applyAlignment="1">
      <alignment horizontal="right"/>
    </xf>
    <xf numFmtId="0" fontId="43" fillId="0" borderId="1" xfId="0" applyFont="1" applyBorder="1"/>
    <xf numFmtId="41" fontId="35" fillId="0" borderId="1" xfId="5" applyFont="1" applyBorder="1" applyAlignment="1">
      <alignment horizontal="right"/>
    </xf>
    <xf numFmtId="171" fontId="39" fillId="0" borderId="1" xfId="0" applyNumberFormat="1" applyFont="1" applyBorder="1" applyAlignment="1">
      <alignment horizontal="center" vertical="center"/>
    </xf>
    <xf numFmtId="41" fontId="40" fillId="0" borderId="0" xfId="5" applyFont="1" applyAlignment="1">
      <alignment horizontal="right"/>
    </xf>
    <xf numFmtId="41" fontId="39" fillId="0" borderId="1" xfId="5" applyFont="1" applyBorder="1" applyAlignment="1">
      <alignment horizontal="right" vertical="center"/>
    </xf>
    <xf numFmtId="41" fontId="39" fillId="0" borderId="1" xfId="5" applyFont="1" applyBorder="1" applyAlignment="1">
      <alignment horizontal="right"/>
    </xf>
    <xf numFmtId="41" fontId="40" fillId="0" borderId="1" xfId="5" applyFont="1" applyBorder="1" applyAlignment="1">
      <alignment horizontal="right" vertical="center"/>
    </xf>
    <xf numFmtId="0" fontId="39" fillId="0" borderId="0" xfId="0" applyFont="1" applyAlignment="1">
      <alignment horizontal="left" vertical="center" indent="2"/>
    </xf>
    <xf numFmtId="0" fontId="44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1" fontId="18" fillId="0" borderId="1" xfId="5" applyFont="1" applyFill="1" applyBorder="1" applyAlignment="1">
      <alignment vertical="center"/>
    </xf>
    <xf numFmtId="170" fontId="40" fillId="0" borderId="0" xfId="0" applyNumberFormat="1" applyFont="1"/>
    <xf numFmtId="0" fontId="33" fillId="0" borderId="2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170" fontId="33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70" fontId="40" fillId="0" borderId="0" xfId="0" applyNumberFormat="1" applyFont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3" fontId="40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170" fontId="39" fillId="0" borderId="14" xfId="0" applyNumberFormat="1" applyFont="1" applyBorder="1" applyAlignment="1">
      <alignment vertical="center"/>
    </xf>
    <xf numFmtId="3" fontId="40" fillId="0" borderId="0" xfId="0" applyNumberFormat="1" applyFont="1"/>
    <xf numFmtId="0" fontId="40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/>
    </xf>
    <xf numFmtId="41" fontId="40" fillId="0" borderId="1" xfId="5" applyFont="1" applyFill="1" applyBorder="1" applyAlignment="1">
      <alignment horizontal="right"/>
    </xf>
    <xf numFmtId="0" fontId="33" fillId="0" borderId="1" xfId="0" applyFont="1" applyBorder="1"/>
    <xf numFmtId="170" fontId="40" fillId="0" borderId="0" xfId="4" applyNumberFormat="1" applyFont="1" applyFill="1"/>
    <xf numFmtId="0" fontId="39" fillId="0" borderId="0" xfId="0" applyFont="1" applyAlignment="1">
      <alignment horizontal="left"/>
    </xf>
    <xf numFmtId="41" fontId="39" fillId="0" borderId="0" xfId="5" applyFont="1" applyAlignment="1">
      <alignment horizontal="right"/>
    </xf>
    <xf numFmtId="49" fontId="18" fillId="0" borderId="1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41" fontId="43" fillId="0" borderId="1" xfId="5" applyFont="1" applyBorder="1" applyAlignment="1">
      <alignment horizontal="right"/>
    </xf>
    <xf numFmtId="0" fontId="39" fillId="0" borderId="0" xfId="0" applyFont="1" applyAlignment="1">
      <alignment horizontal="left" vertical="center" indent="3"/>
    </xf>
    <xf numFmtId="0" fontId="40" fillId="0" borderId="0" xfId="0" applyFont="1" applyAlignment="1">
      <alignment horizontal="right" vertical="center"/>
    </xf>
    <xf numFmtId="0" fontId="39" fillId="0" borderId="13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40" fillId="0" borderId="2" xfId="0" applyFont="1" applyBorder="1" applyAlignment="1">
      <alignment horizontal="left"/>
    </xf>
    <xf numFmtId="3" fontId="40" fillId="0" borderId="0" xfId="0" applyNumberFormat="1" applyFont="1" applyAlignment="1">
      <alignment horizontal="right"/>
    </xf>
    <xf numFmtId="0" fontId="40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164" fontId="40" fillId="0" borderId="0" xfId="0" applyNumberFormat="1" applyFont="1"/>
    <xf numFmtId="41" fontId="39" fillId="0" borderId="1" xfId="5" applyFont="1" applyFill="1" applyBorder="1" applyAlignment="1">
      <alignment horizontal="right"/>
    </xf>
    <xf numFmtId="0" fontId="17" fillId="0" borderId="0" xfId="0" applyFont="1"/>
    <xf numFmtId="0" fontId="39" fillId="0" borderId="1" xfId="0" applyFont="1" applyBorder="1" applyAlignment="1">
      <alignment horizontal="center" wrapText="1"/>
    </xf>
    <xf numFmtId="167" fontId="40" fillId="0" borderId="1" xfId="9" applyFont="1" applyFill="1" applyBorder="1" applyAlignment="1">
      <alignment horizontal="right"/>
    </xf>
    <xf numFmtId="3" fontId="40" fillId="0" borderId="1" xfId="0" applyNumberFormat="1" applyFont="1" applyBorder="1"/>
    <xf numFmtId="3" fontId="39" fillId="0" borderId="1" xfId="0" applyNumberFormat="1" applyFont="1" applyBorder="1"/>
    <xf numFmtId="41" fontId="40" fillId="0" borderId="1" xfId="5" applyFont="1" applyBorder="1" applyAlignment="1"/>
    <xf numFmtId="41" fontId="39" fillId="0" borderId="1" xfId="5" applyFont="1" applyBorder="1" applyAlignment="1"/>
    <xf numFmtId="167" fontId="40" fillId="0" borderId="0" xfId="0" applyNumberFormat="1" applyFont="1"/>
    <xf numFmtId="2" fontId="39" fillId="0" borderId="1" xfId="0" applyNumberFormat="1" applyFont="1" applyBorder="1" applyAlignment="1">
      <alignment horizontal="center" vertical="center" wrapText="1"/>
    </xf>
    <xf numFmtId="167" fontId="40" fillId="0" borderId="0" xfId="9" applyFont="1"/>
    <xf numFmtId="0" fontId="40" fillId="0" borderId="0" xfId="0" applyFont="1" applyAlignment="1">
      <alignment horizontal="left" vertical="center" indent="3"/>
    </xf>
    <xf numFmtId="41" fontId="40" fillId="0" borderId="1" xfId="5" applyFont="1" applyFill="1" applyBorder="1" applyAlignment="1"/>
    <xf numFmtId="0" fontId="40" fillId="0" borderId="0" xfId="0" applyFont="1" applyAlignment="1">
      <alignment wrapText="1"/>
    </xf>
    <xf numFmtId="0" fontId="41" fillId="0" borderId="0" xfId="3" quotePrefix="1" applyFont="1" applyAlignment="1">
      <alignment wrapText="1"/>
    </xf>
    <xf numFmtId="0" fontId="39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left" wrapText="1"/>
    </xf>
    <xf numFmtId="170" fontId="40" fillId="0" borderId="1" xfId="0" applyNumberFormat="1" applyFont="1" applyBorder="1" applyAlignment="1">
      <alignment horizontal="right" wrapText="1"/>
    </xf>
    <xf numFmtId="167" fontId="40" fillId="0" borderId="1" xfId="9" applyFont="1" applyBorder="1" applyAlignment="1">
      <alignment horizontal="right" wrapText="1"/>
    </xf>
    <xf numFmtId="0" fontId="33" fillId="0" borderId="1" xfId="0" applyFont="1" applyBorder="1" applyAlignment="1">
      <alignment wrapText="1"/>
    </xf>
    <xf numFmtId="3" fontId="39" fillId="0" borderId="1" xfId="0" applyNumberFormat="1" applyFont="1" applyBorder="1" applyAlignment="1">
      <alignment horizontal="right" wrapText="1"/>
    </xf>
    <xf numFmtId="170" fontId="39" fillId="0" borderId="1" xfId="9" applyNumberFormat="1" applyFont="1" applyBorder="1" applyAlignment="1">
      <alignment horizontal="right" wrapText="1"/>
    </xf>
    <xf numFmtId="0" fontId="40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wrapText="1"/>
    </xf>
    <xf numFmtId="170" fontId="39" fillId="0" borderId="0" xfId="9" applyNumberFormat="1" applyFont="1" applyBorder="1" applyAlignment="1">
      <alignment horizontal="right" wrapText="1"/>
    </xf>
    <xf numFmtId="167" fontId="40" fillId="0" borderId="0" xfId="9" applyFont="1" applyBorder="1" applyAlignment="1">
      <alignment horizontal="right" wrapText="1"/>
    </xf>
    <xf numFmtId="0" fontId="40" fillId="0" borderId="7" xfId="0" applyFont="1" applyBorder="1" applyAlignment="1">
      <alignment wrapText="1"/>
    </xf>
    <xf numFmtId="3" fontId="40" fillId="0" borderId="1" xfId="0" applyNumberFormat="1" applyFont="1" applyBorder="1" applyAlignment="1">
      <alignment horizontal="right" wrapText="1"/>
    </xf>
    <xf numFmtId="167" fontId="40" fillId="0" borderId="1" xfId="9" applyFont="1" applyFill="1" applyBorder="1" applyAlignment="1">
      <alignment horizontal="right" wrapText="1"/>
    </xf>
    <xf numFmtId="41" fontId="40" fillId="0" borderId="1" xfId="5" applyFont="1" applyBorder="1" applyAlignment="1">
      <alignment horizontal="right" wrapText="1"/>
    </xf>
    <xf numFmtId="41" fontId="40" fillId="0" borderId="1" xfId="5" applyFont="1" applyFill="1" applyBorder="1" applyAlignment="1">
      <alignment wrapText="1"/>
    </xf>
    <xf numFmtId="170" fontId="39" fillId="0" borderId="1" xfId="0" applyNumberFormat="1" applyFont="1" applyBorder="1" applyAlignment="1">
      <alignment horizontal="right" wrapText="1"/>
    </xf>
    <xf numFmtId="41" fontId="39" fillId="0" borderId="2" xfId="5" applyFont="1" applyFill="1" applyBorder="1" applyAlignment="1">
      <alignment horizontal="center" vertical="center" wrapText="1"/>
    </xf>
    <xf numFmtId="41" fontId="40" fillId="0" borderId="0" xfId="5" applyFont="1" applyFill="1" applyAlignment="1">
      <alignment wrapText="1"/>
    </xf>
    <xf numFmtId="41" fontId="40" fillId="0" borderId="0" xfId="5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40" fillId="0" borderId="15" xfId="0" applyFont="1" applyBorder="1" applyAlignment="1">
      <alignment wrapText="1"/>
    </xf>
    <xf numFmtId="0" fontId="39" fillId="0" borderId="16" xfId="0" applyFont="1" applyBorder="1" applyAlignment="1">
      <alignment wrapText="1"/>
    </xf>
    <xf numFmtId="0" fontId="39" fillId="0" borderId="17" xfId="0" applyFont="1" applyBorder="1" applyAlignment="1">
      <alignment wrapText="1"/>
    </xf>
    <xf numFmtId="0" fontId="39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left" vertical="center" wrapText="1"/>
    </xf>
    <xf numFmtId="41" fontId="18" fillId="3" borderId="1" xfId="5" applyFont="1" applyFill="1" applyBorder="1" applyAlignment="1">
      <alignment horizontal="left" wrapText="1"/>
    </xf>
    <xf numFmtId="49" fontId="40" fillId="0" borderId="1" xfId="0" applyNumberFormat="1" applyFont="1" applyBorder="1" applyAlignment="1">
      <alignment wrapText="1"/>
    </xf>
    <xf numFmtId="41" fontId="39" fillId="0" borderId="1" xfId="5" applyFont="1" applyFill="1" applyBorder="1" applyAlignment="1">
      <alignment horizontal="right" wrapText="1"/>
    </xf>
    <xf numFmtId="3" fontId="40" fillId="0" borderId="1" xfId="0" applyNumberFormat="1" applyFont="1" applyBorder="1" applyAlignment="1">
      <alignment horizontal="left" wrapText="1"/>
    </xf>
    <xf numFmtId="14" fontId="40" fillId="0" borderId="1" xfId="0" applyNumberFormat="1" applyFont="1" applyBorder="1" applyAlignment="1">
      <alignment horizontal="right" wrapText="1"/>
    </xf>
    <xf numFmtId="171" fontId="40" fillId="0" borderId="0" xfId="0" applyNumberFormat="1" applyFont="1"/>
    <xf numFmtId="170" fontId="40" fillId="0" borderId="0" xfId="9" applyNumberFormat="1" applyFont="1"/>
    <xf numFmtId="170" fontId="39" fillId="0" borderId="0" xfId="9" applyNumberFormat="1" applyFont="1"/>
    <xf numFmtId="41" fontId="33" fillId="0" borderId="1" xfId="5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/>
    </xf>
    <xf numFmtId="41" fontId="44" fillId="0" borderId="1" xfId="5" applyFont="1" applyFill="1" applyBorder="1" applyAlignment="1">
      <alignment horizontal="right" vertical="center"/>
    </xf>
    <xf numFmtId="41" fontId="44" fillId="0" borderId="1" xfId="5" applyFont="1" applyBorder="1" applyAlignment="1">
      <alignment horizontal="right" vertical="center"/>
    </xf>
    <xf numFmtId="170" fontId="33" fillId="0" borderId="1" xfId="9" applyNumberFormat="1" applyFont="1" applyBorder="1" applyAlignment="1">
      <alignment horizontal="right" vertical="center"/>
    </xf>
    <xf numFmtId="41" fontId="33" fillId="0" borderId="1" xfId="5" applyFont="1" applyBorder="1" applyAlignment="1">
      <alignment horizontal="right" vertical="center"/>
    </xf>
    <xf numFmtId="0" fontId="41" fillId="0" borderId="0" xfId="3" quotePrefix="1" applyFont="1" applyAlignment="1">
      <alignment vertical="center"/>
    </xf>
    <xf numFmtId="0" fontId="39" fillId="0" borderId="0" xfId="0" applyFont="1"/>
    <xf numFmtId="41" fontId="40" fillId="0" borderId="1" xfId="5" applyFont="1" applyFill="1" applyBorder="1" applyAlignment="1">
      <alignment horizontal="right" vertical="center"/>
    </xf>
    <xf numFmtId="41" fontId="40" fillId="0" borderId="0" xfId="5" applyFont="1" applyFill="1" applyAlignment="1">
      <alignment vertical="center"/>
    </xf>
    <xf numFmtId="41" fontId="39" fillId="0" borderId="1" xfId="5" applyFont="1" applyFill="1" applyBorder="1" applyAlignment="1">
      <alignment horizontal="right" vertical="center"/>
    </xf>
    <xf numFmtId="0" fontId="42" fillId="0" borderId="0" xfId="0" applyFont="1"/>
    <xf numFmtId="0" fontId="45" fillId="0" borderId="0" xfId="0" applyFont="1" applyBorder="1"/>
    <xf numFmtId="0" fontId="40" fillId="0" borderId="0" xfId="0" applyFont="1" applyBorder="1"/>
    <xf numFmtId="0" fontId="49" fillId="0" borderId="0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5" fillId="0" borderId="0" xfId="0" applyFont="1"/>
    <xf numFmtId="0" fontId="47" fillId="0" borderId="3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3" fontId="40" fillId="0" borderId="1" xfId="0" applyNumberFormat="1" applyFont="1" applyBorder="1" applyAlignment="1">
      <alignment horizontal="center"/>
    </xf>
    <xf numFmtId="41" fontId="39" fillId="0" borderId="1" xfId="5" applyFont="1" applyFill="1" applyBorder="1"/>
    <xf numFmtId="41" fontId="40" fillId="0" borderId="1" xfId="5" applyFont="1" applyFill="1" applyBorder="1" applyAlignment="1">
      <alignment horizontal="center"/>
    </xf>
    <xf numFmtId="0" fontId="40" fillId="0" borderId="5" xfId="0" applyFont="1" applyBorder="1"/>
    <xf numFmtId="3" fontId="39" fillId="0" borderId="1" xfId="0" applyNumberFormat="1" applyFont="1" applyBorder="1" applyAlignment="1">
      <alignment horizontal="center"/>
    </xf>
    <xf numFmtId="41" fontId="39" fillId="0" borderId="1" xfId="5" applyFont="1" applyFill="1" applyBorder="1" applyAlignment="1">
      <alignment horizontal="center"/>
    </xf>
    <xf numFmtId="170" fontId="40" fillId="0" borderId="0" xfId="9" applyNumberFormat="1" applyFont="1" applyFill="1"/>
    <xf numFmtId="41" fontId="39" fillId="0" borderId="1" xfId="5" applyFont="1" applyBorder="1" applyAlignment="1">
      <alignment horizontal="center"/>
    </xf>
    <xf numFmtId="41" fontId="40" fillId="0" borderId="1" xfId="5" applyFont="1" applyBorder="1" applyAlignment="1">
      <alignment horizontal="center"/>
    </xf>
    <xf numFmtId="41" fontId="40" fillId="0" borderId="1" xfId="5" applyFont="1" applyBorder="1"/>
    <xf numFmtId="41" fontId="39" fillId="0" borderId="1" xfId="0" applyNumberFormat="1" applyFont="1" applyBorder="1"/>
    <xf numFmtId="0" fontId="43" fillId="0" borderId="1" xfId="0" applyFont="1" applyBorder="1" applyAlignment="1">
      <alignment horizontal="center"/>
    </xf>
    <xf numFmtId="41" fontId="35" fillId="0" borderId="1" xfId="5" applyFont="1" applyBorder="1" applyAlignment="1">
      <alignment horizontal="right" vertical="center"/>
    </xf>
    <xf numFmtId="41" fontId="50" fillId="0" borderId="1" xfId="5" applyFont="1" applyBorder="1" applyAlignment="1"/>
    <xf numFmtId="41" fontId="50" fillId="0" borderId="1" xfId="5" applyFont="1" applyFill="1" applyBorder="1" applyAlignment="1">
      <alignment horizontal="right"/>
    </xf>
    <xf numFmtId="41" fontId="50" fillId="0" borderId="1" xfId="5" applyFont="1" applyBorder="1" applyAlignment="1">
      <alignment horizontal="right"/>
    </xf>
    <xf numFmtId="41" fontId="43" fillId="0" borderId="1" xfId="5" applyFont="1" applyBorder="1" applyAlignment="1">
      <alignment horizontal="right"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51" fillId="0" borderId="68" xfId="0" applyFont="1" applyBorder="1" applyAlignment="1">
      <alignment vertical="center"/>
    </xf>
    <xf numFmtId="168" fontId="52" fillId="0" borderId="1" xfId="4" applyNumberFormat="1" applyFont="1" applyFill="1" applyBorder="1" applyAlignment="1">
      <alignment horizontal="center" vertical="center" wrapText="1"/>
    </xf>
    <xf numFmtId="168" fontId="52" fillId="0" borderId="18" xfId="4" applyNumberFormat="1" applyFont="1" applyFill="1" applyBorder="1" applyAlignment="1">
      <alignment horizontal="center" vertical="center" wrapText="1"/>
    </xf>
    <xf numFmtId="0" fontId="51" fillId="0" borderId="5" xfId="0" applyFont="1" applyBorder="1"/>
    <xf numFmtId="173" fontId="51" fillId="0" borderId="12" xfId="4" applyNumberFormat="1" applyFont="1" applyFill="1" applyBorder="1" applyAlignment="1">
      <alignment horizontal="right"/>
    </xf>
    <xf numFmtId="173" fontId="52" fillId="0" borderId="5" xfId="4" applyNumberFormat="1" applyFont="1" applyFill="1" applyBorder="1" applyAlignment="1">
      <alignment horizontal="right"/>
    </xf>
    <xf numFmtId="0" fontId="51" fillId="0" borderId="12" xfId="0" applyFont="1" applyBorder="1"/>
    <xf numFmtId="173" fontId="53" fillId="0" borderId="5" xfId="4" applyNumberFormat="1" applyFont="1" applyFill="1" applyBorder="1" applyAlignment="1">
      <alignment horizontal="right"/>
    </xf>
    <xf numFmtId="173" fontId="54" fillId="0" borderId="5" xfId="4" applyNumberFormat="1" applyFont="1" applyFill="1" applyBorder="1" applyAlignment="1">
      <alignment horizontal="right"/>
    </xf>
    <xf numFmtId="173" fontId="53" fillId="0" borderId="12" xfId="4" applyNumberFormat="1" applyFont="1" applyFill="1" applyBorder="1" applyAlignment="1">
      <alignment horizontal="right"/>
    </xf>
    <xf numFmtId="0" fontId="53" fillId="0" borderId="5" xfId="0" applyFont="1" applyBorder="1" applyAlignment="1">
      <alignment horizontal="left"/>
    </xf>
    <xf numFmtId="0" fontId="53" fillId="0" borderId="12" xfId="0" applyFont="1" applyBorder="1" applyAlignment="1">
      <alignment horizontal="left"/>
    </xf>
    <xf numFmtId="173" fontId="54" fillId="0" borderId="12" xfId="4" applyNumberFormat="1" applyFont="1" applyFill="1" applyBorder="1" applyAlignment="1">
      <alignment horizontal="right"/>
    </xf>
    <xf numFmtId="0" fontId="53" fillId="0" borderId="5" xfId="0" applyFont="1" applyBorder="1"/>
    <xf numFmtId="173" fontId="51" fillId="0" borderId="19" xfId="4" applyNumberFormat="1" applyFont="1" applyFill="1" applyBorder="1" applyAlignment="1">
      <alignment horizontal="right"/>
    </xf>
    <xf numFmtId="0" fontId="55" fillId="0" borderId="5" xfId="0" applyFont="1" applyBorder="1"/>
    <xf numFmtId="173" fontId="53" fillId="0" borderId="20" xfId="4" applyNumberFormat="1" applyFont="1" applyFill="1" applyBorder="1" applyAlignment="1">
      <alignment horizontal="right"/>
    </xf>
    <xf numFmtId="173" fontId="54" fillId="0" borderId="20" xfId="4" applyNumberFormat="1" applyFont="1" applyFill="1" applyBorder="1" applyAlignment="1">
      <alignment horizontal="right"/>
    </xf>
    <xf numFmtId="173" fontId="51" fillId="0" borderId="21" xfId="4" applyNumberFormat="1" applyFont="1" applyFill="1" applyBorder="1" applyAlignment="1">
      <alignment horizontal="right"/>
    </xf>
    <xf numFmtId="0" fontId="53" fillId="0" borderId="12" xfId="0" applyFont="1" applyBorder="1"/>
    <xf numFmtId="173" fontId="51" fillId="0" borderId="22" xfId="4" applyNumberFormat="1" applyFont="1" applyFill="1" applyBorder="1" applyAlignment="1">
      <alignment horizontal="right"/>
    </xf>
    <xf numFmtId="0" fontId="51" fillId="0" borderId="5" xfId="0" applyFont="1" applyBorder="1" applyAlignment="1">
      <alignment horizontal="left"/>
    </xf>
    <xf numFmtId="0" fontId="51" fillId="0" borderId="12" xfId="0" applyFont="1" applyBorder="1" applyAlignment="1">
      <alignment horizontal="left"/>
    </xf>
    <xf numFmtId="173" fontId="51" fillId="0" borderId="5" xfId="4" applyNumberFormat="1" applyFont="1" applyFill="1" applyBorder="1" applyAlignment="1">
      <alignment horizontal="right"/>
    </xf>
    <xf numFmtId="173" fontId="51" fillId="0" borderId="1" xfId="4" applyNumberFormat="1" applyFont="1" applyFill="1" applyBorder="1" applyAlignment="1">
      <alignment horizontal="right"/>
    </xf>
    <xf numFmtId="0" fontId="51" fillId="0" borderId="23" xfId="0" applyFont="1" applyBorder="1"/>
    <xf numFmtId="173" fontId="51" fillId="0" borderId="24" xfId="4" applyNumberFormat="1" applyFont="1" applyFill="1" applyBorder="1" applyAlignment="1">
      <alignment horizontal="right"/>
    </xf>
    <xf numFmtId="0" fontId="51" fillId="0" borderId="25" xfId="0" applyFont="1" applyBorder="1"/>
    <xf numFmtId="173" fontId="51" fillId="0" borderId="25" xfId="4" applyNumberFormat="1" applyFont="1" applyFill="1" applyBorder="1" applyAlignment="1">
      <alignment horizontal="right"/>
    </xf>
    <xf numFmtId="173" fontId="51" fillId="0" borderId="26" xfId="4" applyNumberFormat="1" applyFont="1" applyFill="1" applyBorder="1" applyAlignment="1">
      <alignment horizontal="right"/>
    </xf>
    <xf numFmtId="173" fontId="56" fillId="0" borderId="12" xfId="4" applyNumberFormat="1" applyFont="1" applyFill="1" applyBorder="1" applyAlignment="1">
      <alignment horizontal="right"/>
    </xf>
    <xf numFmtId="41" fontId="53" fillId="0" borderId="12" xfId="0" applyNumberFormat="1" applyFont="1" applyBorder="1"/>
    <xf numFmtId="0" fontId="51" fillId="0" borderId="27" xfId="0" applyFont="1" applyBorder="1"/>
    <xf numFmtId="173" fontId="51" fillId="0" borderId="28" xfId="4" applyNumberFormat="1" applyFont="1" applyFill="1" applyBorder="1" applyAlignment="1">
      <alignment horizontal="right"/>
    </xf>
    <xf numFmtId="173" fontId="53" fillId="0" borderId="22" xfId="4" applyNumberFormat="1" applyFont="1" applyFill="1" applyBorder="1" applyAlignment="1">
      <alignment horizontal="right"/>
    </xf>
    <xf numFmtId="173" fontId="54" fillId="0" borderId="2" xfId="4" applyNumberFormat="1" applyFont="1" applyFill="1" applyBorder="1" applyAlignment="1">
      <alignment horizontal="right"/>
    </xf>
    <xf numFmtId="173" fontId="51" fillId="0" borderId="20" xfId="4" applyNumberFormat="1" applyFont="1" applyFill="1" applyBorder="1" applyAlignment="1">
      <alignment horizontal="right"/>
    </xf>
    <xf numFmtId="0" fontId="51" fillId="0" borderId="11" xfId="0" applyFont="1" applyBorder="1"/>
    <xf numFmtId="173" fontId="51" fillId="0" borderId="29" xfId="4" applyNumberFormat="1" applyFont="1" applyFill="1" applyBorder="1" applyAlignment="1">
      <alignment horizontal="right"/>
    </xf>
    <xf numFmtId="173" fontId="51" fillId="0" borderId="2" xfId="4" applyNumberFormat="1" applyFont="1" applyFill="1" applyBorder="1" applyAlignment="1">
      <alignment horizontal="right"/>
    </xf>
    <xf numFmtId="173" fontId="1" fillId="0" borderId="0" xfId="4" applyNumberFormat="1" applyFont="1"/>
    <xf numFmtId="173" fontId="1" fillId="0" borderId="30" xfId="4" applyNumberFormat="1" applyFont="1" applyBorder="1"/>
    <xf numFmtId="173" fontId="1" fillId="0" borderId="12" xfId="4" applyNumberFormat="1" applyFont="1" applyBorder="1"/>
    <xf numFmtId="173" fontId="52" fillId="0" borderId="18" xfId="4" applyNumberFormat="1" applyFont="1" applyFill="1" applyBorder="1" applyAlignment="1">
      <alignment horizontal="right"/>
    </xf>
    <xf numFmtId="0" fontId="51" fillId="0" borderId="2" xfId="0" applyFont="1" applyBorder="1"/>
    <xf numFmtId="173" fontId="1" fillId="0" borderId="3" xfId="4" applyNumberFormat="1" applyFont="1" applyBorder="1"/>
    <xf numFmtId="173" fontId="1" fillId="0" borderId="11" xfId="4" applyNumberFormat="1" applyFont="1" applyBorder="1"/>
    <xf numFmtId="0" fontId="19" fillId="0" borderId="0" xfId="0" applyFont="1"/>
    <xf numFmtId="0" fontId="19" fillId="0" borderId="15" xfId="0" applyFont="1" applyBorder="1"/>
    <xf numFmtId="3" fontId="19" fillId="0" borderId="16" xfId="0" applyNumberFormat="1" applyFont="1" applyBorder="1"/>
    <xf numFmtId="14" fontId="20" fillId="0" borderId="31" xfId="5" applyNumberFormat="1" applyFont="1" applyFill="1" applyBorder="1" applyAlignment="1">
      <alignment horizontal="center" wrapText="1"/>
    </xf>
    <xf numFmtId="14" fontId="20" fillId="0" borderId="17" xfId="5" applyNumberFormat="1" applyFont="1" applyFill="1" applyBorder="1" applyAlignment="1">
      <alignment horizontal="center" wrapText="1"/>
    </xf>
    <xf numFmtId="0" fontId="20" fillId="0" borderId="32" xfId="0" applyFont="1" applyBorder="1"/>
    <xf numFmtId="3" fontId="20" fillId="0" borderId="33" xfId="0" applyNumberFormat="1" applyFont="1" applyBorder="1"/>
    <xf numFmtId="173" fontId="19" fillId="0" borderId="33" xfId="4" applyNumberFormat="1" applyFont="1" applyFill="1" applyBorder="1" applyAlignment="1">
      <alignment horizontal="right"/>
    </xf>
    <xf numFmtId="173" fontId="19" fillId="0" borderId="34" xfId="4" applyNumberFormat="1" applyFont="1" applyFill="1" applyBorder="1" applyAlignment="1">
      <alignment horizontal="right"/>
    </xf>
    <xf numFmtId="0" fontId="20" fillId="0" borderId="35" xfId="0" applyFont="1" applyBorder="1"/>
    <xf numFmtId="3" fontId="20" fillId="0" borderId="0" xfId="0" applyNumberFormat="1" applyFont="1"/>
    <xf numFmtId="173" fontId="20" fillId="0" borderId="0" xfId="4" applyNumberFormat="1" applyFont="1" applyFill="1" applyBorder="1" applyAlignment="1">
      <alignment horizontal="right"/>
    </xf>
    <xf numFmtId="41" fontId="20" fillId="0" borderId="36" xfId="5" applyFont="1" applyFill="1" applyBorder="1" applyAlignment="1">
      <alignment horizontal="right"/>
    </xf>
    <xf numFmtId="0" fontId="19" fillId="0" borderId="35" xfId="0" applyFont="1" applyBorder="1"/>
    <xf numFmtId="173" fontId="19" fillId="0" borderId="0" xfId="4" applyNumberFormat="1" applyFont="1" applyFill="1" applyBorder="1" applyAlignment="1">
      <alignment horizontal="right"/>
    </xf>
    <xf numFmtId="41" fontId="19" fillId="0" borderId="36" xfId="5" applyFont="1" applyFill="1" applyBorder="1" applyAlignment="1">
      <alignment horizontal="right"/>
    </xf>
    <xf numFmtId="49" fontId="19" fillId="0" borderId="35" xfId="0" applyNumberFormat="1" applyFont="1" applyBorder="1"/>
    <xf numFmtId="3" fontId="19" fillId="0" borderId="0" xfId="0" applyNumberFormat="1" applyFont="1"/>
    <xf numFmtId="0" fontId="20" fillId="0" borderId="37" xfId="0" applyFont="1" applyBorder="1"/>
    <xf numFmtId="3" fontId="19" fillId="0" borderId="3" xfId="0" applyNumberFormat="1" applyFont="1" applyBorder="1"/>
    <xf numFmtId="173" fontId="19" fillId="0" borderId="3" xfId="4" applyNumberFormat="1" applyFont="1" applyFill="1" applyBorder="1" applyAlignment="1">
      <alignment horizontal="right"/>
    </xf>
    <xf numFmtId="41" fontId="19" fillId="0" borderId="38" xfId="5" applyFont="1" applyFill="1" applyBorder="1" applyAlignment="1">
      <alignment horizontal="right"/>
    </xf>
    <xf numFmtId="0" fontId="20" fillId="0" borderId="39" xfId="0" applyFont="1" applyBorder="1"/>
    <xf numFmtId="3" fontId="19" fillId="0" borderId="40" xfId="0" applyNumberFormat="1" applyFont="1" applyBorder="1"/>
    <xf numFmtId="173" fontId="20" fillId="0" borderId="40" xfId="4" applyNumberFormat="1" applyFont="1" applyFill="1" applyBorder="1" applyAlignment="1">
      <alignment horizontal="right"/>
    </xf>
    <xf numFmtId="41" fontId="20" fillId="0" borderId="41" xfId="5" applyFont="1" applyFill="1" applyBorder="1" applyAlignment="1">
      <alignment horizontal="right"/>
    </xf>
    <xf numFmtId="49" fontId="20" fillId="0" borderId="35" xfId="0" applyNumberFormat="1" applyFont="1" applyBorder="1"/>
    <xf numFmtId="49" fontId="19" fillId="0" borderId="37" xfId="0" applyNumberFormat="1" applyFont="1" applyBorder="1"/>
    <xf numFmtId="41" fontId="19" fillId="0" borderId="42" xfId="5" applyFont="1" applyFill="1" applyBorder="1" applyAlignment="1">
      <alignment horizontal="right"/>
    </xf>
    <xf numFmtId="3" fontId="20" fillId="0" borderId="40" xfId="0" applyNumberFormat="1" applyFont="1" applyBorder="1"/>
    <xf numFmtId="3" fontId="19" fillId="0" borderId="0" xfId="0" applyNumberFormat="1" applyFont="1" applyBorder="1"/>
    <xf numFmtId="0" fontId="20" fillId="0" borderId="43" xfId="0" applyFont="1" applyBorder="1"/>
    <xf numFmtId="3" fontId="20" fillId="0" borderId="44" xfId="0" applyNumberFormat="1" applyFont="1" applyBorder="1"/>
    <xf numFmtId="173" fontId="20" fillId="0" borderId="44" xfId="4" applyNumberFormat="1" applyFont="1" applyFill="1" applyBorder="1" applyAlignment="1">
      <alignment horizontal="right"/>
    </xf>
    <xf numFmtId="41" fontId="20" fillId="0" borderId="44" xfId="5" applyFont="1" applyFill="1" applyBorder="1" applyAlignment="1">
      <alignment horizontal="right"/>
    </xf>
    <xf numFmtId="0" fontId="9" fillId="0" borderId="7" xfId="0" applyFont="1" applyBorder="1"/>
    <xf numFmtId="168" fontId="10" fillId="0" borderId="18" xfId="4" applyNumberFormat="1" applyFont="1" applyBorder="1" applyAlignment="1">
      <alignment horizontal="center" vertical="center" wrapText="1"/>
    </xf>
    <xf numFmtId="0" fontId="10" fillId="0" borderId="5" xfId="0" applyFont="1" applyBorder="1"/>
    <xf numFmtId="173" fontId="9" fillId="0" borderId="45" xfId="4" applyNumberFormat="1" applyFont="1" applyBorder="1" applyAlignment="1"/>
    <xf numFmtId="0" fontId="9" fillId="0" borderId="5" xfId="0" applyFont="1" applyBorder="1"/>
    <xf numFmtId="173" fontId="9" fillId="0" borderId="12" xfId="4" applyNumberFormat="1" applyFont="1" applyBorder="1" applyAlignment="1"/>
    <xf numFmtId="173" fontId="9" fillId="0" borderId="5" xfId="4" applyNumberFormat="1" applyFont="1" applyBorder="1" applyAlignment="1"/>
    <xf numFmtId="0" fontId="4" fillId="0" borderId="5" xfId="0" applyFont="1" applyBorder="1"/>
    <xf numFmtId="173" fontId="5" fillId="0" borderId="5" xfId="4" applyNumberFormat="1" applyFont="1" applyBorder="1" applyAlignment="1"/>
    <xf numFmtId="173" fontId="4" fillId="0" borderId="19" xfId="4" applyNumberFormat="1" applyFont="1" applyBorder="1" applyAlignment="1"/>
    <xf numFmtId="0" fontId="5" fillId="0" borderId="5" xfId="0" applyFont="1" applyBorder="1"/>
    <xf numFmtId="173" fontId="4" fillId="0" borderId="5" xfId="4" applyNumberFormat="1" applyFont="1" applyBorder="1" applyAlignment="1"/>
    <xf numFmtId="0" fontId="21" fillId="0" borderId="5" xfId="0" applyFont="1" applyBorder="1"/>
    <xf numFmtId="173" fontId="21" fillId="0" borderId="5" xfId="4" applyNumberFormat="1" applyFont="1" applyBorder="1" applyAlignment="1"/>
    <xf numFmtId="0" fontId="9" fillId="0" borderId="2" xfId="0" applyFont="1" applyBorder="1"/>
    <xf numFmtId="173" fontId="10" fillId="0" borderId="46" xfId="4" applyNumberFormat="1" applyFont="1" applyBorder="1" applyAlignment="1"/>
    <xf numFmtId="0" fontId="57" fillId="0" borderId="0" xfId="0" applyFont="1"/>
    <xf numFmtId="0" fontId="10" fillId="0" borderId="15" xfId="0" applyFont="1" applyBorder="1" applyAlignment="1">
      <alignment horizontal="center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8" xfId="0" applyFont="1" applyBorder="1" applyAlignment="1">
      <alignment horizontal="center" wrapText="1"/>
    </xf>
    <xf numFmtId="0" fontId="10" fillId="0" borderId="47" xfId="0" applyFont="1" applyBorder="1"/>
    <xf numFmtId="168" fontId="9" fillId="0" borderId="35" xfId="4" applyNumberFormat="1" applyFont="1" applyBorder="1"/>
    <xf numFmtId="168" fontId="11" fillId="0" borderId="35" xfId="4" applyNumberFormat="1" applyFont="1" applyBorder="1"/>
    <xf numFmtId="0" fontId="10" fillId="0" borderId="63" xfId="0" applyFont="1" applyBorder="1"/>
    <xf numFmtId="174" fontId="40" fillId="0" borderId="0" xfId="12" applyNumberFormat="1" applyFont="1"/>
    <xf numFmtId="170" fontId="40" fillId="0" borderId="1" xfId="5" applyNumberFormat="1" applyFont="1" applyFill="1" applyBorder="1" applyAlignment="1"/>
    <xf numFmtId="41" fontId="61" fillId="0" borderId="1" xfId="5" applyFont="1" applyFill="1" applyBorder="1"/>
    <xf numFmtId="170" fontId="40" fillId="0" borderId="1" xfId="5" applyNumberFormat="1" applyFont="1" applyFill="1" applyBorder="1" applyAlignment="1">
      <alignment horizontal="center"/>
    </xf>
    <xf numFmtId="41" fontId="40" fillId="0" borderId="0" xfId="5" applyFont="1" applyBorder="1"/>
    <xf numFmtId="41" fontId="50" fillId="0" borderId="0" xfId="5" applyFont="1" applyBorder="1" applyAlignment="1"/>
    <xf numFmtId="0" fontId="62" fillId="0" borderId="0" xfId="0" applyFont="1" applyBorder="1"/>
    <xf numFmtId="171" fontId="43" fillId="0" borderId="1" xfId="5" applyNumberFormat="1" applyFont="1" applyBorder="1" applyAlignment="1">
      <alignment horizontal="center" vertical="center" wrapText="1"/>
    </xf>
    <xf numFmtId="171" fontId="43" fillId="0" borderId="1" xfId="5" applyNumberFormat="1" applyFont="1" applyBorder="1" applyAlignment="1">
      <alignment horizontal="center" wrapText="1"/>
    </xf>
    <xf numFmtId="173" fontId="18" fillId="0" borderId="1" xfId="4" applyNumberFormat="1" applyFont="1" applyFill="1" applyBorder="1" applyAlignment="1">
      <alignment horizontal="right" vertical="center"/>
    </xf>
    <xf numFmtId="173" fontId="18" fillId="0" borderId="1" xfId="4" applyNumberFormat="1" applyFont="1" applyFill="1" applyBorder="1" applyAlignment="1">
      <alignment horizontal="right"/>
    </xf>
    <xf numFmtId="173" fontId="18" fillId="0" borderId="13" xfId="4" applyNumberFormat="1" applyFont="1" applyBorder="1" applyAlignment="1">
      <alignment horizontal="right"/>
    </xf>
    <xf numFmtId="173" fontId="18" fillId="0" borderId="11" xfId="4" applyNumberFormat="1" applyFont="1" applyBorder="1" applyAlignment="1">
      <alignment horizontal="right"/>
    </xf>
    <xf numFmtId="173" fontId="40" fillId="0" borderId="0" xfId="4" applyNumberFormat="1" applyFont="1"/>
    <xf numFmtId="173" fontId="33" fillId="0" borderId="7" xfId="4" applyNumberFormat="1" applyFont="1" applyBorder="1" applyAlignment="1">
      <alignment horizontal="center" vertical="center"/>
    </xf>
    <xf numFmtId="173" fontId="18" fillId="0" borderId="1" xfId="4" applyNumberFormat="1" applyFont="1" applyBorder="1" applyAlignment="1">
      <alignment vertical="center"/>
    </xf>
    <xf numFmtId="173" fontId="33" fillId="0" borderId="2" xfId="4" applyNumberFormat="1" applyFont="1" applyFill="1" applyBorder="1" applyAlignment="1">
      <alignment vertical="center"/>
    </xf>
    <xf numFmtId="173" fontId="33" fillId="0" borderId="1" xfId="4" applyNumberFormat="1" applyFont="1" applyBorder="1" applyAlignment="1">
      <alignment vertical="center"/>
    </xf>
    <xf numFmtId="173" fontId="33" fillId="0" borderId="0" xfId="4" applyNumberFormat="1" applyFont="1" applyAlignment="1">
      <alignment vertical="center"/>
    </xf>
    <xf numFmtId="173" fontId="40" fillId="0" borderId="0" xfId="4" applyNumberFormat="1" applyFont="1" applyAlignment="1">
      <alignment vertical="center"/>
    </xf>
    <xf numFmtId="173" fontId="33" fillId="0" borderId="11" xfId="4" applyNumberFormat="1" applyFont="1" applyBorder="1" applyAlignment="1">
      <alignment horizontal="center" vertical="center"/>
    </xf>
    <xf numFmtId="173" fontId="33" fillId="0" borderId="12" xfId="4" applyNumberFormat="1" applyFont="1" applyBorder="1" applyAlignment="1">
      <alignment horizontal="center" vertical="center"/>
    </xf>
    <xf numFmtId="173" fontId="33" fillId="0" borderId="2" xfId="4" applyNumberFormat="1" applyFont="1" applyBorder="1" applyAlignment="1">
      <alignment vertical="center"/>
    </xf>
    <xf numFmtId="173" fontId="44" fillId="0" borderId="1" xfId="4" applyNumberFormat="1" applyFont="1" applyBorder="1" applyAlignment="1">
      <alignment horizontal="right" vertical="center"/>
    </xf>
    <xf numFmtId="173" fontId="33" fillId="0" borderId="1" xfId="4" applyNumberFormat="1" applyFont="1" applyBorder="1" applyAlignment="1">
      <alignment horizontal="right" vertical="center"/>
    </xf>
    <xf numFmtId="173" fontId="33" fillId="0" borderId="1" xfId="4" applyNumberFormat="1" applyFont="1" applyBorder="1" applyAlignment="1">
      <alignment horizontal="right"/>
    </xf>
    <xf numFmtId="173" fontId="33" fillId="0" borderId="0" xfId="4" applyNumberFormat="1" applyFont="1" applyBorder="1" applyAlignment="1">
      <alignment horizontal="right"/>
    </xf>
    <xf numFmtId="173" fontId="44" fillId="0" borderId="0" xfId="4" applyNumberFormat="1" applyFont="1" applyAlignment="1">
      <alignment vertical="center"/>
    </xf>
    <xf numFmtId="173" fontId="44" fillId="0" borderId="1" xfId="4" applyNumberFormat="1" applyFont="1" applyFill="1" applyBorder="1" applyAlignment="1">
      <alignment horizontal="right" vertical="center"/>
    </xf>
    <xf numFmtId="173" fontId="44" fillId="0" borderId="1" xfId="4" applyNumberFormat="1" applyFont="1" applyBorder="1" applyAlignment="1">
      <alignment vertical="center"/>
    </xf>
    <xf numFmtId="173" fontId="40" fillId="0" borderId="1" xfId="4" applyNumberFormat="1" applyFont="1" applyBorder="1" applyAlignment="1">
      <alignment vertical="center"/>
    </xf>
    <xf numFmtId="173" fontId="39" fillId="0" borderId="14" xfId="4" applyNumberFormat="1" applyFont="1" applyBorder="1" applyAlignment="1">
      <alignment vertical="center"/>
    </xf>
    <xf numFmtId="173" fontId="33" fillId="0" borderId="2" xfId="4" applyNumberFormat="1" applyFont="1" applyFill="1" applyBorder="1" applyAlignment="1">
      <alignment horizontal="right" vertical="center"/>
    </xf>
    <xf numFmtId="173" fontId="33" fillId="0" borderId="0" xfId="4" applyNumberFormat="1" applyFont="1" applyBorder="1" applyAlignment="1">
      <alignment horizontal="right" vertical="center"/>
    </xf>
    <xf numFmtId="173" fontId="18" fillId="0" borderId="13" xfId="4" applyNumberFormat="1" applyFont="1" applyBorder="1" applyAlignment="1">
      <alignment horizontal="right" vertical="center"/>
    </xf>
    <xf numFmtId="173" fontId="18" fillId="0" borderId="11" xfId="4" applyNumberFormat="1" applyFont="1" applyBorder="1" applyAlignment="1">
      <alignment horizontal="right" vertical="center"/>
    </xf>
    <xf numFmtId="173" fontId="33" fillId="0" borderId="1" xfId="4" applyNumberFormat="1" applyFont="1" applyFill="1" applyBorder="1" applyAlignment="1">
      <alignment horizontal="center" vertical="center" wrapText="1"/>
    </xf>
    <xf numFmtId="173" fontId="33" fillId="0" borderId="0" xfId="4" applyNumberFormat="1" applyFont="1" applyAlignment="1">
      <alignment horizontal="right" vertical="center"/>
    </xf>
    <xf numFmtId="173" fontId="44" fillId="0" borderId="1" xfId="4" applyNumberFormat="1" applyFont="1" applyFill="1" applyBorder="1" applyAlignment="1">
      <alignment horizontal="center" vertical="center"/>
    </xf>
    <xf numFmtId="173" fontId="63" fillId="0" borderId="0" xfId="4" applyNumberFormat="1" applyFont="1"/>
    <xf numFmtId="173" fontId="44" fillId="0" borderId="7" xfId="4" applyNumberFormat="1" applyFont="1" applyBorder="1" applyAlignment="1">
      <alignment horizontal="center" vertical="center"/>
    </xf>
    <xf numFmtId="173" fontId="18" fillId="0" borderId="1" xfId="4" applyNumberFormat="1" applyFont="1" applyFill="1" applyBorder="1" applyAlignment="1">
      <alignment vertical="center"/>
    </xf>
    <xf numFmtId="173" fontId="18" fillId="0" borderId="2" xfId="4" applyNumberFormat="1" applyFont="1" applyFill="1" applyBorder="1" applyAlignment="1">
      <alignment vertical="center"/>
    </xf>
    <xf numFmtId="173" fontId="44" fillId="0" borderId="0" xfId="4" applyNumberFormat="1" applyFont="1" applyBorder="1" applyAlignment="1">
      <alignment vertical="center"/>
    </xf>
    <xf numFmtId="173" fontId="44" fillId="0" borderId="12" xfId="4" applyNumberFormat="1" applyFont="1" applyBorder="1" applyAlignment="1">
      <alignment horizontal="center" vertical="center"/>
    </xf>
    <xf numFmtId="173" fontId="18" fillId="0" borderId="13" xfId="4" applyNumberFormat="1" applyFont="1" applyBorder="1" applyAlignment="1">
      <alignment vertical="center"/>
    </xf>
    <xf numFmtId="173" fontId="18" fillId="0" borderId="11" xfId="4" applyNumberFormat="1" applyFont="1" applyBorder="1" applyAlignment="1">
      <alignment vertical="center"/>
    </xf>
    <xf numFmtId="173" fontId="63" fillId="0" borderId="0" xfId="4" applyNumberFormat="1" applyFont="1" applyAlignment="1">
      <alignment vertical="center"/>
    </xf>
    <xf numFmtId="173" fontId="63" fillId="0" borderId="1" xfId="4" applyNumberFormat="1" applyFont="1" applyBorder="1" applyAlignment="1">
      <alignment vertical="center"/>
    </xf>
    <xf numFmtId="173" fontId="18" fillId="0" borderId="2" xfId="4" applyNumberFormat="1" applyFont="1" applyBorder="1" applyAlignment="1">
      <alignment vertical="center"/>
    </xf>
    <xf numFmtId="173" fontId="18" fillId="0" borderId="2" xfId="4" applyNumberFormat="1" applyFont="1" applyFill="1" applyBorder="1" applyAlignment="1">
      <alignment horizontal="right"/>
    </xf>
    <xf numFmtId="173" fontId="18" fillId="0" borderId="2" xfId="4" applyNumberFormat="1" applyFont="1" applyFill="1" applyBorder="1" applyAlignment="1">
      <alignment horizontal="right" vertical="center"/>
    </xf>
    <xf numFmtId="41" fontId="18" fillId="0" borderId="0" xfId="5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173" fontId="33" fillId="0" borderId="1" xfId="4" applyNumberFormat="1" applyFont="1" applyBorder="1" applyAlignment="1">
      <alignment horizontal="center" vertical="center" wrapText="1"/>
    </xf>
    <xf numFmtId="173" fontId="33" fillId="0" borderId="1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1" fontId="39" fillId="0" borderId="1" xfId="5" applyFont="1" applyBorder="1" applyAlignment="1">
      <alignment horizontal="right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173" fontId="35" fillId="0" borderId="0" xfId="0" applyNumberFormat="1" applyFont="1"/>
    <xf numFmtId="41" fontId="9" fillId="0" borderId="50" xfId="5" applyFont="1" applyBorder="1" applyAlignment="1">
      <alignment horizontal="right"/>
    </xf>
    <xf numFmtId="41" fontId="9" fillId="0" borderId="51" xfId="5" applyFont="1" applyBorder="1" applyAlignment="1">
      <alignment horizontal="right"/>
    </xf>
    <xf numFmtId="41" fontId="9" fillId="0" borderId="52" xfId="5" applyFont="1" applyBorder="1" applyAlignment="1">
      <alignment horizontal="right"/>
    </xf>
    <xf numFmtId="41" fontId="9" fillId="0" borderId="53" xfId="5" applyFont="1" applyBorder="1" applyAlignment="1">
      <alignment horizontal="right"/>
    </xf>
    <xf numFmtId="41" fontId="10" fillId="0" borderId="50" xfId="5" applyFont="1" applyBorder="1" applyAlignment="1">
      <alignment horizontal="right"/>
    </xf>
    <xf numFmtId="41" fontId="10" fillId="0" borderId="51" xfId="5" applyFont="1" applyBorder="1" applyAlignment="1">
      <alignment horizontal="right"/>
    </xf>
    <xf numFmtId="41" fontId="9" fillId="0" borderId="54" xfId="5" applyFont="1" applyBorder="1" applyAlignment="1">
      <alignment horizontal="right"/>
    </xf>
    <xf numFmtId="41" fontId="9" fillId="0" borderId="36" xfId="5" applyFont="1" applyBorder="1" applyAlignment="1">
      <alignment horizontal="right"/>
    </xf>
    <xf numFmtId="41" fontId="9" fillId="0" borderId="12" xfId="5" applyFont="1" applyBorder="1" applyAlignment="1">
      <alignment horizontal="right"/>
    </xf>
    <xf numFmtId="41" fontId="9" fillId="0" borderId="55" xfId="5" applyFont="1" applyBorder="1" applyAlignment="1">
      <alignment horizontal="right"/>
    </xf>
    <xf numFmtId="41" fontId="9" fillId="0" borderId="56" xfId="5" applyFont="1" applyBorder="1" applyAlignment="1">
      <alignment horizontal="right"/>
    </xf>
    <xf numFmtId="41" fontId="9" fillId="0" borderId="57" xfId="5" applyFont="1" applyBorder="1" applyAlignment="1">
      <alignment horizontal="right"/>
    </xf>
    <xf numFmtId="41" fontId="9" fillId="0" borderId="58" xfId="5" applyFont="1" applyBorder="1" applyAlignment="1">
      <alignment horizontal="right"/>
    </xf>
    <xf numFmtId="41" fontId="10" fillId="0" borderId="55" xfId="5" applyFont="1" applyBorder="1" applyAlignment="1">
      <alignment horizontal="right"/>
    </xf>
    <xf numFmtId="41" fontId="10" fillId="0" borderId="62" xfId="5" applyFont="1" applyBorder="1" applyAlignment="1">
      <alignment horizontal="right"/>
    </xf>
    <xf numFmtId="41" fontId="10" fillId="0" borderId="59" xfId="5" applyFont="1" applyBorder="1" applyAlignment="1">
      <alignment horizontal="right"/>
    </xf>
    <xf numFmtId="41" fontId="10" fillId="0" borderId="31" xfId="5" applyFont="1" applyBorder="1" applyAlignment="1">
      <alignment horizontal="right"/>
    </xf>
    <xf numFmtId="41" fontId="10" fillId="0" borderId="16" xfId="5" applyFont="1" applyBorder="1" applyAlignment="1">
      <alignment horizontal="right"/>
    </xf>
    <xf numFmtId="41" fontId="10" fillId="0" borderId="60" xfId="5" applyFont="1" applyBorder="1" applyAlignment="1">
      <alignment horizontal="right"/>
    </xf>
    <xf numFmtId="41" fontId="4" fillId="0" borderId="31" xfId="5" applyFont="1" applyBorder="1" applyAlignment="1">
      <alignment horizontal="right"/>
    </xf>
    <xf numFmtId="41" fontId="4" fillId="0" borderId="17" xfId="5" applyFont="1" applyBorder="1" applyAlignment="1">
      <alignment horizontal="right"/>
    </xf>
    <xf numFmtId="41" fontId="10" fillId="0" borderId="64" xfId="5" applyFont="1" applyBorder="1" applyAlignment="1">
      <alignment horizontal="right"/>
    </xf>
    <xf numFmtId="41" fontId="10" fillId="0" borderId="65" xfId="5" applyFont="1" applyBorder="1" applyAlignment="1">
      <alignment horizontal="right"/>
    </xf>
    <xf numFmtId="41" fontId="4" fillId="0" borderId="65" xfId="5" applyFont="1" applyBorder="1" applyAlignment="1">
      <alignment horizontal="right"/>
    </xf>
    <xf numFmtId="41" fontId="10" fillId="0" borderId="61" xfId="5" applyFont="1" applyBorder="1" applyAlignment="1">
      <alignment horizontal="right"/>
    </xf>
    <xf numFmtId="41" fontId="40" fillId="0" borderId="0" xfId="0" applyNumberFormat="1" applyFont="1" applyAlignment="1">
      <alignment wrapText="1"/>
    </xf>
    <xf numFmtId="172" fontId="40" fillId="0" borderId="1" xfId="5" applyNumberFormat="1" applyFont="1" applyBorder="1" applyAlignment="1">
      <alignment vertical="center"/>
    </xf>
    <xf numFmtId="172" fontId="18" fillId="0" borderId="1" xfId="5" applyNumberFormat="1" applyFont="1" applyBorder="1" applyAlignment="1">
      <alignment vertical="center"/>
    </xf>
    <xf numFmtId="14" fontId="58" fillId="5" borderId="0" xfId="0" applyNumberFormat="1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173" fontId="33" fillId="0" borderId="1" xfId="4" applyNumberFormat="1" applyFont="1" applyBorder="1" applyAlignment="1">
      <alignment horizontal="center" vertical="center" wrapText="1"/>
    </xf>
    <xf numFmtId="173" fontId="33" fillId="0" borderId="1" xfId="4" applyNumberFormat="1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1" fontId="39" fillId="0" borderId="1" xfId="5" applyFont="1" applyBorder="1" applyAlignment="1">
      <alignment horizontal="right" vertical="center" wrapText="1"/>
    </xf>
    <xf numFmtId="0" fontId="39" fillId="0" borderId="15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1" fillId="0" borderId="0" xfId="3" quotePrefix="1" applyFont="1" applyBorder="1" applyAlignment="1">
      <alignment horizontal="center"/>
    </xf>
    <xf numFmtId="0" fontId="41" fillId="0" borderId="0" xfId="3" applyFont="1" applyBorder="1" applyAlignment="1">
      <alignment horizontal="center"/>
    </xf>
  </cellXfs>
  <cellStyles count="17">
    <cellStyle name="Énfasis2 2" xfId="1" xr:uid="{00000000-0005-0000-0000-000003000000}"/>
    <cellStyle name="Excel Built-in Normal" xfId="2" xr:uid="{00000000-0005-0000-0000-000004000000}"/>
    <cellStyle name="Hipervínculo" xfId="3" builtinId="8"/>
    <cellStyle name="Millares" xfId="4" builtinId="3"/>
    <cellStyle name="Millares [0]" xfId="5" builtinId="6"/>
    <cellStyle name="Millares [0] 2" xfId="6" xr:uid="{00000000-0005-0000-0000-000006000000}"/>
    <cellStyle name="Millares [0] 2 2" xfId="7" xr:uid="{00000000-0005-0000-0000-000007000000}"/>
    <cellStyle name="Millares [0] 3" xfId="8" xr:uid="{00000000-0005-0000-0000-000008000000}"/>
    <cellStyle name="Millares 2" xfId="9" xr:uid="{00000000-0005-0000-0000-000009000000}"/>
    <cellStyle name="Millares 2 2" xfId="10" xr:uid="{00000000-0005-0000-0000-00000A000000}"/>
    <cellStyle name="Millares 4" xfId="11" xr:uid="{00000000-0005-0000-0000-00000B000000}"/>
    <cellStyle name="Moneda" xfId="12" builtinId="4"/>
    <cellStyle name="Normal" xfId="0" builtinId="0"/>
    <cellStyle name="Normal 2" xfId="13" xr:uid="{00000000-0005-0000-0000-00000D000000}"/>
    <cellStyle name="Normal 4" xfId="14" xr:uid="{00000000-0005-0000-0000-00000E000000}"/>
    <cellStyle name="Porcentaje 2" xfId="15" xr:uid="{00000000-0005-0000-0000-00000F000000}"/>
    <cellStyle name="Porcentaj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0</xdr:col>
      <xdr:colOff>1276350</xdr:colOff>
      <xdr:row>4</xdr:row>
      <xdr:rowOff>104775</xdr:rowOff>
    </xdr:to>
    <xdr:pic>
      <xdr:nvPicPr>
        <xdr:cNvPr id="1399" name="Imagen 1">
          <a:extLst>
            <a:ext uri="{FF2B5EF4-FFF2-40B4-BE49-F238E27FC236}">
              <a16:creationId xmlns:a16="http://schemas.microsoft.com/office/drawing/2014/main" id="{0D9875D0-4FC1-4477-BF1E-1046333BD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19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38100</xdr:rowOff>
    </xdr:from>
    <xdr:to>
      <xdr:col>1</xdr:col>
      <xdr:colOff>533400</xdr:colOff>
      <xdr:row>4</xdr:row>
      <xdr:rowOff>428625</xdr:rowOff>
    </xdr:to>
    <xdr:pic>
      <xdr:nvPicPr>
        <xdr:cNvPr id="1400" name="Imagen 2">
          <a:extLst>
            <a:ext uri="{FF2B5EF4-FFF2-40B4-BE49-F238E27FC236}">
              <a16:creationId xmlns:a16="http://schemas.microsoft.com/office/drawing/2014/main" id="{61424594-E4C4-4C70-B51F-F94A7D33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695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2886075</xdr:colOff>
      <xdr:row>5</xdr:row>
      <xdr:rowOff>133350</xdr:rowOff>
    </xdr:to>
    <xdr:pic>
      <xdr:nvPicPr>
        <xdr:cNvPr id="10323" name="Imagen 1">
          <a:extLst>
            <a:ext uri="{FF2B5EF4-FFF2-40B4-BE49-F238E27FC236}">
              <a16:creationId xmlns:a16="http://schemas.microsoft.com/office/drawing/2014/main" id="{66604505-ED39-42B1-BC2D-6F3C2BD6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8860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171450</xdr:colOff>
      <xdr:row>4</xdr:row>
      <xdr:rowOff>38100</xdr:rowOff>
    </xdr:to>
    <xdr:pic>
      <xdr:nvPicPr>
        <xdr:cNvPr id="11346" name="Imagen 1">
          <a:extLst>
            <a:ext uri="{FF2B5EF4-FFF2-40B4-BE49-F238E27FC236}">
              <a16:creationId xmlns:a16="http://schemas.microsoft.com/office/drawing/2014/main" id="{E60A3313-AA33-4C0C-A461-594C22E2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704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4</xdr:row>
      <xdr:rowOff>9525</xdr:rowOff>
    </xdr:to>
    <xdr:pic>
      <xdr:nvPicPr>
        <xdr:cNvPr id="12369" name="Imagen 1">
          <a:extLst>
            <a:ext uri="{FF2B5EF4-FFF2-40B4-BE49-F238E27FC236}">
              <a16:creationId xmlns:a16="http://schemas.microsoft.com/office/drawing/2014/main" id="{9C1EA3D8-375B-4EFA-9501-9BE29F9A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47625</xdr:colOff>
      <xdr:row>4</xdr:row>
      <xdr:rowOff>0</xdr:rowOff>
    </xdr:to>
    <xdr:pic>
      <xdr:nvPicPr>
        <xdr:cNvPr id="13392" name="Imagen 1">
          <a:extLst>
            <a:ext uri="{FF2B5EF4-FFF2-40B4-BE49-F238E27FC236}">
              <a16:creationId xmlns:a16="http://schemas.microsoft.com/office/drawing/2014/main" id="{47FB1DE0-8F40-4970-AB15-2C1028B6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1741170</xdr:colOff>
      <xdr:row>3</xdr:row>
      <xdr:rowOff>66675</xdr:rowOff>
    </xdr:to>
    <xdr:pic>
      <xdr:nvPicPr>
        <xdr:cNvPr id="14415" name="Imagen 1">
          <a:extLst>
            <a:ext uri="{FF2B5EF4-FFF2-40B4-BE49-F238E27FC236}">
              <a16:creationId xmlns:a16="http://schemas.microsoft.com/office/drawing/2014/main" id="{7DD1C45D-C329-46CB-9ADF-9438E25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695450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4</xdr:row>
      <xdr:rowOff>0</xdr:rowOff>
    </xdr:to>
    <xdr:pic>
      <xdr:nvPicPr>
        <xdr:cNvPr id="15438" name="Imagen 1">
          <a:extLst>
            <a:ext uri="{FF2B5EF4-FFF2-40B4-BE49-F238E27FC236}">
              <a16:creationId xmlns:a16="http://schemas.microsoft.com/office/drawing/2014/main" id="{E9214D6F-9622-42DF-981A-57DB18F4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409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3</xdr:row>
      <xdr:rowOff>180975</xdr:rowOff>
    </xdr:to>
    <xdr:pic>
      <xdr:nvPicPr>
        <xdr:cNvPr id="16460" name="Imagen 1">
          <a:extLst>
            <a:ext uri="{FF2B5EF4-FFF2-40B4-BE49-F238E27FC236}">
              <a16:creationId xmlns:a16="http://schemas.microsoft.com/office/drawing/2014/main" id="{B7BA4ADB-94A2-4B6C-BE4D-89D22862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657225</xdr:rowOff>
    </xdr:to>
    <xdr:pic>
      <xdr:nvPicPr>
        <xdr:cNvPr id="17483" name="Imagen 1">
          <a:extLst>
            <a:ext uri="{FF2B5EF4-FFF2-40B4-BE49-F238E27FC236}">
              <a16:creationId xmlns:a16="http://schemas.microsoft.com/office/drawing/2014/main" id="{18C8AFB8-4A8A-48C4-995C-53E21268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2</xdr:row>
      <xdr:rowOff>47625</xdr:rowOff>
    </xdr:to>
    <xdr:pic>
      <xdr:nvPicPr>
        <xdr:cNvPr id="18505" name="Imagen 1">
          <a:extLst>
            <a:ext uri="{FF2B5EF4-FFF2-40B4-BE49-F238E27FC236}">
              <a16:creationId xmlns:a16="http://schemas.microsoft.com/office/drawing/2014/main" id="{70CA4686-DB3D-4C03-BABD-6696F969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5</xdr:row>
      <xdr:rowOff>1905</xdr:rowOff>
    </xdr:to>
    <xdr:pic>
      <xdr:nvPicPr>
        <xdr:cNvPr id="19528" name="Imagen 1">
          <a:extLst>
            <a:ext uri="{FF2B5EF4-FFF2-40B4-BE49-F238E27FC236}">
              <a16:creationId xmlns:a16="http://schemas.microsoft.com/office/drawing/2014/main" id="{F5C2748F-8B54-4387-974C-86C8C1D7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1695450</xdr:colOff>
      <xdr:row>2</xdr:row>
      <xdr:rowOff>266700</xdr:rowOff>
    </xdr:to>
    <xdr:pic>
      <xdr:nvPicPr>
        <xdr:cNvPr id="2481" name="Imagen 3">
          <a:extLst>
            <a:ext uri="{FF2B5EF4-FFF2-40B4-BE49-F238E27FC236}">
              <a16:creationId xmlns:a16="http://schemas.microsoft.com/office/drawing/2014/main" id="{18BCBBE6-6098-453C-A502-117EFC82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695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3</xdr:row>
      <xdr:rowOff>238125</xdr:rowOff>
    </xdr:to>
    <xdr:pic>
      <xdr:nvPicPr>
        <xdr:cNvPr id="20551" name="Imagen 1">
          <a:extLst>
            <a:ext uri="{FF2B5EF4-FFF2-40B4-BE49-F238E27FC236}">
              <a16:creationId xmlns:a16="http://schemas.microsoft.com/office/drawing/2014/main" id="{6D16E529-B4BF-4BCE-90A0-9CCA4012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21574" name="Imagen 1">
          <a:extLst>
            <a:ext uri="{FF2B5EF4-FFF2-40B4-BE49-F238E27FC236}">
              <a16:creationId xmlns:a16="http://schemas.microsoft.com/office/drawing/2014/main" id="{8115696D-2F94-499C-A5D7-3762D8A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1323975</xdr:colOff>
      <xdr:row>4</xdr:row>
      <xdr:rowOff>66675</xdr:rowOff>
    </xdr:to>
    <xdr:pic>
      <xdr:nvPicPr>
        <xdr:cNvPr id="22597" name="Imagen 1">
          <a:extLst>
            <a:ext uri="{FF2B5EF4-FFF2-40B4-BE49-F238E27FC236}">
              <a16:creationId xmlns:a16="http://schemas.microsoft.com/office/drawing/2014/main" id="{320D034B-C42E-4587-A473-56CF5213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3</xdr:row>
      <xdr:rowOff>85725</xdr:rowOff>
    </xdr:to>
    <xdr:pic>
      <xdr:nvPicPr>
        <xdr:cNvPr id="23621" name="Imagen 1">
          <a:extLst>
            <a:ext uri="{FF2B5EF4-FFF2-40B4-BE49-F238E27FC236}">
              <a16:creationId xmlns:a16="http://schemas.microsoft.com/office/drawing/2014/main" id="{56530383-5136-4E49-B5F1-CBCC0597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3</xdr:row>
      <xdr:rowOff>9525</xdr:rowOff>
    </xdr:to>
    <xdr:pic>
      <xdr:nvPicPr>
        <xdr:cNvPr id="24643" name="Imagen 1">
          <a:extLst>
            <a:ext uri="{FF2B5EF4-FFF2-40B4-BE49-F238E27FC236}">
              <a16:creationId xmlns:a16="http://schemas.microsoft.com/office/drawing/2014/main" id="{22B065F0-50EC-4B35-83FE-B49760A7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1476375</xdr:colOff>
      <xdr:row>5</xdr:row>
      <xdr:rowOff>0</xdr:rowOff>
    </xdr:to>
    <xdr:pic>
      <xdr:nvPicPr>
        <xdr:cNvPr id="25666" name="Imagen 1">
          <a:extLst>
            <a:ext uri="{FF2B5EF4-FFF2-40B4-BE49-F238E27FC236}">
              <a16:creationId xmlns:a16="http://schemas.microsoft.com/office/drawing/2014/main" id="{87063D90-B8D4-4163-A934-4892045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3</xdr:row>
      <xdr:rowOff>161925</xdr:rowOff>
    </xdr:to>
    <xdr:pic>
      <xdr:nvPicPr>
        <xdr:cNvPr id="26689" name="Imagen 1">
          <a:extLst>
            <a:ext uri="{FF2B5EF4-FFF2-40B4-BE49-F238E27FC236}">
              <a16:creationId xmlns:a16="http://schemas.microsoft.com/office/drawing/2014/main" id="{BCF54EF3-00C9-47CD-B5F3-726CFFFD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304800</xdr:colOff>
      <xdr:row>4</xdr:row>
      <xdr:rowOff>47625</xdr:rowOff>
    </xdr:to>
    <xdr:pic>
      <xdr:nvPicPr>
        <xdr:cNvPr id="4188" name="Imagen 1">
          <a:extLst>
            <a:ext uri="{FF2B5EF4-FFF2-40B4-BE49-F238E27FC236}">
              <a16:creationId xmlns:a16="http://schemas.microsoft.com/office/drawing/2014/main" id="{8A40C65A-91D0-431C-A049-6C54C3E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828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4</xdr:col>
      <xdr:colOff>1543050</xdr:colOff>
      <xdr:row>1</xdr:row>
      <xdr:rowOff>419100</xdr:rowOff>
    </xdr:to>
    <xdr:pic>
      <xdr:nvPicPr>
        <xdr:cNvPr id="3163" name="Imagen 1">
          <a:extLst>
            <a:ext uri="{FF2B5EF4-FFF2-40B4-BE49-F238E27FC236}">
              <a16:creationId xmlns:a16="http://schemas.microsoft.com/office/drawing/2014/main" id="{902DCCCD-06F0-4A88-B1A0-8665EBD1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1943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1618192</xdr:colOff>
      <xdr:row>4</xdr:row>
      <xdr:rowOff>104775</xdr:rowOff>
    </xdr:to>
    <xdr:pic>
      <xdr:nvPicPr>
        <xdr:cNvPr id="5210" name="Imagen 1">
          <a:extLst>
            <a:ext uri="{FF2B5EF4-FFF2-40B4-BE49-F238E27FC236}">
              <a16:creationId xmlns:a16="http://schemas.microsoft.com/office/drawing/2014/main" id="{4A40320B-A5C4-4A85-BDA6-B871B0E1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33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28575</xdr:rowOff>
    </xdr:to>
    <xdr:pic>
      <xdr:nvPicPr>
        <xdr:cNvPr id="6233" name="Imagen 1">
          <a:extLst>
            <a:ext uri="{FF2B5EF4-FFF2-40B4-BE49-F238E27FC236}">
              <a16:creationId xmlns:a16="http://schemas.microsoft.com/office/drawing/2014/main" id="{4804F382-0C48-4D22-93C6-F7A5874A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3</xdr:row>
      <xdr:rowOff>38100</xdr:rowOff>
    </xdr:to>
    <xdr:pic>
      <xdr:nvPicPr>
        <xdr:cNvPr id="7256" name="Imagen 1">
          <a:extLst>
            <a:ext uri="{FF2B5EF4-FFF2-40B4-BE49-F238E27FC236}">
              <a16:creationId xmlns:a16="http://schemas.microsoft.com/office/drawing/2014/main" id="{AEA707C4-A908-473D-B0EF-4DBDC083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4</xdr:row>
      <xdr:rowOff>28575</xdr:rowOff>
    </xdr:to>
    <xdr:pic>
      <xdr:nvPicPr>
        <xdr:cNvPr id="8281" name="Imagen 1">
          <a:extLst>
            <a:ext uri="{FF2B5EF4-FFF2-40B4-BE49-F238E27FC236}">
              <a16:creationId xmlns:a16="http://schemas.microsoft.com/office/drawing/2014/main" id="{9CBADE62-5C40-47BE-9C4E-468D4AE2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2238375</xdr:colOff>
      <xdr:row>5</xdr:row>
      <xdr:rowOff>38100</xdr:rowOff>
    </xdr:to>
    <xdr:pic>
      <xdr:nvPicPr>
        <xdr:cNvPr id="9300" name="Imagen 1">
          <a:extLst>
            <a:ext uri="{FF2B5EF4-FFF2-40B4-BE49-F238E27FC236}">
              <a16:creationId xmlns:a16="http://schemas.microsoft.com/office/drawing/2014/main" id="{D09794AD-84D0-4D69-82CB-CDDD4C8E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2238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OneDrive/Desktop/In%20Po/INVESTOR%20INFORME%20TRIMESTRAL/JUNIO%202020/Conciliaciones%20a%20Junio%202020/Informe%20Junio%20ICBSA/CNV%202do%20TRIMESTRE%202020/Balance%20Junio%2027.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dd5c60d5-5f14-4bf6-a135-2aa5c11bc889/0.Balance%20para%20EEFF%203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ORREGIDO"/>
      <sheetName val="SISTEMA"/>
    </sheetNames>
    <sheetDataSet>
      <sheetData sheetId="0" refreshError="1">
        <row r="97">
          <cell r="O97">
            <v>224678708</v>
          </cell>
        </row>
        <row r="245">
          <cell r="O245">
            <v>900000</v>
          </cell>
        </row>
        <row r="246">
          <cell r="O246">
            <v>-900000</v>
          </cell>
        </row>
        <row r="248">
          <cell r="O248">
            <v>-50568391</v>
          </cell>
        </row>
        <row r="250">
          <cell r="O250">
            <v>-782729508</v>
          </cell>
        </row>
        <row r="251">
          <cell r="O251">
            <v>27866433</v>
          </cell>
        </row>
        <row r="252">
          <cell r="O252">
            <v>-17943378</v>
          </cell>
        </row>
        <row r="254">
          <cell r="O254">
            <v>-28214673</v>
          </cell>
        </row>
        <row r="323">
          <cell r="O323">
            <v>24288000001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Gral. Resol. 6"/>
      <sheetName val="Estado de Resultado Resol. 6"/>
      <sheetName val="Flujo de Efectivo Resol. Res 6"/>
      <sheetName val="Estado de Variacion PN "/>
      <sheetName val="CALCULO FLUJO"/>
    </sheetNames>
    <sheetDataSet>
      <sheetData sheetId="0"/>
      <sheetData sheetId="1">
        <row r="55">
          <cell r="G55">
            <v>0</v>
          </cell>
        </row>
        <row r="56">
          <cell r="G56">
            <v>24288000001</v>
          </cell>
        </row>
        <row r="67">
          <cell r="G67">
            <v>6831863252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\Users\sadypereira\OneDrive%20-%20Inpositiva\Investor%20SA\Contabilidad\Balances%20Impositivos%20Anuales%20y%20DDJJ\BALANCE%20SEMESTRAL%20plantilla.dot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69"/>
  <sheetViews>
    <sheetView showGridLines="0" zoomScale="120" zoomScaleNormal="120" workbookViewId="0">
      <selection activeCell="B8" sqref="B8"/>
    </sheetView>
  </sheetViews>
  <sheetFormatPr baseColWidth="10" defaultColWidth="11.33203125" defaultRowHeight="13.2" x14ac:dyDescent="0.25"/>
  <cols>
    <col min="1" max="1" width="21.33203125" style="12" bestFit="1" customWidth="1"/>
    <col min="2" max="2" width="10.109375" style="12" bestFit="1" customWidth="1"/>
    <col min="3" max="3" width="43.88671875" style="12" customWidth="1"/>
    <col min="4" max="4" width="38.44140625" style="15" bestFit="1" customWidth="1"/>
    <col min="5" max="5" width="49.88671875" style="12" bestFit="1" customWidth="1"/>
    <col min="6" max="6" width="6.6640625" style="12" bestFit="1" customWidth="1"/>
    <col min="7" max="16384" width="11.33203125" style="12"/>
  </cols>
  <sheetData>
    <row r="1" spans="1:20" x14ac:dyDescent="0.25">
      <c r="B1" s="33"/>
      <c r="C1" s="409" t="s">
        <v>0</v>
      </c>
      <c r="D1" s="12"/>
    </row>
    <row r="2" spans="1:20" x14ac:dyDescent="0.25">
      <c r="C2" s="409" t="s">
        <v>1</v>
      </c>
      <c r="S2" s="12">
        <v>1</v>
      </c>
      <c r="T2" s="12" t="s">
        <v>2</v>
      </c>
    </row>
    <row r="3" spans="1:20" x14ac:dyDescent="0.25">
      <c r="S3" s="12">
        <v>2</v>
      </c>
      <c r="T3" s="12" t="s">
        <v>3</v>
      </c>
    </row>
    <row r="4" spans="1:20" x14ac:dyDescent="0.25">
      <c r="S4" s="12">
        <v>3</v>
      </c>
      <c r="T4" s="12" t="s">
        <v>4</v>
      </c>
    </row>
    <row r="5" spans="1:20" ht="36.9" customHeight="1" x14ac:dyDescent="0.25">
      <c r="S5" s="12">
        <v>4</v>
      </c>
      <c r="T5" s="12" t="s">
        <v>5</v>
      </c>
    </row>
    <row r="6" spans="1:20" ht="69.900000000000006" customHeight="1" x14ac:dyDescent="0.25">
      <c r="A6" s="33" t="s">
        <v>6</v>
      </c>
      <c r="B6" s="451" t="s">
        <v>7</v>
      </c>
      <c r="C6" s="451"/>
      <c r="S6" s="12">
        <v>5</v>
      </c>
      <c r="T6" s="12" t="s">
        <v>8</v>
      </c>
    </row>
    <row r="7" spans="1:20" ht="12.75" hidden="1" customHeight="1" x14ac:dyDescent="0.25">
      <c r="A7" s="32"/>
      <c r="B7" s="32"/>
      <c r="C7" s="32"/>
      <c r="D7" s="31"/>
      <c r="S7" s="12">
        <v>6</v>
      </c>
      <c r="T7" s="12" t="s">
        <v>9</v>
      </c>
    </row>
    <row r="8" spans="1:20" x14ac:dyDescent="0.25">
      <c r="A8" s="30"/>
      <c r="S8" s="12">
        <v>7</v>
      </c>
      <c r="T8" s="12" t="s">
        <v>10</v>
      </c>
    </row>
    <row r="9" spans="1:20" ht="26.25" customHeight="1" x14ac:dyDescent="0.25">
      <c r="B9" s="29"/>
      <c r="C9" s="28" t="s">
        <v>11</v>
      </c>
      <c r="D9" s="27" t="s">
        <v>12</v>
      </c>
      <c r="S9" s="12">
        <v>8</v>
      </c>
      <c r="T9" s="12" t="s">
        <v>13</v>
      </c>
    </row>
    <row r="10" spans="1:20" ht="26.25" customHeight="1" x14ac:dyDescent="0.25">
      <c r="B10" s="23" t="s">
        <v>14</v>
      </c>
      <c r="C10" s="36"/>
      <c r="D10" s="45" t="s">
        <v>15</v>
      </c>
    </row>
    <row r="11" spans="1:20" ht="26.25" customHeight="1" x14ac:dyDescent="0.25">
      <c r="B11" s="21"/>
      <c r="C11" s="36"/>
      <c r="D11" s="25"/>
    </row>
    <row r="12" spans="1:20" ht="26.25" customHeight="1" x14ac:dyDescent="0.25">
      <c r="B12" s="23" t="s">
        <v>16</v>
      </c>
      <c r="C12" s="26"/>
      <c r="D12" s="25"/>
      <c r="S12" s="12">
        <v>9</v>
      </c>
      <c r="T12" s="12" t="s">
        <v>17</v>
      </c>
    </row>
    <row r="13" spans="1:20" ht="14.4" x14ac:dyDescent="0.3">
      <c r="A13" s="15"/>
      <c r="B13" s="21"/>
      <c r="C13" s="12" t="s">
        <v>18</v>
      </c>
      <c r="D13" s="22" t="s">
        <v>19</v>
      </c>
      <c r="S13" s="12">
        <v>10</v>
      </c>
      <c r="T13" s="12" t="s">
        <v>20</v>
      </c>
    </row>
    <row r="14" spans="1:20" ht="14.4" x14ac:dyDescent="0.3">
      <c r="A14" s="15"/>
      <c r="B14" s="21"/>
      <c r="C14" s="12" t="s">
        <v>21</v>
      </c>
      <c r="D14" s="22" t="s">
        <v>22</v>
      </c>
      <c r="S14" s="12">
        <v>11</v>
      </c>
      <c r="T14" s="12" t="s">
        <v>23</v>
      </c>
    </row>
    <row r="15" spans="1:20" ht="14.4" x14ac:dyDescent="0.3">
      <c r="A15" s="15"/>
      <c r="B15" s="21"/>
      <c r="C15" s="12" t="s">
        <v>24</v>
      </c>
      <c r="D15" s="22" t="s">
        <v>25</v>
      </c>
    </row>
    <row r="16" spans="1:20" ht="14.4" x14ac:dyDescent="0.3">
      <c r="A16" s="15"/>
      <c r="B16" s="21"/>
      <c r="C16" s="12" t="s">
        <v>26</v>
      </c>
      <c r="D16" s="22" t="s">
        <v>22</v>
      </c>
    </row>
    <row r="17" spans="1:20" ht="14.4" x14ac:dyDescent="0.3">
      <c r="A17" s="15"/>
      <c r="B17" s="21"/>
      <c r="C17" s="12" t="s">
        <v>27</v>
      </c>
      <c r="D17" s="22" t="s">
        <v>28</v>
      </c>
    </row>
    <row r="18" spans="1:20" ht="14.4" x14ac:dyDescent="0.3">
      <c r="A18" s="15"/>
      <c r="B18" s="21"/>
      <c r="C18" s="12" t="s">
        <v>29</v>
      </c>
      <c r="D18" s="22" t="s">
        <v>30</v>
      </c>
    </row>
    <row r="19" spans="1:20" ht="14.4" x14ac:dyDescent="0.3">
      <c r="A19" s="15"/>
      <c r="B19" s="21"/>
      <c r="C19" s="12" t="s">
        <v>31</v>
      </c>
      <c r="D19" s="22" t="s">
        <v>32</v>
      </c>
    </row>
    <row r="20" spans="1:20" ht="14.4" x14ac:dyDescent="0.3">
      <c r="A20" s="15"/>
      <c r="B20" s="21"/>
      <c r="C20" s="12" t="s">
        <v>33</v>
      </c>
      <c r="D20" s="22"/>
    </row>
    <row r="21" spans="1:20" ht="14.4" x14ac:dyDescent="0.3">
      <c r="A21" s="15"/>
      <c r="B21" s="21"/>
      <c r="C21" s="12" t="s">
        <v>34</v>
      </c>
      <c r="D21" s="22"/>
    </row>
    <row r="22" spans="1:20" ht="14.4" x14ac:dyDescent="0.3">
      <c r="A22" s="15"/>
      <c r="B22" s="21"/>
      <c r="C22" s="12" t="s">
        <v>35</v>
      </c>
      <c r="D22" s="22"/>
    </row>
    <row r="23" spans="1:20" ht="14.4" x14ac:dyDescent="0.3">
      <c r="A23" s="15"/>
      <c r="B23" s="21"/>
      <c r="D23" s="22"/>
    </row>
    <row r="24" spans="1:20" ht="14.4" x14ac:dyDescent="0.3">
      <c r="A24" s="15"/>
      <c r="B24" s="23" t="s">
        <v>36</v>
      </c>
      <c r="D24" s="20"/>
      <c r="S24" s="12">
        <v>12</v>
      </c>
      <c r="T24" s="12" t="s">
        <v>37</v>
      </c>
    </row>
    <row r="25" spans="1:20" x14ac:dyDescent="0.25">
      <c r="A25" s="15"/>
      <c r="B25" s="21"/>
    </row>
    <row r="26" spans="1:20" ht="14.4" x14ac:dyDescent="0.3">
      <c r="A26" s="15"/>
      <c r="B26" s="21"/>
      <c r="C26" s="38" t="s">
        <v>38</v>
      </c>
      <c r="D26" s="22" t="s">
        <v>39</v>
      </c>
    </row>
    <row r="27" spans="1:20" ht="14.4" x14ac:dyDescent="0.3">
      <c r="A27" s="15"/>
      <c r="B27" s="21"/>
      <c r="C27" s="38" t="s">
        <v>40</v>
      </c>
      <c r="D27" s="22" t="s">
        <v>39</v>
      </c>
    </row>
    <row r="28" spans="1:20" ht="14.4" x14ac:dyDescent="0.3">
      <c r="A28" s="15"/>
      <c r="B28" s="21"/>
      <c r="C28" s="38" t="s">
        <v>41</v>
      </c>
      <c r="D28" s="22" t="s">
        <v>39</v>
      </c>
    </row>
    <row r="29" spans="1:20" ht="14.4" x14ac:dyDescent="0.3">
      <c r="A29" s="15"/>
      <c r="B29" s="21"/>
      <c r="C29" s="38" t="s">
        <v>42</v>
      </c>
      <c r="D29" s="22" t="s">
        <v>39</v>
      </c>
    </row>
    <row r="30" spans="1:20" x14ac:dyDescent="0.25">
      <c r="A30" s="15"/>
      <c r="B30" s="21"/>
      <c r="C30" s="38" t="s">
        <v>43</v>
      </c>
      <c r="D30" s="24"/>
    </row>
    <row r="31" spans="1:20" ht="14.4" x14ac:dyDescent="0.25">
      <c r="A31" s="15"/>
      <c r="B31" s="21"/>
      <c r="C31" s="12" t="s">
        <v>44</v>
      </c>
      <c r="D31" s="37" t="s">
        <v>45</v>
      </c>
    </row>
    <row r="32" spans="1:20" ht="14.4" x14ac:dyDescent="0.25">
      <c r="A32" s="15"/>
      <c r="B32" s="21"/>
      <c r="C32" s="12" t="s">
        <v>46</v>
      </c>
      <c r="D32" s="37" t="s">
        <v>45</v>
      </c>
    </row>
    <row r="33" spans="1:4" ht="14.4" x14ac:dyDescent="0.25">
      <c r="A33" s="15"/>
      <c r="B33" s="21"/>
      <c r="C33" s="12" t="s">
        <v>47</v>
      </c>
      <c r="D33" s="37" t="s">
        <v>45</v>
      </c>
    </row>
    <row r="34" spans="1:4" ht="14.4" x14ac:dyDescent="0.3">
      <c r="A34" s="15"/>
      <c r="B34" s="21"/>
      <c r="C34" s="12" t="s">
        <v>48</v>
      </c>
      <c r="D34" s="22" t="s">
        <v>49</v>
      </c>
    </row>
    <row r="35" spans="1:4" ht="14.4" x14ac:dyDescent="0.3">
      <c r="A35" s="15"/>
      <c r="B35" s="21"/>
      <c r="C35" s="12" t="s">
        <v>50</v>
      </c>
      <c r="D35" s="22" t="s">
        <v>51</v>
      </c>
    </row>
    <row r="36" spans="1:4" ht="14.4" x14ac:dyDescent="0.3">
      <c r="A36" s="15"/>
      <c r="B36" s="21"/>
      <c r="C36" s="12" t="s">
        <v>52</v>
      </c>
      <c r="D36" s="22" t="s">
        <v>53</v>
      </c>
    </row>
    <row r="37" spans="1:4" ht="14.4" x14ac:dyDescent="0.3">
      <c r="A37" s="15"/>
      <c r="B37" s="21"/>
      <c r="C37" s="12" t="s">
        <v>54</v>
      </c>
      <c r="D37" s="22" t="s">
        <v>55</v>
      </c>
    </row>
    <row r="38" spans="1:4" ht="14.4" x14ac:dyDescent="0.3">
      <c r="A38" s="15"/>
      <c r="B38" s="21"/>
      <c r="C38" s="12" t="s">
        <v>56</v>
      </c>
      <c r="D38" s="22" t="s">
        <v>57</v>
      </c>
    </row>
    <row r="39" spans="1:4" ht="14.4" x14ac:dyDescent="0.3">
      <c r="A39" s="15"/>
      <c r="B39" s="21"/>
      <c r="C39" s="12" t="s">
        <v>58</v>
      </c>
      <c r="D39" s="22" t="s">
        <v>59</v>
      </c>
    </row>
    <row r="40" spans="1:4" ht="14.4" x14ac:dyDescent="0.3">
      <c r="A40" s="15"/>
      <c r="B40" s="21"/>
      <c r="C40" s="12" t="s">
        <v>60</v>
      </c>
      <c r="D40" s="34" t="s">
        <v>61</v>
      </c>
    </row>
    <row r="41" spans="1:4" ht="14.4" x14ac:dyDescent="0.3">
      <c r="A41" s="15"/>
      <c r="B41" s="21"/>
      <c r="C41" s="12" t="s">
        <v>62</v>
      </c>
      <c r="D41" s="22" t="s">
        <v>63</v>
      </c>
    </row>
    <row r="42" spans="1:4" ht="14.4" x14ac:dyDescent="0.3">
      <c r="A42" s="15"/>
      <c r="B42" s="21"/>
      <c r="C42" s="12" t="s">
        <v>64</v>
      </c>
      <c r="D42" s="22" t="s">
        <v>65</v>
      </c>
    </row>
    <row r="43" spans="1:4" ht="14.4" x14ac:dyDescent="0.3">
      <c r="A43" s="15"/>
      <c r="B43" s="21"/>
      <c r="C43" s="12" t="s">
        <v>66</v>
      </c>
      <c r="D43" s="22" t="s">
        <v>67</v>
      </c>
    </row>
    <row r="44" spans="1:4" ht="14.4" x14ac:dyDescent="0.3">
      <c r="A44" s="15"/>
      <c r="B44" s="21"/>
      <c r="C44" s="12" t="s">
        <v>68</v>
      </c>
      <c r="D44" s="22" t="s">
        <v>67</v>
      </c>
    </row>
    <row r="45" spans="1:4" ht="14.4" x14ac:dyDescent="0.3">
      <c r="A45" s="15"/>
      <c r="B45" s="21"/>
      <c r="C45" s="12" t="s">
        <v>69</v>
      </c>
      <c r="D45" s="22" t="s">
        <v>67</v>
      </c>
    </row>
    <row r="46" spans="1:4" ht="14.4" x14ac:dyDescent="0.3">
      <c r="A46" s="15"/>
      <c r="B46" s="21"/>
      <c r="C46" s="12" t="s">
        <v>70</v>
      </c>
      <c r="D46" s="22" t="s">
        <v>67</v>
      </c>
    </row>
    <row r="47" spans="1:4" ht="14.4" x14ac:dyDescent="0.3">
      <c r="A47" s="15"/>
      <c r="B47" s="21"/>
      <c r="C47" s="12" t="s">
        <v>71</v>
      </c>
      <c r="D47" s="22" t="s">
        <v>67</v>
      </c>
    </row>
    <row r="48" spans="1:4" ht="14.4" x14ac:dyDescent="0.3">
      <c r="A48" s="15"/>
      <c r="B48" s="21"/>
      <c r="C48" s="12" t="s">
        <v>72</v>
      </c>
      <c r="D48" s="22" t="s">
        <v>73</v>
      </c>
    </row>
    <row r="49" spans="1:4" ht="14.4" x14ac:dyDescent="0.3">
      <c r="A49" s="15"/>
      <c r="B49" s="21"/>
      <c r="C49" s="12" t="s">
        <v>74</v>
      </c>
      <c r="D49" s="22" t="s">
        <v>75</v>
      </c>
    </row>
    <row r="50" spans="1:4" ht="14.4" x14ac:dyDescent="0.3">
      <c r="A50" s="15"/>
      <c r="B50" s="21"/>
      <c r="C50" s="12" t="s">
        <v>76</v>
      </c>
      <c r="D50" s="22" t="s">
        <v>77</v>
      </c>
    </row>
    <row r="51" spans="1:4" ht="14.4" x14ac:dyDescent="0.3">
      <c r="A51" s="15"/>
      <c r="B51" s="21"/>
      <c r="C51" s="12" t="s">
        <v>78</v>
      </c>
      <c r="D51" s="22" t="s">
        <v>77</v>
      </c>
    </row>
    <row r="52" spans="1:4" ht="14.4" x14ac:dyDescent="0.3">
      <c r="A52" s="15"/>
      <c r="B52" s="21"/>
      <c r="C52" s="12" t="s">
        <v>79</v>
      </c>
      <c r="D52" s="22" t="s">
        <v>80</v>
      </c>
    </row>
    <row r="53" spans="1:4" ht="14.4" x14ac:dyDescent="0.3">
      <c r="A53" s="15"/>
      <c r="B53" s="23"/>
      <c r="C53" s="12" t="s">
        <v>81</v>
      </c>
      <c r="D53" s="22" t="s">
        <v>82</v>
      </c>
    </row>
    <row r="54" spans="1:4" ht="14.4" x14ac:dyDescent="0.3">
      <c r="A54" s="15"/>
      <c r="B54" s="21"/>
      <c r="C54" s="12" t="s">
        <v>83</v>
      </c>
      <c r="D54" s="22" t="s">
        <v>84</v>
      </c>
    </row>
    <row r="55" spans="1:4" ht="14.4" x14ac:dyDescent="0.3">
      <c r="A55" s="15"/>
      <c r="B55" s="21"/>
      <c r="C55" s="12" t="s">
        <v>85</v>
      </c>
      <c r="D55" s="22" t="s">
        <v>86</v>
      </c>
    </row>
    <row r="56" spans="1:4" ht="14.4" x14ac:dyDescent="0.3">
      <c r="A56" s="15"/>
      <c r="B56" s="21"/>
      <c r="C56" s="12" t="s">
        <v>87</v>
      </c>
      <c r="D56" s="22" t="s">
        <v>88</v>
      </c>
    </row>
    <row r="57" spans="1:4" ht="14.4" x14ac:dyDescent="0.3">
      <c r="A57" s="15"/>
      <c r="B57" s="21"/>
      <c r="D57" s="22"/>
    </row>
    <row r="58" spans="1:4" ht="14.4" x14ac:dyDescent="0.3">
      <c r="A58" s="15"/>
      <c r="B58" s="21"/>
      <c r="C58" s="38" t="s">
        <v>89</v>
      </c>
      <c r="D58" s="39" t="s">
        <v>90</v>
      </c>
    </row>
    <row r="59" spans="1:4" ht="14.4" x14ac:dyDescent="0.3">
      <c r="A59" s="15"/>
      <c r="B59" s="21"/>
      <c r="C59" s="12" t="s">
        <v>91</v>
      </c>
      <c r="D59" s="22"/>
    </row>
    <row r="60" spans="1:4" ht="14.4" x14ac:dyDescent="0.3">
      <c r="A60" s="15"/>
      <c r="B60" s="21"/>
      <c r="C60" s="12" t="s">
        <v>92</v>
      </c>
      <c r="D60" s="22"/>
    </row>
    <row r="61" spans="1:4" ht="14.4" x14ac:dyDescent="0.3">
      <c r="A61" s="15"/>
      <c r="B61" s="21"/>
      <c r="C61" s="12" t="s">
        <v>93</v>
      </c>
      <c r="D61" s="22"/>
    </row>
    <row r="62" spans="1:4" ht="14.4" x14ac:dyDescent="0.3">
      <c r="A62" s="15"/>
      <c r="B62" s="21"/>
      <c r="C62" s="12" t="s">
        <v>94</v>
      </c>
      <c r="D62" s="22"/>
    </row>
    <row r="63" spans="1:4" ht="14.4" x14ac:dyDescent="0.3">
      <c r="A63" s="15"/>
      <c r="B63" s="21"/>
      <c r="C63" s="12" t="s">
        <v>95</v>
      </c>
      <c r="D63" s="22"/>
    </row>
    <row r="64" spans="1:4" ht="14.4" x14ac:dyDescent="0.3">
      <c r="A64" s="15"/>
      <c r="B64" s="21"/>
      <c r="C64" s="12" t="s">
        <v>96</v>
      </c>
      <c r="D64" s="22"/>
    </row>
    <row r="65" spans="1:4" ht="14.4" x14ac:dyDescent="0.3">
      <c r="A65" s="15"/>
      <c r="B65" s="21"/>
      <c r="C65" s="12" t="s">
        <v>97</v>
      </c>
      <c r="D65" s="22"/>
    </row>
    <row r="66" spans="1:4" ht="14.4" x14ac:dyDescent="0.3">
      <c r="A66" s="15"/>
      <c r="B66" s="21"/>
      <c r="C66" s="12" t="s">
        <v>98</v>
      </c>
      <c r="D66" s="22"/>
    </row>
    <row r="67" spans="1:4" ht="14.4" x14ac:dyDescent="0.3">
      <c r="A67" s="15"/>
      <c r="B67" s="21"/>
      <c r="D67" s="22"/>
    </row>
    <row r="68" spans="1:4" ht="14.4" x14ac:dyDescent="0.25">
      <c r="A68" s="15"/>
      <c r="B68" s="19"/>
      <c r="C68" s="18"/>
      <c r="D68" s="17"/>
    </row>
    <row r="69" spans="1:4" ht="21" customHeight="1" x14ac:dyDescent="0.25">
      <c r="A69" s="13"/>
      <c r="D69" s="16"/>
    </row>
  </sheetData>
  <mergeCells count="1">
    <mergeCell ref="B6:C6"/>
  </mergeCells>
  <hyperlinks>
    <hyperlink ref="D13" location="'Balance Gral. Resol. 1'!A1" display="'Balance Gral. Resol. 1'!A1" xr:uid="{00000000-0004-0000-0000-000000000000}"/>
    <hyperlink ref="D14" location="'Estado de Resultado Resol. 1'!A1" display="'Estado de Resultado Resol. 1'!A1" xr:uid="{00000000-0004-0000-0000-000001000000}"/>
    <hyperlink ref="D15" location="'Flujo de Efectivo Resol. 950'!A1" display="'Flujo de Efectivo Resol. 950'!A1" xr:uid="{00000000-0004-0000-0000-000002000000}"/>
    <hyperlink ref="D16" location="'Estado de Resultado Resol. 1'!A1" display="'Estado de Resultado Resol. 1'!A1" xr:uid="{00000000-0004-0000-0000-000003000000}"/>
    <hyperlink ref="D17" location="'CALCULO DE IRACIS (2019)'!A1" display="'CALCULO DE IRACIS (2019)'!A1" xr:uid="{00000000-0004-0000-0000-000004000000}"/>
    <hyperlink ref="D18" location="'Balance Final 15'!A1" display="'Balance Final 15'!A1" xr:uid="{00000000-0004-0000-0000-000005000000}"/>
    <hyperlink ref="D19" location="'2018 (2)'!A1" display="'2018 (2)'!A1" xr:uid="{00000000-0004-0000-0000-000006000000}"/>
    <hyperlink ref="D31" location="'NOTA 5 A-C CRITERIOS ESPECIF.'!A1" display="'NOTA 5 A-C CRITERIOS ESPECIF.'!A1" xr:uid="{00000000-0004-0000-0000-000007000000}"/>
    <hyperlink ref="D32" location="'NOTA 5 A-C CRITERIOS ESPECIF.'!A1" display="'NOTA 5 A-C CRITERIOS ESPECIF.'!A1" xr:uid="{00000000-0004-0000-0000-000008000000}"/>
    <hyperlink ref="D33" location="'NOTA 5 A-C CRITERIOS ESPECIF.'!A1" display="'NOTA 5 A-C CRITERIOS ESPECIF.'!A1" xr:uid="{00000000-0004-0000-0000-000009000000}"/>
    <hyperlink ref="D34" location="'NOTA D - DISPONIBILIDADES'!A1" display="'NOTA D - DISPONIBILIDADES'!A1" xr:uid="{00000000-0004-0000-0000-00000A000000}"/>
    <hyperlink ref="D35" location="'NOTA E - INVERSIONES'!A1" display="'NOTA E - INVERSIONES'!A1" xr:uid="{00000000-0004-0000-0000-00000B000000}"/>
    <hyperlink ref="D36" location="'NOTA F - CREDITOS'!A1" display="'NOTA F - CREDITOS'!A1" xr:uid="{00000000-0004-0000-0000-00000C000000}"/>
    <hyperlink ref="D37" location="'NOTA G BIENES DE USO'!A1" display="'NOTA G BIENES DE USO'!A1" xr:uid="{00000000-0004-0000-0000-00000D000000}"/>
    <hyperlink ref="D38" location="'NOTA H CARGOS DIFERIDOS'!A1" display="'NOTA H CARGOS DIFERIDOS'!A1" xr:uid="{00000000-0004-0000-0000-00000E000000}"/>
    <hyperlink ref="D39" location="' NOTA I INTANGIBLES'!A1" display="' NOTA I INTANGIBLES'!A1" xr:uid="{00000000-0004-0000-0000-00000F000000}"/>
    <hyperlink ref="D40" location="'NOTA J OTROS ACTIVOS CTES Y NO '!A1" display="'NOTA J OTROS ACTIVOS CTES Y NO '!A1" xr:uid="{00000000-0004-0000-0000-000010000000}"/>
    <hyperlink ref="D41" location="'NOTA K PRESTAMOS'!A1" display="'NOTA K PRESTAMOS'!A1" xr:uid="{00000000-0004-0000-0000-000011000000}"/>
    <hyperlink ref="D42" location="'NOTA L DOCUMENTOS Y CTAS A PAGA'!A1" display="'NOTA L DOCUMENTOS Y CTAS A PAGA'!A1" xr:uid="{00000000-0004-0000-0000-000012000000}"/>
    <hyperlink ref="D43" location="'NOTAS M-Q ACREEDORES CTO PLAZO'!A1" display="'NOTAS M-Q ACREEDORES CTO PLAZO'!A1" xr:uid="{00000000-0004-0000-0000-000013000000}"/>
    <hyperlink ref="D44" location="'NOTAS M-Q ACREEDORES CTO PLAZO'!A1" display="'NOTAS M-Q ACREEDORES CTO PLAZO'!A1" xr:uid="{00000000-0004-0000-0000-000014000000}"/>
    <hyperlink ref="D45" location="'NOTAS M-Q ACREEDORES CTO PLAZO'!A1" display="'NOTAS M-Q ACREEDORES CTO PLAZO'!A1" xr:uid="{00000000-0004-0000-0000-000015000000}"/>
    <hyperlink ref="D46" location="'NOTAS M-Q ACREEDORES CTO PLAZO'!A1" display="'NOTAS M-Q ACREEDORES CTO PLAZO'!A1" xr:uid="{00000000-0004-0000-0000-000016000000}"/>
    <hyperlink ref="D47" location="'NOTAS M-Q ACREEDORES CTO PLAZO'!A1" display="'NOTAS M-Q ACREEDORES CTO PLAZO'!A1" xr:uid="{00000000-0004-0000-0000-000017000000}"/>
    <hyperlink ref="D48" location="'NOTA R SALDOS Y TRANSACCIONES '!A1" display="'NOTA R SALDOS Y TRANSACCIONES '!A1" xr:uid="{00000000-0004-0000-0000-000018000000}"/>
    <hyperlink ref="D49" location="'NOTA S RESULTADOS CON PERSONAS'!A1" display="'NOTA S RESULTADOS CON PERSONAS'!A1" xr:uid="{00000000-0004-0000-0000-000019000000}"/>
    <hyperlink ref="D50" location="' NOTA T PATRIMONIO'!A1" display="' NOTA T PATRIMONIO'!A1" xr:uid="{00000000-0004-0000-0000-00001A000000}"/>
    <hyperlink ref="D51" location="' NOTA T PATRIMONIO'!A1" display="' NOTA T PATRIMONIO'!A1" xr:uid="{00000000-0004-0000-0000-00001B000000}"/>
    <hyperlink ref="D52" location="'NOTA V INGRESOS OPERATIVOS'!A1" display="'NOTA V INGRESOS OPERATIVOS'!A1" xr:uid="{00000000-0004-0000-0000-00001C000000}"/>
    <hyperlink ref="D53" location="'NOTA W OTROS GASTOS OPERATIVOS'!A1" display="'NOTA W OTROS GASTOS OPERATIVOS'!A1" xr:uid="{00000000-0004-0000-0000-00001D000000}"/>
    <hyperlink ref="D54" location="'NOTA X OTROS INGRESOS Y EGRESOS'!A1" display="'NOTA X OTROS INGRESOS Y EGRESOS'!A1" xr:uid="{00000000-0004-0000-0000-00001E000000}"/>
    <hyperlink ref="D55" location="'NOTA Y RESULTADOS FINANCIEROS'!A1" display="'NOTA Y RESULTADOS FINANCIEROS'!A1" xr:uid="{00000000-0004-0000-0000-00001F000000}"/>
    <hyperlink ref="D56" location="'NOTA Z RESULT EXTRAORD'!A1" display="'NOTA Z RESULT EXTRAORD'!A1" xr:uid="{00000000-0004-0000-0000-000020000000}"/>
    <hyperlink ref="D58" location="'NOTA 6 INFORMACION REFERENTE'!A1" display="'NOTA 6 INFORMACION REFERENTE'!A1" xr:uid="{00000000-0004-0000-0000-000021000000}"/>
    <hyperlink ref="D26" location="'NOTA A LOS ESTADOS CONTA. 1-4'!A1" display="'NOTA A LOS ESTADOS CONTA. 1-4'!A1" xr:uid="{00000000-0004-0000-0000-000022000000}"/>
    <hyperlink ref="D27:D29" location="'NOTA A LOS ESTADOS CONTA. 1-4'!A1" display="'NOTA A LOS ESTADOS CONTA. 1-4'!A1" xr:uid="{00000000-0004-0000-0000-000023000000}"/>
    <hyperlink ref="D10" r:id="rId1" xr:uid="{00000000-0004-0000-0000-000024000000}"/>
  </hyperlinks>
  <pageMargins left="0.7" right="0.7" top="0.75" bottom="0.75" header="0.3" footer="0.3"/>
  <pageSetup orientation="portrait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B3:H46"/>
  <sheetViews>
    <sheetView showGridLines="0" zoomScale="80" zoomScaleNormal="80" workbookViewId="0">
      <selection activeCell="B8" sqref="B8:D36"/>
    </sheetView>
  </sheetViews>
  <sheetFormatPr baseColWidth="10" defaultColWidth="67.44140625" defaultRowHeight="11.4" x14ac:dyDescent="0.2"/>
  <cols>
    <col min="1" max="1" width="46.6640625" style="65" customWidth="1"/>
    <col min="2" max="2" width="44" style="65" customWidth="1"/>
    <col min="3" max="3" width="17.6640625" style="104" bestFit="1" customWidth="1"/>
    <col min="4" max="4" width="21.44140625" style="104" bestFit="1" customWidth="1"/>
    <col min="5" max="5" width="9" style="65" bestFit="1" customWidth="1"/>
    <col min="6" max="6" width="13.6640625" style="65" bestFit="1" customWidth="1"/>
    <col min="7" max="7" width="22.109375" style="65" bestFit="1" customWidth="1"/>
    <col min="8" max="8" width="26" style="65" customWidth="1"/>
    <col min="9" max="16384" width="67.44140625" style="65"/>
  </cols>
  <sheetData>
    <row r="3" spans="2:8" ht="12" x14ac:dyDescent="0.2">
      <c r="B3" s="75" t="s">
        <v>610</v>
      </c>
    </row>
    <row r="4" spans="2:8" x14ac:dyDescent="0.2">
      <c r="B4" s="76"/>
    </row>
    <row r="5" spans="2:8" ht="45.75" customHeight="1" x14ac:dyDescent="0.2">
      <c r="B5" s="483" t="s">
        <v>611</v>
      </c>
      <c r="C5" s="483"/>
      <c r="D5" s="483"/>
    </row>
    <row r="8" spans="2:8" ht="12" x14ac:dyDescent="0.25">
      <c r="B8" s="466" t="s">
        <v>612</v>
      </c>
      <c r="C8" s="466"/>
      <c r="D8" s="466"/>
    </row>
    <row r="9" spans="2:8" ht="12" x14ac:dyDescent="0.25">
      <c r="B9" s="480" t="s">
        <v>613</v>
      </c>
      <c r="C9" s="481"/>
      <c r="D9" s="482"/>
    </row>
    <row r="10" spans="2:8" ht="12" x14ac:dyDescent="0.2">
      <c r="B10" s="417" t="s">
        <v>476</v>
      </c>
      <c r="C10" s="418" t="s">
        <v>614</v>
      </c>
      <c r="D10" s="418" t="s">
        <v>615</v>
      </c>
      <c r="E10" s="139"/>
      <c r="F10" s="139"/>
      <c r="G10" s="139"/>
      <c r="H10" s="139"/>
    </row>
    <row r="11" spans="2:8" x14ac:dyDescent="0.2">
      <c r="B11" s="140" t="s">
        <v>616</v>
      </c>
      <c r="C11" s="98">
        <v>6710606675</v>
      </c>
      <c r="D11" s="141">
        <v>0</v>
      </c>
    </row>
    <row r="12" spans="2:8" x14ac:dyDescent="0.2">
      <c r="B12" s="140" t="s">
        <v>617</v>
      </c>
      <c r="C12" s="98"/>
      <c r="D12" s="141">
        <v>0</v>
      </c>
    </row>
    <row r="13" spans="2:8" ht="12" x14ac:dyDescent="0.25">
      <c r="B13" s="142" t="str">
        <f>+'NOTA E - INVERSIONES ok'!C33</f>
        <v>Total al 30/09/2020</v>
      </c>
      <c r="C13" s="106">
        <f>+C11+C12</f>
        <v>6710606675</v>
      </c>
      <c r="D13" s="141">
        <v>0</v>
      </c>
      <c r="E13" s="143"/>
      <c r="F13" s="138"/>
    </row>
    <row r="14" spans="2:8" ht="12" x14ac:dyDescent="0.25">
      <c r="B14" s="142" t="s">
        <v>580</v>
      </c>
      <c r="C14" s="106">
        <v>1219151576.2202001</v>
      </c>
      <c r="D14" s="106">
        <v>0</v>
      </c>
    </row>
    <row r="15" spans="2:8" ht="12" x14ac:dyDescent="0.25">
      <c r="B15" s="144"/>
      <c r="C15" s="145"/>
      <c r="D15" s="145"/>
      <c r="F15" s="138"/>
    </row>
    <row r="16" spans="2:8" ht="12" x14ac:dyDescent="0.25">
      <c r="B16" s="466" t="s">
        <v>136</v>
      </c>
      <c r="C16" s="466"/>
      <c r="D16" s="466"/>
    </row>
    <row r="17" spans="2:7" ht="12" x14ac:dyDescent="0.25">
      <c r="B17" s="480" t="s">
        <v>613</v>
      </c>
      <c r="C17" s="481"/>
      <c r="D17" s="482"/>
    </row>
    <row r="18" spans="2:7" ht="12" x14ac:dyDescent="0.2">
      <c r="B18" s="417" t="s">
        <v>476</v>
      </c>
      <c r="C18" s="418" t="s">
        <v>614</v>
      </c>
      <c r="D18" s="418" t="s">
        <v>615</v>
      </c>
    </row>
    <row r="19" spans="2:7" x14ac:dyDescent="0.2">
      <c r="B19" s="140" t="s">
        <v>618</v>
      </c>
      <c r="C19" s="98">
        <f>1041885646+333872163</f>
        <v>1375757809</v>
      </c>
      <c r="D19" s="141">
        <v>0</v>
      </c>
    </row>
    <row r="20" spans="2:7" x14ac:dyDescent="0.2">
      <c r="B20" s="140" t="s">
        <v>136</v>
      </c>
      <c r="C20" s="98">
        <v>13940000</v>
      </c>
      <c r="D20" s="141">
        <v>0</v>
      </c>
    </row>
    <row r="21" spans="2:7" x14ac:dyDescent="0.2">
      <c r="B21" s="140" t="s">
        <v>447</v>
      </c>
      <c r="C21" s="98">
        <v>252286046</v>
      </c>
      <c r="D21" s="141">
        <v>0</v>
      </c>
    </row>
    <row r="22" spans="2:7" x14ac:dyDescent="0.2">
      <c r="B22" s="140" t="s">
        <v>619</v>
      </c>
      <c r="C22" s="98">
        <v>6083728</v>
      </c>
      <c r="D22" s="141">
        <v>0</v>
      </c>
    </row>
    <row r="23" spans="2:7" x14ac:dyDescent="0.2">
      <c r="B23" s="146" t="s">
        <v>620</v>
      </c>
      <c r="C23" s="98">
        <v>2581000</v>
      </c>
      <c r="D23" s="141"/>
    </row>
    <row r="24" spans="2:7" x14ac:dyDescent="0.2">
      <c r="B24" s="140" t="s">
        <v>621</v>
      </c>
      <c r="C24" s="98">
        <v>133760000</v>
      </c>
      <c r="D24" s="141">
        <v>0</v>
      </c>
    </row>
    <row r="25" spans="2:7" x14ac:dyDescent="0.2">
      <c r="B25" s="140" t="s">
        <v>445</v>
      </c>
      <c r="C25" s="98">
        <v>268304540</v>
      </c>
      <c r="D25" s="141"/>
    </row>
    <row r="26" spans="2:7" ht="12" x14ac:dyDescent="0.25">
      <c r="B26" s="142" t="str">
        <f>+B13</f>
        <v>Total al 30/09/2020</v>
      </c>
      <c r="C26" s="106">
        <f>SUM(C19:C25)</f>
        <v>2052713123</v>
      </c>
      <c r="D26" s="141">
        <v>0</v>
      </c>
      <c r="G26" s="66"/>
    </row>
    <row r="27" spans="2:7" ht="12" x14ac:dyDescent="0.25">
      <c r="B27" s="142" t="s">
        <v>580</v>
      </c>
      <c r="C27" s="106">
        <v>1432772081</v>
      </c>
      <c r="D27" s="141">
        <v>0</v>
      </c>
    </row>
    <row r="28" spans="2:7" x14ac:dyDescent="0.2">
      <c r="B28" s="147"/>
    </row>
    <row r="29" spans="2:7" ht="12" x14ac:dyDescent="0.25">
      <c r="B29" s="466" t="s">
        <v>142</v>
      </c>
      <c r="C29" s="466"/>
      <c r="D29" s="466"/>
    </row>
    <row r="30" spans="2:7" ht="12" x14ac:dyDescent="0.25">
      <c r="B30" s="480" t="s">
        <v>613</v>
      </c>
      <c r="C30" s="481"/>
      <c r="D30" s="482"/>
    </row>
    <row r="31" spans="2:7" ht="12" x14ac:dyDescent="0.2">
      <c r="B31" s="417" t="s">
        <v>476</v>
      </c>
      <c r="C31" s="418" t="s">
        <v>614</v>
      </c>
      <c r="D31" s="418" t="s">
        <v>615</v>
      </c>
    </row>
    <row r="32" spans="2:7" x14ac:dyDescent="0.2">
      <c r="B32" s="140" t="s">
        <v>622</v>
      </c>
      <c r="C32" s="98">
        <v>1085609016</v>
      </c>
      <c r="D32" s="141">
        <v>0</v>
      </c>
    </row>
    <row r="33" spans="2:8" x14ac:dyDescent="0.2">
      <c r="B33" s="140" t="s">
        <v>623</v>
      </c>
      <c r="C33" s="141">
        <v>0</v>
      </c>
      <c r="D33" s="141">
        <v>0</v>
      </c>
    </row>
    <row r="34" spans="2:8" x14ac:dyDescent="0.2">
      <c r="B34" s="140" t="s">
        <v>624</v>
      </c>
      <c r="C34" s="141">
        <v>0</v>
      </c>
      <c r="D34" s="141">
        <v>0</v>
      </c>
    </row>
    <row r="35" spans="2:8" ht="12" x14ac:dyDescent="0.25">
      <c r="B35" s="142" t="str">
        <f>+B13</f>
        <v>Total al 30/09/2020</v>
      </c>
      <c r="C35" s="106">
        <f>SUM(C32:C34)</f>
        <v>1085609016</v>
      </c>
      <c r="D35" s="141">
        <v>0</v>
      </c>
      <c r="F35" s="65" t="s">
        <v>625</v>
      </c>
    </row>
    <row r="36" spans="2:8" ht="12" x14ac:dyDescent="0.25">
      <c r="B36" s="142" t="s">
        <v>580</v>
      </c>
      <c r="C36" s="106">
        <v>1396573129.5684001</v>
      </c>
      <c r="D36" s="141">
        <v>0</v>
      </c>
    </row>
    <row r="37" spans="2:8" x14ac:dyDescent="0.2">
      <c r="B37" s="147"/>
    </row>
    <row r="38" spans="2:8" x14ac:dyDescent="0.2">
      <c r="B38" s="147"/>
    </row>
    <row r="39" spans="2:8" x14ac:dyDescent="0.2">
      <c r="B39" s="147"/>
    </row>
    <row r="40" spans="2:8" x14ac:dyDescent="0.2">
      <c r="B40" s="147" t="s">
        <v>626</v>
      </c>
    </row>
    <row r="41" spans="2:8" ht="12" x14ac:dyDescent="0.2">
      <c r="B41" s="484" t="s">
        <v>552</v>
      </c>
      <c r="C41" s="485" t="s">
        <v>627</v>
      </c>
      <c r="D41" s="485" t="s">
        <v>628</v>
      </c>
      <c r="E41" s="417" t="s">
        <v>549</v>
      </c>
      <c r="F41" s="417" t="s">
        <v>629</v>
      </c>
      <c r="G41" s="484" t="s">
        <v>630</v>
      </c>
      <c r="H41" s="484"/>
    </row>
    <row r="42" spans="2:8" ht="12" x14ac:dyDescent="0.2">
      <c r="B42" s="484"/>
      <c r="C42" s="485"/>
      <c r="D42" s="485"/>
      <c r="E42" s="417" t="s">
        <v>631</v>
      </c>
      <c r="F42" s="417" t="s">
        <v>632</v>
      </c>
      <c r="G42" s="484"/>
      <c r="H42" s="484"/>
    </row>
    <row r="43" spans="2:8" ht="24" x14ac:dyDescent="0.2">
      <c r="B43" s="484"/>
      <c r="C43" s="485"/>
      <c r="D43" s="485"/>
      <c r="E43" s="244"/>
      <c r="F43" s="417" t="s">
        <v>633</v>
      </c>
      <c r="G43" s="484"/>
      <c r="H43" s="484"/>
    </row>
    <row r="44" spans="2:8" ht="12" x14ac:dyDescent="0.2">
      <c r="B44" s="245"/>
      <c r="C44" s="484" t="s">
        <v>634</v>
      </c>
      <c r="D44" s="484"/>
      <c r="E44" s="484"/>
      <c r="F44" s="484"/>
      <c r="G44" s="484"/>
      <c r="H44" s="417"/>
    </row>
    <row r="45" spans="2:8" x14ac:dyDescent="0.2">
      <c r="B45" s="245" t="s">
        <v>635</v>
      </c>
      <c r="C45" s="484"/>
      <c r="D45" s="484"/>
      <c r="E45" s="484"/>
      <c r="F45" s="484"/>
      <c r="G45" s="484"/>
      <c r="H45" s="245"/>
    </row>
    <row r="46" spans="2:8" x14ac:dyDescent="0.2">
      <c r="B46" s="245" t="s">
        <v>636</v>
      </c>
      <c r="C46" s="484"/>
      <c r="D46" s="484"/>
      <c r="E46" s="484"/>
      <c r="F46" s="484"/>
      <c r="G46" s="484"/>
      <c r="H46" s="245"/>
    </row>
  </sheetData>
  <mergeCells count="13">
    <mergeCell ref="H41:H43"/>
    <mergeCell ref="C44:G46"/>
    <mergeCell ref="B41:B43"/>
    <mergeCell ref="C41:C43"/>
    <mergeCell ref="D41:D43"/>
    <mergeCell ref="B16:D16"/>
    <mergeCell ref="B17:D17"/>
    <mergeCell ref="B29:D29"/>
    <mergeCell ref="B5:D5"/>
    <mergeCell ref="G41:G43"/>
    <mergeCell ref="B30:D30"/>
    <mergeCell ref="B8:D8"/>
    <mergeCell ref="B9:D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B2:O20"/>
  <sheetViews>
    <sheetView showGridLines="0" zoomScaleNormal="100" workbookViewId="0">
      <selection activeCell="B6" sqref="B6:M18"/>
    </sheetView>
  </sheetViews>
  <sheetFormatPr baseColWidth="10" defaultColWidth="11.44140625" defaultRowHeight="11.4" x14ac:dyDescent="0.2"/>
  <cols>
    <col min="1" max="1" width="2.44140625" style="65" customWidth="1"/>
    <col min="2" max="2" width="23" style="147" customWidth="1"/>
    <col min="3" max="3" width="20.6640625" style="65" bestFit="1" customWidth="1"/>
    <col min="4" max="4" width="14.109375" style="65" bestFit="1" customWidth="1"/>
    <col min="5" max="5" width="5.44140625" style="65" bestFit="1" customWidth="1"/>
    <col min="6" max="6" width="10.33203125" style="65" bestFit="1" customWidth="1"/>
    <col min="7" max="7" width="14.44140625" style="65" bestFit="1" customWidth="1"/>
    <col min="8" max="8" width="13" style="65" bestFit="1" customWidth="1"/>
    <col min="9" max="9" width="10.6640625" style="65" bestFit="1" customWidth="1"/>
    <col min="10" max="10" width="5.44140625" style="65" bestFit="1" customWidth="1"/>
    <col min="11" max="11" width="7.44140625" style="65" bestFit="1" customWidth="1"/>
    <col min="12" max="12" width="13.109375" style="65" bestFit="1" customWidth="1"/>
    <col min="13" max="13" width="14.109375" style="65" bestFit="1" customWidth="1"/>
    <col min="14" max="14" width="10.33203125" style="65" customWidth="1"/>
    <col min="15" max="16384" width="11.44140625" style="65"/>
  </cols>
  <sheetData>
    <row r="2" spans="2:15" x14ac:dyDescent="0.2">
      <c r="C2" s="76"/>
    </row>
    <row r="3" spans="2:15" ht="12" x14ac:dyDescent="0.2">
      <c r="C3" s="149" t="s">
        <v>637</v>
      </c>
    </row>
    <row r="4" spans="2:15" ht="12" x14ac:dyDescent="0.2">
      <c r="C4" s="149"/>
    </row>
    <row r="5" spans="2:15" ht="12" x14ac:dyDescent="0.2">
      <c r="C5" s="149"/>
    </row>
    <row r="6" spans="2:15" s="57" customFormat="1" ht="20.25" customHeight="1" x14ac:dyDescent="0.3">
      <c r="B6" s="88"/>
      <c r="C6" s="476" t="s">
        <v>638</v>
      </c>
      <c r="D6" s="477"/>
      <c r="E6" s="477"/>
      <c r="F6" s="477"/>
      <c r="G6" s="477"/>
      <c r="H6" s="476" t="s">
        <v>639</v>
      </c>
      <c r="I6" s="477"/>
      <c r="J6" s="477"/>
      <c r="K6" s="477"/>
      <c r="L6" s="477"/>
      <c r="M6" s="478"/>
      <c r="N6" s="150"/>
    </row>
    <row r="7" spans="2:15" ht="36" x14ac:dyDescent="0.2">
      <c r="B7" s="417" t="s">
        <v>372</v>
      </c>
      <c r="C7" s="151" t="s">
        <v>640</v>
      </c>
      <c r="D7" s="417" t="s">
        <v>641</v>
      </c>
      <c r="E7" s="417" t="s">
        <v>642</v>
      </c>
      <c r="F7" s="417" t="s">
        <v>643</v>
      </c>
      <c r="G7" s="417" t="s">
        <v>644</v>
      </c>
      <c r="H7" s="417" t="s">
        <v>645</v>
      </c>
      <c r="I7" s="417" t="s">
        <v>641</v>
      </c>
      <c r="J7" s="417" t="s">
        <v>642</v>
      </c>
      <c r="K7" s="417" t="s">
        <v>643</v>
      </c>
      <c r="L7" s="417" t="s">
        <v>646</v>
      </c>
      <c r="M7" s="417" t="s">
        <v>647</v>
      </c>
      <c r="N7" s="152"/>
    </row>
    <row r="8" spans="2:15" x14ac:dyDescent="0.2">
      <c r="B8" s="153" t="s">
        <v>648</v>
      </c>
      <c r="C8" s="98">
        <v>452869306</v>
      </c>
      <c r="D8" s="98">
        <f>+G8-C8</f>
        <v>11052091</v>
      </c>
      <c r="E8" s="98">
        <v>0</v>
      </c>
      <c r="F8" s="98">
        <v>0</v>
      </c>
      <c r="G8" s="98">
        <v>463921397</v>
      </c>
      <c r="H8" s="98">
        <v>92093910.107131451</v>
      </c>
      <c r="I8" s="141">
        <v>0</v>
      </c>
      <c r="J8" s="141">
        <v>0</v>
      </c>
      <c r="K8" s="141">
        <v>0</v>
      </c>
      <c r="L8" s="98">
        <v>92093910.107131451</v>
      </c>
      <c r="M8" s="98">
        <f>+G8-L8+1</f>
        <v>371827487.89286852</v>
      </c>
      <c r="N8" s="154"/>
      <c r="O8" s="138"/>
    </row>
    <row r="9" spans="2:15" x14ac:dyDescent="0.2">
      <c r="B9" s="155" t="s">
        <v>649</v>
      </c>
      <c r="C9" s="98">
        <v>210957210</v>
      </c>
      <c r="D9" s="98">
        <f t="shared" ref="D9:D15" si="0">+G9-C9</f>
        <v>0</v>
      </c>
      <c r="E9" s="98">
        <v>0</v>
      </c>
      <c r="F9" s="98">
        <v>0</v>
      </c>
      <c r="G9" s="98">
        <v>210957210</v>
      </c>
      <c r="H9" s="141">
        <v>19490136.496434197</v>
      </c>
      <c r="I9" s="141">
        <v>0</v>
      </c>
      <c r="J9" s="141">
        <v>0</v>
      </c>
      <c r="K9" s="141">
        <v>0</v>
      </c>
      <c r="L9" s="141">
        <v>19490136.496434197</v>
      </c>
      <c r="M9" s="98">
        <f t="shared" ref="M9:M16" si="1">+G9-L9</f>
        <v>191467073.50356579</v>
      </c>
      <c r="N9" s="152"/>
    </row>
    <row r="10" spans="2:15" x14ac:dyDescent="0.2">
      <c r="B10" s="155" t="s">
        <v>650</v>
      </c>
      <c r="C10" s="98">
        <v>7058431</v>
      </c>
      <c r="D10" s="98">
        <f t="shared" si="0"/>
        <v>0</v>
      </c>
      <c r="E10" s="98">
        <v>0</v>
      </c>
      <c r="F10" s="98">
        <v>0</v>
      </c>
      <c r="G10" s="98">
        <v>7058431</v>
      </c>
      <c r="H10" s="98">
        <v>3731237.8583492143</v>
      </c>
      <c r="I10" s="141">
        <v>0</v>
      </c>
      <c r="J10" s="141">
        <v>0</v>
      </c>
      <c r="K10" s="141">
        <v>0</v>
      </c>
      <c r="L10" s="98">
        <v>3731237.8583492143</v>
      </c>
      <c r="M10" s="98">
        <f t="shared" si="1"/>
        <v>3327193.1416507857</v>
      </c>
      <c r="N10" s="152"/>
    </row>
    <row r="11" spans="2:15" x14ac:dyDescent="0.2">
      <c r="B11" s="155" t="s">
        <v>651</v>
      </c>
      <c r="C11" s="98">
        <v>31158573</v>
      </c>
      <c r="D11" s="98">
        <f t="shared" si="0"/>
        <v>0</v>
      </c>
      <c r="E11" s="98">
        <v>0</v>
      </c>
      <c r="F11" s="98">
        <v>0</v>
      </c>
      <c r="G11" s="98">
        <v>31158573</v>
      </c>
      <c r="H11" s="98">
        <v>8635807.3087511994</v>
      </c>
      <c r="I11" s="141">
        <v>0</v>
      </c>
      <c r="J11" s="141">
        <v>0</v>
      </c>
      <c r="K11" s="141">
        <v>0</v>
      </c>
      <c r="L11" s="98">
        <v>8635807.3087511994</v>
      </c>
      <c r="M11" s="98">
        <f t="shared" si="1"/>
        <v>22522765.691248801</v>
      </c>
      <c r="N11" s="154"/>
    </row>
    <row r="12" spans="2:15" x14ac:dyDescent="0.2">
      <c r="B12" s="155" t="s">
        <v>652</v>
      </c>
      <c r="C12" s="98">
        <v>257639881</v>
      </c>
      <c r="D12" s="98">
        <f t="shared" si="0"/>
        <v>8852526</v>
      </c>
      <c r="E12" s="98"/>
      <c r="F12" s="98">
        <v>0</v>
      </c>
      <c r="G12" s="98">
        <v>266492407</v>
      </c>
      <c r="H12" s="98">
        <v>166982949.2368944</v>
      </c>
      <c r="I12" s="141">
        <v>0</v>
      </c>
      <c r="J12" s="141">
        <v>0</v>
      </c>
      <c r="K12" s="141">
        <v>0</v>
      </c>
      <c r="L12" s="98">
        <v>166982949.2368944</v>
      </c>
      <c r="M12" s="98">
        <f t="shared" si="1"/>
        <v>99509457.763105601</v>
      </c>
      <c r="N12" s="152"/>
    </row>
    <row r="13" spans="2:15" x14ac:dyDescent="0.2">
      <c r="B13" s="155" t="s">
        <v>653</v>
      </c>
      <c r="C13" s="98">
        <v>1953391900</v>
      </c>
      <c r="D13" s="98">
        <f>+G13-C13</f>
        <v>0</v>
      </c>
      <c r="E13" s="141">
        <v>0</v>
      </c>
      <c r="F13" s="141">
        <v>0</v>
      </c>
      <c r="G13" s="98">
        <v>1953391900</v>
      </c>
      <c r="H13" s="141">
        <v>31867918</v>
      </c>
      <c r="I13" s="141">
        <v>0</v>
      </c>
      <c r="J13" s="141">
        <v>0</v>
      </c>
      <c r="K13" s="141">
        <v>0</v>
      </c>
      <c r="L13" s="98">
        <v>31867918</v>
      </c>
      <c r="M13" s="98">
        <f t="shared" si="1"/>
        <v>1921523982</v>
      </c>
      <c r="N13" s="152"/>
    </row>
    <row r="14" spans="2:15" x14ac:dyDescent="0.2">
      <c r="B14" s="155" t="s">
        <v>654</v>
      </c>
      <c r="C14" s="98">
        <v>9804433363</v>
      </c>
      <c r="D14" s="98">
        <f t="shared" si="0"/>
        <v>333664024</v>
      </c>
      <c r="E14" s="141"/>
      <c r="F14" s="141"/>
      <c r="G14" s="98">
        <v>10138097387</v>
      </c>
      <c r="H14" s="141"/>
      <c r="I14" s="141">
        <v>0</v>
      </c>
      <c r="J14" s="141">
        <v>0</v>
      </c>
      <c r="K14" s="141">
        <v>0</v>
      </c>
      <c r="L14" s="98">
        <v>0</v>
      </c>
      <c r="M14" s="98">
        <f>+G14+L14</f>
        <v>10138097387</v>
      </c>
      <c r="N14" s="152"/>
    </row>
    <row r="15" spans="2:15" x14ac:dyDescent="0.2">
      <c r="B15" s="155" t="s">
        <v>655</v>
      </c>
      <c r="C15" s="98">
        <v>0</v>
      </c>
      <c r="D15" s="98">
        <f t="shared" si="0"/>
        <v>10723156</v>
      </c>
      <c r="E15" s="141">
        <v>0</v>
      </c>
      <c r="F15" s="141">
        <v>0</v>
      </c>
      <c r="G15" s="98">
        <v>10723156</v>
      </c>
      <c r="H15" s="98"/>
      <c r="I15" s="141">
        <v>0</v>
      </c>
      <c r="J15" s="141">
        <f>+H15</f>
        <v>0</v>
      </c>
      <c r="K15" s="141">
        <v>0</v>
      </c>
      <c r="L15" s="141">
        <v>0</v>
      </c>
      <c r="M15" s="98">
        <f>+G15+L15</f>
        <v>10723156</v>
      </c>
      <c r="N15" s="152"/>
    </row>
    <row r="16" spans="2:15" x14ac:dyDescent="0.2">
      <c r="B16" s="155" t="s">
        <v>656</v>
      </c>
      <c r="C16" s="141">
        <v>3492819</v>
      </c>
      <c r="D16" s="98">
        <v>3492819</v>
      </c>
      <c r="E16" s="141"/>
      <c r="F16" s="141"/>
      <c r="G16" s="98">
        <v>11010456</v>
      </c>
      <c r="H16" s="141">
        <v>0</v>
      </c>
      <c r="I16" s="141">
        <v>0</v>
      </c>
      <c r="J16" s="141">
        <v>0</v>
      </c>
      <c r="K16" s="141">
        <v>0</v>
      </c>
      <c r="L16" s="141">
        <f>+H16+I16</f>
        <v>0</v>
      </c>
      <c r="M16" s="98">
        <f t="shared" si="1"/>
        <v>11010456</v>
      </c>
      <c r="N16" s="152"/>
    </row>
    <row r="17" spans="2:15" ht="12" x14ac:dyDescent="0.25">
      <c r="B17" s="156" t="str">
        <f>+'NOTA F - CREDITOSok'!B26</f>
        <v>Total al 30/09/2020</v>
      </c>
      <c r="C17" s="106">
        <f>SUM(C8:C16)</f>
        <v>12721001483</v>
      </c>
      <c r="D17" s="106">
        <f>SUM(D8:D16)</f>
        <v>367784616</v>
      </c>
      <c r="E17" s="141">
        <v>0</v>
      </c>
      <c r="F17" s="141">
        <v>0</v>
      </c>
      <c r="G17" s="106">
        <f>SUM(G8:G16)</f>
        <v>13092810917</v>
      </c>
      <c r="H17" s="106">
        <f>SUM(H8:H16)</f>
        <v>322801959.00756049</v>
      </c>
      <c r="I17" s="106">
        <f>SUM(I8:I16)</f>
        <v>0</v>
      </c>
      <c r="J17" s="141">
        <v>0</v>
      </c>
      <c r="K17" s="141">
        <v>0</v>
      </c>
      <c r="L17" s="106">
        <f>SUM(L8:L16)</f>
        <v>322801959.00756049</v>
      </c>
      <c r="M17" s="106">
        <f>SUM(M8:M16)</f>
        <v>12770008958.992439</v>
      </c>
      <c r="N17" s="154"/>
      <c r="O17" s="138"/>
    </row>
    <row r="18" spans="2:15" ht="12" x14ac:dyDescent="0.25">
      <c r="B18" s="156" t="s">
        <v>580</v>
      </c>
      <c r="C18" s="106">
        <v>11498752539</v>
      </c>
      <c r="D18" s="106">
        <v>10067995883</v>
      </c>
      <c r="E18" s="141">
        <v>0</v>
      </c>
      <c r="F18" s="106">
        <v>0</v>
      </c>
      <c r="G18" s="106">
        <v>12721001483</v>
      </c>
      <c r="H18" s="106">
        <v>301576124.45943809</v>
      </c>
      <c r="I18" s="106">
        <v>94687613.548122346</v>
      </c>
      <c r="J18" s="141">
        <v>0</v>
      </c>
      <c r="K18" s="141">
        <v>0</v>
      </c>
      <c r="L18" s="106">
        <v>322801959.00756049</v>
      </c>
      <c r="M18" s="106">
        <v>12398199523.992439</v>
      </c>
      <c r="N18" s="154"/>
    </row>
    <row r="19" spans="2:15" x14ac:dyDescent="0.2">
      <c r="C19" s="152"/>
      <c r="D19" s="152"/>
      <c r="E19" s="152"/>
      <c r="F19" s="152"/>
      <c r="G19" s="154"/>
      <c r="H19" s="152"/>
      <c r="I19" s="152"/>
      <c r="J19" s="152"/>
      <c r="K19" s="152"/>
      <c r="L19" s="152"/>
      <c r="M19" s="152"/>
      <c r="N19" s="152"/>
    </row>
    <row r="20" spans="2:15" x14ac:dyDescent="0.2">
      <c r="E20" s="138"/>
      <c r="G20" s="138"/>
    </row>
  </sheetData>
  <mergeCells count="2">
    <mergeCell ref="C6:G6"/>
    <mergeCell ref="H6:M6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B2:H10"/>
  <sheetViews>
    <sheetView showGridLines="0" zoomScale="134" workbookViewId="0">
      <selection activeCell="B6" sqref="B6:F10"/>
    </sheetView>
  </sheetViews>
  <sheetFormatPr baseColWidth="10" defaultColWidth="20.109375" defaultRowHeight="11.4" x14ac:dyDescent="0.2"/>
  <cols>
    <col min="1" max="1" width="20.109375" style="65" customWidth="1"/>
    <col min="2" max="2" width="23.44140625" style="65" bestFit="1" customWidth="1"/>
    <col min="3" max="3" width="13.44140625" style="65" bestFit="1" customWidth="1"/>
    <col min="4" max="4" width="11.6640625" style="65" bestFit="1" customWidth="1"/>
    <col min="5" max="5" width="16.33203125" style="65" bestFit="1" customWidth="1"/>
    <col min="6" max="6" width="17.6640625" style="65" bestFit="1" customWidth="1"/>
    <col min="7" max="16384" width="20.109375" style="65"/>
  </cols>
  <sheetData>
    <row r="2" spans="2:8" ht="12" x14ac:dyDescent="0.2">
      <c r="B2" s="149" t="s">
        <v>657</v>
      </c>
    </row>
    <row r="6" spans="2:8" ht="12" x14ac:dyDescent="0.25">
      <c r="B6" s="411" t="s">
        <v>476</v>
      </c>
      <c r="C6" s="411" t="s">
        <v>658</v>
      </c>
      <c r="D6" s="411" t="s">
        <v>659</v>
      </c>
      <c r="E6" s="411" t="s">
        <v>660</v>
      </c>
      <c r="F6" s="411" t="s">
        <v>661</v>
      </c>
    </row>
    <row r="7" spans="2:8" x14ac:dyDescent="0.2">
      <c r="B7" s="80" t="s">
        <v>450</v>
      </c>
      <c r="C7" s="98">
        <v>17287182</v>
      </c>
      <c r="D7" s="98">
        <v>4320989</v>
      </c>
      <c r="E7" s="141">
        <v>15236795</v>
      </c>
      <c r="F7" s="98">
        <f>+C7+D7-E7</f>
        <v>6371376</v>
      </c>
      <c r="G7" s="67"/>
      <c r="H7" s="138"/>
    </row>
    <row r="8" spans="2:8" x14ac:dyDescent="0.2">
      <c r="B8" s="80" t="s">
        <v>449</v>
      </c>
      <c r="C8" s="98">
        <v>0</v>
      </c>
      <c r="D8" s="98">
        <v>418315066</v>
      </c>
      <c r="E8" s="141">
        <v>100139705</v>
      </c>
      <c r="F8" s="98">
        <f>+C8+D8-E8</f>
        <v>318175361</v>
      </c>
      <c r="G8" s="157"/>
      <c r="H8" s="112"/>
    </row>
    <row r="9" spans="2:8" ht="12" x14ac:dyDescent="0.25">
      <c r="B9" s="142" t="str">
        <f>+'NOTA G BIENES DE USOok'!B17</f>
        <v>Total al 30/09/2020</v>
      </c>
      <c r="C9" s="106">
        <f>SUM(C7:C8)</f>
        <v>17287182</v>
      </c>
      <c r="D9" s="106">
        <f>SUM(D7:D8)</f>
        <v>422636055</v>
      </c>
      <c r="E9" s="158">
        <f>SUM(E7:E8)</f>
        <v>115376500</v>
      </c>
      <c r="F9" s="106">
        <f>SUM(F7:F8)</f>
        <v>324546737</v>
      </c>
      <c r="G9" s="138"/>
      <c r="H9" s="138"/>
    </row>
    <row r="10" spans="2:8" ht="12" x14ac:dyDescent="0.25">
      <c r="B10" s="142" t="s">
        <v>580</v>
      </c>
      <c r="C10" s="106">
        <v>257368123</v>
      </c>
      <c r="D10" s="106">
        <v>0</v>
      </c>
      <c r="E10" s="106">
        <v>13086322.310026553</v>
      </c>
      <c r="F10" s="106">
        <v>244281800.68997344</v>
      </c>
      <c r="G10" s="138"/>
    </row>
  </sheetData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B3:N27"/>
  <sheetViews>
    <sheetView showGridLines="0" workbookViewId="0">
      <selection activeCell="B6" sqref="B6:D13"/>
    </sheetView>
  </sheetViews>
  <sheetFormatPr baseColWidth="10" defaultColWidth="11.44140625" defaultRowHeight="11.4" x14ac:dyDescent="0.2"/>
  <cols>
    <col min="1" max="1" width="24.88671875" style="65" customWidth="1"/>
    <col min="2" max="2" width="29.44140625" style="65" customWidth="1"/>
    <col min="3" max="3" width="41.33203125" style="65" customWidth="1"/>
    <col min="4" max="4" width="22" style="65" customWidth="1"/>
    <col min="5" max="5" width="11.44140625" style="65"/>
    <col min="6" max="7" width="13.44140625" style="65" bestFit="1" customWidth="1"/>
    <col min="8" max="8" width="12" style="65" bestFit="1" customWidth="1"/>
    <col min="9" max="16384" width="11.44140625" style="65"/>
  </cols>
  <sheetData>
    <row r="3" spans="2:6" ht="12" x14ac:dyDescent="0.25">
      <c r="B3" s="159" t="s">
        <v>662</v>
      </c>
    </row>
    <row r="6" spans="2:6" ht="12" x14ac:dyDescent="0.25">
      <c r="B6" s="417" t="s">
        <v>663</v>
      </c>
      <c r="C6" s="417" t="s">
        <v>476</v>
      </c>
      <c r="D6" s="160" t="s">
        <v>664</v>
      </c>
    </row>
    <row r="7" spans="2:6" x14ac:dyDescent="0.2">
      <c r="B7" s="155" t="s">
        <v>665</v>
      </c>
      <c r="C7" s="246" t="s">
        <v>666</v>
      </c>
      <c r="D7" s="161">
        <v>0</v>
      </c>
    </row>
    <row r="8" spans="2:6" x14ac:dyDescent="0.2">
      <c r="B8" s="155" t="s">
        <v>667</v>
      </c>
      <c r="C8" s="246" t="s">
        <v>668</v>
      </c>
      <c r="D8" s="162">
        <f>104084949-50568391</f>
        <v>53516558</v>
      </c>
    </row>
    <row r="9" spans="2:6" x14ac:dyDescent="0.2">
      <c r="B9" s="155" t="s">
        <v>669</v>
      </c>
      <c r="C9" s="246" t="s">
        <v>670</v>
      </c>
      <c r="D9" s="162">
        <f>1816512061-782729508</f>
        <v>1033782553</v>
      </c>
    </row>
    <row r="10" spans="2:6" x14ac:dyDescent="0.2">
      <c r="B10" s="155" t="s">
        <v>205</v>
      </c>
      <c r="C10" s="246" t="s">
        <v>205</v>
      </c>
      <c r="D10" s="162">
        <v>9923055</v>
      </c>
    </row>
    <row r="11" spans="2:6" x14ac:dyDescent="0.2">
      <c r="B11" s="155" t="s">
        <v>671</v>
      </c>
      <c r="C11" s="246" t="s">
        <v>671</v>
      </c>
      <c r="D11" s="162">
        <v>48280383</v>
      </c>
    </row>
    <row r="12" spans="2:6" ht="12" x14ac:dyDescent="0.25">
      <c r="B12" s="142" t="str">
        <f>+'NOTA H CARGOS DIFERIDOSok'!B9</f>
        <v>Total al 30/09/2020</v>
      </c>
      <c r="C12" s="142"/>
      <c r="D12" s="163">
        <f>SUM(D7:D11)</f>
        <v>1145502549</v>
      </c>
      <c r="E12" s="138"/>
      <c r="F12" s="138"/>
    </row>
    <row r="13" spans="2:6" ht="12" x14ac:dyDescent="0.25">
      <c r="B13" s="142" t="s">
        <v>580</v>
      </c>
      <c r="C13" s="163"/>
      <c r="D13" s="163">
        <v>512850698</v>
      </c>
      <c r="E13" s="138"/>
    </row>
    <row r="17" spans="7:14" x14ac:dyDescent="0.2">
      <c r="G17" s="66"/>
      <c r="K17" s="65" t="s">
        <v>541</v>
      </c>
      <c r="N17" s="65" t="s">
        <v>541</v>
      </c>
    </row>
    <row r="18" spans="7:14" x14ac:dyDescent="0.2">
      <c r="G18" s="66"/>
      <c r="K18" s="65" t="s">
        <v>541</v>
      </c>
      <c r="N18" s="65" t="s">
        <v>541</v>
      </c>
    </row>
    <row r="19" spans="7:14" x14ac:dyDescent="0.2">
      <c r="G19" s="66"/>
      <c r="K19" s="65" t="s">
        <v>541</v>
      </c>
      <c r="N19" s="65" t="s">
        <v>541</v>
      </c>
    </row>
    <row r="20" spans="7:14" x14ac:dyDescent="0.2">
      <c r="G20" s="66"/>
      <c r="K20" s="65" t="s">
        <v>541</v>
      </c>
      <c r="N20" s="65" t="s">
        <v>541</v>
      </c>
    </row>
    <row r="21" spans="7:14" x14ac:dyDescent="0.2">
      <c r="G21" s="66"/>
      <c r="H21" s="67"/>
      <c r="K21" s="65" t="s">
        <v>541</v>
      </c>
      <c r="N21" s="65" t="s">
        <v>541</v>
      </c>
    </row>
    <row r="22" spans="7:14" x14ac:dyDescent="0.2">
      <c r="G22" s="66"/>
      <c r="K22" s="65" t="s">
        <v>541</v>
      </c>
      <c r="N22" s="65" t="s">
        <v>541</v>
      </c>
    </row>
    <row r="23" spans="7:14" x14ac:dyDescent="0.2">
      <c r="G23" s="66"/>
      <c r="H23" s="67"/>
      <c r="K23" s="65" t="s">
        <v>541</v>
      </c>
      <c r="N23" s="65" t="s">
        <v>541</v>
      </c>
    </row>
    <row r="24" spans="7:14" x14ac:dyDescent="0.2">
      <c r="G24" s="66"/>
      <c r="K24" s="65" t="s">
        <v>541</v>
      </c>
      <c r="N24" s="65" t="s">
        <v>541</v>
      </c>
    </row>
    <row r="25" spans="7:14" x14ac:dyDescent="0.2">
      <c r="G25" s="66"/>
      <c r="H25" s="67"/>
      <c r="K25" s="65" t="s">
        <v>541</v>
      </c>
      <c r="N25" s="65" t="s">
        <v>541</v>
      </c>
    </row>
    <row r="26" spans="7:14" x14ac:dyDescent="0.2">
      <c r="G26" s="66"/>
      <c r="K26" s="65" t="s">
        <v>541</v>
      </c>
      <c r="N26" s="65" t="s">
        <v>541</v>
      </c>
    </row>
    <row r="27" spans="7:14" x14ac:dyDescent="0.2">
      <c r="G27" s="66"/>
      <c r="H27" s="67"/>
      <c r="K27" s="65" t="s">
        <v>541</v>
      </c>
      <c r="N27" s="65" t="s">
        <v>541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B1:G11"/>
  <sheetViews>
    <sheetView showGridLines="0" workbookViewId="0">
      <selection activeCell="B4" sqref="B4:F11"/>
    </sheetView>
  </sheetViews>
  <sheetFormatPr baseColWidth="10" defaultColWidth="11.44140625" defaultRowHeight="11.4" x14ac:dyDescent="0.2"/>
  <cols>
    <col min="1" max="1" width="27.109375" style="65" customWidth="1"/>
    <col min="2" max="2" width="42.44140625" style="65" bestFit="1" customWidth="1"/>
    <col min="3" max="3" width="12.88671875" style="65" bestFit="1" customWidth="1"/>
    <col min="4" max="4" width="10.33203125" style="65" bestFit="1" customWidth="1"/>
    <col min="5" max="5" width="15.6640625" style="65" bestFit="1" customWidth="1"/>
    <col min="6" max="6" width="16.6640625" style="65" bestFit="1" customWidth="1"/>
    <col min="7" max="7" width="8.109375" style="65" customWidth="1"/>
    <col min="8" max="16384" width="11.44140625" style="65"/>
  </cols>
  <sheetData>
    <row r="1" spans="2:7" ht="12" x14ac:dyDescent="0.2">
      <c r="B1" s="149" t="s">
        <v>672</v>
      </c>
    </row>
    <row r="4" spans="2:7" ht="12" x14ac:dyDescent="0.25">
      <c r="B4" s="411" t="s">
        <v>476</v>
      </c>
      <c r="C4" s="411" t="s">
        <v>658</v>
      </c>
      <c r="D4" s="411" t="s">
        <v>659</v>
      </c>
      <c r="E4" s="411" t="s">
        <v>660</v>
      </c>
      <c r="F4" s="411" t="s">
        <v>661</v>
      </c>
    </row>
    <row r="5" spans="2:7" x14ac:dyDescent="0.2">
      <c r="B5" s="80" t="s">
        <v>461</v>
      </c>
      <c r="C5" s="164">
        <v>0</v>
      </c>
      <c r="D5" s="164">
        <v>0</v>
      </c>
      <c r="E5" s="164">
        <v>0</v>
      </c>
      <c r="F5" s="164">
        <f t="shared" ref="F5:F10" si="0">+C5+D5-E5</f>
        <v>0</v>
      </c>
    </row>
    <row r="6" spans="2:7" x14ac:dyDescent="0.2">
      <c r="B6" s="80" t="s">
        <v>673</v>
      </c>
      <c r="C6" s="164">
        <v>0</v>
      </c>
      <c r="D6" s="164">
        <v>0</v>
      </c>
      <c r="E6" s="164">
        <v>0</v>
      </c>
      <c r="F6" s="164">
        <f t="shared" si="0"/>
        <v>0</v>
      </c>
    </row>
    <row r="7" spans="2:7" x14ac:dyDescent="0.2">
      <c r="B7" s="80" t="s">
        <v>674</v>
      </c>
      <c r="C7" s="164">
        <v>0</v>
      </c>
      <c r="D7" s="164">
        <v>0</v>
      </c>
      <c r="E7" s="164">
        <v>0</v>
      </c>
      <c r="F7" s="164">
        <f t="shared" si="0"/>
        <v>0</v>
      </c>
    </row>
    <row r="8" spans="2:7" x14ac:dyDescent="0.2">
      <c r="B8" s="80" t="s">
        <v>675</v>
      </c>
      <c r="C8" s="164">
        <v>0</v>
      </c>
      <c r="D8" s="164">
        <v>0</v>
      </c>
      <c r="E8" s="164">
        <v>0</v>
      </c>
      <c r="F8" s="164">
        <f t="shared" si="0"/>
        <v>0</v>
      </c>
    </row>
    <row r="9" spans="2:7" x14ac:dyDescent="0.2">
      <c r="B9" s="80" t="s">
        <v>676</v>
      </c>
      <c r="C9" s="164">
        <v>0</v>
      </c>
      <c r="D9" s="164">
        <v>0</v>
      </c>
      <c r="E9" s="164">
        <v>0</v>
      </c>
      <c r="F9" s="164">
        <f t="shared" si="0"/>
        <v>0</v>
      </c>
    </row>
    <row r="10" spans="2:7" ht="12" x14ac:dyDescent="0.25">
      <c r="B10" s="142" t="str">
        <f>+' NOTA I INTANGIBLESok'!B12</f>
        <v>Total al 30/09/2020</v>
      </c>
      <c r="C10" s="165">
        <f>SUM(C5:C9)</f>
        <v>0</v>
      </c>
      <c r="D10" s="165">
        <f>SUM(D5:D9)</f>
        <v>0</v>
      </c>
      <c r="E10" s="165">
        <f>SUM(E5:E9)</f>
        <v>0</v>
      </c>
      <c r="F10" s="165">
        <f t="shared" si="0"/>
        <v>0</v>
      </c>
      <c r="G10" s="166"/>
    </row>
    <row r="11" spans="2:7" ht="12" x14ac:dyDescent="0.25">
      <c r="B11" s="142" t="s">
        <v>580</v>
      </c>
      <c r="C11" s="165">
        <v>0</v>
      </c>
      <c r="D11" s="165">
        <v>0</v>
      </c>
      <c r="E11" s="165">
        <v>0</v>
      </c>
      <c r="F11" s="165">
        <v>0</v>
      </c>
      <c r="G11" s="16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C3:F12"/>
  <sheetViews>
    <sheetView showGridLines="0" topLeftCell="B1" zoomScale="125" workbookViewId="0">
      <selection activeCell="C5" sqref="C5:E12"/>
    </sheetView>
  </sheetViews>
  <sheetFormatPr baseColWidth="10" defaultColWidth="11.44140625" defaultRowHeight="11.4" x14ac:dyDescent="0.2"/>
  <cols>
    <col min="1" max="1" width="11.44140625" style="65"/>
    <col min="2" max="2" width="20.109375" style="65" customWidth="1"/>
    <col min="3" max="3" width="47.88671875" style="65" bestFit="1" customWidth="1"/>
    <col min="4" max="4" width="16.6640625" style="65" bestFit="1" customWidth="1"/>
    <col min="5" max="5" width="16.44140625" style="65" bestFit="1" customWidth="1"/>
    <col min="6" max="6" width="2.44140625" style="65" bestFit="1" customWidth="1"/>
    <col min="7" max="16384" width="11.44140625" style="65"/>
  </cols>
  <sheetData>
    <row r="3" spans="3:6" ht="12" x14ac:dyDescent="0.2">
      <c r="C3" s="149" t="s">
        <v>677</v>
      </c>
    </row>
    <row r="5" spans="3:6" ht="12" x14ac:dyDescent="0.2">
      <c r="C5" s="77" t="s">
        <v>678</v>
      </c>
      <c r="D5" s="77" t="s">
        <v>679</v>
      </c>
      <c r="E5" s="77" t="s">
        <v>680</v>
      </c>
    </row>
    <row r="6" spans="3:6" x14ac:dyDescent="0.2">
      <c r="C6" s="80" t="s">
        <v>681</v>
      </c>
      <c r="D6" s="98">
        <v>3127587500</v>
      </c>
      <c r="E6" s="141">
        <v>0</v>
      </c>
    </row>
    <row r="7" spans="3:6" x14ac:dyDescent="0.2">
      <c r="C7" s="80" t="s">
        <v>682</v>
      </c>
      <c r="D7" s="98">
        <v>2690000000</v>
      </c>
      <c r="E7" s="141">
        <v>0</v>
      </c>
    </row>
    <row r="8" spans="3:6" x14ac:dyDescent="0.2">
      <c r="C8" s="80" t="s">
        <v>683</v>
      </c>
      <c r="D8" s="98">
        <v>5000000000</v>
      </c>
      <c r="E8" s="141">
        <v>0</v>
      </c>
    </row>
    <row r="9" spans="3:6" x14ac:dyDescent="0.2">
      <c r="C9" s="80" t="s">
        <v>468</v>
      </c>
      <c r="D9" s="98">
        <v>348792813</v>
      </c>
      <c r="E9" s="141">
        <v>0</v>
      </c>
    </row>
    <row r="10" spans="3:6" x14ac:dyDescent="0.2">
      <c r="C10" s="80" t="s">
        <v>684</v>
      </c>
      <c r="D10" s="98">
        <v>10872102177</v>
      </c>
      <c r="E10" s="141"/>
    </row>
    <row r="11" spans="3:6" ht="12" x14ac:dyDescent="0.25">
      <c r="C11" s="142" t="str">
        <f>+'NOTA J OTROS ACTIVOS CTES Y NO '!B10</f>
        <v>Total al 30/09/2020</v>
      </c>
      <c r="D11" s="100">
        <f>SUM(D6:D10)</f>
        <v>22038482490</v>
      </c>
      <c r="E11" s="161">
        <v>0</v>
      </c>
      <c r="F11" s="66"/>
    </row>
    <row r="12" spans="3:6" ht="12" x14ac:dyDescent="0.25">
      <c r="C12" s="142" t="s">
        <v>580</v>
      </c>
      <c r="D12" s="100">
        <v>8885334920</v>
      </c>
      <c r="E12" s="161">
        <v>0</v>
      </c>
      <c r="F12" s="6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C1:I11"/>
  <sheetViews>
    <sheetView showGridLines="0" zoomScale="112" zoomScaleNormal="112" workbookViewId="0">
      <selection activeCell="C4" sqref="C4:E10"/>
    </sheetView>
  </sheetViews>
  <sheetFormatPr baseColWidth="10" defaultColWidth="11.44140625" defaultRowHeight="11.4" x14ac:dyDescent="0.2"/>
  <cols>
    <col min="1" max="1" width="11.44140625" style="65"/>
    <col min="2" max="2" width="7.6640625" style="65" customWidth="1"/>
    <col min="3" max="3" width="28" style="65" bestFit="1" customWidth="1"/>
    <col min="4" max="4" width="15" style="65" customWidth="1"/>
    <col min="5" max="5" width="15" style="152" customWidth="1"/>
    <col min="6" max="6" width="13.44140625" style="65" customWidth="1"/>
    <col min="7" max="7" width="14" style="65" customWidth="1"/>
    <col min="8" max="8" width="23.33203125" style="65" customWidth="1"/>
    <col min="9" max="10" width="14.33203125" style="65" customWidth="1"/>
    <col min="11" max="16384" width="11.44140625" style="65"/>
  </cols>
  <sheetData>
    <row r="1" spans="3:9" x14ac:dyDescent="0.2">
      <c r="D1" s="73" t="s">
        <v>19</v>
      </c>
    </row>
    <row r="2" spans="3:9" ht="12" x14ac:dyDescent="0.2">
      <c r="C2" s="149" t="s">
        <v>685</v>
      </c>
    </row>
    <row r="4" spans="3:9" ht="34.5" customHeight="1" x14ac:dyDescent="0.2">
      <c r="C4" s="77" t="s">
        <v>476</v>
      </c>
      <c r="D4" s="167" t="s">
        <v>679</v>
      </c>
      <c r="E4" s="167" t="s">
        <v>680</v>
      </c>
    </row>
    <row r="5" spans="3:9" x14ac:dyDescent="0.2">
      <c r="C5" s="80" t="s">
        <v>686</v>
      </c>
      <c r="D5" s="98">
        <v>217644055</v>
      </c>
      <c r="E5" s="98"/>
      <c r="I5" s="168"/>
    </row>
    <row r="6" spans="3:9" x14ac:dyDescent="0.2">
      <c r="C6" s="80" t="s">
        <v>687</v>
      </c>
      <c r="D6" s="98">
        <v>9489367847</v>
      </c>
      <c r="E6" s="98">
        <v>0</v>
      </c>
      <c r="I6" s="168"/>
    </row>
    <row r="7" spans="3:9" x14ac:dyDescent="0.2">
      <c r="C7" s="80" t="s">
        <v>471</v>
      </c>
      <c r="D7" s="98">
        <v>6250000</v>
      </c>
      <c r="E7" s="98">
        <v>0</v>
      </c>
      <c r="I7" s="168"/>
    </row>
    <row r="8" spans="3:9" x14ac:dyDescent="0.2">
      <c r="C8" s="80" t="s">
        <v>688</v>
      </c>
      <c r="D8" s="98">
        <f>1583254+2376610+1269832+6225199</f>
        <v>11454895</v>
      </c>
      <c r="E8" s="98"/>
      <c r="I8" s="168"/>
    </row>
    <row r="9" spans="3:9" ht="12" x14ac:dyDescent="0.25">
      <c r="C9" s="142" t="str">
        <f>+'NOTA K PRESTAMOSok'!C11</f>
        <v>Total al 30/09/2020</v>
      </c>
      <c r="D9" s="106">
        <f>SUM(D5:D8)</f>
        <v>9724716797</v>
      </c>
      <c r="E9" s="98">
        <v>0</v>
      </c>
      <c r="F9" s="66">
        <v>0</v>
      </c>
      <c r="G9" s="356"/>
      <c r="H9" s="67"/>
    </row>
    <row r="10" spans="3:9" ht="12" x14ac:dyDescent="0.25">
      <c r="C10" s="142" t="s">
        <v>580</v>
      </c>
      <c r="D10" s="106">
        <v>146099615</v>
      </c>
      <c r="E10" s="106">
        <v>0</v>
      </c>
      <c r="F10" s="66">
        <v>9</v>
      </c>
    </row>
    <row r="11" spans="3:9" x14ac:dyDescent="0.2">
      <c r="D11" s="152"/>
    </row>
  </sheetData>
  <hyperlinks>
    <hyperlink ref="D1" location="'Balance Gral. Resol. 1'!A1" display="'Balance Gral. Resol. 1'!A1" xr:uid="{00000000-0004-0000-0F00-000000000000}"/>
  </hyperlink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B1:D32"/>
  <sheetViews>
    <sheetView showGridLines="0" topLeftCell="A15" zoomScale="125" zoomScaleNormal="85" workbookViewId="0">
      <selection activeCell="B27" sqref="B27:D32"/>
    </sheetView>
  </sheetViews>
  <sheetFormatPr baseColWidth="10" defaultColWidth="11.44140625" defaultRowHeight="11.4" x14ac:dyDescent="0.2"/>
  <cols>
    <col min="1" max="1" width="17.33203125" style="171" customWidth="1"/>
    <col min="2" max="2" width="47.109375" style="171" customWidth="1"/>
    <col min="3" max="3" width="21.44140625" style="171" bestFit="1" customWidth="1"/>
    <col min="4" max="4" width="16.44140625" style="171" bestFit="1" customWidth="1"/>
    <col min="5" max="16384" width="11.44140625" style="171"/>
  </cols>
  <sheetData>
    <row r="1" spans="2:4" ht="65.099999999999994" customHeight="1" x14ac:dyDescent="0.2">
      <c r="C1" s="172" t="s">
        <v>19</v>
      </c>
    </row>
    <row r="2" spans="2:4" ht="12" x14ac:dyDescent="0.2">
      <c r="B2" s="173" t="s">
        <v>689</v>
      </c>
    </row>
    <row r="4" spans="2:4" ht="12" x14ac:dyDescent="0.25">
      <c r="B4" s="160" t="s">
        <v>476</v>
      </c>
      <c r="C4" s="160" t="s">
        <v>690</v>
      </c>
      <c r="D4" s="160" t="s">
        <v>691</v>
      </c>
    </row>
    <row r="5" spans="2:4" x14ac:dyDescent="0.2">
      <c r="B5" s="174" t="s">
        <v>692</v>
      </c>
      <c r="C5" s="175">
        <v>3178769561</v>
      </c>
      <c r="D5" s="176">
        <v>0</v>
      </c>
    </row>
    <row r="6" spans="2:4" ht="12" x14ac:dyDescent="0.25">
      <c r="B6" s="177" t="str">
        <f>+'NOTA L DOCUM y CTAS A PAG OK'!C9</f>
        <v>Total al 30/09/2020</v>
      </c>
      <c r="C6" s="178">
        <f>SUM(C5:C5)</f>
        <v>3178769561</v>
      </c>
      <c r="D6" s="176">
        <v>0</v>
      </c>
    </row>
    <row r="7" spans="2:4" ht="12" x14ac:dyDescent="0.25">
      <c r="B7" s="177" t="s">
        <v>580</v>
      </c>
      <c r="C7" s="179">
        <v>6268600423</v>
      </c>
      <c r="D7" s="176">
        <v>0</v>
      </c>
    </row>
    <row r="9" spans="2:4" ht="12" x14ac:dyDescent="0.2">
      <c r="B9" s="173" t="s">
        <v>693</v>
      </c>
    </row>
    <row r="10" spans="2:4" ht="22.8" x14ac:dyDescent="0.2">
      <c r="B10" s="180" t="s">
        <v>694</v>
      </c>
    </row>
    <row r="11" spans="2:4" x14ac:dyDescent="0.2">
      <c r="B11" s="180"/>
    </row>
    <row r="12" spans="2:4" ht="24" x14ac:dyDescent="0.2">
      <c r="B12" s="173" t="s">
        <v>695</v>
      </c>
    </row>
    <row r="13" spans="2:4" ht="12" x14ac:dyDescent="0.2">
      <c r="B13" s="173"/>
    </row>
    <row r="14" spans="2:4" ht="12" x14ac:dyDescent="0.25">
      <c r="B14" s="160" t="s">
        <v>476</v>
      </c>
      <c r="C14" s="160" t="s">
        <v>690</v>
      </c>
      <c r="D14" s="160" t="s">
        <v>691</v>
      </c>
    </row>
    <row r="15" spans="2:4" x14ac:dyDescent="0.2">
      <c r="B15" s="174" t="s">
        <v>696</v>
      </c>
      <c r="C15" s="175">
        <v>10000000</v>
      </c>
      <c r="D15" s="176">
        <v>0</v>
      </c>
    </row>
    <row r="16" spans="2:4" x14ac:dyDescent="0.2">
      <c r="B16" s="174" t="s">
        <v>697</v>
      </c>
      <c r="C16" s="175">
        <v>366491</v>
      </c>
      <c r="D16" s="176">
        <v>0</v>
      </c>
    </row>
    <row r="17" spans="2:4" x14ac:dyDescent="0.2">
      <c r="B17" s="174" t="s">
        <v>698</v>
      </c>
      <c r="C17" s="175">
        <v>20737150</v>
      </c>
      <c r="D17" s="176">
        <v>0</v>
      </c>
    </row>
    <row r="18" spans="2:4" x14ac:dyDescent="0.2">
      <c r="B18" s="174" t="s">
        <v>699</v>
      </c>
      <c r="C18" s="175">
        <v>0</v>
      </c>
      <c r="D18" s="176">
        <v>0</v>
      </c>
    </row>
    <row r="19" spans="2:4" ht="12" x14ac:dyDescent="0.25">
      <c r="B19" s="177" t="str">
        <f>+B6</f>
        <v>Total al 30/09/2020</v>
      </c>
      <c r="C19" s="178">
        <f>SUM(C15:C18)</f>
        <v>31103641</v>
      </c>
      <c r="D19" s="176">
        <v>0</v>
      </c>
    </row>
    <row r="20" spans="2:4" ht="12" x14ac:dyDescent="0.25">
      <c r="B20" s="177" t="s">
        <v>580</v>
      </c>
      <c r="C20" s="179">
        <v>167483137</v>
      </c>
      <c r="D20" s="176">
        <v>0</v>
      </c>
    </row>
    <row r="21" spans="2:4" ht="12" x14ac:dyDescent="0.25">
      <c r="B21" s="181"/>
      <c r="C21" s="182"/>
      <c r="D21" s="183"/>
    </row>
    <row r="22" spans="2:4" ht="24" x14ac:dyDescent="0.2">
      <c r="B22" s="173" t="s">
        <v>700</v>
      </c>
    </row>
    <row r="23" spans="2:4" x14ac:dyDescent="0.2">
      <c r="B23" s="180" t="s">
        <v>701</v>
      </c>
    </row>
    <row r="25" spans="2:4" ht="12" x14ac:dyDescent="0.2">
      <c r="B25" s="173" t="s">
        <v>702</v>
      </c>
    </row>
    <row r="27" spans="2:4" ht="12" x14ac:dyDescent="0.2">
      <c r="B27" s="417" t="s">
        <v>476</v>
      </c>
      <c r="C27" s="167" t="s">
        <v>703</v>
      </c>
      <c r="D27" s="167" t="s">
        <v>704</v>
      </c>
    </row>
    <row r="28" spans="2:4" x14ac:dyDescent="0.2">
      <c r="B28" s="184" t="s">
        <v>705</v>
      </c>
      <c r="C28" s="185">
        <v>41725558</v>
      </c>
      <c r="D28" s="186">
        <v>0</v>
      </c>
    </row>
    <row r="29" spans="2:4" x14ac:dyDescent="0.2">
      <c r="B29" s="184" t="s">
        <v>470</v>
      </c>
      <c r="C29" s="187">
        <v>0</v>
      </c>
      <c r="D29" s="186">
        <v>0</v>
      </c>
    </row>
    <row r="30" spans="2:4" x14ac:dyDescent="0.2">
      <c r="B30" s="184" t="s">
        <v>469</v>
      </c>
      <c r="C30" s="188">
        <v>0</v>
      </c>
      <c r="D30" s="186">
        <v>0</v>
      </c>
    </row>
    <row r="31" spans="2:4" ht="12" x14ac:dyDescent="0.25">
      <c r="B31" s="177" t="str">
        <f>+B19</f>
        <v>Total al 30/09/2020</v>
      </c>
      <c r="C31" s="178">
        <f>SUM(C28:C30)</f>
        <v>41725558</v>
      </c>
      <c r="D31" s="186">
        <v>0</v>
      </c>
    </row>
    <row r="32" spans="2:4" ht="12" x14ac:dyDescent="0.25">
      <c r="B32" s="177" t="s">
        <v>580</v>
      </c>
      <c r="C32" s="189">
        <v>213536289</v>
      </c>
      <c r="D32" s="186">
        <v>0</v>
      </c>
    </row>
  </sheetData>
  <hyperlinks>
    <hyperlink ref="C1" location="'Balance Gral. Resol. 1'!A1" display="'Balance Gral. Resol. 1'!A1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B1:I38"/>
  <sheetViews>
    <sheetView showGridLines="0" topLeftCell="A15" zoomScale="106" zoomScaleNormal="80" workbookViewId="0">
      <selection activeCell="B43" sqref="B43"/>
    </sheetView>
  </sheetViews>
  <sheetFormatPr baseColWidth="10" defaultColWidth="11.44140625" defaultRowHeight="11.4" x14ac:dyDescent="0.2"/>
  <cols>
    <col min="1" max="1" width="11.44140625" style="171"/>
    <col min="2" max="2" width="37.6640625" style="171" customWidth="1"/>
    <col min="3" max="3" width="27" style="171" bestFit="1" customWidth="1"/>
    <col min="4" max="4" width="23.33203125" style="171" bestFit="1" customWidth="1"/>
    <col min="5" max="5" width="17" style="191" customWidth="1"/>
    <col min="6" max="6" width="14.109375" style="191" bestFit="1" customWidth="1"/>
    <col min="7" max="7" width="14.33203125" style="171" bestFit="1" customWidth="1"/>
    <col min="8" max="8" width="14" style="192" bestFit="1" customWidth="1"/>
    <col min="9" max="16384" width="11.44140625" style="171"/>
  </cols>
  <sheetData>
    <row r="1" spans="2:6" ht="44.1" customHeight="1" x14ac:dyDescent="0.2">
      <c r="C1" s="172" t="s">
        <v>19</v>
      </c>
    </row>
    <row r="4" spans="2:6" ht="36" x14ac:dyDescent="0.2">
      <c r="B4" s="193" t="s">
        <v>706</v>
      </c>
    </row>
    <row r="5" spans="2:6" ht="12" thickBot="1" x14ac:dyDescent="0.25"/>
    <row r="6" spans="2:6" ht="35.25" customHeight="1" thickBot="1" x14ac:dyDescent="0.3">
      <c r="B6" s="194"/>
      <c r="C6" s="195"/>
      <c r="D6" s="196"/>
      <c r="E6" s="486" t="s">
        <v>707</v>
      </c>
      <c r="F6" s="487"/>
    </row>
    <row r="7" spans="2:6" ht="24" x14ac:dyDescent="0.2">
      <c r="B7" s="197" t="s">
        <v>708</v>
      </c>
      <c r="C7" s="197" t="s">
        <v>709</v>
      </c>
      <c r="D7" s="197" t="s">
        <v>710</v>
      </c>
      <c r="E7" s="190" t="s">
        <v>664</v>
      </c>
      <c r="F7" s="190" t="s">
        <v>834</v>
      </c>
    </row>
    <row r="8" spans="2:6" x14ac:dyDescent="0.2">
      <c r="B8" s="198" t="s">
        <v>711</v>
      </c>
      <c r="C8" s="198" t="s">
        <v>712</v>
      </c>
      <c r="D8" s="198" t="s">
        <v>835</v>
      </c>
      <c r="E8" s="199">
        <v>181735493</v>
      </c>
      <c r="F8" s="199">
        <f>264605309+112934381</f>
        <v>377539690</v>
      </c>
    </row>
    <row r="9" spans="2:6" ht="22.8" x14ac:dyDescent="0.2">
      <c r="B9" s="198" t="s">
        <v>714</v>
      </c>
      <c r="C9" s="198" t="s">
        <v>715</v>
      </c>
      <c r="D9" s="198" t="s">
        <v>713</v>
      </c>
      <c r="E9" s="199">
        <v>0</v>
      </c>
      <c r="F9" s="199">
        <v>8667790</v>
      </c>
    </row>
    <row r="10" spans="2:6" x14ac:dyDescent="0.2">
      <c r="B10" s="198" t="s">
        <v>716</v>
      </c>
      <c r="C10" s="198" t="s">
        <v>712</v>
      </c>
      <c r="D10" s="198" t="s">
        <v>713</v>
      </c>
      <c r="E10" s="199">
        <v>69030923</v>
      </c>
      <c r="F10" s="199">
        <f>195115+17700266</f>
        <v>17895381</v>
      </c>
    </row>
    <row r="11" spans="2:6" x14ac:dyDescent="0.2">
      <c r="B11" s="198" t="s">
        <v>603</v>
      </c>
      <c r="C11" s="198" t="s">
        <v>712</v>
      </c>
      <c r="D11" s="198" t="s">
        <v>713</v>
      </c>
      <c r="E11" s="199">
        <v>270336706</v>
      </c>
      <c r="F11" s="199">
        <v>46101900</v>
      </c>
    </row>
    <row r="12" spans="2:6" x14ac:dyDescent="0.2">
      <c r="B12" s="198" t="s">
        <v>717</v>
      </c>
      <c r="C12" s="198" t="s">
        <v>718</v>
      </c>
      <c r="D12" s="198" t="s">
        <v>713</v>
      </c>
      <c r="E12" s="199">
        <v>0</v>
      </c>
      <c r="F12" s="199">
        <v>140686646</v>
      </c>
    </row>
    <row r="13" spans="2:6" x14ac:dyDescent="0.2">
      <c r="B13" s="198" t="s">
        <v>719</v>
      </c>
      <c r="C13" s="198" t="s">
        <v>712</v>
      </c>
      <c r="D13" s="198" t="s">
        <v>720</v>
      </c>
      <c r="E13" s="199">
        <v>0</v>
      </c>
      <c r="F13" s="199">
        <v>111599400</v>
      </c>
    </row>
    <row r="14" spans="2:6" x14ac:dyDescent="0.2">
      <c r="B14" s="198" t="s">
        <v>721</v>
      </c>
      <c r="C14" s="198" t="s">
        <v>715</v>
      </c>
      <c r="D14" s="198" t="s">
        <v>835</v>
      </c>
      <c r="E14" s="199">
        <v>2179697</v>
      </c>
      <c r="F14" s="199">
        <v>10000000</v>
      </c>
    </row>
    <row r="15" spans="2:6" x14ac:dyDescent="0.2">
      <c r="B15" s="198" t="s">
        <v>722</v>
      </c>
      <c r="C15" s="198" t="s">
        <v>723</v>
      </c>
      <c r="D15" s="198" t="s">
        <v>724</v>
      </c>
      <c r="E15" s="199">
        <v>0</v>
      </c>
      <c r="F15" s="199">
        <v>3500001</v>
      </c>
    </row>
    <row r="16" spans="2:6" x14ac:dyDescent="0.2">
      <c r="B16" s="198" t="s">
        <v>725</v>
      </c>
      <c r="C16" s="198" t="s">
        <v>723</v>
      </c>
      <c r="D16" s="198" t="s">
        <v>713</v>
      </c>
      <c r="E16" s="199">
        <v>0</v>
      </c>
      <c r="F16" s="199"/>
    </row>
    <row r="17" spans="2:9" x14ac:dyDescent="0.2">
      <c r="B17" s="198" t="s">
        <v>726</v>
      </c>
      <c r="C17" s="198" t="s">
        <v>723</v>
      </c>
      <c r="D17" s="198" t="s">
        <v>724</v>
      </c>
      <c r="E17" s="199">
        <v>0</v>
      </c>
      <c r="F17" s="199">
        <v>366417</v>
      </c>
    </row>
    <row r="18" spans="2:9" x14ac:dyDescent="0.2">
      <c r="B18" s="198" t="s">
        <v>727</v>
      </c>
      <c r="C18" s="198" t="s">
        <v>712</v>
      </c>
      <c r="D18" s="198" t="s">
        <v>720</v>
      </c>
      <c r="E18" s="199">
        <v>0</v>
      </c>
      <c r="F18" s="199"/>
    </row>
    <row r="19" spans="2:9" x14ac:dyDescent="0.2">
      <c r="B19" s="198" t="s">
        <v>728</v>
      </c>
      <c r="C19" s="198" t="s">
        <v>712</v>
      </c>
      <c r="D19" s="198" t="s">
        <v>720</v>
      </c>
      <c r="E19" s="199">
        <v>0</v>
      </c>
      <c r="F19" s="199"/>
    </row>
    <row r="20" spans="2:9" x14ac:dyDescent="0.2">
      <c r="B20" s="198" t="s">
        <v>729</v>
      </c>
      <c r="C20" s="198" t="s">
        <v>712</v>
      </c>
      <c r="D20" s="198" t="s">
        <v>720</v>
      </c>
      <c r="E20" s="199">
        <v>0</v>
      </c>
      <c r="F20" s="199">
        <v>124200</v>
      </c>
    </row>
    <row r="21" spans="2:9" x14ac:dyDescent="0.2">
      <c r="B21" s="198" t="s">
        <v>730</v>
      </c>
      <c r="C21" s="198" t="s">
        <v>712</v>
      </c>
      <c r="D21" s="198" t="s">
        <v>720</v>
      </c>
      <c r="E21" s="199">
        <v>0</v>
      </c>
      <c r="F21" s="199">
        <v>31577650</v>
      </c>
    </row>
    <row r="22" spans="2:9" x14ac:dyDescent="0.2">
      <c r="B22" s="198" t="s">
        <v>731</v>
      </c>
      <c r="C22" s="198" t="s">
        <v>715</v>
      </c>
      <c r="D22" s="198" t="s">
        <v>713</v>
      </c>
      <c r="E22" s="199">
        <v>5326230</v>
      </c>
      <c r="F22" s="199">
        <v>5326230</v>
      </c>
    </row>
    <row r="23" spans="2:9" x14ac:dyDescent="0.2">
      <c r="B23" s="198" t="s">
        <v>732</v>
      </c>
      <c r="C23" s="198" t="s">
        <v>712</v>
      </c>
      <c r="D23" s="198" t="s">
        <v>713</v>
      </c>
      <c r="E23" s="199">
        <v>59860685</v>
      </c>
      <c r="F23" s="199">
        <v>59860685</v>
      </c>
    </row>
    <row r="24" spans="2:9" x14ac:dyDescent="0.2">
      <c r="B24" s="184" t="s">
        <v>733</v>
      </c>
      <c r="C24" s="198" t="s">
        <v>712</v>
      </c>
      <c r="D24" s="198" t="s">
        <v>713</v>
      </c>
      <c r="E24" s="199">
        <v>0</v>
      </c>
      <c r="F24" s="199"/>
    </row>
    <row r="25" spans="2:9" x14ac:dyDescent="0.2">
      <c r="B25" s="184" t="s">
        <v>734</v>
      </c>
      <c r="C25" s="184" t="s">
        <v>712</v>
      </c>
      <c r="D25" s="198" t="s">
        <v>713</v>
      </c>
      <c r="E25" s="199">
        <v>440012216</v>
      </c>
      <c r="F25" s="199">
        <f>258180669</f>
        <v>258180669</v>
      </c>
    </row>
    <row r="26" spans="2:9" x14ac:dyDescent="0.2">
      <c r="B26" s="198" t="s">
        <v>735</v>
      </c>
      <c r="C26" s="198" t="s">
        <v>715</v>
      </c>
      <c r="D26" s="198" t="s">
        <v>713</v>
      </c>
      <c r="E26" s="199">
        <v>0</v>
      </c>
      <c r="F26" s="199">
        <v>0</v>
      </c>
    </row>
    <row r="27" spans="2:9" x14ac:dyDescent="0.2">
      <c r="B27" s="200" t="s">
        <v>736</v>
      </c>
      <c r="C27" s="198" t="s">
        <v>723</v>
      </c>
      <c r="D27" s="198" t="s">
        <v>713</v>
      </c>
      <c r="E27" s="199">
        <v>46187430</v>
      </c>
      <c r="F27" s="199">
        <v>0</v>
      </c>
    </row>
    <row r="28" spans="2:9" x14ac:dyDescent="0.2">
      <c r="B28" s="200" t="s">
        <v>737</v>
      </c>
      <c r="C28" s="198" t="s">
        <v>723</v>
      </c>
      <c r="D28" s="198" t="s">
        <v>713</v>
      </c>
      <c r="E28" s="199">
        <v>10939636</v>
      </c>
      <c r="F28" s="199">
        <v>0</v>
      </c>
    </row>
    <row r="29" spans="2:9" x14ac:dyDescent="0.2">
      <c r="B29" s="200" t="s">
        <v>738</v>
      </c>
      <c r="C29" s="198" t="s">
        <v>715</v>
      </c>
      <c r="D29" s="198" t="s">
        <v>713</v>
      </c>
      <c r="E29" s="199">
        <v>0</v>
      </c>
      <c r="F29" s="199">
        <v>0</v>
      </c>
      <c r="G29" s="192"/>
    </row>
    <row r="30" spans="2:9" x14ac:dyDescent="0.2">
      <c r="B30" s="200" t="s">
        <v>604</v>
      </c>
      <c r="C30" s="198" t="s">
        <v>712</v>
      </c>
      <c r="D30" s="198" t="s">
        <v>720</v>
      </c>
      <c r="E30" s="199">
        <v>0</v>
      </c>
      <c r="F30" s="199">
        <v>2158293</v>
      </c>
      <c r="G30" s="192"/>
    </row>
    <row r="31" spans="2:9" ht="12" x14ac:dyDescent="0.25">
      <c r="B31" s="177" t="str">
        <f>+'NOTAS M-Q ACREED CP OK'!B31</f>
        <v>Total al 30/09/2020</v>
      </c>
      <c r="C31" s="96"/>
      <c r="D31" s="96"/>
      <c r="E31" s="201">
        <f>SUM(E8:E30)</f>
        <v>1085609016</v>
      </c>
      <c r="F31" s="201"/>
    </row>
    <row r="32" spans="2:9" ht="12" x14ac:dyDescent="0.25">
      <c r="B32" s="177" t="s">
        <v>580</v>
      </c>
      <c r="C32" s="96"/>
      <c r="D32" s="96"/>
      <c r="E32" s="201"/>
      <c r="F32" s="201">
        <f>SUM(F8:F31)</f>
        <v>1073584952</v>
      </c>
      <c r="I32" s="448"/>
    </row>
    <row r="35" spans="2:8" ht="24" x14ac:dyDescent="0.2">
      <c r="B35" s="417" t="s">
        <v>708</v>
      </c>
      <c r="C35" s="167" t="s">
        <v>709</v>
      </c>
      <c r="D35" s="167" t="s">
        <v>710</v>
      </c>
      <c r="E35" s="167" t="s">
        <v>739</v>
      </c>
      <c r="F35" s="167" t="s">
        <v>632</v>
      </c>
      <c r="G35" s="167" t="s">
        <v>740</v>
      </c>
    </row>
    <row r="36" spans="2:8" x14ac:dyDescent="0.2">
      <c r="B36" s="184" t="s">
        <v>741</v>
      </c>
      <c r="C36" s="202" t="s">
        <v>742</v>
      </c>
      <c r="D36" s="202" t="s">
        <v>743</v>
      </c>
      <c r="E36" s="176">
        <v>0</v>
      </c>
      <c r="F36" s="203"/>
      <c r="G36" s="185">
        <v>0</v>
      </c>
    </row>
    <row r="37" spans="2:8" ht="12" x14ac:dyDescent="0.25">
      <c r="B37" s="177" t="str">
        <f>+B31</f>
        <v>Total al 30/09/2020</v>
      </c>
      <c r="C37" s="176">
        <v>0</v>
      </c>
      <c r="D37" s="176">
        <v>0</v>
      </c>
      <c r="E37" s="176">
        <v>0</v>
      </c>
      <c r="F37" s="176">
        <v>0</v>
      </c>
      <c r="G37" s="178">
        <v>0</v>
      </c>
    </row>
    <row r="38" spans="2:8" ht="12" x14ac:dyDescent="0.25">
      <c r="B38" s="177" t="str">
        <f>+B32</f>
        <v>Total al 31/12/2019</v>
      </c>
      <c r="C38" s="176">
        <v>0</v>
      </c>
      <c r="D38" s="176">
        <v>0</v>
      </c>
      <c r="E38" s="176">
        <v>0</v>
      </c>
      <c r="F38" s="176">
        <v>0</v>
      </c>
      <c r="G38" s="178">
        <v>0</v>
      </c>
      <c r="H38" s="192">
        <v>0</v>
      </c>
    </row>
  </sheetData>
  <mergeCells count="1">
    <mergeCell ref="E6:F6"/>
  </mergeCells>
  <hyperlinks>
    <hyperlink ref="C1" location="'Balance Gral. Resol. 1'!A1" display="'Balance Gral. Resol. 1'!A1" xr:uid="{00000000-0004-0000-1100-000000000000}"/>
  </hyperlinks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B1:O28"/>
  <sheetViews>
    <sheetView showGridLines="0" topLeftCell="B2" workbookViewId="0">
      <selection activeCell="B5" sqref="B5:D18"/>
    </sheetView>
  </sheetViews>
  <sheetFormatPr baseColWidth="10" defaultColWidth="11.44140625" defaultRowHeight="11.4" x14ac:dyDescent="0.2"/>
  <cols>
    <col min="1" max="1" width="22.88671875" style="65" customWidth="1"/>
    <col min="2" max="2" width="50.88671875" style="65" bestFit="1" customWidth="1"/>
    <col min="3" max="3" width="13" style="66" bestFit="1" customWidth="1"/>
    <col min="4" max="4" width="12.109375" style="65" bestFit="1" customWidth="1"/>
    <col min="5" max="5" width="11.44140625" style="65"/>
    <col min="6" max="6" width="12" style="65" bestFit="1" customWidth="1"/>
    <col min="7" max="8" width="11.44140625" style="65"/>
    <col min="9" max="9" width="12.44140625" style="65" bestFit="1" customWidth="1"/>
    <col min="10" max="16384" width="11.44140625" style="65"/>
  </cols>
  <sheetData>
    <row r="1" spans="2:6" x14ac:dyDescent="0.2">
      <c r="B1" s="73" t="s">
        <v>19</v>
      </c>
    </row>
    <row r="2" spans="2:6" x14ac:dyDescent="0.2">
      <c r="B2" s="57"/>
    </row>
    <row r="3" spans="2:6" ht="12" x14ac:dyDescent="0.2">
      <c r="B3" s="149" t="s">
        <v>744</v>
      </c>
    </row>
    <row r="4" spans="2:6" ht="12" x14ac:dyDescent="0.2">
      <c r="B4" s="149"/>
    </row>
    <row r="5" spans="2:6" ht="12" x14ac:dyDescent="0.2">
      <c r="B5" s="416" t="s">
        <v>745</v>
      </c>
      <c r="C5" s="207" t="s">
        <v>746</v>
      </c>
      <c r="D5" s="416" t="s">
        <v>747</v>
      </c>
    </row>
    <row r="6" spans="2:6" x14ac:dyDescent="0.2">
      <c r="B6" s="208" t="s">
        <v>748</v>
      </c>
      <c r="C6" s="209">
        <v>11309045</v>
      </c>
      <c r="D6" s="210">
        <v>466778047</v>
      </c>
      <c r="F6" s="67"/>
    </row>
    <row r="7" spans="2:6" x14ac:dyDescent="0.2">
      <c r="B7" s="208" t="s">
        <v>749</v>
      </c>
      <c r="C7" s="210">
        <v>4015244</v>
      </c>
      <c r="D7" s="210">
        <v>328903301</v>
      </c>
      <c r="F7" s="67"/>
    </row>
    <row r="8" spans="2:6" x14ac:dyDescent="0.2">
      <c r="B8" s="208" t="s">
        <v>750</v>
      </c>
      <c r="C8" s="210">
        <v>4839982</v>
      </c>
      <c r="D8" s="141">
        <v>397550775</v>
      </c>
      <c r="F8" s="67"/>
    </row>
    <row r="9" spans="2:6" x14ac:dyDescent="0.2">
      <c r="B9" s="208" t="s">
        <v>836</v>
      </c>
      <c r="C9" s="210">
        <v>7792258</v>
      </c>
      <c r="D9" s="141">
        <v>0</v>
      </c>
      <c r="F9" s="67"/>
    </row>
    <row r="10" spans="2:6" x14ac:dyDescent="0.2">
      <c r="B10" s="208" t="s">
        <v>837</v>
      </c>
      <c r="C10" s="210">
        <v>226378</v>
      </c>
      <c r="D10" s="141">
        <v>0</v>
      </c>
      <c r="F10" s="67"/>
    </row>
    <row r="11" spans="2:6" x14ac:dyDescent="0.2">
      <c r="B11" s="208" t="s">
        <v>838</v>
      </c>
      <c r="C11" s="210">
        <v>2045</v>
      </c>
      <c r="D11" s="141">
        <v>77200000</v>
      </c>
      <c r="F11" s="67"/>
    </row>
    <row r="12" spans="2:6" x14ac:dyDescent="0.2">
      <c r="B12" s="208" t="s">
        <v>751</v>
      </c>
      <c r="C12" s="141">
        <v>179392209</v>
      </c>
      <c r="D12" s="210">
        <v>41675192</v>
      </c>
      <c r="E12" s="138"/>
      <c r="F12" s="67"/>
    </row>
    <row r="13" spans="2:6" x14ac:dyDescent="0.2">
      <c r="B13" s="208" t="s">
        <v>752</v>
      </c>
      <c r="C13" s="141">
        <v>146598807</v>
      </c>
      <c r="D13" s="210">
        <v>0</v>
      </c>
      <c r="E13" s="138"/>
      <c r="F13" s="67"/>
    </row>
    <row r="14" spans="2:6" x14ac:dyDescent="0.2">
      <c r="B14" s="208" t="s">
        <v>753</v>
      </c>
      <c r="C14" s="141">
        <v>62908828</v>
      </c>
      <c r="D14" s="210">
        <v>0</v>
      </c>
      <c r="F14" s="67"/>
    </row>
    <row r="15" spans="2:6" x14ac:dyDescent="0.2">
      <c r="B15" s="208" t="s">
        <v>754</v>
      </c>
      <c r="C15" s="141">
        <v>153019611</v>
      </c>
      <c r="D15" s="210">
        <v>10881869</v>
      </c>
    </row>
    <row r="16" spans="2:6" x14ac:dyDescent="0.2">
      <c r="B16" s="208" t="s">
        <v>839</v>
      </c>
      <c r="C16" s="141">
        <v>0</v>
      </c>
      <c r="D16" s="210">
        <v>34909091</v>
      </c>
    </row>
    <row r="17" spans="2:15" ht="12" x14ac:dyDescent="0.25">
      <c r="B17" s="142" t="str">
        <f>+'NOTA R SALDOS Y TRANSACC ok'!B37</f>
        <v>Total al 30/09/2020</v>
      </c>
      <c r="C17" s="211">
        <f>SUM(C6:C16)</f>
        <v>570104407</v>
      </c>
      <c r="D17" s="211">
        <f>SUM(D6:D16)</f>
        <v>1357898275</v>
      </c>
    </row>
    <row r="18" spans="2:15" ht="12" x14ac:dyDescent="0.25">
      <c r="B18" s="142" t="s">
        <v>755</v>
      </c>
      <c r="C18" s="212">
        <v>295045726</v>
      </c>
      <c r="D18" s="211">
        <v>702720505</v>
      </c>
    </row>
    <row r="21" spans="2:15" x14ac:dyDescent="0.2">
      <c r="K21" s="204"/>
      <c r="M21" s="205"/>
      <c r="O21" s="205"/>
    </row>
    <row r="22" spans="2:15" x14ac:dyDescent="0.2">
      <c r="K22" s="204"/>
      <c r="M22" s="205"/>
      <c r="O22" s="205"/>
    </row>
    <row r="23" spans="2:15" ht="12" x14ac:dyDescent="0.25">
      <c r="K23" s="204"/>
      <c r="M23" s="205"/>
      <c r="O23" s="206"/>
    </row>
    <row r="28" spans="2:15" x14ac:dyDescent="0.2">
      <c r="G28" s="205"/>
    </row>
  </sheetData>
  <hyperlinks>
    <hyperlink ref="B1" location="'Balance Gral. Resol. 1'!A1" display="'Balance Gral. Resol. 1'!A1" xr:uid="{00000000-0004-0000-1200-000000000000}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2:J146"/>
  <sheetViews>
    <sheetView showGridLines="0" tabSelected="1" topLeftCell="A72" zoomScale="125" zoomScaleNormal="100" workbookViewId="0">
      <selection activeCell="D86" sqref="D86"/>
    </sheetView>
  </sheetViews>
  <sheetFormatPr baseColWidth="10" defaultColWidth="11.44140625" defaultRowHeight="10.199999999999999" x14ac:dyDescent="0.2"/>
  <cols>
    <col min="1" max="1" width="3.88671875" style="1" customWidth="1"/>
    <col min="2" max="2" width="20.88671875" style="1" hidden="1" customWidth="1"/>
    <col min="3" max="3" width="30.44140625" style="1" customWidth="1"/>
    <col min="4" max="4" width="13.88671875" style="1" customWidth="1"/>
    <col min="5" max="5" width="13.44140625" style="1" customWidth="1"/>
    <col min="6" max="6" width="28.33203125" style="1" customWidth="1"/>
    <col min="7" max="7" width="14.33203125" style="1" customWidth="1"/>
    <col min="8" max="8" width="13.109375" style="1" customWidth="1"/>
    <col min="9" max="16384" width="11.44140625" style="1"/>
  </cols>
  <sheetData>
    <row r="2" spans="2:8" ht="12" x14ac:dyDescent="0.2">
      <c r="E2" s="56"/>
    </row>
    <row r="3" spans="2:8" ht="21.9" customHeight="1" x14ac:dyDescent="0.2">
      <c r="E3" s="56"/>
    </row>
    <row r="4" spans="2:8" s="51" customFormat="1" ht="11.4" x14ac:dyDescent="0.2">
      <c r="B4" s="50">
        <v>1</v>
      </c>
      <c r="C4" s="452" t="s">
        <v>0</v>
      </c>
      <c r="D4" s="452"/>
      <c r="E4" s="452"/>
      <c r="F4" s="452"/>
      <c r="G4" s="452"/>
      <c r="H4" s="452"/>
    </row>
    <row r="5" spans="2:8" s="51" customFormat="1" ht="11.25" customHeight="1" x14ac:dyDescent="0.2">
      <c r="C5" s="452" t="s">
        <v>99</v>
      </c>
      <c r="D5" s="452"/>
      <c r="E5" s="452"/>
      <c r="F5" s="452"/>
      <c r="G5" s="452"/>
      <c r="H5" s="452"/>
    </row>
    <row r="6" spans="2:8" s="51" customFormat="1" ht="11.25" customHeight="1" x14ac:dyDescent="0.2">
      <c r="B6" s="52" t="s">
        <v>100</v>
      </c>
      <c r="C6" s="452" t="s">
        <v>101</v>
      </c>
      <c r="D6" s="452"/>
      <c r="E6" s="452"/>
      <c r="F6" s="452"/>
      <c r="G6" s="452"/>
      <c r="H6" s="452"/>
    </row>
    <row r="7" spans="2:8" s="51" customFormat="1" ht="11.25" customHeight="1" x14ac:dyDescent="0.2">
      <c r="B7" s="53" t="s">
        <v>102</v>
      </c>
      <c r="C7" s="453" t="s">
        <v>103</v>
      </c>
      <c r="D7" s="453"/>
      <c r="E7" s="453"/>
      <c r="F7" s="453"/>
      <c r="G7" s="453"/>
      <c r="H7" s="453"/>
    </row>
    <row r="8" spans="2:8" s="51" customFormat="1" ht="24.75" customHeight="1" x14ac:dyDescent="0.2">
      <c r="B8" s="53"/>
      <c r="C8" s="247" t="s">
        <v>104</v>
      </c>
      <c r="D8" s="248" t="s">
        <v>105</v>
      </c>
      <c r="E8" s="249" t="s">
        <v>106</v>
      </c>
      <c r="F8" s="247" t="s">
        <v>107</v>
      </c>
      <c r="G8" s="248" t="str">
        <f>+D8</f>
        <v>PERIODO ACTUAL 30/09/ 2020</v>
      </c>
      <c r="H8" s="249" t="str">
        <f>+E8</f>
        <v>PERIODO ANTERIOR 31/12/2019</v>
      </c>
    </row>
    <row r="9" spans="2:8" s="51" customFormat="1" ht="11.25" customHeight="1" x14ac:dyDescent="0.2">
      <c r="B9" s="53" t="s">
        <v>108</v>
      </c>
      <c r="C9" s="250" t="s">
        <v>109</v>
      </c>
      <c r="D9" s="251"/>
      <c r="E9" s="252"/>
      <c r="F9" s="253" t="s">
        <v>110</v>
      </c>
      <c r="G9" s="254"/>
      <c r="H9" s="255"/>
    </row>
    <row r="10" spans="2:8" s="51" customFormat="1" ht="11.25" customHeight="1" x14ac:dyDescent="0.2">
      <c r="B10" s="53" t="s">
        <v>111</v>
      </c>
      <c r="C10" s="250" t="s">
        <v>112</v>
      </c>
      <c r="D10" s="256"/>
      <c r="E10" s="255"/>
      <c r="F10" s="253" t="s">
        <v>113</v>
      </c>
      <c r="G10" s="254"/>
      <c r="H10" s="255"/>
    </row>
    <row r="11" spans="2:8" s="51" customFormat="1" ht="11.25" customHeight="1" x14ac:dyDescent="0.2">
      <c r="B11" s="53"/>
      <c r="C11" s="257" t="s">
        <v>114</v>
      </c>
      <c r="D11" s="256">
        <v>0</v>
      </c>
      <c r="E11" s="255">
        <v>0</v>
      </c>
      <c r="F11" s="258" t="s">
        <v>115</v>
      </c>
      <c r="G11" s="254">
        <v>3178769561</v>
      </c>
      <c r="H11" s="255">
        <v>6268600423</v>
      </c>
    </row>
    <row r="12" spans="2:8" s="51" customFormat="1" ht="11.25" customHeight="1" x14ac:dyDescent="0.2">
      <c r="B12" s="53"/>
      <c r="C12" s="257" t="s">
        <v>116</v>
      </c>
      <c r="D12" s="256">
        <f>223883897+642328</f>
        <v>224526225</v>
      </c>
      <c r="E12" s="255">
        <v>346576922</v>
      </c>
      <c r="F12" s="258" t="s">
        <v>117</v>
      </c>
      <c r="G12" s="254">
        <f>217644055+6225199+1583254+6250000+2376610+1269832+9489367847</f>
        <v>9724716797</v>
      </c>
      <c r="H12" s="255">
        <v>146099606</v>
      </c>
    </row>
    <row r="13" spans="2:8" s="51" customFormat="1" ht="11.25" customHeight="1" x14ac:dyDescent="0.2">
      <c r="B13" s="53"/>
      <c r="C13" s="257" t="s">
        <v>118</v>
      </c>
      <c r="D13" s="256">
        <f>319629164+1133123958+2012560602+1320100718+23499349</f>
        <v>4808913791</v>
      </c>
      <c r="E13" s="255">
        <v>1324460741</v>
      </c>
      <c r="F13" s="258" t="s">
        <v>119</v>
      </c>
      <c r="G13" s="255">
        <v>31103641</v>
      </c>
      <c r="H13" s="259">
        <v>167483137</v>
      </c>
    </row>
    <row r="14" spans="2:8" s="51" customFormat="1" ht="11.25" customHeight="1" x14ac:dyDescent="0.2">
      <c r="B14" s="53"/>
      <c r="C14" s="260"/>
      <c r="D14" s="261">
        <f>SUM(D11:D13)</f>
        <v>5033440016</v>
      </c>
      <c r="E14" s="261">
        <v>1671037663</v>
      </c>
      <c r="F14" s="258" t="s">
        <v>120</v>
      </c>
      <c r="G14" s="254">
        <v>0</v>
      </c>
      <c r="H14" s="255">
        <v>0</v>
      </c>
    </row>
    <row r="15" spans="2:8" s="51" customFormat="1" ht="11.25" customHeight="1" x14ac:dyDescent="0.2">
      <c r="B15" s="53"/>
      <c r="C15" s="260"/>
      <c r="D15" s="256"/>
      <c r="E15" s="255"/>
      <c r="F15" s="258" t="s">
        <v>121</v>
      </c>
      <c r="G15" s="254">
        <v>0</v>
      </c>
      <c r="H15" s="255">
        <v>0</v>
      </c>
    </row>
    <row r="16" spans="2:8" s="51" customFormat="1" ht="11.25" customHeight="1" x14ac:dyDescent="0.2">
      <c r="B16" s="53"/>
      <c r="C16" s="260"/>
      <c r="D16" s="256"/>
      <c r="E16" s="255"/>
      <c r="F16" s="253"/>
      <c r="G16" s="261">
        <f>SUM(G11:G15)</f>
        <v>12934589999</v>
      </c>
      <c r="H16" s="261">
        <v>6582183166</v>
      </c>
    </row>
    <row r="17" spans="2:10" s="51" customFormat="1" ht="11.25" customHeight="1" x14ac:dyDescent="0.2">
      <c r="B17" s="53" t="s">
        <v>122</v>
      </c>
      <c r="C17" s="250" t="s">
        <v>123</v>
      </c>
      <c r="D17" s="256">
        <v>0</v>
      </c>
      <c r="E17" s="255">
        <v>0</v>
      </c>
      <c r="F17" s="253" t="s">
        <v>124</v>
      </c>
      <c r="G17" s="254"/>
      <c r="H17" s="255"/>
    </row>
    <row r="18" spans="2:10" s="51" customFormat="1" ht="11.25" customHeight="1" x14ac:dyDescent="0.2">
      <c r="B18" s="53" t="s">
        <v>125</v>
      </c>
      <c r="C18" s="260" t="s">
        <v>126</v>
      </c>
      <c r="D18" s="256">
        <v>3595588712</v>
      </c>
      <c r="E18" s="255">
        <v>0</v>
      </c>
      <c r="F18" s="258" t="s">
        <v>127</v>
      </c>
      <c r="G18" s="254">
        <v>0</v>
      </c>
      <c r="H18" s="255">
        <v>0</v>
      </c>
    </row>
    <row r="19" spans="2:10" s="51" customFormat="1" ht="11.25" customHeight="1" x14ac:dyDescent="0.2">
      <c r="B19" s="53"/>
      <c r="C19" s="260" t="s">
        <v>128</v>
      </c>
      <c r="D19" s="256">
        <f>7590801909+6396547984</f>
        <v>13987349893</v>
      </c>
      <c r="E19" s="255">
        <v>0</v>
      </c>
      <c r="F19" s="258" t="s">
        <v>129</v>
      </c>
      <c r="G19" s="254">
        <f>2690000000+3127587500+5000000000+10872102177</f>
        <v>21689689677</v>
      </c>
      <c r="H19" s="255">
        <v>8590000000</v>
      </c>
    </row>
    <row r="20" spans="2:10" s="51" customFormat="1" ht="11.25" customHeight="1" x14ac:dyDescent="0.2">
      <c r="B20" s="53"/>
      <c r="C20" s="262" t="s">
        <v>130</v>
      </c>
      <c r="D20" s="256">
        <v>0</v>
      </c>
      <c r="E20" s="255">
        <v>0</v>
      </c>
      <c r="F20" s="258" t="s">
        <v>131</v>
      </c>
      <c r="G20" s="263">
        <v>348792813</v>
      </c>
      <c r="H20" s="264">
        <v>295334920</v>
      </c>
    </row>
    <row r="21" spans="2:10" s="51" customFormat="1" ht="11.25" customHeight="1" x14ac:dyDescent="0.2">
      <c r="B21" s="53"/>
      <c r="C21" s="260"/>
      <c r="D21" s="265">
        <f>SUM(D17:D20)</f>
        <v>17582938605</v>
      </c>
      <c r="E21" s="265">
        <v>0</v>
      </c>
      <c r="F21" s="266"/>
      <c r="G21" s="267">
        <f>SUM(G18:G20)</f>
        <v>22038482490</v>
      </c>
      <c r="H21" s="267">
        <v>8885334920</v>
      </c>
    </row>
    <row r="22" spans="2:10" s="51" customFormat="1" ht="11.25" customHeight="1" x14ac:dyDescent="0.2">
      <c r="B22" s="53"/>
      <c r="C22" s="250" t="s">
        <v>132</v>
      </c>
      <c r="D22" s="256"/>
      <c r="E22" s="255"/>
      <c r="F22" s="253" t="s">
        <v>133</v>
      </c>
      <c r="G22" s="254"/>
      <c r="H22" s="255"/>
    </row>
    <row r="23" spans="2:10" s="51" customFormat="1" ht="11.25" customHeight="1" x14ac:dyDescent="0.2">
      <c r="B23" s="53"/>
      <c r="C23" s="257" t="s">
        <v>134</v>
      </c>
      <c r="D23" s="256">
        <v>6710606675</v>
      </c>
      <c r="E23" s="259">
        <v>1219151576</v>
      </c>
      <c r="F23" s="258" t="s">
        <v>135</v>
      </c>
      <c r="G23" s="254"/>
      <c r="H23" s="255">
        <v>177672551</v>
      </c>
    </row>
    <row r="24" spans="2:10" s="51" customFormat="1" ht="11.25" customHeight="1" x14ac:dyDescent="0.2">
      <c r="B24" s="53"/>
      <c r="C24" s="257" t="s">
        <v>136</v>
      </c>
      <c r="D24" s="256">
        <f>3138322139-D27</f>
        <v>2052713123</v>
      </c>
      <c r="E24" s="255">
        <v>1432772081</v>
      </c>
      <c r="F24" s="258" t="s">
        <v>137</v>
      </c>
      <c r="G24" s="254">
        <v>0</v>
      </c>
      <c r="H24" s="255">
        <v>0</v>
      </c>
    </row>
    <row r="25" spans="2:10" s="51" customFormat="1" ht="14.1" customHeight="1" x14ac:dyDescent="0.2">
      <c r="B25" s="53"/>
      <c r="C25" s="257" t="s">
        <v>138</v>
      </c>
      <c r="D25" s="256">
        <v>0</v>
      </c>
      <c r="E25" s="255">
        <v>0</v>
      </c>
      <c r="F25" s="258" t="s">
        <v>139</v>
      </c>
      <c r="G25" s="254">
        <v>0</v>
      </c>
      <c r="H25" s="255">
        <v>0</v>
      </c>
    </row>
    <row r="26" spans="2:10" s="51" customFormat="1" ht="11.25" customHeight="1" x14ac:dyDescent="0.2">
      <c r="B26" s="53"/>
      <c r="C26" s="262" t="s">
        <v>140</v>
      </c>
      <c r="D26" s="256">
        <v>0</v>
      </c>
      <c r="E26" s="255">
        <v>0</v>
      </c>
      <c r="F26" s="258" t="s">
        <v>141</v>
      </c>
      <c r="G26" s="254">
        <v>41725558</v>
      </c>
      <c r="H26" s="255">
        <v>35863738</v>
      </c>
    </row>
    <row r="27" spans="2:10" s="51" customFormat="1" ht="11.25" customHeight="1" x14ac:dyDescent="0.2">
      <c r="B27" s="53"/>
      <c r="C27" s="257" t="s">
        <v>142</v>
      </c>
      <c r="D27" s="256">
        <v>1085609016</v>
      </c>
      <c r="E27" s="255">
        <v>1396573130</v>
      </c>
      <c r="F27" s="258" t="s">
        <v>143</v>
      </c>
      <c r="G27" s="263">
        <v>0</v>
      </c>
      <c r="H27" s="264">
        <v>0</v>
      </c>
    </row>
    <row r="28" spans="2:10" s="51" customFormat="1" ht="11.25" customHeight="1" x14ac:dyDescent="0.2">
      <c r="B28" s="53" t="s">
        <v>144</v>
      </c>
      <c r="C28" s="262" t="s">
        <v>145</v>
      </c>
      <c r="D28" s="256">
        <v>0</v>
      </c>
      <c r="E28" s="255">
        <v>0</v>
      </c>
      <c r="F28" s="258"/>
      <c r="G28" s="267">
        <f>SUM(G23:G27)</f>
        <v>41725558</v>
      </c>
      <c r="H28" s="267">
        <v>213536289</v>
      </c>
    </row>
    <row r="29" spans="2:10" s="51" customFormat="1" ht="11.25" customHeight="1" x14ac:dyDescent="0.2">
      <c r="B29" s="53" t="s">
        <v>146</v>
      </c>
      <c r="C29" s="257" t="s">
        <v>147</v>
      </c>
      <c r="D29" s="256">
        <v>0</v>
      </c>
      <c r="E29" s="255">
        <v>0</v>
      </c>
      <c r="F29" s="258"/>
      <c r="G29" s="254"/>
      <c r="H29" s="255"/>
    </row>
    <row r="30" spans="2:10" s="51" customFormat="1" ht="11.25" customHeight="1" x14ac:dyDescent="0.2">
      <c r="B30" s="53" t="s">
        <v>148</v>
      </c>
      <c r="C30" s="257"/>
      <c r="D30" s="261">
        <f>SUM(D23:D29)</f>
        <v>9848928814</v>
      </c>
      <c r="E30" s="261">
        <v>4048496787</v>
      </c>
      <c r="F30" s="258"/>
      <c r="G30" s="254"/>
      <c r="H30" s="255"/>
    </row>
    <row r="31" spans="2:10" s="51" customFormat="1" ht="11.25" customHeight="1" x14ac:dyDescent="0.2">
      <c r="B31" s="53"/>
      <c r="C31" s="250" t="s">
        <v>149</v>
      </c>
      <c r="D31" s="256"/>
      <c r="E31" s="255"/>
      <c r="F31" s="253" t="s">
        <v>150</v>
      </c>
      <c r="G31" s="254"/>
      <c r="H31" s="255"/>
      <c r="J31" s="54"/>
    </row>
    <row r="32" spans="2:10" s="51" customFormat="1" ht="11.25" customHeight="1" x14ac:dyDescent="0.2">
      <c r="B32" s="53" t="s">
        <v>151</v>
      </c>
      <c r="C32" s="268" t="s">
        <v>152</v>
      </c>
      <c r="D32" s="251"/>
      <c r="E32" s="252"/>
      <c r="F32" s="269"/>
      <c r="G32" s="270"/>
      <c r="H32" s="252"/>
    </row>
    <row r="33" spans="2:9" s="51" customFormat="1" ht="11.25" customHeight="1" x14ac:dyDescent="0.2">
      <c r="B33" s="53" t="s">
        <v>153</v>
      </c>
      <c r="C33" s="257" t="s">
        <v>154</v>
      </c>
      <c r="D33" s="256">
        <v>318175361</v>
      </c>
      <c r="E33" s="255">
        <v>238013955</v>
      </c>
      <c r="F33" s="258" t="s">
        <v>155</v>
      </c>
      <c r="G33" s="254">
        <v>0</v>
      </c>
      <c r="H33" s="255">
        <v>0</v>
      </c>
    </row>
    <row r="34" spans="2:9" s="51" customFormat="1" ht="11.25" customHeight="1" x14ac:dyDescent="0.2">
      <c r="B34" s="53" t="s">
        <v>156</v>
      </c>
      <c r="C34" s="257" t="s">
        <v>157</v>
      </c>
      <c r="D34" s="256">
        <v>6371376</v>
      </c>
      <c r="E34" s="255">
        <v>6267846</v>
      </c>
      <c r="F34" s="258" t="s">
        <v>158</v>
      </c>
      <c r="G34" s="254">
        <v>0</v>
      </c>
      <c r="H34" s="255">
        <v>0</v>
      </c>
      <c r="I34" s="54">
        <v>0</v>
      </c>
    </row>
    <row r="35" spans="2:9" s="51" customFormat="1" ht="11.25" customHeight="1" x14ac:dyDescent="0.2">
      <c r="B35" s="53" t="s">
        <v>159</v>
      </c>
      <c r="C35" s="257"/>
      <c r="D35" s="256"/>
      <c r="E35" s="255"/>
      <c r="F35" s="258" t="s">
        <v>160</v>
      </c>
      <c r="G35" s="254">
        <v>0</v>
      </c>
      <c r="H35" s="255">
        <v>0</v>
      </c>
    </row>
    <row r="36" spans="2:9" s="51" customFormat="1" ht="11.25" customHeight="1" x14ac:dyDescent="0.2">
      <c r="B36" s="53"/>
      <c r="C36" s="257"/>
      <c r="D36" s="256"/>
      <c r="E36" s="255"/>
      <c r="F36" s="258"/>
      <c r="G36" s="254"/>
      <c r="H36" s="264"/>
    </row>
    <row r="37" spans="2:9" s="51" customFormat="1" ht="11.25" customHeight="1" x14ac:dyDescent="0.2">
      <c r="B37" s="53"/>
      <c r="C37" s="250"/>
      <c r="D37" s="261">
        <f>SUM(D33:D36)</f>
        <v>324546737</v>
      </c>
      <c r="E37" s="261">
        <f>SUM(E33:E36)</f>
        <v>244281801</v>
      </c>
      <c r="F37" s="258"/>
      <c r="G37" s="271">
        <f>SUM(G33:G36)</f>
        <v>0</v>
      </c>
      <c r="H37" s="267">
        <v>0</v>
      </c>
    </row>
    <row r="38" spans="2:9" s="51" customFormat="1" ht="11.25" customHeight="1" thickBot="1" x14ac:dyDescent="0.25">
      <c r="B38" s="53" t="s">
        <v>161</v>
      </c>
      <c r="C38" s="272" t="s">
        <v>162</v>
      </c>
      <c r="D38" s="273">
        <f>+D14+D21+D30+D37</f>
        <v>32789854172</v>
      </c>
      <c r="E38" s="273">
        <f>+E14+E21+E30+E37</f>
        <v>5963816251</v>
      </c>
      <c r="F38" s="274" t="s">
        <v>163</v>
      </c>
      <c r="G38" s="275">
        <f>+G16+G21+G28+G37</f>
        <v>35014798047</v>
      </c>
      <c r="H38" s="276">
        <v>15681054375</v>
      </c>
    </row>
    <row r="39" spans="2:9" s="51" customFormat="1" ht="11.25" customHeight="1" thickTop="1" x14ac:dyDescent="0.2">
      <c r="B39" s="53"/>
      <c r="C39" s="257"/>
      <c r="D39" s="277"/>
      <c r="E39" s="255"/>
      <c r="F39" s="266"/>
      <c r="G39" s="254"/>
      <c r="H39" s="255"/>
    </row>
    <row r="40" spans="2:9" s="51" customFormat="1" ht="11.25" customHeight="1" x14ac:dyDescent="0.2">
      <c r="B40" s="53" t="s">
        <v>164</v>
      </c>
      <c r="C40" s="250" t="s">
        <v>165</v>
      </c>
      <c r="D40" s="256"/>
      <c r="E40" s="255"/>
      <c r="F40" s="253" t="s">
        <v>166</v>
      </c>
      <c r="G40" s="254"/>
      <c r="H40" s="255"/>
    </row>
    <row r="41" spans="2:9" s="51" customFormat="1" ht="11.25" customHeight="1" x14ac:dyDescent="0.2">
      <c r="B41" s="53" t="s">
        <v>167</v>
      </c>
      <c r="C41" s="250" t="s">
        <v>168</v>
      </c>
      <c r="D41" s="256"/>
      <c r="E41" s="255"/>
      <c r="F41" s="253" t="s">
        <v>169</v>
      </c>
      <c r="G41" s="254"/>
      <c r="H41" s="255"/>
    </row>
    <row r="42" spans="2:9" s="51" customFormat="1" ht="11.25" customHeight="1" x14ac:dyDescent="0.2">
      <c r="B42" s="53"/>
      <c r="C42" s="257" t="s">
        <v>126</v>
      </c>
      <c r="D42" s="256">
        <f>2800000000+2495451703+2203082495</f>
        <v>7498534198</v>
      </c>
      <c r="E42" s="255">
        <v>7837571703</v>
      </c>
      <c r="F42" s="258" t="s">
        <v>170</v>
      </c>
      <c r="G42" s="254">
        <v>0</v>
      </c>
      <c r="H42" s="255">
        <v>0</v>
      </c>
    </row>
    <row r="43" spans="2:9" s="51" customFormat="1" ht="11.25" customHeight="1" x14ac:dyDescent="0.2">
      <c r="B43" s="53"/>
      <c r="C43" s="257" t="s">
        <v>171</v>
      </c>
      <c r="D43" s="256">
        <v>0</v>
      </c>
      <c r="E43" s="255">
        <v>13080989000</v>
      </c>
      <c r="F43" s="258" t="s">
        <v>131</v>
      </c>
      <c r="G43" s="254">
        <v>0</v>
      </c>
      <c r="H43" s="255">
        <v>0</v>
      </c>
    </row>
    <row r="44" spans="2:9" s="51" customFormat="1" ht="11.25" customHeight="1" x14ac:dyDescent="0.2">
      <c r="B44" s="53"/>
      <c r="C44" s="257" t="s">
        <v>172</v>
      </c>
      <c r="D44" s="256">
        <v>851000000</v>
      </c>
      <c r="E44" s="255">
        <v>750000000</v>
      </c>
      <c r="F44" s="278"/>
      <c r="G44" s="261">
        <v>0</v>
      </c>
      <c r="H44" s="265">
        <v>0</v>
      </c>
    </row>
    <row r="45" spans="2:9" s="51" customFormat="1" ht="11.25" customHeight="1" x14ac:dyDescent="0.2">
      <c r="B45" s="53"/>
      <c r="C45" s="257" t="s">
        <v>173</v>
      </c>
      <c r="D45" s="256">
        <v>0</v>
      </c>
      <c r="E45" s="255">
        <v>903163697</v>
      </c>
      <c r="F45" s="253" t="s">
        <v>174</v>
      </c>
      <c r="G45" s="254"/>
      <c r="H45" s="255"/>
    </row>
    <row r="46" spans="2:9" s="51" customFormat="1" ht="11.25" customHeight="1" x14ac:dyDescent="0.2">
      <c r="B46" s="55" t="s">
        <v>175</v>
      </c>
      <c r="C46" s="257" t="s">
        <v>176</v>
      </c>
      <c r="D46" s="256">
        <v>12303952644</v>
      </c>
      <c r="E46" s="255">
        <v>594805500</v>
      </c>
      <c r="F46" s="253"/>
      <c r="G46" s="254"/>
      <c r="H46" s="255"/>
    </row>
    <row r="47" spans="2:9" s="51" customFormat="1" ht="11.25" customHeight="1" x14ac:dyDescent="0.2">
      <c r="B47" s="53" t="s">
        <v>177</v>
      </c>
      <c r="C47" s="262" t="s">
        <v>140</v>
      </c>
      <c r="D47" s="256">
        <v>0</v>
      </c>
      <c r="E47" s="255">
        <v>0</v>
      </c>
      <c r="F47" s="258" t="s">
        <v>178</v>
      </c>
      <c r="G47" s="254">
        <v>0</v>
      </c>
      <c r="H47" s="255">
        <v>0</v>
      </c>
    </row>
    <row r="48" spans="2:9" s="51" customFormat="1" ht="11.25" customHeight="1" x14ac:dyDescent="0.2">
      <c r="B48" s="53" t="s">
        <v>179</v>
      </c>
      <c r="C48" s="260"/>
      <c r="D48" s="261">
        <f>SUM(D42:D47)</f>
        <v>20653486842</v>
      </c>
      <c r="E48" s="261">
        <v>23166529900</v>
      </c>
      <c r="F48" s="258" t="s">
        <v>180</v>
      </c>
      <c r="G48" s="254">
        <v>0</v>
      </c>
      <c r="H48" s="255">
        <v>0</v>
      </c>
    </row>
    <row r="49" spans="2:8" s="51" customFormat="1" ht="11.25" customHeight="1" x14ac:dyDescent="0.2">
      <c r="B49" s="53"/>
      <c r="C49" s="250" t="s">
        <v>181</v>
      </c>
      <c r="D49" s="256"/>
      <c r="E49" s="255"/>
      <c r="F49" s="258" t="s">
        <v>182</v>
      </c>
      <c r="G49" s="254"/>
      <c r="H49" s="255"/>
    </row>
    <row r="50" spans="2:8" s="51" customFormat="1" ht="11.25" customHeight="1" x14ac:dyDescent="0.2">
      <c r="B50" s="53"/>
      <c r="C50" s="257" t="s">
        <v>134</v>
      </c>
      <c r="D50" s="256">
        <v>0</v>
      </c>
      <c r="E50" s="256"/>
      <c r="F50" s="266"/>
      <c r="G50" s="254">
        <v>0</v>
      </c>
      <c r="H50" s="255">
        <v>0</v>
      </c>
    </row>
    <row r="51" spans="2:8" s="51" customFormat="1" ht="11.25" customHeight="1" x14ac:dyDescent="0.2">
      <c r="B51" s="53" t="s">
        <v>183</v>
      </c>
      <c r="C51" s="257" t="s">
        <v>138</v>
      </c>
      <c r="D51" s="256">
        <v>0</v>
      </c>
      <c r="E51" s="256">
        <v>10849315</v>
      </c>
      <c r="F51" s="266"/>
      <c r="G51" s="270"/>
      <c r="H51" s="252"/>
    </row>
    <row r="52" spans="2:8" s="51" customFormat="1" ht="11.25" customHeight="1" thickBot="1" x14ac:dyDescent="0.25">
      <c r="B52" s="53" t="s">
        <v>184</v>
      </c>
      <c r="C52" s="257" t="s">
        <v>185</v>
      </c>
      <c r="D52" s="256">
        <v>0</v>
      </c>
      <c r="E52" s="256"/>
      <c r="F52" s="274" t="s">
        <v>186</v>
      </c>
      <c r="G52" s="273">
        <v>0</v>
      </c>
      <c r="H52" s="273">
        <v>0</v>
      </c>
    </row>
    <row r="53" spans="2:8" s="51" customFormat="1" ht="11.25" customHeight="1" thickTop="1" x14ac:dyDescent="0.2">
      <c r="B53" s="53" t="s">
        <v>187</v>
      </c>
      <c r="C53" s="262" t="s">
        <v>140</v>
      </c>
      <c r="D53" s="256">
        <v>0</v>
      </c>
      <c r="E53" s="256"/>
      <c r="F53" s="279" t="s">
        <v>188</v>
      </c>
      <c r="G53" s="280">
        <f>+G52+G38</f>
        <v>35014798047</v>
      </c>
      <c r="H53" s="280">
        <v>15681054375</v>
      </c>
    </row>
    <row r="54" spans="2:8" s="51" customFormat="1" ht="11.25" customHeight="1" x14ac:dyDescent="0.2">
      <c r="B54" s="53" t="s">
        <v>189</v>
      </c>
      <c r="C54" s="257" t="s">
        <v>142</v>
      </c>
      <c r="D54" s="256">
        <v>0</v>
      </c>
      <c r="E54" s="256"/>
      <c r="F54" s="253" t="s">
        <v>190</v>
      </c>
      <c r="G54" s="254"/>
      <c r="H54" s="255"/>
    </row>
    <row r="55" spans="2:8" s="51" customFormat="1" ht="11.25" customHeight="1" x14ac:dyDescent="0.2">
      <c r="B55" s="53"/>
      <c r="C55" s="262" t="s">
        <v>145</v>
      </c>
      <c r="D55" s="256">
        <v>0</v>
      </c>
      <c r="E55" s="256"/>
      <c r="F55" s="253" t="s">
        <v>191</v>
      </c>
      <c r="G55" s="254"/>
      <c r="H55" s="255"/>
    </row>
    <row r="56" spans="2:8" s="51" customFormat="1" ht="11.25" customHeight="1" x14ac:dyDescent="0.2">
      <c r="B56" s="53"/>
      <c r="C56" s="257" t="s">
        <v>147</v>
      </c>
      <c r="D56" s="256">
        <v>0</v>
      </c>
      <c r="E56" s="256"/>
      <c r="F56" s="258" t="s">
        <v>192</v>
      </c>
      <c r="G56" s="254">
        <f>+'[1]BALANCE CORREGIDO'!$O$323</f>
        <v>24288000001</v>
      </c>
      <c r="H56" s="255">
        <v>18400000001</v>
      </c>
    </row>
    <row r="57" spans="2:8" s="51" customFormat="1" ht="11.25" customHeight="1" x14ac:dyDescent="0.2">
      <c r="B57" s="53"/>
      <c r="C57" s="257"/>
      <c r="D57" s="256"/>
      <c r="E57" s="255"/>
      <c r="F57" s="258" t="s">
        <v>193</v>
      </c>
      <c r="G57" s="263">
        <v>0</v>
      </c>
      <c r="H57" s="264">
        <v>960000091</v>
      </c>
    </row>
    <row r="58" spans="2:8" s="51" customFormat="1" ht="11.25" customHeight="1" x14ac:dyDescent="0.2">
      <c r="B58" s="53" t="s">
        <v>194</v>
      </c>
      <c r="C58" s="260"/>
      <c r="D58" s="261">
        <f>SUM(D50:D57)</f>
        <v>0</v>
      </c>
      <c r="E58" s="261">
        <v>10849315</v>
      </c>
      <c r="F58" s="266"/>
      <c r="G58" s="261">
        <f>SUM(G56:G57)</f>
        <v>24288000001</v>
      </c>
      <c r="H58" s="261">
        <v>19360000092</v>
      </c>
    </row>
    <row r="59" spans="2:8" s="51" customFormat="1" ht="11.25" customHeight="1" x14ac:dyDescent="0.2">
      <c r="B59" s="53"/>
      <c r="C59" s="250" t="s">
        <v>195</v>
      </c>
      <c r="D59" s="256"/>
      <c r="E59" s="255"/>
      <c r="F59" s="253" t="s">
        <v>196</v>
      </c>
      <c r="G59" s="254"/>
      <c r="H59" s="255"/>
    </row>
    <row r="60" spans="2:8" s="51" customFormat="1" ht="11.25" customHeight="1" x14ac:dyDescent="0.2">
      <c r="B60" s="53"/>
      <c r="C60" s="257" t="s">
        <v>197</v>
      </c>
      <c r="D60" s="256">
        <f>463921397+266492407+31158573+210957210+7058431+10723156+11010456+1953391900+10138097387</f>
        <v>13092810917</v>
      </c>
      <c r="E60" s="255">
        <v>12721001483</v>
      </c>
      <c r="F60" s="258" t="s">
        <v>198</v>
      </c>
      <c r="G60" s="254">
        <f>838780147+283464405</f>
        <v>1122244552</v>
      </c>
      <c r="H60" s="255">
        <v>1122244552</v>
      </c>
    </row>
    <row r="61" spans="2:8" s="51" customFormat="1" ht="11.25" customHeight="1" x14ac:dyDescent="0.2">
      <c r="B61" s="53"/>
      <c r="C61" s="257" t="s">
        <v>199</v>
      </c>
      <c r="D61" s="256">
        <f>-31867918-3731238-19490136-8635807-166982949-92093910</f>
        <v>-322801958</v>
      </c>
      <c r="E61" s="255">
        <v>-322801958</v>
      </c>
      <c r="F61" s="258" t="s">
        <v>200</v>
      </c>
      <c r="G61" s="254">
        <v>946670</v>
      </c>
      <c r="H61" s="256">
        <v>67449446</v>
      </c>
    </row>
    <row r="62" spans="2:8" s="51" customFormat="1" ht="11.25" customHeight="1" x14ac:dyDescent="0.2">
      <c r="B62" s="53"/>
      <c r="C62" s="257"/>
      <c r="D62" s="261">
        <f>SUM(D60:D61)</f>
        <v>12770008959</v>
      </c>
      <c r="E62" s="261">
        <v>12398199525</v>
      </c>
      <c r="F62" s="258" t="s">
        <v>201</v>
      </c>
      <c r="G62" s="254">
        <v>101000000</v>
      </c>
      <c r="H62" s="255">
        <v>435673535</v>
      </c>
    </row>
    <row r="63" spans="2:8" s="51" customFormat="1" ht="11.25" customHeight="1" x14ac:dyDescent="0.2">
      <c r="B63" s="53"/>
      <c r="C63" s="250" t="s">
        <v>202</v>
      </c>
      <c r="D63" s="256"/>
      <c r="E63" s="255"/>
      <c r="F63" s="258"/>
      <c r="G63" s="254"/>
      <c r="H63" s="255"/>
    </row>
    <row r="64" spans="2:8" s="51" customFormat="1" ht="11.25" customHeight="1" x14ac:dyDescent="0.2">
      <c r="B64" s="53"/>
      <c r="C64" s="257" t="s">
        <v>203</v>
      </c>
      <c r="D64" s="256">
        <f>104084949+76495056</f>
        <v>180580005</v>
      </c>
      <c r="E64" s="255">
        <v>157353207</v>
      </c>
      <c r="F64" s="258"/>
      <c r="G64" s="261">
        <f>SUM(G60:G63)</f>
        <v>1224191222</v>
      </c>
      <c r="H64" s="261">
        <v>1625367533</v>
      </c>
    </row>
    <row r="65" spans="2:8" s="51" customFormat="1" ht="11.25" customHeight="1" x14ac:dyDescent="0.2">
      <c r="B65" s="53"/>
      <c r="C65" s="257" t="s">
        <v>204</v>
      </c>
      <c r="D65" s="256">
        <f>+'[1]BALANCE CORREGIDO'!$O$245</f>
        <v>900000</v>
      </c>
      <c r="E65" s="255">
        <v>900000</v>
      </c>
      <c r="F65" s="253"/>
      <c r="G65" s="270"/>
      <c r="H65" s="252"/>
    </row>
    <row r="66" spans="2:8" s="51" customFormat="1" ht="11.25" customHeight="1" x14ac:dyDescent="0.2">
      <c r="B66" s="53"/>
      <c r="C66" s="257" t="s">
        <v>205</v>
      </c>
      <c r="D66" s="256">
        <f>+'[1]BALANCE CORREGIDO'!$O$251</f>
        <v>27866433</v>
      </c>
      <c r="E66" s="255">
        <v>27866433</v>
      </c>
      <c r="F66" s="253" t="s">
        <v>206</v>
      </c>
      <c r="G66" s="270"/>
      <c r="H66" s="252"/>
    </row>
    <row r="67" spans="2:8" s="51" customFormat="1" ht="11.25" customHeight="1" x14ac:dyDescent="0.2">
      <c r="B67" s="53"/>
      <c r="C67" s="257" t="s">
        <v>207</v>
      </c>
      <c r="D67" s="256">
        <v>1816512061</v>
      </c>
      <c r="E67" s="255">
        <v>1207087008</v>
      </c>
      <c r="F67" s="266" t="s">
        <v>208</v>
      </c>
      <c r="G67" s="254">
        <v>0</v>
      </c>
      <c r="H67" s="255">
        <v>0</v>
      </c>
    </row>
    <row r="68" spans="2:8" s="51" customFormat="1" ht="11.25" customHeight="1" x14ac:dyDescent="0.2">
      <c r="B68" s="53"/>
      <c r="C68" s="257" t="s">
        <v>209</v>
      </c>
      <c r="D68" s="281">
        <f>+'[1]BALANCE CORREGIDO'!$O$246+'[1]BALANCE CORREGIDO'!$O$248+'[1]BALANCE CORREGIDO'!$O$250+'[1]BALANCE CORREGIDO'!$O$252+'[1]BALANCE CORREGIDO'!$O$254</f>
        <v>-880355950</v>
      </c>
      <c r="E68" s="264">
        <v>-880355950</v>
      </c>
      <c r="F68" s="266" t="s">
        <v>210</v>
      </c>
      <c r="G68" s="282">
        <v>6831863252</v>
      </c>
      <c r="H68" s="282">
        <v>5385823689</v>
      </c>
    </row>
    <row r="69" spans="2:8" s="51" customFormat="1" ht="11.25" customHeight="1" x14ac:dyDescent="0.2">
      <c r="B69" s="53"/>
      <c r="C69" s="260"/>
      <c r="D69" s="261">
        <f>SUM(D64:D68)</f>
        <v>1145502549</v>
      </c>
      <c r="E69" s="261">
        <v>512850698</v>
      </c>
      <c r="F69" s="266"/>
      <c r="G69" s="283">
        <f>SUM(G67:G68)</f>
        <v>6831863252</v>
      </c>
      <c r="H69" s="283">
        <v>5385823689</v>
      </c>
    </row>
    <row r="70" spans="2:8" s="51" customFormat="1" ht="11.25" customHeight="1" x14ac:dyDescent="0.2">
      <c r="B70" s="53" t="s">
        <v>211</v>
      </c>
      <c r="C70" s="250" t="s">
        <v>149</v>
      </c>
      <c r="D70" s="256"/>
      <c r="E70" s="255"/>
      <c r="F70" s="284" t="s">
        <v>212</v>
      </c>
      <c r="G70" s="285">
        <f>+G58+G64+G69</f>
        <v>32344054475</v>
      </c>
      <c r="H70" s="285">
        <v>26371191314</v>
      </c>
    </row>
    <row r="71" spans="2:8" s="51" customFormat="1" ht="11.25" customHeight="1" x14ac:dyDescent="0.2">
      <c r="B71" s="53" t="s">
        <v>213</v>
      </c>
      <c r="C71" s="250" t="s">
        <v>152</v>
      </c>
      <c r="D71" s="256"/>
      <c r="E71" s="255"/>
      <c r="F71" s="284" t="s">
        <v>214</v>
      </c>
      <c r="G71" s="286">
        <f>+G70+G53</f>
        <v>67358852522</v>
      </c>
      <c r="H71" s="286">
        <v>42052245689</v>
      </c>
    </row>
    <row r="72" spans="2:8" s="51" customFormat="1" ht="11.25" customHeight="1" x14ac:dyDescent="0.2">
      <c r="B72" s="53"/>
      <c r="C72" s="257" t="s">
        <v>215</v>
      </c>
      <c r="D72" s="256">
        <v>0</v>
      </c>
      <c r="E72" s="255">
        <v>0</v>
      </c>
      <c r="F72" s="1"/>
      <c r="G72" s="287">
        <f>+G71-D77</f>
        <v>0</v>
      </c>
      <c r="H72" s="288"/>
    </row>
    <row r="73" spans="2:8" s="51" customFormat="1" ht="11.25" customHeight="1" x14ac:dyDescent="0.2">
      <c r="B73" s="53" t="s">
        <v>216</v>
      </c>
      <c r="C73" s="257" t="s">
        <v>217</v>
      </c>
      <c r="D73" s="256">
        <v>0</v>
      </c>
      <c r="E73" s="255">
        <v>0</v>
      </c>
      <c r="F73" s="1"/>
      <c r="G73" s="287"/>
      <c r="H73" s="289"/>
    </row>
    <row r="74" spans="2:8" ht="11.25" customHeight="1" x14ac:dyDescent="0.2">
      <c r="B74" s="2" t="s">
        <v>218</v>
      </c>
      <c r="C74" s="257" t="s">
        <v>219</v>
      </c>
      <c r="D74" s="256">
        <v>0</v>
      </c>
      <c r="E74" s="255">
        <v>0</v>
      </c>
      <c r="G74" s="287"/>
      <c r="H74" s="289"/>
    </row>
    <row r="75" spans="2:8" ht="11.25" customHeight="1" x14ac:dyDescent="0.2">
      <c r="B75" s="2" t="s">
        <v>220</v>
      </c>
      <c r="C75" s="260"/>
      <c r="D75" s="290">
        <f>SUM(D72:D74)</f>
        <v>0</v>
      </c>
      <c r="E75" s="290">
        <v>0</v>
      </c>
      <c r="G75" s="287"/>
      <c r="H75" s="289"/>
    </row>
    <row r="76" spans="2:8" ht="11.25" customHeight="1" x14ac:dyDescent="0.2">
      <c r="B76" s="2" t="s">
        <v>221</v>
      </c>
      <c r="C76" s="291" t="s">
        <v>222</v>
      </c>
      <c r="D76" s="285">
        <f>+D75+D69+D62+D58+D48</f>
        <v>34568998350</v>
      </c>
      <c r="E76" s="285">
        <f>+E75+E69+E62+E58+E48</f>
        <v>36088429438</v>
      </c>
      <c r="G76" s="287"/>
      <c r="H76" s="289"/>
    </row>
    <row r="77" spans="2:8" ht="11.25" customHeight="1" x14ac:dyDescent="0.2">
      <c r="B77" s="2" t="s">
        <v>223</v>
      </c>
      <c r="C77" s="291" t="s">
        <v>224</v>
      </c>
      <c r="D77" s="286">
        <f>+D76+D38</f>
        <v>67358852522</v>
      </c>
      <c r="E77" s="286">
        <f>+E76+E38</f>
        <v>42052245689</v>
      </c>
      <c r="F77" s="47"/>
      <c r="G77" s="292"/>
      <c r="H77" s="293"/>
    </row>
    <row r="78" spans="2:8" ht="11.25" customHeight="1" x14ac:dyDescent="0.2">
      <c r="B78" s="2"/>
    </row>
    <row r="79" spans="2:8" ht="11.25" customHeight="1" x14ac:dyDescent="0.2">
      <c r="B79" s="2" t="s">
        <v>225</v>
      </c>
    </row>
    <row r="80" spans="2:8" ht="11.25" customHeight="1" x14ac:dyDescent="0.2">
      <c r="B80" s="2" t="s">
        <v>226</v>
      </c>
    </row>
    <row r="81" spans="1:7" ht="11.25" customHeight="1" x14ac:dyDescent="0.2">
      <c r="B81" s="2" t="s">
        <v>227</v>
      </c>
    </row>
    <row r="82" spans="1:7" ht="11.25" customHeight="1" x14ac:dyDescent="0.2">
      <c r="B82" s="2"/>
    </row>
    <row r="83" spans="1:7" ht="11.25" customHeight="1" x14ac:dyDescent="0.2">
      <c r="B83" s="2" t="s">
        <v>228</v>
      </c>
    </row>
    <row r="84" spans="1:7" ht="11.25" customHeight="1" x14ac:dyDescent="0.2">
      <c r="B84" s="2"/>
    </row>
    <row r="85" spans="1:7" ht="11.25" customHeight="1" x14ac:dyDescent="0.2">
      <c r="B85" s="2"/>
    </row>
    <row r="86" spans="1:7" ht="11.25" customHeight="1" x14ac:dyDescent="0.2">
      <c r="B86" s="2"/>
    </row>
    <row r="87" spans="1:7" ht="11.25" customHeight="1" x14ac:dyDescent="0.2">
      <c r="B87" s="2"/>
    </row>
    <row r="88" spans="1:7" ht="11.25" customHeight="1" x14ac:dyDescent="0.2">
      <c r="A88" s="48"/>
      <c r="B88" s="46">
        <v>2</v>
      </c>
    </row>
    <row r="89" spans="1:7" ht="11.25" customHeight="1" x14ac:dyDescent="0.2">
      <c r="B89" s="3" t="s">
        <v>229</v>
      </c>
      <c r="C89" s="58"/>
      <c r="D89" s="59"/>
      <c r="E89" s="59"/>
      <c r="G89" s="60"/>
    </row>
    <row r="90" spans="1:7" ht="11.25" customHeight="1" x14ac:dyDescent="0.2">
      <c r="B90" s="2" t="s">
        <v>230</v>
      </c>
    </row>
    <row r="91" spans="1:7" ht="11.25" customHeight="1" x14ac:dyDescent="0.2">
      <c r="B91" s="2" t="s">
        <v>231</v>
      </c>
    </row>
    <row r="92" spans="1:7" ht="11.25" customHeight="1" x14ac:dyDescent="0.2">
      <c r="B92" s="2" t="s">
        <v>232</v>
      </c>
    </row>
    <row r="93" spans="1:7" ht="11.25" customHeight="1" x14ac:dyDescent="0.2">
      <c r="B93" s="2"/>
    </row>
    <row r="94" spans="1:7" ht="11.25" customHeight="1" x14ac:dyDescent="0.2">
      <c r="B94" s="2" t="s">
        <v>233</v>
      </c>
    </row>
    <row r="95" spans="1:7" ht="11.25" customHeight="1" x14ac:dyDescent="0.2">
      <c r="B95" s="2" t="s">
        <v>234</v>
      </c>
    </row>
    <row r="96" spans="1:7" ht="11.25" customHeight="1" x14ac:dyDescent="0.2">
      <c r="B96" s="2" t="s">
        <v>235</v>
      </c>
    </row>
    <row r="97" spans="2:2" ht="11.25" customHeight="1" x14ac:dyDescent="0.2">
      <c r="B97" s="2" t="s">
        <v>236</v>
      </c>
    </row>
    <row r="98" spans="2:2" ht="11.25" customHeight="1" x14ac:dyDescent="0.2">
      <c r="B98" s="2"/>
    </row>
    <row r="99" spans="2:2" ht="11.25" customHeight="1" x14ac:dyDescent="0.2">
      <c r="B99" s="2" t="s">
        <v>237</v>
      </c>
    </row>
    <row r="100" spans="2:2" ht="11.25" customHeight="1" x14ac:dyDescent="0.2">
      <c r="B100" s="2" t="s">
        <v>238</v>
      </c>
    </row>
    <row r="101" spans="2:2" ht="11.25" customHeight="1" x14ac:dyDescent="0.2">
      <c r="B101" s="2" t="s">
        <v>239</v>
      </c>
    </row>
    <row r="102" spans="2:2" ht="11.25" customHeight="1" x14ac:dyDescent="0.2">
      <c r="B102" s="2" t="s">
        <v>240</v>
      </c>
    </row>
    <row r="103" spans="2:2" ht="11.25" customHeight="1" x14ac:dyDescent="0.2">
      <c r="B103" s="2"/>
    </row>
    <row r="104" spans="2:2" ht="11.25" customHeight="1" x14ac:dyDescent="0.2">
      <c r="B104" s="2" t="s">
        <v>241</v>
      </c>
    </row>
    <row r="105" spans="2:2" ht="11.25" customHeight="1" x14ac:dyDescent="0.2">
      <c r="B105" s="2" t="s">
        <v>242</v>
      </c>
    </row>
    <row r="106" spans="2:2" ht="11.25" customHeight="1" x14ac:dyDescent="0.2">
      <c r="B106" s="2"/>
    </row>
    <row r="107" spans="2:2" ht="11.25" customHeight="1" x14ac:dyDescent="0.2">
      <c r="B107" s="2"/>
    </row>
    <row r="108" spans="2:2" ht="11.25" customHeight="1" x14ac:dyDescent="0.2">
      <c r="B108" s="2"/>
    </row>
    <row r="109" spans="2:2" ht="11.25" customHeight="1" x14ac:dyDescent="0.2">
      <c r="B109" s="2" t="s">
        <v>243</v>
      </c>
    </row>
    <row r="110" spans="2:2" ht="11.25" customHeight="1" x14ac:dyDescent="0.2">
      <c r="B110" s="2"/>
    </row>
    <row r="111" spans="2:2" ht="11.25" customHeight="1" x14ac:dyDescent="0.2">
      <c r="B111" s="2" t="s">
        <v>244</v>
      </c>
    </row>
    <row r="112" spans="2:2" ht="11.25" customHeight="1" x14ac:dyDescent="0.2">
      <c r="B112" s="2" t="s">
        <v>245</v>
      </c>
    </row>
    <row r="113" spans="2:2" ht="11.25" customHeight="1" x14ac:dyDescent="0.2">
      <c r="B113" s="2" t="s">
        <v>246</v>
      </c>
    </row>
    <row r="114" spans="2:2" ht="11.25" customHeight="1" x14ac:dyDescent="0.2">
      <c r="B114" s="2"/>
    </row>
    <row r="115" spans="2:2" ht="11.25" customHeight="1" x14ac:dyDescent="0.2">
      <c r="B115" s="2" t="s">
        <v>247</v>
      </c>
    </row>
    <row r="116" spans="2:2" ht="11.25" customHeight="1" x14ac:dyDescent="0.2">
      <c r="B116" s="2" t="s">
        <v>248</v>
      </c>
    </row>
    <row r="117" spans="2:2" ht="11.25" customHeight="1" x14ac:dyDescent="0.2">
      <c r="B117" s="2" t="s">
        <v>249</v>
      </c>
    </row>
    <row r="118" spans="2:2" ht="11.25" customHeight="1" x14ac:dyDescent="0.2">
      <c r="B118" s="2"/>
    </row>
    <row r="119" spans="2:2" ht="11.25" customHeight="1" x14ac:dyDescent="0.2">
      <c r="B119" s="2"/>
    </row>
    <row r="120" spans="2:2" ht="11.25" customHeight="1" x14ac:dyDescent="0.2">
      <c r="B120" s="2"/>
    </row>
    <row r="121" spans="2:2" ht="11.25" customHeight="1" x14ac:dyDescent="0.2">
      <c r="B121" s="2"/>
    </row>
    <row r="122" spans="2:2" ht="11.25" customHeight="1" x14ac:dyDescent="0.2">
      <c r="B122" s="2"/>
    </row>
    <row r="123" spans="2:2" ht="11.25" customHeight="1" x14ac:dyDescent="0.2">
      <c r="B123" s="2" t="s">
        <v>250</v>
      </c>
    </row>
    <row r="124" spans="2:2" ht="11.25" customHeight="1" x14ac:dyDescent="0.2">
      <c r="B124" s="2" t="s">
        <v>251</v>
      </c>
    </row>
    <row r="125" spans="2:2" ht="11.25" customHeight="1" x14ac:dyDescent="0.2">
      <c r="B125" s="2" t="s">
        <v>252</v>
      </c>
    </row>
    <row r="126" spans="2:2" ht="11.25" customHeight="1" x14ac:dyDescent="0.2">
      <c r="B126" s="2" t="s">
        <v>253</v>
      </c>
    </row>
    <row r="127" spans="2:2" ht="11.25" customHeight="1" x14ac:dyDescent="0.2">
      <c r="B127" s="2"/>
    </row>
    <row r="128" spans="2:2" ht="11.25" customHeight="1" x14ac:dyDescent="0.2">
      <c r="B128" s="2" t="s">
        <v>254</v>
      </c>
    </row>
    <row r="129" spans="2:5" ht="11.25" customHeight="1" x14ac:dyDescent="0.2">
      <c r="B129" s="2" t="s">
        <v>255</v>
      </c>
    </row>
    <row r="130" spans="2:5" ht="11.25" customHeight="1" x14ac:dyDescent="0.2">
      <c r="B130" s="2" t="s">
        <v>256</v>
      </c>
    </row>
    <row r="131" spans="2:5" ht="11.25" customHeight="1" x14ac:dyDescent="0.2">
      <c r="B131" s="2" t="s">
        <v>257</v>
      </c>
    </row>
    <row r="132" spans="2:5" ht="11.25" customHeight="1" x14ac:dyDescent="0.2">
      <c r="B132" s="2" t="s">
        <v>258</v>
      </c>
    </row>
    <row r="133" spans="2:5" ht="11.25" customHeight="1" x14ac:dyDescent="0.2">
      <c r="B133" s="2"/>
    </row>
    <row r="134" spans="2:5" ht="11.25" customHeight="1" x14ac:dyDescent="0.2">
      <c r="B134" s="2" t="s">
        <v>259</v>
      </c>
    </row>
    <row r="135" spans="2:5" ht="11.25" customHeight="1" x14ac:dyDescent="0.2">
      <c r="B135" s="2" t="s">
        <v>260</v>
      </c>
    </row>
    <row r="136" spans="2:5" ht="11.25" customHeight="1" x14ac:dyDescent="0.2">
      <c r="B136" s="2" t="s">
        <v>261</v>
      </c>
    </row>
    <row r="137" spans="2:5" ht="11.25" customHeight="1" x14ac:dyDescent="0.2">
      <c r="B137" s="2"/>
    </row>
    <row r="138" spans="2:5" ht="11.25" customHeight="1" x14ac:dyDescent="0.2">
      <c r="B138" s="2"/>
    </row>
    <row r="139" spans="2:5" ht="11.25" customHeight="1" x14ac:dyDescent="0.2">
      <c r="B139" s="2"/>
    </row>
    <row r="142" spans="2:5" ht="11.25" customHeight="1" x14ac:dyDescent="0.2">
      <c r="D142" s="4"/>
      <c r="E142" s="4"/>
    </row>
    <row r="143" spans="2:5" ht="11.25" customHeight="1" x14ac:dyDescent="0.2">
      <c r="D143" s="5">
        <v>0</v>
      </c>
      <c r="E143" s="4">
        <v>0</v>
      </c>
    </row>
    <row r="146" spans="4:4" ht="11.25" customHeight="1" x14ac:dyDescent="0.2">
      <c r="D146" s="6"/>
    </row>
  </sheetData>
  <mergeCells count="4">
    <mergeCell ref="C4:H4"/>
    <mergeCell ref="C5:H5"/>
    <mergeCell ref="C6:H6"/>
    <mergeCell ref="C7:H7"/>
  </mergeCells>
  <pageMargins left="0.25" right="0.25" top="0.75" bottom="0.75" header="0.3" footer="0.3"/>
  <pageSetup paperSize="9" scale="68" orientation="portrait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B1:H15"/>
  <sheetViews>
    <sheetView showGridLines="0" topLeftCell="B1" zoomScale="113" zoomScaleNormal="85" workbookViewId="0">
      <selection activeCell="B4" sqref="B4:F11"/>
    </sheetView>
  </sheetViews>
  <sheetFormatPr baseColWidth="10" defaultColWidth="11.44140625" defaultRowHeight="11.4" x14ac:dyDescent="0.3"/>
  <cols>
    <col min="1" max="1" width="19.6640625" style="117" customWidth="1"/>
    <col min="2" max="2" width="32.44140625" style="117" customWidth="1"/>
    <col min="3" max="3" width="22.109375" style="117" bestFit="1" customWidth="1"/>
    <col min="4" max="4" width="14.44140625" style="117" bestFit="1" customWidth="1"/>
    <col min="5" max="5" width="14.109375" style="117" bestFit="1" customWidth="1"/>
    <col min="6" max="6" width="14.44140625" style="117" bestFit="1" customWidth="1"/>
    <col min="7" max="7" width="14.109375" style="117" bestFit="1" customWidth="1"/>
    <col min="8" max="9" width="12.109375" style="117" bestFit="1" customWidth="1"/>
    <col min="10" max="16384" width="11.44140625" style="117"/>
  </cols>
  <sheetData>
    <row r="1" spans="2:8" x14ac:dyDescent="0.3">
      <c r="C1" s="213" t="s">
        <v>19</v>
      </c>
    </row>
    <row r="2" spans="2:8" ht="12" x14ac:dyDescent="0.25">
      <c r="B2" s="214" t="s">
        <v>756</v>
      </c>
    </row>
    <row r="4" spans="2:8" ht="24" x14ac:dyDescent="0.3">
      <c r="B4" s="417" t="s">
        <v>476</v>
      </c>
      <c r="C4" s="417" t="s">
        <v>757</v>
      </c>
      <c r="D4" s="417" t="s">
        <v>659</v>
      </c>
      <c r="E4" s="417" t="s">
        <v>758</v>
      </c>
      <c r="F4" s="417" t="s">
        <v>759</v>
      </c>
    </row>
    <row r="5" spans="2:8" x14ac:dyDescent="0.3">
      <c r="B5" s="134" t="s">
        <v>760</v>
      </c>
      <c r="C5" s="107">
        <v>18400000000</v>
      </c>
      <c r="D5" s="215">
        <f>+F5-C5</f>
        <v>5888000001</v>
      </c>
      <c r="E5" s="215">
        <v>0</v>
      </c>
      <c r="F5" s="107">
        <v>24288000001</v>
      </c>
      <c r="G5" s="127"/>
    </row>
    <row r="6" spans="2:8" x14ac:dyDescent="0.3">
      <c r="B6" s="134" t="s">
        <v>761</v>
      </c>
      <c r="C6" s="215">
        <v>960000091</v>
      </c>
      <c r="D6" s="215">
        <v>0</v>
      </c>
      <c r="E6" s="215">
        <f>+C6</f>
        <v>960000091</v>
      </c>
      <c r="F6" s="107">
        <v>0</v>
      </c>
    </row>
    <row r="7" spans="2:8" x14ac:dyDescent="0.3">
      <c r="B7" s="134" t="s">
        <v>196</v>
      </c>
      <c r="C7" s="107">
        <v>1625367533</v>
      </c>
      <c r="D7" s="216">
        <v>0</v>
      </c>
      <c r="E7" s="215">
        <f>+C7-F7</f>
        <v>501176311</v>
      </c>
      <c r="F7" s="107">
        <v>1124191222</v>
      </c>
      <c r="G7" s="118"/>
      <c r="H7" s="127"/>
    </row>
    <row r="8" spans="2:8" x14ac:dyDescent="0.3">
      <c r="B8" s="134" t="s">
        <v>208</v>
      </c>
      <c r="C8" s="215">
        <v>0</v>
      </c>
      <c r="D8" s="215">
        <v>0</v>
      </c>
      <c r="E8" s="215">
        <v>0</v>
      </c>
      <c r="F8" s="215">
        <f>SUM(C8:E8)</f>
        <v>0</v>
      </c>
    </row>
    <row r="9" spans="2:8" x14ac:dyDescent="0.3">
      <c r="B9" s="134" t="s">
        <v>210</v>
      </c>
      <c r="C9" s="107">
        <v>5385823689</v>
      </c>
      <c r="D9" s="215">
        <v>0</v>
      </c>
      <c r="E9" s="215">
        <f>+C9</f>
        <v>5385823689</v>
      </c>
      <c r="F9" s="107">
        <v>6831863252</v>
      </c>
    </row>
    <row r="10" spans="2:8" ht="12" x14ac:dyDescent="0.25">
      <c r="B10" s="142" t="str">
        <f>+'NOTA S RESULTADOS CON PERS ok'!B17</f>
        <v>Total al 30/09/2020</v>
      </c>
      <c r="C10" s="105">
        <f>SUM(C5:C9)</f>
        <v>26371191313</v>
      </c>
      <c r="D10" s="105">
        <f>SUM(D5:D9)</f>
        <v>5888000001</v>
      </c>
      <c r="E10" s="105">
        <f>SUM(E5:E9)</f>
        <v>6847000091</v>
      </c>
      <c r="F10" s="105">
        <f>SUM(F5:F9)</f>
        <v>32244054475</v>
      </c>
    </row>
    <row r="11" spans="2:8" ht="12" x14ac:dyDescent="0.25">
      <c r="B11" s="142" t="s">
        <v>580</v>
      </c>
      <c r="C11" s="105">
        <v>19174432436</v>
      </c>
      <c r="D11" s="105">
        <v>11452483025</v>
      </c>
      <c r="E11" s="217">
        <v>-4255724148</v>
      </c>
      <c r="F11" s="105">
        <v>26371191313</v>
      </c>
    </row>
    <row r="12" spans="2:8" x14ac:dyDescent="0.3">
      <c r="D12" s="127"/>
    </row>
    <row r="13" spans="2:8" x14ac:dyDescent="0.3">
      <c r="D13" s="127"/>
      <c r="E13" s="118"/>
    </row>
    <row r="14" spans="2:8" ht="12" x14ac:dyDescent="0.3">
      <c r="B14" s="149" t="s">
        <v>762</v>
      </c>
      <c r="E14" s="127"/>
    </row>
    <row r="15" spans="2:8" x14ac:dyDescent="0.3">
      <c r="B15" s="169" t="s">
        <v>763</v>
      </c>
      <c r="E15" s="118"/>
    </row>
  </sheetData>
  <hyperlinks>
    <hyperlink ref="C1" location="'Balance Gral. Resol. 1'!A1" display="'Balance Gral. Resol. 1'!A1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</sheetPr>
  <dimension ref="B1:D23"/>
  <sheetViews>
    <sheetView showGridLines="0" zoomScale="119" zoomScaleNormal="85" workbookViewId="0">
      <selection activeCell="D27" sqref="D27"/>
    </sheetView>
  </sheetViews>
  <sheetFormatPr baseColWidth="10" defaultColWidth="11.44140625" defaultRowHeight="11.4" x14ac:dyDescent="0.2"/>
  <cols>
    <col min="1" max="1" width="18.44140625" style="65" customWidth="1"/>
    <col min="2" max="2" width="37.109375" style="65" bestFit="1" customWidth="1"/>
    <col min="3" max="4" width="20.44140625" style="65" bestFit="1" customWidth="1"/>
    <col min="5" max="16384" width="11.44140625" style="65"/>
  </cols>
  <sheetData>
    <row r="1" spans="2:4" x14ac:dyDescent="0.2">
      <c r="B1" s="73" t="s">
        <v>22</v>
      </c>
    </row>
    <row r="3" spans="2:4" ht="12" x14ac:dyDescent="0.2">
      <c r="B3" s="149" t="s">
        <v>764</v>
      </c>
    </row>
    <row r="6" spans="2:4" ht="12" x14ac:dyDescent="0.25">
      <c r="B6" s="218" t="s">
        <v>765</v>
      </c>
    </row>
    <row r="7" spans="2:4" ht="12" x14ac:dyDescent="0.25">
      <c r="B7" s="411" t="s">
        <v>476</v>
      </c>
      <c r="C7" s="411" t="s">
        <v>766</v>
      </c>
      <c r="D7" s="411" t="s">
        <v>767</v>
      </c>
    </row>
    <row r="8" spans="2:4" x14ac:dyDescent="0.2">
      <c r="B8" s="80" t="s">
        <v>768</v>
      </c>
      <c r="C8" s="170">
        <v>30698389</v>
      </c>
      <c r="D8" s="170">
        <v>16752830</v>
      </c>
    </row>
    <row r="9" spans="2:4" x14ac:dyDescent="0.2">
      <c r="B9" s="80" t="s">
        <v>769</v>
      </c>
      <c r="C9" s="164">
        <v>121922993</v>
      </c>
      <c r="D9" s="164">
        <v>1111847984</v>
      </c>
    </row>
    <row r="10" spans="2:4" x14ac:dyDescent="0.2">
      <c r="B10" s="80" t="s">
        <v>770</v>
      </c>
      <c r="C10" s="164">
        <v>1796856356</v>
      </c>
      <c r="D10" s="164">
        <v>2357101824</v>
      </c>
    </row>
    <row r="11" spans="2:4" x14ac:dyDescent="0.2">
      <c r="B11" s="80" t="s">
        <v>771</v>
      </c>
      <c r="C11" s="164">
        <v>6310383839</v>
      </c>
      <c r="D11" s="170">
        <v>3000689805</v>
      </c>
    </row>
    <row r="12" spans="2:4" x14ac:dyDescent="0.2">
      <c r="B12" s="80" t="s">
        <v>772</v>
      </c>
      <c r="C12" s="164">
        <v>1062238869</v>
      </c>
      <c r="D12" s="170">
        <v>191106582</v>
      </c>
    </row>
    <row r="13" spans="2:4" ht="12" x14ac:dyDescent="0.25">
      <c r="B13" s="94" t="s">
        <v>773</v>
      </c>
      <c r="C13" s="165">
        <f>SUM(C8:C12)</f>
        <v>9322100446</v>
      </c>
      <c r="D13" s="165">
        <f>SUM(D8:D12)</f>
        <v>6677499025</v>
      </c>
    </row>
    <row r="15" spans="2:4" ht="12" x14ac:dyDescent="0.25">
      <c r="B15" s="218" t="s">
        <v>282</v>
      </c>
    </row>
    <row r="16" spans="2:4" ht="12" x14ac:dyDescent="0.25">
      <c r="B16" s="411" t="s">
        <v>476</v>
      </c>
      <c r="C16" s="411" t="str">
        <f>+C7</f>
        <v>AL 30/09/2020</v>
      </c>
      <c r="D16" s="411" t="str">
        <f>+D7</f>
        <v>AL 30/09/2019</v>
      </c>
    </row>
    <row r="17" spans="2:4" x14ac:dyDescent="0.2">
      <c r="B17" s="80" t="s">
        <v>774</v>
      </c>
      <c r="C17" s="141">
        <v>0</v>
      </c>
      <c r="D17" s="98">
        <v>0</v>
      </c>
    </row>
    <row r="18" spans="2:4" x14ac:dyDescent="0.2">
      <c r="B18" s="80" t="s">
        <v>775</v>
      </c>
      <c r="C18" s="98">
        <v>150385000</v>
      </c>
      <c r="D18" s="141">
        <v>84371598</v>
      </c>
    </row>
    <row r="19" spans="2:4" x14ac:dyDescent="0.2">
      <c r="B19" s="80" t="s">
        <v>776</v>
      </c>
      <c r="C19" s="98">
        <f>198743483+848212666</f>
        <v>1046956149</v>
      </c>
      <c r="D19" s="141">
        <v>502634721</v>
      </c>
    </row>
    <row r="20" spans="2:4" ht="12" x14ac:dyDescent="0.25">
      <c r="B20" s="94" t="s">
        <v>777</v>
      </c>
      <c r="C20" s="106">
        <f>SUM(C17:C19)</f>
        <v>1197341149</v>
      </c>
      <c r="D20" s="106">
        <f>SUM(D17:D19)</f>
        <v>587006319</v>
      </c>
    </row>
    <row r="22" spans="2:4" x14ac:dyDescent="0.2">
      <c r="C22" s="138"/>
      <c r="D22" s="138"/>
    </row>
    <row r="23" spans="2:4" x14ac:dyDescent="0.2">
      <c r="C23" s="138"/>
    </row>
  </sheetData>
  <hyperlinks>
    <hyperlink ref="B1" location="'Estado de Resultado Resol. 1'!A1" display="'Estado de Resultado Resol. 1'!A1" xr:uid="{00000000-0004-0000-1400-000000000000}"/>
  </hyperlink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O42"/>
  <sheetViews>
    <sheetView showGridLines="0" topLeftCell="L1" zoomScale="133" zoomScaleNormal="100" workbookViewId="0">
      <selection activeCell="Q22" sqref="Q22"/>
    </sheetView>
  </sheetViews>
  <sheetFormatPr baseColWidth="10" defaultColWidth="11.44140625" defaultRowHeight="12" x14ac:dyDescent="0.25"/>
  <cols>
    <col min="1" max="1" width="32.109375" style="65" hidden="1" customWidth="1"/>
    <col min="2" max="3" width="13.109375" style="65" hidden="1" customWidth="1"/>
    <col min="4" max="4" width="2" style="223" hidden="1" customWidth="1"/>
    <col min="5" max="5" width="32.109375" style="65" hidden="1" customWidth="1"/>
    <col min="6" max="6" width="13.109375" style="233" hidden="1" customWidth="1"/>
    <col min="7" max="7" width="13.109375" style="65" hidden="1" customWidth="1"/>
    <col min="8" max="8" width="2" style="65" hidden="1" customWidth="1"/>
    <col min="9" max="9" width="32.109375" style="65" hidden="1" customWidth="1"/>
    <col min="10" max="11" width="13.109375" style="65" hidden="1" customWidth="1"/>
    <col min="12" max="12" width="21.6640625" style="65" customWidth="1"/>
    <col min="13" max="13" width="37.44140625" style="65" customWidth="1"/>
    <col min="14" max="14" width="17.33203125" style="65" bestFit="1" customWidth="1"/>
    <col min="15" max="15" width="16.33203125" style="65" bestFit="1" customWidth="1"/>
    <col min="16" max="16" width="15.109375" style="65" bestFit="1" customWidth="1"/>
    <col min="17" max="16384" width="11.44140625" style="65"/>
  </cols>
  <sheetData>
    <row r="1" spans="1:15" s="220" customFormat="1" x14ac:dyDescent="0.25">
      <c r="A1" s="488" t="s">
        <v>778</v>
      </c>
      <c r="B1" s="488"/>
      <c r="C1" s="488"/>
      <c r="D1" s="219"/>
      <c r="E1" s="489" t="s">
        <v>779</v>
      </c>
      <c r="F1" s="489"/>
      <c r="G1" s="489"/>
      <c r="I1" s="490" t="s">
        <v>780</v>
      </c>
      <c r="J1" s="490"/>
      <c r="K1" s="490"/>
      <c r="M1" s="491" t="s">
        <v>781</v>
      </c>
      <c r="N1" s="492"/>
      <c r="O1" s="492"/>
    </row>
    <row r="2" spans="1:15" s="220" customFormat="1" x14ac:dyDescent="0.25">
      <c r="A2" s="419"/>
      <c r="B2" s="419"/>
      <c r="C2" s="419"/>
      <c r="D2" s="219"/>
      <c r="E2" s="420"/>
      <c r="F2" s="420"/>
      <c r="G2" s="420"/>
      <c r="I2" s="421"/>
      <c r="J2" s="421"/>
      <c r="K2" s="421"/>
      <c r="M2" s="221"/>
      <c r="N2" s="221"/>
      <c r="O2" s="221"/>
    </row>
    <row r="3" spans="1:15" s="220" customFormat="1" x14ac:dyDescent="0.25">
      <c r="A3" s="419"/>
      <c r="B3" s="419"/>
      <c r="C3" s="419"/>
      <c r="D3" s="219"/>
      <c r="E3" s="420"/>
      <c r="F3" s="420"/>
      <c r="G3" s="420"/>
      <c r="I3" s="421"/>
      <c r="J3" s="421"/>
      <c r="K3" s="421"/>
      <c r="M3" s="214" t="s">
        <v>782</v>
      </c>
      <c r="N3" s="221"/>
      <c r="O3" s="221"/>
    </row>
    <row r="4" spans="1:15" s="220" customFormat="1" x14ac:dyDescent="0.25">
      <c r="A4" s="419"/>
      <c r="B4" s="419"/>
      <c r="C4" s="419"/>
      <c r="D4" s="219"/>
      <c r="E4" s="420"/>
      <c r="F4" s="420"/>
      <c r="G4" s="420"/>
      <c r="I4" s="421"/>
      <c r="J4" s="421"/>
      <c r="K4" s="421"/>
      <c r="M4" s="221"/>
      <c r="N4" s="221"/>
      <c r="O4" s="221"/>
    </row>
    <row r="5" spans="1:15" x14ac:dyDescent="0.25">
      <c r="A5" s="222"/>
      <c r="B5" s="222"/>
      <c r="C5" s="222"/>
      <c r="E5" s="224"/>
      <c r="F5" s="224"/>
      <c r="G5" s="224"/>
      <c r="I5" s="225"/>
      <c r="J5" s="225"/>
      <c r="K5" s="225"/>
      <c r="M5" s="226"/>
      <c r="N5" s="226"/>
      <c r="O5" s="226"/>
    </row>
    <row r="6" spans="1:15" x14ac:dyDescent="0.25">
      <c r="A6" s="411" t="s">
        <v>476</v>
      </c>
      <c r="B6" s="411" t="s">
        <v>783</v>
      </c>
      <c r="C6" s="411" t="s">
        <v>784</v>
      </c>
      <c r="E6" s="411" t="s">
        <v>476</v>
      </c>
      <c r="F6" s="411" t="s">
        <v>783</v>
      </c>
      <c r="G6" s="411" t="s">
        <v>784</v>
      </c>
      <c r="H6" s="223"/>
      <c r="I6" s="411" t="s">
        <v>476</v>
      </c>
      <c r="J6" s="411" t="s">
        <v>783</v>
      </c>
      <c r="K6" s="411" t="s">
        <v>784</v>
      </c>
      <c r="M6" s="411" t="s">
        <v>476</v>
      </c>
      <c r="N6" s="411" t="s">
        <v>766</v>
      </c>
      <c r="O6" s="411" t="s">
        <v>767</v>
      </c>
    </row>
    <row r="7" spans="1:15" x14ac:dyDescent="0.25">
      <c r="A7" s="94" t="s">
        <v>785</v>
      </c>
      <c r="B7" s="227"/>
      <c r="C7" s="227"/>
      <c r="E7" s="94" t="s">
        <v>785</v>
      </c>
      <c r="F7" s="227"/>
      <c r="G7" s="227"/>
      <c r="H7" s="223"/>
      <c r="I7" s="94" t="s">
        <v>785</v>
      </c>
      <c r="J7" s="227"/>
      <c r="K7" s="227"/>
      <c r="M7" s="94" t="s">
        <v>785</v>
      </c>
      <c r="N7" s="228">
        <f>SUM(N8:N11)</f>
        <v>984254211</v>
      </c>
      <c r="O7" s="228">
        <f>SUM(O8:O11)</f>
        <v>824226686</v>
      </c>
    </row>
    <row r="8" spans="1:15" x14ac:dyDescent="0.25">
      <c r="A8" s="80" t="s">
        <v>786</v>
      </c>
      <c r="B8" s="227">
        <v>1304116</v>
      </c>
      <c r="C8" s="227">
        <v>3834483</v>
      </c>
      <c r="D8" s="223">
        <v>1</v>
      </c>
      <c r="E8" s="80" t="s">
        <v>786</v>
      </c>
      <c r="F8" s="227">
        <v>0</v>
      </c>
      <c r="G8" s="227">
        <v>3834483</v>
      </c>
      <c r="H8" s="223">
        <v>1</v>
      </c>
      <c r="I8" s="80" t="s">
        <v>786</v>
      </c>
      <c r="J8" s="227">
        <f>+B8+F8</f>
        <v>1304116</v>
      </c>
      <c r="K8" s="227">
        <v>3834483</v>
      </c>
      <c r="M8" s="80" t="s">
        <v>287</v>
      </c>
      <c r="N8" s="229">
        <f>+'Estado de Resultado Resol. 6'!E40</f>
        <v>597671553</v>
      </c>
      <c r="O8" s="229">
        <v>360942772</v>
      </c>
    </row>
    <row r="9" spans="1:15" x14ac:dyDescent="0.25">
      <c r="A9" s="80" t="s">
        <v>787</v>
      </c>
      <c r="B9" s="227">
        <f>10055005+3727833</f>
        <v>13782838</v>
      </c>
      <c r="C9" s="227">
        <v>32784404</v>
      </c>
      <c r="D9" s="223">
        <v>2</v>
      </c>
      <c r="E9" s="80" t="s">
        <v>787</v>
      </c>
      <c r="F9" s="227">
        <f>6917265+3714900</f>
        <v>10632165</v>
      </c>
      <c r="G9" s="227">
        <v>32784404</v>
      </c>
      <c r="H9" s="223">
        <v>2</v>
      </c>
      <c r="I9" s="80" t="s">
        <v>787</v>
      </c>
      <c r="J9" s="227">
        <f>+B9+F9</f>
        <v>24415003</v>
      </c>
      <c r="K9" s="227">
        <v>32784404</v>
      </c>
      <c r="M9" s="80" t="s">
        <v>288</v>
      </c>
      <c r="N9" s="229">
        <f>+'Estado de Resultado Resol. 6'!E41</f>
        <v>386582658</v>
      </c>
      <c r="O9" s="229">
        <v>463283914</v>
      </c>
    </row>
    <row r="10" spans="1:15" x14ac:dyDescent="0.25">
      <c r="A10" s="80"/>
      <c r="B10" s="227"/>
      <c r="C10" s="227"/>
      <c r="E10" s="80"/>
      <c r="F10" s="227"/>
      <c r="G10" s="227"/>
      <c r="H10" s="223"/>
      <c r="I10" s="80"/>
      <c r="J10" s="227"/>
      <c r="K10" s="227"/>
      <c r="M10" s="80" t="s">
        <v>788</v>
      </c>
      <c r="N10" s="229">
        <v>0</v>
      </c>
      <c r="O10" s="229">
        <v>0</v>
      </c>
    </row>
    <row r="11" spans="1:15" x14ac:dyDescent="0.25">
      <c r="A11" s="80" t="s">
        <v>789</v>
      </c>
      <c r="B11" s="227">
        <f>2081449</f>
        <v>2081449</v>
      </c>
      <c r="C11" s="227">
        <v>23502676</v>
      </c>
      <c r="D11" s="223">
        <v>3</v>
      </c>
      <c r="E11" s="80" t="s">
        <v>789</v>
      </c>
      <c r="F11" s="227">
        <f>1578053+2600000</f>
        <v>4178053</v>
      </c>
      <c r="G11" s="227">
        <v>23502676</v>
      </c>
      <c r="H11" s="223">
        <v>3</v>
      </c>
      <c r="I11" s="80" t="s">
        <v>789</v>
      </c>
      <c r="J11" s="227">
        <f>+B11+F11</f>
        <v>6259502</v>
      </c>
      <c r="K11" s="227">
        <v>23502676</v>
      </c>
      <c r="M11" s="230" t="s">
        <v>785</v>
      </c>
      <c r="N11" s="170">
        <v>0</v>
      </c>
      <c r="O11" s="357">
        <v>0</v>
      </c>
    </row>
    <row r="12" spans="1:15" x14ac:dyDescent="0.25">
      <c r="A12" s="94" t="s">
        <v>777</v>
      </c>
      <c r="B12" s="231">
        <f>SUM(B8:B11)</f>
        <v>17168403</v>
      </c>
      <c r="C12" s="231">
        <f>SUM(C8:C11)</f>
        <v>60121563</v>
      </c>
      <c r="E12" s="94" t="s">
        <v>777</v>
      </c>
      <c r="F12" s="231">
        <f>SUM(F8:F11)</f>
        <v>14810218</v>
      </c>
      <c r="G12" s="231">
        <f>SUM(G8:G11)</f>
        <v>60121563</v>
      </c>
      <c r="H12" s="223"/>
      <c r="I12" s="94" t="s">
        <v>777</v>
      </c>
      <c r="J12" s="231">
        <f>SUM(J8:J11)</f>
        <v>31978621</v>
      </c>
      <c r="K12" s="231">
        <f>SUM(K8:K11)</f>
        <v>60121563</v>
      </c>
      <c r="M12" s="94"/>
      <c r="N12" s="232"/>
      <c r="O12" s="232"/>
    </row>
    <row r="13" spans="1:15" x14ac:dyDescent="0.25">
      <c r="A13" s="94" t="s">
        <v>790</v>
      </c>
      <c r="B13" s="227"/>
      <c r="C13" s="227"/>
      <c r="E13" s="94" t="s">
        <v>790</v>
      </c>
      <c r="F13" s="227"/>
      <c r="G13" s="227"/>
      <c r="H13" s="223"/>
      <c r="I13" s="94" t="s">
        <v>790</v>
      </c>
      <c r="J13" s="227"/>
      <c r="K13" s="227"/>
      <c r="M13" s="94" t="s">
        <v>291</v>
      </c>
      <c r="N13" s="228">
        <f>SUM(N14:N16)</f>
        <v>7728345</v>
      </c>
      <c r="O13" s="358">
        <f>SUM(O14:O16)</f>
        <v>49131982</v>
      </c>
    </row>
    <row r="14" spans="1:15" x14ac:dyDescent="0.25">
      <c r="A14" s="80" t="s">
        <v>791</v>
      </c>
      <c r="B14" s="227">
        <v>30130273</v>
      </c>
      <c r="C14" s="227">
        <v>9325455</v>
      </c>
      <c r="E14" s="80" t="s">
        <v>791</v>
      </c>
      <c r="F14" s="227">
        <v>0</v>
      </c>
      <c r="G14" s="227">
        <v>9325455</v>
      </c>
      <c r="H14" s="223"/>
      <c r="I14" s="80" t="s">
        <v>791</v>
      </c>
      <c r="J14" s="227">
        <v>118735091</v>
      </c>
      <c r="K14" s="227">
        <v>9325455</v>
      </c>
      <c r="M14" s="80" t="s">
        <v>292</v>
      </c>
      <c r="N14" s="229">
        <f>+'Estado de Resultado Resol. 6'!E47</f>
        <v>7728345</v>
      </c>
      <c r="O14" s="229">
        <v>49081982</v>
      </c>
    </row>
    <row r="15" spans="1:15" x14ac:dyDescent="0.25">
      <c r="A15" s="80" t="s">
        <v>792</v>
      </c>
      <c r="B15" s="227">
        <v>3202315</v>
      </c>
      <c r="C15" s="227">
        <v>12225897</v>
      </c>
      <c r="E15" s="80" t="s">
        <v>792</v>
      </c>
      <c r="F15" s="227">
        <v>4373014</v>
      </c>
      <c r="G15" s="227">
        <v>12225897</v>
      </c>
      <c r="H15" s="223"/>
      <c r="I15" s="80" t="s">
        <v>792</v>
      </c>
      <c r="J15" s="227">
        <v>17074877</v>
      </c>
      <c r="K15" s="227">
        <v>12225897</v>
      </c>
      <c r="M15" s="80" t="s">
        <v>293</v>
      </c>
      <c r="N15" s="229">
        <v>0</v>
      </c>
      <c r="O15" s="229">
        <v>0</v>
      </c>
    </row>
    <row r="16" spans="1:15" x14ac:dyDescent="0.25">
      <c r="A16" s="80" t="s">
        <v>793</v>
      </c>
      <c r="B16" s="227">
        <f>2963306+847400</f>
        <v>3810706</v>
      </c>
      <c r="C16" s="227">
        <v>2196794</v>
      </c>
      <c r="D16" s="223">
        <v>4</v>
      </c>
      <c r="E16" s="80" t="s">
        <v>793</v>
      </c>
      <c r="F16" s="227">
        <f>1057700+462235</f>
        <v>1519935</v>
      </c>
      <c r="G16" s="227">
        <v>2196794</v>
      </c>
      <c r="H16" s="223">
        <v>4</v>
      </c>
      <c r="I16" s="80" t="s">
        <v>793</v>
      </c>
      <c r="J16" s="227">
        <f>+B16+F16</f>
        <v>5330641</v>
      </c>
      <c r="K16" s="227">
        <v>2196794</v>
      </c>
      <c r="M16" s="80" t="s">
        <v>294</v>
      </c>
      <c r="N16" s="229">
        <v>0</v>
      </c>
      <c r="O16" s="229">
        <v>50000</v>
      </c>
    </row>
    <row r="17" spans="1:15" x14ac:dyDescent="0.25">
      <c r="A17" s="94" t="s">
        <v>777</v>
      </c>
      <c r="B17" s="231">
        <f>SUM(B14:B16)</f>
        <v>37143294</v>
      </c>
      <c r="C17" s="231">
        <f>SUM(C14:C16)</f>
        <v>23748146</v>
      </c>
      <c r="E17" s="94" t="s">
        <v>777</v>
      </c>
      <c r="F17" s="231">
        <f>SUM(F14:F16)</f>
        <v>5892949</v>
      </c>
      <c r="G17" s="231">
        <f>SUM(G14:G16)</f>
        <v>23748146</v>
      </c>
      <c r="H17" s="223"/>
      <c r="I17" s="94" t="s">
        <v>777</v>
      </c>
      <c r="J17" s="231">
        <f>SUM(J14:J16)</f>
        <v>141140609</v>
      </c>
      <c r="K17" s="231">
        <f>SUM(K14:K16)</f>
        <v>23748146</v>
      </c>
      <c r="M17" s="94"/>
      <c r="N17" s="232"/>
      <c r="O17" s="232"/>
    </row>
    <row r="18" spans="1:15" x14ac:dyDescent="0.25">
      <c r="A18" s="94" t="s">
        <v>307</v>
      </c>
      <c r="B18" s="227"/>
      <c r="C18" s="227"/>
      <c r="E18" s="94" t="s">
        <v>307</v>
      </c>
      <c r="F18" s="227"/>
      <c r="G18" s="227"/>
      <c r="H18" s="223"/>
      <c r="I18" s="94" t="s">
        <v>307</v>
      </c>
      <c r="J18" s="227"/>
      <c r="K18" s="227"/>
      <c r="M18" s="94" t="s">
        <v>295</v>
      </c>
      <c r="N18" s="228">
        <f>SUM(N19:N39)</f>
        <v>3577348252</v>
      </c>
      <c r="O18" s="358">
        <f>SUM(O19:O39)</f>
        <v>3324387841</v>
      </c>
    </row>
    <row r="19" spans="1:15" x14ac:dyDescent="0.25">
      <c r="A19" s="80" t="s">
        <v>794</v>
      </c>
      <c r="B19" s="227">
        <v>42111493</v>
      </c>
      <c r="C19" s="227">
        <v>176537423</v>
      </c>
      <c r="E19" s="80" t="s">
        <v>794</v>
      </c>
      <c r="F19" s="227">
        <v>54072165</v>
      </c>
      <c r="G19" s="227">
        <v>176537423</v>
      </c>
      <c r="H19" s="223"/>
      <c r="I19" s="80" t="s">
        <v>794</v>
      </c>
      <c r="J19" s="227">
        <f>+B19+F19</f>
        <v>96183658</v>
      </c>
      <c r="K19" s="227">
        <v>176537423</v>
      </c>
      <c r="M19" s="80" t="s">
        <v>296</v>
      </c>
      <c r="N19" s="229">
        <f>+'Estado de Resultado Resol. 6'!E52</f>
        <v>1388915877</v>
      </c>
      <c r="O19" s="229">
        <v>997331607</v>
      </c>
    </row>
    <row r="20" spans="1:15" x14ac:dyDescent="0.25">
      <c r="A20" s="80" t="s">
        <v>795</v>
      </c>
      <c r="B20" s="227">
        <v>6948396</v>
      </c>
      <c r="C20" s="227">
        <v>29805924</v>
      </c>
      <c r="E20" s="80" t="s">
        <v>795</v>
      </c>
      <c r="F20" s="227">
        <v>8921907</v>
      </c>
      <c r="G20" s="227">
        <v>29805924</v>
      </c>
      <c r="H20" s="223"/>
      <c r="I20" s="80" t="s">
        <v>795</v>
      </c>
      <c r="J20" s="227">
        <f t="shared" ref="J20:J37" si="0">+B20+F20</f>
        <v>15870303</v>
      </c>
      <c r="K20" s="227">
        <v>29805924</v>
      </c>
      <c r="M20" s="80" t="s">
        <v>297</v>
      </c>
      <c r="N20" s="229">
        <f>+'Estado de Resultado Resol. 6'!E53</f>
        <v>229171120</v>
      </c>
      <c r="O20" s="229">
        <v>171796043</v>
      </c>
    </row>
    <row r="21" spans="1:15" x14ac:dyDescent="0.25">
      <c r="A21" s="80"/>
      <c r="B21" s="227"/>
      <c r="C21" s="227"/>
      <c r="E21" s="80"/>
      <c r="F21" s="227"/>
      <c r="G21" s="227"/>
      <c r="H21" s="223"/>
      <c r="I21" s="80"/>
      <c r="J21" s="227"/>
      <c r="K21" s="227"/>
      <c r="M21" s="80" t="s">
        <v>298</v>
      </c>
      <c r="N21" s="229">
        <f>+'Estado de Resultado Resol. 6'!E54</f>
        <v>1648730</v>
      </c>
      <c r="O21" s="229">
        <v>90902317</v>
      </c>
    </row>
    <row r="22" spans="1:15" x14ac:dyDescent="0.25">
      <c r="A22" s="80" t="s">
        <v>796</v>
      </c>
      <c r="B22" s="227">
        <v>2180000</v>
      </c>
      <c r="C22" s="227">
        <v>13977537</v>
      </c>
      <c r="E22" s="80" t="s">
        <v>796</v>
      </c>
      <c r="F22" s="227">
        <v>0</v>
      </c>
      <c r="G22" s="227">
        <v>13977537</v>
      </c>
      <c r="H22" s="223"/>
      <c r="I22" s="80" t="s">
        <v>796</v>
      </c>
      <c r="J22" s="227">
        <f t="shared" si="0"/>
        <v>2180000</v>
      </c>
      <c r="K22" s="227">
        <v>13977537</v>
      </c>
      <c r="M22" s="80" t="s">
        <v>299</v>
      </c>
      <c r="N22" s="229">
        <f>+'Estado de Resultado Resol. 6'!E55</f>
        <v>6359236</v>
      </c>
      <c r="O22" s="229">
        <v>5154439</v>
      </c>
    </row>
    <row r="23" spans="1:15" x14ac:dyDescent="0.25">
      <c r="A23" s="80" t="s">
        <v>797</v>
      </c>
      <c r="B23" s="227">
        <v>37329636</v>
      </c>
      <c r="C23" s="227">
        <v>153231429</v>
      </c>
      <c r="E23" s="80" t="s">
        <v>797</v>
      </c>
      <c r="F23" s="227">
        <v>37184415</v>
      </c>
      <c r="G23" s="227">
        <v>153231429</v>
      </c>
      <c r="H23" s="223"/>
      <c r="I23" s="80" t="s">
        <v>797</v>
      </c>
      <c r="J23" s="227">
        <f t="shared" si="0"/>
        <v>74514051</v>
      </c>
      <c r="K23" s="227">
        <v>153231429</v>
      </c>
      <c r="M23" s="80" t="s">
        <v>300</v>
      </c>
      <c r="N23" s="229">
        <f>+'Estado de Resultado Resol. 6'!E56</f>
        <v>0</v>
      </c>
      <c r="O23" s="229">
        <v>2130000</v>
      </c>
    </row>
    <row r="24" spans="1:15" x14ac:dyDescent="0.25">
      <c r="A24" s="80"/>
      <c r="B24" s="227"/>
      <c r="C24" s="227"/>
      <c r="E24" s="80"/>
      <c r="F24" s="227"/>
      <c r="G24" s="227"/>
      <c r="H24" s="223"/>
      <c r="I24" s="80"/>
      <c r="J24" s="227"/>
      <c r="K24" s="227"/>
      <c r="M24" s="80" t="s">
        <v>301</v>
      </c>
      <c r="N24" s="229">
        <f>+'Estado de Resultado Resol. 6'!E57</f>
        <v>0</v>
      </c>
      <c r="O24" s="229">
        <v>3550000</v>
      </c>
    </row>
    <row r="25" spans="1:15" x14ac:dyDescent="0.25">
      <c r="A25" s="80" t="s">
        <v>798</v>
      </c>
      <c r="B25" s="227"/>
      <c r="C25" s="227">
        <v>57608294</v>
      </c>
      <c r="E25" s="80" t="s">
        <v>798</v>
      </c>
      <c r="F25" s="227"/>
      <c r="G25" s="227">
        <v>57608294</v>
      </c>
      <c r="H25" s="223"/>
      <c r="I25" s="80" t="s">
        <v>798</v>
      </c>
      <c r="J25" s="227">
        <f t="shared" si="0"/>
        <v>0</v>
      </c>
      <c r="K25" s="227">
        <v>57608294</v>
      </c>
      <c r="M25" s="80" t="s">
        <v>302</v>
      </c>
      <c r="N25" s="229">
        <f>+'Estado de Resultado Resol. 6'!E58</f>
        <v>33362978</v>
      </c>
      <c r="O25" s="229">
        <v>70601635</v>
      </c>
    </row>
    <row r="26" spans="1:15" x14ac:dyDescent="0.25">
      <c r="A26" s="80" t="s">
        <v>799</v>
      </c>
      <c r="B26" s="227">
        <v>5034443</v>
      </c>
      <c r="C26" s="227">
        <v>9660910</v>
      </c>
      <c r="E26" s="80" t="s">
        <v>799</v>
      </c>
      <c r="F26" s="227">
        <v>0</v>
      </c>
      <c r="G26" s="227">
        <v>9660910</v>
      </c>
      <c r="H26" s="223"/>
      <c r="I26" s="80" t="s">
        <v>799</v>
      </c>
      <c r="J26" s="227">
        <f t="shared" si="0"/>
        <v>5034443</v>
      </c>
      <c r="K26" s="227">
        <v>9660910</v>
      </c>
      <c r="M26" s="80" t="s">
        <v>303</v>
      </c>
      <c r="N26" s="229">
        <f>+'Estado de Resultado Resol. 6'!E59</f>
        <v>0</v>
      </c>
      <c r="O26" s="229">
        <v>0</v>
      </c>
    </row>
    <row r="27" spans="1:15" x14ac:dyDescent="0.25">
      <c r="A27" s="80" t="s">
        <v>800</v>
      </c>
      <c r="B27" s="227">
        <v>183846</v>
      </c>
      <c r="C27" s="227">
        <v>5328452</v>
      </c>
      <c r="E27" s="80" t="s">
        <v>800</v>
      </c>
      <c r="F27" s="227">
        <v>11830139</v>
      </c>
      <c r="G27" s="227">
        <v>5328452</v>
      </c>
      <c r="H27" s="223"/>
      <c r="I27" s="80" t="s">
        <v>800</v>
      </c>
      <c r="J27" s="227">
        <v>18126480</v>
      </c>
      <c r="K27" s="227">
        <v>5328452</v>
      </c>
      <c r="M27" s="80" t="s">
        <v>304</v>
      </c>
      <c r="N27" s="229">
        <f>+'Estado de Resultado Resol. 6'!E60</f>
        <v>0</v>
      </c>
      <c r="O27" s="359">
        <v>2038056</v>
      </c>
    </row>
    <row r="28" spans="1:15" x14ac:dyDescent="0.25">
      <c r="A28" s="80" t="s">
        <v>801</v>
      </c>
      <c r="B28" s="227">
        <v>2631100</v>
      </c>
      <c r="C28" s="227">
        <v>4946956</v>
      </c>
      <c r="E28" s="80" t="s">
        <v>801</v>
      </c>
      <c r="F28" s="227">
        <v>0</v>
      </c>
      <c r="G28" s="227">
        <v>4946956</v>
      </c>
      <c r="H28" s="223"/>
      <c r="I28" s="80" t="s">
        <v>801</v>
      </c>
      <c r="J28" s="227">
        <f t="shared" si="0"/>
        <v>2631100</v>
      </c>
      <c r="K28" s="227">
        <v>4946956</v>
      </c>
      <c r="M28" s="80" t="s">
        <v>305</v>
      </c>
      <c r="N28" s="229">
        <f>+'Estado de Resultado Resol. 6'!E61</f>
        <v>28696029</v>
      </c>
      <c r="O28" s="229">
        <v>22258299</v>
      </c>
    </row>
    <row r="29" spans="1:15" x14ac:dyDescent="0.25">
      <c r="A29" s="80" t="s">
        <v>802</v>
      </c>
      <c r="B29" s="227">
        <f>2557240+5144442+6537619+8994085+420000+4551013+18126480+3723731+4016787+11605205+3051734</f>
        <v>68728336</v>
      </c>
      <c r="C29" s="227">
        <v>178982976</v>
      </c>
      <c r="D29" s="223">
        <v>5</v>
      </c>
      <c r="E29" s="80" t="s">
        <v>802</v>
      </c>
      <c r="F29" s="227">
        <f>2979582+21944658+520173+866500+6899046+689091+551636+24801036+2545205+1257988+71000+11801324+145+1045455+4629798+363636</f>
        <v>80966273</v>
      </c>
      <c r="G29" s="227">
        <v>178982976</v>
      </c>
      <c r="H29" s="223">
        <v>5</v>
      </c>
      <c r="I29" s="80" t="s">
        <v>802</v>
      </c>
      <c r="J29" s="227">
        <v>112381988</v>
      </c>
      <c r="K29" s="227">
        <v>178982976</v>
      </c>
      <c r="M29" s="80" t="s">
        <v>306</v>
      </c>
      <c r="N29" s="229">
        <f>+'Estado de Resultado Resol. 6'!E62</f>
        <v>45267585</v>
      </c>
      <c r="O29" s="229">
        <v>19743940</v>
      </c>
    </row>
    <row r="30" spans="1:15" x14ac:dyDescent="0.25">
      <c r="A30" s="80" t="s">
        <v>803</v>
      </c>
      <c r="B30" s="227">
        <v>45865609</v>
      </c>
      <c r="C30" s="227">
        <v>226442873</v>
      </c>
      <c r="E30" s="80" t="s">
        <v>803</v>
      </c>
      <c r="F30" s="227">
        <v>29976971</v>
      </c>
      <c r="G30" s="227">
        <v>226442873</v>
      </c>
      <c r="H30" s="223"/>
      <c r="I30" s="80" t="s">
        <v>803</v>
      </c>
      <c r="J30" s="227">
        <v>79266320</v>
      </c>
      <c r="K30" s="227">
        <v>226442873</v>
      </c>
      <c r="M30" s="80" t="s">
        <v>307</v>
      </c>
      <c r="N30" s="229">
        <f>+'Estado de Resultado Resol. 6'!E63</f>
        <v>361499758</v>
      </c>
      <c r="O30" s="359">
        <v>872486047</v>
      </c>
    </row>
    <row r="31" spans="1:15" x14ac:dyDescent="0.25">
      <c r="A31" s="80" t="s">
        <v>804</v>
      </c>
      <c r="B31" s="227">
        <v>120000000</v>
      </c>
      <c r="C31" s="227">
        <v>395433334</v>
      </c>
      <c r="E31" s="80" t="s">
        <v>804</v>
      </c>
      <c r="F31" s="227">
        <v>120000000</v>
      </c>
      <c r="G31" s="227">
        <v>395433334</v>
      </c>
      <c r="H31" s="223"/>
      <c r="I31" s="80" t="s">
        <v>804</v>
      </c>
      <c r="J31" s="227">
        <f t="shared" si="0"/>
        <v>240000000</v>
      </c>
      <c r="K31" s="227">
        <v>395433334</v>
      </c>
      <c r="M31" s="80" t="s">
        <v>308</v>
      </c>
      <c r="N31" s="229">
        <f>+'Estado de Resultado Resol. 6'!E64</f>
        <v>55575817</v>
      </c>
      <c r="O31" s="229">
        <v>262183886</v>
      </c>
    </row>
    <row r="32" spans="1:15" x14ac:dyDescent="0.25">
      <c r="A32" s="80" t="s">
        <v>805</v>
      </c>
      <c r="B32" s="227">
        <v>48727274</v>
      </c>
      <c r="C32" s="227">
        <v>123333334</v>
      </c>
      <c r="E32" s="80" t="s">
        <v>805</v>
      </c>
      <c r="F32" s="227">
        <v>19636364</v>
      </c>
      <c r="G32" s="227">
        <v>123333334</v>
      </c>
      <c r="H32" s="223"/>
      <c r="I32" s="80" t="s">
        <v>805</v>
      </c>
      <c r="J32" s="227">
        <f t="shared" si="0"/>
        <v>68363638</v>
      </c>
      <c r="K32" s="227">
        <v>123333334</v>
      </c>
      <c r="M32" s="80" t="s">
        <v>309</v>
      </c>
      <c r="N32" s="229">
        <f>+'Estado de Resultado Resol. 6'!E65</f>
        <v>544818181</v>
      </c>
      <c r="O32" s="229">
        <v>206000000</v>
      </c>
    </row>
    <row r="33" spans="1:15" x14ac:dyDescent="0.25">
      <c r="A33" s="80" t="s">
        <v>806</v>
      </c>
      <c r="B33" s="227">
        <v>5788050</v>
      </c>
      <c r="C33" s="227">
        <v>1154545</v>
      </c>
      <c r="E33" s="80" t="s">
        <v>806</v>
      </c>
      <c r="F33" s="227">
        <v>172727</v>
      </c>
      <c r="G33" s="227">
        <v>1154545</v>
      </c>
      <c r="H33" s="223"/>
      <c r="I33" s="80" t="s">
        <v>806</v>
      </c>
      <c r="J33" s="227">
        <f t="shared" si="0"/>
        <v>5960777</v>
      </c>
      <c r="K33" s="227">
        <v>1154545</v>
      </c>
      <c r="M33" s="80" t="s">
        <v>310</v>
      </c>
      <c r="N33" s="229">
        <f>+'Estado de Resultado Resol. 6'!E66</f>
        <v>476980295</v>
      </c>
      <c r="O33" s="229">
        <v>0</v>
      </c>
    </row>
    <row r="34" spans="1:15" x14ac:dyDescent="0.25">
      <c r="A34" s="80" t="s">
        <v>807</v>
      </c>
      <c r="B34" s="227">
        <v>1747200</v>
      </c>
      <c r="C34" s="227">
        <v>1234487</v>
      </c>
      <c r="E34" s="80" t="s">
        <v>807</v>
      </c>
      <c r="F34" s="227">
        <v>0</v>
      </c>
      <c r="G34" s="227">
        <v>1234487</v>
      </c>
      <c r="H34" s="223"/>
      <c r="I34" s="80" t="s">
        <v>807</v>
      </c>
      <c r="J34" s="227">
        <f t="shared" si="0"/>
        <v>1747200</v>
      </c>
      <c r="K34" s="227">
        <v>1234487</v>
      </c>
      <c r="M34" s="80" t="s">
        <v>311</v>
      </c>
      <c r="N34" s="229">
        <f>+'Estado de Resultado Resol. 6'!E67</f>
        <v>863636</v>
      </c>
      <c r="O34" s="229">
        <v>5490908</v>
      </c>
    </row>
    <row r="35" spans="1:15" x14ac:dyDescent="0.25">
      <c r="A35" s="80"/>
      <c r="B35" s="227"/>
      <c r="C35" s="227"/>
      <c r="E35" s="80"/>
      <c r="F35" s="227"/>
      <c r="G35" s="227"/>
      <c r="H35" s="223"/>
      <c r="I35" s="80"/>
      <c r="J35" s="227"/>
      <c r="K35" s="227"/>
      <c r="M35" s="80" t="s">
        <v>312</v>
      </c>
      <c r="N35" s="229">
        <f>+'Estado de Resultado Resol. 6'!E68</f>
        <v>404189010</v>
      </c>
      <c r="O35" s="229">
        <v>219581142</v>
      </c>
    </row>
    <row r="36" spans="1:15" x14ac:dyDescent="0.25">
      <c r="A36" s="80"/>
      <c r="B36" s="227"/>
      <c r="C36" s="227"/>
      <c r="E36" s="80"/>
      <c r="F36" s="227"/>
      <c r="G36" s="227"/>
      <c r="H36" s="223"/>
      <c r="I36" s="80"/>
      <c r="J36" s="227"/>
      <c r="K36" s="227"/>
      <c r="M36" s="80" t="s">
        <v>313</v>
      </c>
      <c r="N36" s="229">
        <f>+'Estado de Resultado Resol. 6'!E69</f>
        <v>0</v>
      </c>
      <c r="O36" s="229">
        <v>373139522</v>
      </c>
    </row>
    <row r="37" spans="1:15" x14ac:dyDescent="0.25">
      <c r="A37" s="80" t="s">
        <v>808</v>
      </c>
      <c r="B37" s="227"/>
      <c r="C37" s="227">
        <v>1000000</v>
      </c>
      <c r="E37" s="80" t="s">
        <v>808</v>
      </c>
      <c r="F37" s="227">
        <v>0</v>
      </c>
      <c r="G37" s="227">
        <v>1000000</v>
      </c>
      <c r="H37" s="223"/>
      <c r="I37" s="80" t="s">
        <v>808</v>
      </c>
      <c r="J37" s="227">
        <f t="shared" si="0"/>
        <v>0</v>
      </c>
      <c r="K37" s="227">
        <v>1000000</v>
      </c>
      <c r="M37" s="80" t="s">
        <v>314</v>
      </c>
      <c r="N37" s="229">
        <f>+'Estado de Resultado Resol. 6'!E70</f>
        <v>0</v>
      </c>
      <c r="O37" s="229">
        <v>0</v>
      </c>
    </row>
    <row r="38" spans="1:15" x14ac:dyDescent="0.25">
      <c r="A38" s="80"/>
      <c r="B38" s="227"/>
      <c r="C38" s="227"/>
      <c r="E38" s="80"/>
      <c r="F38" s="227"/>
      <c r="G38" s="227"/>
      <c r="H38" s="223"/>
      <c r="I38" s="80"/>
      <c r="J38" s="227"/>
      <c r="K38" s="227"/>
      <c r="M38" s="80" t="s">
        <v>315</v>
      </c>
      <c r="N38" s="229">
        <f>+'Estado de Resultado Resol. 6'!E71</f>
        <v>0</v>
      </c>
      <c r="O38" s="229">
        <v>0</v>
      </c>
    </row>
    <row r="39" spans="1:15" x14ac:dyDescent="0.25">
      <c r="A39" s="80"/>
      <c r="B39" s="227"/>
      <c r="C39" s="227"/>
      <c r="E39" s="80"/>
      <c r="F39" s="227"/>
      <c r="G39" s="227"/>
      <c r="H39" s="223"/>
      <c r="I39" s="80"/>
      <c r="J39" s="227"/>
      <c r="K39" s="227"/>
      <c r="M39" s="80" t="s">
        <v>316</v>
      </c>
      <c r="N39" s="229">
        <f>+'Estado de Resultado Resol. 6'!E72</f>
        <v>0</v>
      </c>
      <c r="O39" s="229">
        <v>0</v>
      </c>
    </row>
    <row r="40" spans="1:15" x14ac:dyDescent="0.25">
      <c r="N40" s="67"/>
    </row>
    <row r="41" spans="1:15" x14ac:dyDescent="0.25">
      <c r="N41" s="233"/>
    </row>
    <row r="42" spans="1:15" x14ac:dyDescent="0.25">
      <c r="N42" s="67"/>
    </row>
  </sheetData>
  <mergeCells count="4">
    <mergeCell ref="A1:C1"/>
    <mergeCell ref="E1:G1"/>
    <mergeCell ref="I1:K1"/>
    <mergeCell ref="M1:O1"/>
  </mergeCells>
  <hyperlinks>
    <hyperlink ref="M1:O1" location="'Balance 14 04'!A1" display="'Balance 14 04'!A1" xr:uid="{00000000-0004-0000-1500-000000000000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</sheetPr>
  <dimension ref="B1:D10"/>
  <sheetViews>
    <sheetView showGridLines="0" zoomScaleNormal="100" workbookViewId="0">
      <selection activeCell="B5" sqref="B5:D10"/>
    </sheetView>
  </sheetViews>
  <sheetFormatPr baseColWidth="10" defaultColWidth="11.44140625" defaultRowHeight="11.4" x14ac:dyDescent="0.2"/>
  <cols>
    <col min="1" max="1" width="20" style="65" customWidth="1"/>
    <col min="2" max="2" width="37.6640625" style="65" bestFit="1" customWidth="1"/>
    <col min="3" max="3" width="13.6640625" style="65" bestFit="1" customWidth="1"/>
    <col min="4" max="4" width="13.33203125" style="65" bestFit="1" customWidth="1"/>
    <col min="5" max="16384" width="11.44140625" style="65"/>
  </cols>
  <sheetData>
    <row r="1" spans="2:4" ht="33.9" customHeight="1" x14ac:dyDescent="0.2">
      <c r="B1" s="73" t="s">
        <v>22</v>
      </c>
    </row>
    <row r="2" spans="2:4" ht="12" x14ac:dyDescent="0.2">
      <c r="B2" s="149" t="s">
        <v>809</v>
      </c>
    </row>
    <row r="5" spans="2:4" ht="12" x14ac:dyDescent="0.25">
      <c r="B5" s="411" t="s">
        <v>476</v>
      </c>
      <c r="C5" s="411" t="str">
        <f>+'NOTA W OTROS GASTOS OPER OK'!N6</f>
        <v>AL 30/09/2020</v>
      </c>
      <c r="D5" s="411" t="str">
        <f>+'NOTA W OTROS GASTOS OPER OK'!O6</f>
        <v>AL 30/09/2019</v>
      </c>
    </row>
    <row r="6" spans="2:4" ht="12" x14ac:dyDescent="0.25">
      <c r="B6" s="94" t="s">
        <v>320</v>
      </c>
      <c r="C6" s="234">
        <f>+C7</f>
        <v>0</v>
      </c>
      <c r="D6" s="106">
        <f>+D7</f>
        <v>0</v>
      </c>
    </row>
    <row r="7" spans="2:4" x14ac:dyDescent="0.2">
      <c r="B7" s="80" t="s">
        <v>320</v>
      </c>
      <c r="C7" s="235">
        <f>+'Estado de Resultado Resol. 6'!E77</f>
        <v>0</v>
      </c>
      <c r="D7" s="98">
        <f>+'Estado de Resultado Resol. 6'!F77</f>
        <v>0</v>
      </c>
    </row>
    <row r="8" spans="2:4" ht="12" x14ac:dyDescent="0.25">
      <c r="B8" s="94" t="s">
        <v>319</v>
      </c>
      <c r="C8" s="234">
        <f>+C9</f>
        <v>848212666</v>
      </c>
      <c r="D8" s="106"/>
    </row>
    <row r="9" spans="2:4" x14ac:dyDescent="0.2">
      <c r="B9" s="80" t="str">
        <f>+B8</f>
        <v>Otros Ingresos</v>
      </c>
      <c r="C9" s="235">
        <f>+'Estado de Resultado Resol. 6'!E76</f>
        <v>848212666</v>
      </c>
      <c r="D9" s="98">
        <v>0</v>
      </c>
    </row>
    <row r="10" spans="2:4" ht="12" x14ac:dyDescent="0.25">
      <c r="B10" s="94" t="s">
        <v>777</v>
      </c>
      <c r="C10" s="234">
        <f>+C8</f>
        <v>848212666</v>
      </c>
      <c r="D10" s="106">
        <v>0</v>
      </c>
    </row>
  </sheetData>
  <hyperlinks>
    <hyperlink ref="B1" location="'Estado de Resultado Resol. 1'!A1" display="'Estado de Resultado Resol. 1'!A1" xr:uid="{00000000-0004-0000-1600-000000000000}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B1:D13"/>
  <sheetViews>
    <sheetView showGridLines="0" zoomScale="115" zoomScaleNormal="115" workbookViewId="0">
      <selection activeCell="B5" sqref="B5:D13"/>
    </sheetView>
  </sheetViews>
  <sheetFormatPr baseColWidth="10" defaultColWidth="11.44140625" defaultRowHeight="11.4" x14ac:dyDescent="0.2"/>
  <cols>
    <col min="1" max="1" width="17.6640625" style="65" customWidth="1"/>
    <col min="2" max="2" width="37.6640625" style="65" bestFit="1" customWidth="1"/>
    <col min="3" max="4" width="14.33203125" style="65" bestFit="1" customWidth="1"/>
    <col min="5" max="16384" width="11.44140625" style="65"/>
  </cols>
  <sheetData>
    <row r="1" spans="2:4" x14ac:dyDescent="0.2">
      <c r="B1" s="73" t="s">
        <v>22</v>
      </c>
    </row>
    <row r="3" spans="2:4" ht="12" x14ac:dyDescent="0.2">
      <c r="B3" s="149" t="s">
        <v>810</v>
      </c>
    </row>
    <row r="5" spans="2:4" ht="12" x14ac:dyDescent="0.25">
      <c r="B5" s="411" t="s">
        <v>476</v>
      </c>
      <c r="C5" s="411" t="str">
        <f>+'NOTA X OTROS INGRESOS Y EGR OK'!C5</f>
        <v>AL 30/09/2020</v>
      </c>
      <c r="D5" s="411" t="str">
        <f>+'NOTA X OTROS INGRESOS Y EGR OK'!D5</f>
        <v>AL 30/09/2019</v>
      </c>
    </row>
    <row r="6" spans="2:4" ht="12" x14ac:dyDescent="0.25">
      <c r="B6" s="94" t="s">
        <v>811</v>
      </c>
      <c r="C6" s="98"/>
      <c r="D6" s="98"/>
    </row>
    <row r="7" spans="2:4" x14ac:dyDescent="0.2">
      <c r="B7" s="80" t="s">
        <v>812</v>
      </c>
      <c r="C7" s="98">
        <f>+'Estado de Resultado Resol. 6'!E82</f>
        <v>1062238869</v>
      </c>
      <c r="D7" s="98">
        <f>+'Estado de Resultado Resol. 6'!F82</f>
        <v>491000</v>
      </c>
    </row>
    <row r="8" spans="2:4" x14ac:dyDescent="0.2">
      <c r="B8" s="80" t="s">
        <v>324</v>
      </c>
      <c r="C8" s="98">
        <f>+'Estado de Resultado Resol. 6'!E83</f>
        <v>1783262992</v>
      </c>
      <c r="D8" s="98">
        <f>+'Estado de Resultado Resol. 6'!F83</f>
        <v>3107271228</v>
      </c>
    </row>
    <row r="9" spans="2:4" ht="12" x14ac:dyDescent="0.25">
      <c r="B9" s="94" t="s">
        <v>777</v>
      </c>
      <c r="C9" s="106">
        <f>SUM(C7:C8)</f>
        <v>2845501861</v>
      </c>
      <c r="D9" s="106">
        <f>SUM(D7:D8)</f>
        <v>3107762228</v>
      </c>
    </row>
    <row r="10" spans="2:4" ht="12" x14ac:dyDescent="0.25">
      <c r="B10" s="94" t="s">
        <v>813</v>
      </c>
      <c r="C10" s="98"/>
      <c r="D10" s="98"/>
    </row>
    <row r="11" spans="2:4" x14ac:dyDescent="0.2">
      <c r="B11" s="80" t="s">
        <v>814</v>
      </c>
      <c r="C11" s="141">
        <f>+'Estado de Resultado Resol. 6'!E85</f>
        <v>484504018</v>
      </c>
      <c r="D11" s="141">
        <f>+'Estado de Resultado Resol. 6'!F85</f>
        <v>2305937616</v>
      </c>
    </row>
    <row r="12" spans="2:4" x14ac:dyDescent="0.2">
      <c r="B12" s="80" t="s">
        <v>324</v>
      </c>
      <c r="C12" s="141">
        <f>+'Estado de Resultado Resol. 6'!E86</f>
        <v>417006509</v>
      </c>
      <c r="D12" s="141">
        <f>+'Estado de Resultado Resol. 6'!F86</f>
        <v>311507467</v>
      </c>
    </row>
    <row r="13" spans="2:4" ht="12" x14ac:dyDescent="0.25">
      <c r="B13" s="94" t="s">
        <v>777</v>
      </c>
      <c r="C13" s="232">
        <f>SUM(C11:C12)</f>
        <v>901510527</v>
      </c>
      <c r="D13" s="106">
        <f>SUM(D11:D12)</f>
        <v>2617445083</v>
      </c>
    </row>
  </sheetData>
  <hyperlinks>
    <hyperlink ref="B1" location="'Estado de Resultado Resol. 1'!A1" display="'Estado de Resultado Resol. 1'!A1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/>
  </sheetPr>
  <dimension ref="B1:D11"/>
  <sheetViews>
    <sheetView showGridLines="0" zoomScaleNormal="100" workbookViewId="0">
      <selection activeCell="B5" sqref="B5:D11"/>
    </sheetView>
  </sheetViews>
  <sheetFormatPr baseColWidth="10" defaultColWidth="11.44140625" defaultRowHeight="11.4" x14ac:dyDescent="0.2"/>
  <cols>
    <col min="1" max="1" width="23.88671875" style="65" customWidth="1"/>
    <col min="2" max="2" width="37.6640625" style="65" bestFit="1" customWidth="1"/>
    <col min="3" max="3" width="13.6640625" style="65" bestFit="1" customWidth="1"/>
    <col min="4" max="4" width="13.33203125" style="65" bestFit="1" customWidth="1"/>
    <col min="5" max="16384" width="11.44140625" style="65"/>
  </cols>
  <sheetData>
    <row r="1" spans="2:4" x14ac:dyDescent="0.2">
      <c r="B1" s="73" t="s">
        <v>22</v>
      </c>
    </row>
    <row r="3" spans="2:4" ht="12" x14ac:dyDescent="0.25">
      <c r="B3" s="65" t="s">
        <v>815</v>
      </c>
    </row>
    <row r="5" spans="2:4" ht="12" x14ac:dyDescent="0.25">
      <c r="B5" s="411" t="s">
        <v>476</v>
      </c>
      <c r="C5" s="411" t="str">
        <f>+'NOTA Y RESULTADOS FINANC OK'!C5</f>
        <v>AL 30/09/2020</v>
      </c>
      <c r="D5" s="411" t="str">
        <f>+'NOTA Y RESULTADOS FINANC OK'!D5</f>
        <v>AL 30/09/2019</v>
      </c>
    </row>
    <row r="6" spans="2:4" ht="12" x14ac:dyDescent="0.25">
      <c r="B6" s="94" t="s">
        <v>816</v>
      </c>
      <c r="C6" s="94"/>
      <c r="D6" s="94"/>
    </row>
    <row r="7" spans="2:4" x14ac:dyDescent="0.2">
      <c r="B7" s="80" t="s">
        <v>817</v>
      </c>
      <c r="C7" s="236">
        <v>0</v>
      </c>
      <c r="D7" s="235">
        <v>0</v>
      </c>
    </row>
    <row r="8" spans="2:4" ht="12" x14ac:dyDescent="0.25">
      <c r="B8" s="94" t="s">
        <v>777</v>
      </c>
      <c r="C8" s="237">
        <f>SUM(C7)</f>
        <v>0</v>
      </c>
      <c r="D8" s="237">
        <f>SUM(D7)</f>
        <v>0</v>
      </c>
    </row>
    <row r="9" spans="2:4" ht="12" x14ac:dyDescent="0.25">
      <c r="B9" s="94" t="s">
        <v>818</v>
      </c>
      <c r="C9" s="94"/>
      <c r="D9" s="94"/>
    </row>
    <row r="10" spans="2:4" x14ac:dyDescent="0.2">
      <c r="B10" s="80" t="s">
        <v>819</v>
      </c>
      <c r="C10" s="236">
        <v>0</v>
      </c>
      <c r="D10" s="236">
        <v>0</v>
      </c>
    </row>
    <row r="11" spans="2:4" ht="12" x14ac:dyDescent="0.25">
      <c r="B11" s="94" t="s">
        <v>777</v>
      </c>
      <c r="C11" s="237">
        <f>SUM(C10)</f>
        <v>0</v>
      </c>
      <c r="D11" s="237">
        <f>SUM(D10)</f>
        <v>0</v>
      </c>
    </row>
  </sheetData>
  <hyperlinks>
    <hyperlink ref="B1" location="'Estado de Resultado Resol. 1'!A1" display="'Estado de Resultado Resol. 1'!A1" xr:uid="{00000000-0004-0000-1800-000000000000}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C1:C20"/>
  <sheetViews>
    <sheetView showGridLines="0" topLeftCell="B1" zoomScale="138" zoomScaleNormal="100" workbookViewId="0">
      <selection activeCell="B1" sqref="B1"/>
    </sheetView>
  </sheetViews>
  <sheetFormatPr baseColWidth="10" defaultColWidth="9.109375" defaultRowHeight="14.4" x14ac:dyDescent="0.3"/>
  <cols>
    <col min="1" max="2" width="11.44140625" customWidth="1"/>
    <col min="3" max="3" width="93.109375" style="14" customWidth="1"/>
    <col min="4" max="256" width="11.44140625" customWidth="1"/>
  </cols>
  <sheetData>
    <row r="1" spans="3:3" x14ac:dyDescent="0.3">
      <c r="C1" s="35" t="s">
        <v>19</v>
      </c>
    </row>
    <row r="3" spans="3:3" x14ac:dyDescent="0.3">
      <c r="C3" s="10" t="s">
        <v>820</v>
      </c>
    </row>
    <row r="4" spans="3:3" x14ac:dyDescent="0.3">
      <c r="C4" s="7" t="s">
        <v>821</v>
      </c>
    </row>
    <row r="5" spans="3:3" x14ac:dyDescent="0.3">
      <c r="C5" s="11" t="s">
        <v>822</v>
      </c>
    </row>
    <row r="6" spans="3:3" x14ac:dyDescent="0.3">
      <c r="C6" s="7" t="s">
        <v>823</v>
      </c>
    </row>
    <row r="7" spans="3:3" x14ac:dyDescent="0.3">
      <c r="C7" s="11" t="s">
        <v>822</v>
      </c>
    </row>
    <row r="8" spans="3:3" x14ac:dyDescent="0.3">
      <c r="C8" s="7" t="s">
        <v>824</v>
      </c>
    </row>
    <row r="9" spans="3:3" ht="54.75" customHeight="1" x14ac:dyDescent="0.3">
      <c r="C9" s="49" t="s">
        <v>825</v>
      </c>
    </row>
    <row r="10" spans="3:3" x14ac:dyDescent="0.3">
      <c r="C10" s="7" t="s">
        <v>826</v>
      </c>
    </row>
    <row r="11" spans="3:3" x14ac:dyDescent="0.3">
      <c r="C11" s="11" t="s">
        <v>827</v>
      </c>
    </row>
    <row r="12" spans="3:3" x14ac:dyDescent="0.3">
      <c r="C12" s="7" t="s">
        <v>828</v>
      </c>
    </row>
    <row r="13" spans="3:3" x14ac:dyDescent="0.3">
      <c r="C13" s="11" t="s">
        <v>829</v>
      </c>
    </row>
    <row r="14" spans="3:3" x14ac:dyDescent="0.3">
      <c r="C14" s="7" t="s">
        <v>830</v>
      </c>
    </row>
    <row r="15" spans="3:3" x14ac:dyDescent="0.3">
      <c r="C15" s="11" t="s">
        <v>829</v>
      </c>
    </row>
    <row r="16" spans="3:3" x14ac:dyDescent="0.3">
      <c r="C16" s="7" t="s">
        <v>831</v>
      </c>
    </row>
    <row r="17" spans="3:3" x14ac:dyDescent="0.3">
      <c r="C17" s="11" t="s">
        <v>829</v>
      </c>
    </row>
    <row r="18" spans="3:3" x14ac:dyDescent="0.3">
      <c r="C18" s="11"/>
    </row>
    <row r="19" spans="3:3" x14ac:dyDescent="0.3">
      <c r="C19" s="7" t="s">
        <v>832</v>
      </c>
    </row>
    <row r="20" spans="3:3" x14ac:dyDescent="0.3">
      <c r="C20" s="11" t="s">
        <v>833</v>
      </c>
    </row>
  </sheetData>
  <hyperlinks>
    <hyperlink ref="C1" location="'Balance Gral. Resol. 1'!A1" display="'Balance Gral. Resol. 1'!A1" xr:uid="{00000000-0004-0000-19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C3:J101"/>
  <sheetViews>
    <sheetView showGridLines="0" topLeftCell="A79" zoomScale="156" zoomScaleNormal="130" workbookViewId="0">
      <selection activeCell="C10" sqref="C10:F73"/>
    </sheetView>
  </sheetViews>
  <sheetFormatPr baseColWidth="10" defaultColWidth="11.44140625" defaultRowHeight="10.199999999999999" x14ac:dyDescent="0.2"/>
  <cols>
    <col min="1" max="2" width="11.44140625" style="1"/>
    <col min="3" max="3" width="43.44140625" style="1" customWidth="1"/>
    <col min="4" max="4" width="0.33203125" style="1" customWidth="1"/>
    <col min="5" max="6" width="11.88671875" style="1" customWidth="1"/>
    <col min="7" max="7" width="14.33203125" style="1" bestFit="1" customWidth="1"/>
    <col min="8" max="8" width="13.88671875" style="4" bestFit="1" customWidth="1"/>
    <col min="9" max="9" width="12.33203125" style="1" bestFit="1" customWidth="1"/>
    <col min="10" max="16384" width="11.44140625" style="1"/>
  </cols>
  <sheetData>
    <row r="3" spans="3:6" ht="15" customHeight="1" x14ac:dyDescent="0.2">
      <c r="C3" s="455"/>
      <c r="D3" s="455"/>
      <c r="E3" s="455"/>
      <c r="F3" s="455"/>
    </row>
    <row r="4" spans="3:6" ht="15" customHeight="1" x14ac:dyDescent="0.2">
      <c r="C4" s="455"/>
      <c r="D4" s="455"/>
      <c r="E4" s="455"/>
      <c r="F4" s="455"/>
    </row>
    <row r="5" spans="3:6" ht="9.75" customHeight="1" x14ac:dyDescent="0.2">
      <c r="C5" s="452" t="s">
        <v>0</v>
      </c>
      <c r="D5" s="452"/>
      <c r="E5" s="452"/>
      <c r="F5" s="452"/>
    </row>
    <row r="6" spans="3:6" ht="11.4" x14ac:dyDescent="0.2">
      <c r="C6" s="452" t="s">
        <v>262</v>
      </c>
      <c r="D6" s="452"/>
      <c r="E6" s="452"/>
      <c r="F6" s="452"/>
    </row>
    <row r="7" spans="3:6" ht="26.25" customHeight="1" x14ac:dyDescent="0.2">
      <c r="C7" s="456" t="s">
        <v>263</v>
      </c>
      <c r="D7" s="456"/>
      <c r="E7" s="456"/>
      <c r="F7" s="456"/>
    </row>
    <row r="8" spans="3:6" x14ac:dyDescent="0.2">
      <c r="C8" s="453" t="s">
        <v>264</v>
      </c>
      <c r="D8" s="453"/>
      <c r="E8" s="453"/>
      <c r="F8" s="453"/>
    </row>
    <row r="9" spans="3:6" ht="10.8" thickBot="1" x14ac:dyDescent="0.25">
      <c r="C9" s="454"/>
      <c r="D9" s="454"/>
      <c r="E9" s="454"/>
      <c r="F9" s="454"/>
    </row>
    <row r="10" spans="3:6" ht="19.8" thickBot="1" x14ac:dyDescent="0.25">
      <c r="C10" s="295"/>
      <c r="D10" s="296"/>
      <c r="E10" s="297" t="s">
        <v>265</v>
      </c>
      <c r="F10" s="298" t="s">
        <v>266</v>
      </c>
    </row>
    <row r="11" spans="3:6" x14ac:dyDescent="0.2">
      <c r="C11" s="299" t="s">
        <v>267</v>
      </c>
      <c r="D11" s="300"/>
      <c r="E11" s="301"/>
      <c r="F11" s="302"/>
    </row>
    <row r="12" spans="3:6" ht="9.75" customHeight="1" x14ac:dyDescent="0.2">
      <c r="C12" s="303" t="s">
        <v>268</v>
      </c>
      <c r="D12" s="304"/>
      <c r="E12" s="305">
        <v>152621382</v>
      </c>
      <c r="F12" s="306">
        <v>1128600814</v>
      </c>
    </row>
    <row r="13" spans="3:6" ht="9.75" customHeight="1" x14ac:dyDescent="0.2">
      <c r="C13" s="307" t="s">
        <v>269</v>
      </c>
      <c r="D13" s="304"/>
      <c r="E13" s="308">
        <v>30698389</v>
      </c>
      <c r="F13" s="309">
        <v>16752830</v>
      </c>
    </row>
    <row r="14" spans="3:6" ht="9.75" customHeight="1" x14ac:dyDescent="0.2">
      <c r="C14" s="307" t="s">
        <v>270</v>
      </c>
      <c r="D14" s="304"/>
      <c r="E14" s="308">
        <v>121922993</v>
      </c>
      <c r="F14" s="309">
        <v>1111847984</v>
      </c>
    </row>
    <row r="15" spans="3:6" ht="9.75" customHeight="1" x14ac:dyDescent="0.2">
      <c r="C15" s="307"/>
      <c r="D15" s="304"/>
      <c r="E15" s="308"/>
      <c r="F15" s="309"/>
    </row>
    <row r="16" spans="3:6" ht="9.75" customHeight="1" x14ac:dyDescent="0.2">
      <c r="C16" s="303" t="s">
        <v>271</v>
      </c>
      <c r="D16" s="304"/>
      <c r="E16" s="308"/>
      <c r="F16" s="309"/>
    </row>
    <row r="17" spans="3:9" ht="9.75" customHeight="1" x14ac:dyDescent="0.2">
      <c r="C17" s="307" t="s">
        <v>272</v>
      </c>
      <c r="D17" s="304"/>
      <c r="E17" s="308">
        <v>0</v>
      </c>
      <c r="F17" s="309">
        <v>0</v>
      </c>
    </row>
    <row r="18" spans="3:9" ht="9.75" customHeight="1" x14ac:dyDescent="0.2">
      <c r="C18" s="307" t="s">
        <v>273</v>
      </c>
      <c r="D18" s="304"/>
      <c r="E18" s="308">
        <v>0</v>
      </c>
      <c r="F18" s="309">
        <v>0</v>
      </c>
    </row>
    <row r="19" spans="3:9" ht="9.75" customHeight="1" x14ac:dyDescent="0.2">
      <c r="C19" s="307"/>
      <c r="D19" s="304"/>
      <c r="E19" s="308"/>
      <c r="F19" s="309"/>
    </row>
    <row r="20" spans="3:9" ht="9.75" customHeight="1" x14ac:dyDescent="0.2">
      <c r="C20" s="303" t="s">
        <v>274</v>
      </c>
      <c r="D20" s="304"/>
      <c r="E20" s="308"/>
      <c r="F20" s="309"/>
    </row>
    <row r="21" spans="3:9" ht="9.75" customHeight="1" x14ac:dyDescent="0.2">
      <c r="C21" s="307" t="s">
        <v>275</v>
      </c>
      <c r="D21" s="304"/>
      <c r="E21" s="308">
        <v>0</v>
      </c>
      <c r="F21" s="309">
        <v>0</v>
      </c>
    </row>
    <row r="22" spans="3:9" ht="9.75" customHeight="1" x14ac:dyDescent="0.2">
      <c r="C22" s="307" t="s">
        <v>276</v>
      </c>
      <c r="D22" s="304"/>
      <c r="E22" s="308">
        <v>0</v>
      </c>
      <c r="F22" s="309">
        <v>0</v>
      </c>
    </row>
    <row r="23" spans="3:9" ht="9.75" customHeight="1" x14ac:dyDescent="0.2">
      <c r="C23" s="307"/>
      <c r="D23" s="304"/>
      <c r="E23" s="308"/>
      <c r="F23" s="309"/>
    </row>
    <row r="24" spans="3:9" ht="9.75" customHeight="1" x14ac:dyDescent="0.2">
      <c r="C24" s="303" t="s">
        <v>841</v>
      </c>
      <c r="D24" s="304"/>
      <c r="E24" s="308">
        <v>0</v>
      </c>
      <c r="F24" s="309">
        <v>0</v>
      </c>
    </row>
    <row r="25" spans="3:9" ht="9.75" customHeight="1" x14ac:dyDescent="0.2">
      <c r="C25" s="303" t="s">
        <v>842</v>
      </c>
      <c r="D25" s="304"/>
      <c r="E25" s="308">
        <v>0</v>
      </c>
      <c r="F25" s="309">
        <v>0</v>
      </c>
    </row>
    <row r="26" spans="3:9" ht="9.75" customHeight="1" x14ac:dyDescent="0.2">
      <c r="C26" s="303" t="s">
        <v>277</v>
      </c>
      <c r="D26" s="304"/>
      <c r="E26" s="305">
        <v>1796856356</v>
      </c>
      <c r="F26" s="306">
        <v>2357101824</v>
      </c>
    </row>
    <row r="27" spans="3:9" ht="9.75" customHeight="1" x14ac:dyDescent="0.2">
      <c r="C27" s="303" t="s">
        <v>278</v>
      </c>
      <c r="D27" s="304"/>
      <c r="E27" s="305"/>
      <c r="F27" s="306">
        <v>191106582</v>
      </c>
    </row>
    <row r="28" spans="3:9" ht="9.75" customHeight="1" x14ac:dyDescent="0.2">
      <c r="C28" s="303" t="s">
        <v>279</v>
      </c>
      <c r="D28" s="304"/>
      <c r="E28" s="305">
        <v>6310383839</v>
      </c>
      <c r="F28" s="306">
        <v>3000689805</v>
      </c>
      <c r="G28" s="60"/>
      <c r="I28" s="60"/>
    </row>
    <row r="29" spans="3:9" ht="9.75" customHeight="1" x14ac:dyDescent="0.2">
      <c r="C29" s="303" t="s">
        <v>280</v>
      </c>
      <c r="D29" s="304"/>
      <c r="E29" s="308">
        <v>0</v>
      </c>
      <c r="F29" s="309">
        <v>0</v>
      </c>
    </row>
    <row r="30" spans="3:9" ht="9.75" customHeight="1" x14ac:dyDescent="0.2">
      <c r="C30" s="303" t="s">
        <v>281</v>
      </c>
      <c r="D30" s="304"/>
      <c r="E30" s="308">
        <v>0</v>
      </c>
      <c r="F30" s="309">
        <v>0</v>
      </c>
    </row>
    <row r="31" spans="3:9" ht="9.75" customHeight="1" x14ac:dyDescent="0.2">
      <c r="C31" s="307"/>
      <c r="D31" s="294"/>
      <c r="E31" s="308"/>
      <c r="F31" s="309"/>
      <c r="G31" s="4"/>
    </row>
    <row r="32" spans="3:9" ht="9.75" customHeight="1" x14ac:dyDescent="0.2">
      <c r="C32" s="303" t="s">
        <v>843</v>
      </c>
      <c r="D32" s="304"/>
      <c r="E32" s="308">
        <v>0</v>
      </c>
      <c r="F32" s="309">
        <v>0</v>
      </c>
      <c r="I32" s="4"/>
    </row>
    <row r="33" spans="3:10" ht="9.75" customHeight="1" x14ac:dyDescent="0.2">
      <c r="C33" s="303"/>
      <c r="D33" s="304"/>
      <c r="E33" s="308"/>
      <c r="F33" s="309"/>
      <c r="I33" s="4"/>
    </row>
    <row r="34" spans="3:10" ht="9.75" customHeight="1" x14ac:dyDescent="0.2">
      <c r="C34" s="303" t="s">
        <v>282</v>
      </c>
      <c r="D34" s="304"/>
      <c r="E34" s="305">
        <v>349128483</v>
      </c>
      <c r="F34" s="306">
        <v>587006319</v>
      </c>
    </row>
    <row r="35" spans="3:10" ht="9.75" customHeight="1" x14ac:dyDescent="0.2">
      <c r="C35" s="307" t="s">
        <v>283</v>
      </c>
      <c r="D35" s="304"/>
      <c r="E35" s="305">
        <v>0</v>
      </c>
      <c r="F35" s="306">
        <v>0</v>
      </c>
    </row>
    <row r="36" spans="3:10" ht="9.75" customHeight="1" x14ac:dyDescent="0.2">
      <c r="C36" s="310" t="s">
        <v>284</v>
      </c>
      <c r="D36" s="311"/>
      <c r="E36" s="308">
        <v>150385000</v>
      </c>
      <c r="F36" s="309">
        <v>84371598</v>
      </c>
    </row>
    <row r="37" spans="3:10" ht="9.75" customHeight="1" x14ac:dyDescent="0.2">
      <c r="C37" s="310" t="s">
        <v>285</v>
      </c>
      <c r="D37" s="311"/>
      <c r="E37" s="308">
        <v>198743483</v>
      </c>
      <c r="F37" s="309">
        <v>502634721</v>
      </c>
    </row>
    <row r="38" spans="3:10" ht="15.9" customHeight="1" x14ac:dyDescent="0.2">
      <c r="C38" s="307"/>
      <c r="D38" s="311"/>
      <c r="E38" s="308"/>
      <c r="F38" s="309"/>
    </row>
    <row r="39" spans="3:10" ht="9.75" customHeight="1" x14ac:dyDescent="0.2">
      <c r="C39" s="303" t="s">
        <v>286</v>
      </c>
      <c r="D39" s="311"/>
      <c r="E39" s="305">
        <v>984254211</v>
      </c>
      <c r="F39" s="306">
        <v>824226686</v>
      </c>
    </row>
    <row r="40" spans="3:10" ht="9.75" customHeight="1" x14ac:dyDescent="0.2">
      <c r="C40" s="307" t="s">
        <v>287</v>
      </c>
      <c r="D40" s="311"/>
      <c r="E40" s="308">
        <v>597671553</v>
      </c>
      <c r="F40" s="309">
        <v>360942772</v>
      </c>
    </row>
    <row r="41" spans="3:10" ht="9.75" customHeight="1" x14ac:dyDescent="0.2">
      <c r="C41" s="307" t="s">
        <v>288</v>
      </c>
      <c r="D41" s="311"/>
      <c r="E41" s="308">
        <v>386582658</v>
      </c>
      <c r="F41" s="309">
        <v>463283914</v>
      </c>
    </row>
    <row r="42" spans="3:10" ht="9.75" customHeight="1" x14ac:dyDescent="0.2">
      <c r="C42" s="307" t="s">
        <v>289</v>
      </c>
      <c r="D42" s="311"/>
      <c r="E42" s="308">
        <v>0</v>
      </c>
      <c r="F42" s="309">
        <v>0</v>
      </c>
    </row>
    <row r="43" spans="3:10" ht="9.75" customHeight="1" x14ac:dyDescent="0.2">
      <c r="C43" s="312"/>
      <c r="D43" s="313"/>
      <c r="E43" s="314"/>
      <c r="F43" s="315"/>
    </row>
    <row r="44" spans="3:10" ht="9.75" customHeight="1" x14ac:dyDescent="0.2">
      <c r="C44" s="316" t="s">
        <v>290</v>
      </c>
      <c r="D44" s="317"/>
      <c r="E44" s="318">
        <v>7624735849</v>
      </c>
      <c r="F44" s="319">
        <v>6440278658</v>
      </c>
    </row>
    <row r="45" spans="3:10" ht="9.75" customHeight="1" x14ac:dyDescent="0.2">
      <c r="C45" s="307"/>
      <c r="D45" s="311"/>
      <c r="E45" s="308"/>
      <c r="F45" s="309"/>
      <c r="G45" s="6"/>
      <c r="I45" s="60"/>
      <c r="J45" s="62"/>
    </row>
    <row r="46" spans="3:10" ht="9.75" customHeight="1" x14ac:dyDescent="0.2">
      <c r="C46" s="320" t="s">
        <v>291</v>
      </c>
      <c r="D46" s="304"/>
      <c r="E46" s="305">
        <v>7728345</v>
      </c>
      <c r="F46" s="306">
        <v>49131982</v>
      </c>
      <c r="G46" s="60"/>
    </row>
    <row r="47" spans="3:10" ht="9.75" customHeight="1" x14ac:dyDescent="0.2">
      <c r="C47" s="310" t="s">
        <v>292</v>
      </c>
      <c r="D47" s="304"/>
      <c r="E47" s="308">
        <v>7728345</v>
      </c>
      <c r="F47" s="309">
        <v>49131982</v>
      </c>
      <c r="G47" s="60"/>
    </row>
    <row r="48" spans="3:10" ht="9.75" customHeight="1" x14ac:dyDescent="0.2">
      <c r="C48" s="310" t="s">
        <v>293</v>
      </c>
      <c r="D48" s="304"/>
      <c r="E48" s="308">
        <v>0</v>
      </c>
      <c r="F48" s="309">
        <v>0</v>
      </c>
      <c r="G48" s="60"/>
    </row>
    <row r="49" spans="3:7" ht="9.75" customHeight="1" x14ac:dyDescent="0.2">
      <c r="C49" s="310" t="s">
        <v>294</v>
      </c>
      <c r="D49" s="304"/>
      <c r="E49" s="308">
        <v>0</v>
      </c>
      <c r="F49" s="309">
        <v>0</v>
      </c>
      <c r="G49" s="60"/>
    </row>
    <row r="50" spans="3:7" ht="9.75" customHeight="1" x14ac:dyDescent="0.2">
      <c r="C50" s="310"/>
      <c r="D50" s="311"/>
      <c r="E50" s="308"/>
      <c r="F50" s="309"/>
      <c r="G50" s="60"/>
    </row>
    <row r="51" spans="3:7" ht="9.75" customHeight="1" x14ac:dyDescent="0.2">
      <c r="C51" s="320" t="s">
        <v>295</v>
      </c>
      <c r="D51" s="311"/>
      <c r="E51" s="305">
        <v>3577348252</v>
      </c>
      <c r="F51" s="306">
        <v>3324387841</v>
      </c>
      <c r="G51" s="6"/>
    </row>
    <row r="52" spans="3:7" ht="9.75" customHeight="1" x14ac:dyDescent="0.2">
      <c r="C52" s="310" t="s">
        <v>296</v>
      </c>
      <c r="D52" s="311"/>
      <c r="E52" s="308">
        <v>1388915877</v>
      </c>
      <c r="F52" s="309">
        <v>997331607</v>
      </c>
      <c r="G52" s="6"/>
    </row>
    <row r="53" spans="3:7" ht="9.75" customHeight="1" x14ac:dyDescent="0.2">
      <c r="C53" s="310" t="s">
        <v>297</v>
      </c>
      <c r="D53" s="311"/>
      <c r="E53" s="308">
        <v>229171120</v>
      </c>
      <c r="F53" s="309">
        <v>171796043</v>
      </c>
      <c r="G53" s="6"/>
    </row>
    <row r="54" spans="3:7" ht="9.75" customHeight="1" x14ac:dyDescent="0.2">
      <c r="C54" s="310" t="s">
        <v>298</v>
      </c>
      <c r="D54" s="311"/>
      <c r="E54" s="308">
        <v>1648730</v>
      </c>
      <c r="F54" s="309">
        <v>90902317</v>
      </c>
      <c r="G54" s="6"/>
    </row>
    <row r="55" spans="3:7" ht="9.75" customHeight="1" x14ac:dyDescent="0.2">
      <c r="C55" s="310" t="s">
        <v>299</v>
      </c>
      <c r="D55" s="311"/>
      <c r="E55" s="308">
        <v>6359236</v>
      </c>
      <c r="F55" s="309">
        <v>5154439</v>
      </c>
      <c r="G55" s="6"/>
    </row>
    <row r="56" spans="3:7" ht="9.75" customHeight="1" x14ac:dyDescent="0.2">
      <c r="C56" s="310" t="s">
        <v>300</v>
      </c>
      <c r="D56" s="311"/>
      <c r="E56" s="308">
        <v>0</v>
      </c>
      <c r="F56" s="309">
        <v>2130000</v>
      </c>
      <c r="G56" s="6"/>
    </row>
    <row r="57" spans="3:7" ht="9.75" customHeight="1" x14ac:dyDescent="0.2">
      <c r="C57" s="310" t="s">
        <v>301</v>
      </c>
      <c r="D57" s="311"/>
      <c r="E57" s="308">
        <v>0</v>
      </c>
      <c r="F57" s="309">
        <v>3550000</v>
      </c>
      <c r="G57" s="6"/>
    </row>
    <row r="58" spans="3:7" ht="9.75" customHeight="1" x14ac:dyDescent="0.2">
      <c r="C58" s="310" t="s">
        <v>302</v>
      </c>
      <c r="D58" s="311"/>
      <c r="E58" s="308">
        <v>33362978</v>
      </c>
      <c r="F58" s="309">
        <v>70601635</v>
      </c>
      <c r="G58" s="6"/>
    </row>
    <row r="59" spans="3:7" ht="9.75" customHeight="1" x14ac:dyDescent="0.2">
      <c r="C59" s="310" t="s">
        <v>303</v>
      </c>
      <c r="D59" s="311"/>
      <c r="E59" s="308">
        <v>0</v>
      </c>
      <c r="F59" s="309">
        <v>0</v>
      </c>
      <c r="G59" s="6"/>
    </row>
    <row r="60" spans="3:7" ht="9.75" customHeight="1" x14ac:dyDescent="0.2">
      <c r="C60" s="310" t="s">
        <v>304</v>
      </c>
      <c r="D60" s="311"/>
      <c r="E60" s="308">
        <v>0</v>
      </c>
      <c r="F60" s="309">
        <v>2038056</v>
      </c>
      <c r="G60" s="6"/>
    </row>
    <row r="61" spans="3:7" ht="9.75" customHeight="1" x14ac:dyDescent="0.2">
      <c r="C61" s="310" t="s">
        <v>305</v>
      </c>
      <c r="D61" s="311"/>
      <c r="E61" s="308">
        <v>28696029</v>
      </c>
      <c r="F61" s="309">
        <v>22258299</v>
      </c>
      <c r="G61" s="6"/>
    </row>
    <row r="62" spans="3:7" ht="9.75" customHeight="1" x14ac:dyDescent="0.2">
      <c r="C62" s="310" t="s">
        <v>306</v>
      </c>
      <c r="D62" s="311"/>
      <c r="E62" s="308">
        <v>45267585</v>
      </c>
      <c r="F62" s="309">
        <v>19743940</v>
      </c>
      <c r="G62" s="6"/>
    </row>
    <row r="63" spans="3:7" ht="9.75" customHeight="1" x14ac:dyDescent="0.2">
      <c r="C63" s="310" t="s">
        <v>307</v>
      </c>
      <c r="D63" s="311"/>
      <c r="E63" s="308">
        <v>361499758</v>
      </c>
      <c r="F63" s="309">
        <v>872486047</v>
      </c>
      <c r="G63" s="6"/>
    </row>
    <row r="64" spans="3:7" ht="9.75" customHeight="1" x14ac:dyDescent="0.2">
      <c r="C64" s="310" t="s">
        <v>308</v>
      </c>
      <c r="D64" s="311"/>
      <c r="E64" s="308">
        <v>55575817</v>
      </c>
      <c r="F64" s="309">
        <v>262183886</v>
      </c>
      <c r="G64" s="6"/>
    </row>
    <row r="65" spans="3:9" ht="9.75" customHeight="1" x14ac:dyDescent="0.2">
      <c r="C65" s="310" t="s">
        <v>309</v>
      </c>
      <c r="D65" s="311"/>
      <c r="E65" s="308">
        <v>544818181</v>
      </c>
      <c r="F65" s="309">
        <v>206000000</v>
      </c>
      <c r="G65" s="6"/>
    </row>
    <row r="66" spans="3:9" ht="9.75" customHeight="1" x14ac:dyDescent="0.2">
      <c r="C66" s="310" t="s">
        <v>310</v>
      </c>
      <c r="D66" s="311"/>
      <c r="E66" s="308">
        <v>476980295</v>
      </c>
      <c r="F66" s="309">
        <v>0</v>
      </c>
      <c r="G66" s="6"/>
    </row>
    <row r="67" spans="3:9" ht="15" customHeight="1" x14ac:dyDescent="0.2">
      <c r="C67" s="310" t="s">
        <v>311</v>
      </c>
      <c r="D67" s="311"/>
      <c r="E67" s="308">
        <v>863636</v>
      </c>
      <c r="F67" s="309">
        <v>5490908</v>
      </c>
      <c r="G67" s="6"/>
    </row>
    <row r="68" spans="3:9" ht="9.75" customHeight="1" x14ac:dyDescent="0.2">
      <c r="C68" s="310" t="s">
        <v>312</v>
      </c>
      <c r="D68" s="311"/>
      <c r="E68" s="308">
        <v>404189010</v>
      </c>
      <c r="F68" s="309">
        <v>219581142</v>
      </c>
      <c r="G68" s="6"/>
    </row>
    <row r="69" spans="3:9" ht="9.75" customHeight="1" x14ac:dyDescent="0.2">
      <c r="C69" s="310" t="s">
        <v>313</v>
      </c>
      <c r="D69" s="311"/>
      <c r="E69" s="308"/>
      <c r="F69" s="309">
        <v>373139522</v>
      </c>
      <c r="G69" s="61"/>
    </row>
    <row r="70" spans="3:9" ht="9.75" customHeight="1" x14ac:dyDescent="0.2">
      <c r="C70" s="310" t="s">
        <v>314</v>
      </c>
      <c r="D70" s="311"/>
      <c r="E70" s="308">
        <v>0</v>
      </c>
      <c r="F70" s="309">
        <v>0</v>
      </c>
      <c r="G70" s="61"/>
    </row>
    <row r="71" spans="3:9" ht="9.75" customHeight="1" x14ac:dyDescent="0.2">
      <c r="C71" s="310" t="s">
        <v>315</v>
      </c>
      <c r="D71" s="311"/>
      <c r="E71" s="308">
        <v>0</v>
      </c>
      <c r="F71" s="309">
        <v>0</v>
      </c>
      <c r="G71" s="61"/>
    </row>
    <row r="72" spans="3:9" ht="9.75" customHeight="1" x14ac:dyDescent="0.2">
      <c r="C72" s="321" t="s">
        <v>316</v>
      </c>
      <c r="D72" s="313"/>
      <c r="E72" s="314">
        <v>0</v>
      </c>
      <c r="F72" s="315">
        <v>0</v>
      </c>
    </row>
    <row r="73" spans="3:9" ht="9.75" customHeight="1" x14ac:dyDescent="0.2">
      <c r="C73" s="316" t="s">
        <v>317</v>
      </c>
      <c r="D73" s="317"/>
      <c r="E73" s="318">
        <v>4039659252</v>
      </c>
      <c r="F73" s="319">
        <v>3066758835</v>
      </c>
    </row>
    <row r="74" spans="3:9" ht="9.75" customHeight="1" x14ac:dyDescent="0.2">
      <c r="C74" s="310"/>
      <c r="D74" s="311"/>
      <c r="E74" s="308"/>
      <c r="F74" s="309"/>
    </row>
    <row r="75" spans="3:9" ht="9.75" customHeight="1" x14ac:dyDescent="0.2">
      <c r="C75" s="320" t="s">
        <v>318</v>
      </c>
      <c r="D75" s="304"/>
      <c r="E75" s="305">
        <v>0</v>
      </c>
      <c r="F75" s="306">
        <v>0</v>
      </c>
    </row>
    <row r="76" spans="3:9" ht="9.75" customHeight="1" x14ac:dyDescent="0.2">
      <c r="C76" s="310" t="s">
        <v>319</v>
      </c>
      <c r="D76" s="304"/>
      <c r="E76" s="305">
        <v>848212666</v>
      </c>
      <c r="F76" s="306"/>
    </row>
    <row r="77" spans="3:9" ht="9.75" customHeight="1" x14ac:dyDescent="0.2">
      <c r="C77" s="310" t="s">
        <v>320</v>
      </c>
      <c r="D77" s="304"/>
      <c r="E77" s="305">
        <v>0</v>
      </c>
      <c r="F77" s="322"/>
    </row>
    <row r="78" spans="3:9" ht="9.75" customHeight="1" x14ac:dyDescent="0.2">
      <c r="C78" s="320"/>
      <c r="D78" s="311"/>
      <c r="E78" s="308"/>
      <c r="F78" s="309"/>
    </row>
    <row r="79" spans="3:9" ht="9.75" customHeight="1" x14ac:dyDescent="0.2">
      <c r="C79" s="320" t="s">
        <v>321</v>
      </c>
      <c r="D79" s="311"/>
      <c r="E79" s="305">
        <v>1943991334</v>
      </c>
      <c r="F79" s="306">
        <v>-1744331355</v>
      </c>
      <c r="G79" s="63"/>
      <c r="H79" s="64"/>
      <c r="I79" s="64"/>
    </row>
    <row r="80" spans="3:9" ht="9.75" customHeight="1" x14ac:dyDescent="0.2">
      <c r="C80" s="320"/>
      <c r="D80" s="311"/>
      <c r="E80" s="305"/>
      <c r="F80" s="306"/>
    </row>
    <row r="81" spans="3:7" ht="9.75" customHeight="1" x14ac:dyDescent="0.2">
      <c r="C81" s="320" t="s">
        <v>322</v>
      </c>
      <c r="D81" s="311"/>
      <c r="E81" s="305">
        <v>2845501861</v>
      </c>
      <c r="F81" s="306">
        <v>3107762228</v>
      </c>
      <c r="G81" s="60"/>
    </row>
    <row r="82" spans="3:7" ht="9.75" customHeight="1" x14ac:dyDescent="0.2">
      <c r="C82" s="310" t="s">
        <v>323</v>
      </c>
      <c r="D82" s="311"/>
      <c r="E82" s="308">
        <v>1062238869</v>
      </c>
      <c r="F82" s="309">
        <v>491000</v>
      </c>
      <c r="G82" s="60"/>
    </row>
    <row r="83" spans="3:7" ht="9.75" customHeight="1" x14ac:dyDescent="0.2">
      <c r="C83" s="310" t="s">
        <v>324</v>
      </c>
      <c r="D83" s="311"/>
      <c r="E83" s="308">
        <v>1783262992</v>
      </c>
      <c r="F83" s="309">
        <v>3107271228</v>
      </c>
      <c r="G83" s="60"/>
    </row>
    <row r="84" spans="3:7" ht="9.75" customHeight="1" x14ac:dyDescent="0.2">
      <c r="C84" s="320" t="s">
        <v>325</v>
      </c>
      <c r="D84" s="311"/>
      <c r="E84" s="305">
        <v>-901510527</v>
      </c>
      <c r="F84" s="306">
        <v>-2617445083</v>
      </c>
    </row>
    <row r="85" spans="3:7" ht="9.75" customHeight="1" x14ac:dyDescent="0.2">
      <c r="C85" s="310" t="s">
        <v>326</v>
      </c>
      <c r="D85" s="311"/>
      <c r="E85" s="308">
        <v>484504018</v>
      </c>
      <c r="F85" s="309">
        <v>2305937616</v>
      </c>
    </row>
    <row r="86" spans="3:7" ht="9.75" customHeight="1" x14ac:dyDescent="0.2">
      <c r="C86" s="310" t="s">
        <v>324</v>
      </c>
      <c r="D86" s="311"/>
      <c r="E86" s="308">
        <v>417006509</v>
      </c>
      <c r="F86" s="309">
        <v>311507467</v>
      </c>
    </row>
    <row r="87" spans="3:7" ht="9.75" customHeight="1" x14ac:dyDescent="0.2">
      <c r="C87" s="310"/>
      <c r="D87" s="311"/>
      <c r="E87" s="308"/>
      <c r="F87" s="309"/>
    </row>
    <row r="88" spans="3:7" ht="9.75" customHeight="1" x14ac:dyDescent="0.2">
      <c r="C88" s="303" t="s">
        <v>327</v>
      </c>
      <c r="D88" s="304"/>
      <c r="E88" s="305">
        <v>0</v>
      </c>
      <c r="F88" s="306">
        <v>0</v>
      </c>
    </row>
    <row r="89" spans="3:7" ht="9.75" customHeight="1" x14ac:dyDescent="0.2">
      <c r="C89" s="307" t="s">
        <v>328</v>
      </c>
      <c r="D89" s="311"/>
      <c r="E89" s="308">
        <v>0</v>
      </c>
      <c r="F89" s="309">
        <v>0</v>
      </c>
    </row>
    <row r="90" spans="3:7" x14ac:dyDescent="0.2">
      <c r="C90" s="307" t="s">
        <v>329</v>
      </c>
      <c r="D90" s="311"/>
      <c r="E90" s="308">
        <v>0</v>
      </c>
      <c r="F90" s="309">
        <v>0</v>
      </c>
      <c r="G90" s="60"/>
    </row>
    <row r="91" spans="3:7" x14ac:dyDescent="0.2">
      <c r="C91" s="307"/>
      <c r="D91" s="311"/>
      <c r="E91" s="308"/>
      <c r="F91" s="309"/>
    </row>
    <row r="92" spans="3:7" x14ac:dyDescent="0.2">
      <c r="C92" s="303" t="s">
        <v>330</v>
      </c>
      <c r="D92" s="304"/>
      <c r="E92" s="305">
        <v>0</v>
      </c>
      <c r="F92" s="306">
        <v>0</v>
      </c>
    </row>
    <row r="93" spans="3:7" x14ac:dyDescent="0.2">
      <c r="C93" s="307" t="s">
        <v>331</v>
      </c>
      <c r="D93" s="311"/>
      <c r="E93" s="308">
        <v>0</v>
      </c>
      <c r="F93" s="309">
        <v>0</v>
      </c>
      <c r="G93" s="60"/>
    </row>
    <row r="94" spans="3:7" ht="11.1" customHeight="1" x14ac:dyDescent="0.2">
      <c r="C94" s="307" t="s">
        <v>332</v>
      </c>
      <c r="D94" s="311"/>
      <c r="E94" s="308"/>
      <c r="F94" s="309"/>
      <c r="G94" s="6"/>
    </row>
    <row r="95" spans="3:7" ht="9.75" customHeight="1" x14ac:dyDescent="0.2">
      <c r="C95" s="307"/>
      <c r="D95" s="311"/>
      <c r="E95" s="308"/>
      <c r="F95" s="309"/>
    </row>
    <row r="96" spans="3:7" ht="9.75" customHeight="1" thickBot="1" x14ac:dyDescent="0.25">
      <c r="C96" s="316" t="s">
        <v>333</v>
      </c>
      <c r="D96" s="323"/>
      <c r="E96" s="327">
        <v>6831863252</v>
      </c>
      <c r="F96" s="319">
        <v>3557075980</v>
      </c>
    </row>
    <row r="97" spans="3:6" ht="10.8" thickTop="1" x14ac:dyDescent="0.2">
      <c r="C97" s="307"/>
      <c r="D97" s="311"/>
      <c r="E97" s="308"/>
      <c r="F97" s="309"/>
    </row>
    <row r="98" spans="3:6" ht="9.75" customHeight="1" x14ac:dyDescent="0.2">
      <c r="C98" s="303" t="s">
        <v>334</v>
      </c>
      <c r="D98" s="304"/>
      <c r="E98" s="308">
        <v>0</v>
      </c>
      <c r="F98" s="309">
        <v>0</v>
      </c>
    </row>
    <row r="99" spans="3:6" x14ac:dyDescent="0.2">
      <c r="C99" s="303" t="s">
        <v>198</v>
      </c>
      <c r="D99" s="324"/>
      <c r="E99" s="308">
        <v>0</v>
      </c>
      <c r="F99" s="309">
        <v>0</v>
      </c>
    </row>
    <row r="100" spans="3:6" ht="10.8" thickBot="1" x14ac:dyDescent="0.25">
      <c r="C100" s="325" t="s">
        <v>335</v>
      </c>
      <c r="D100" s="326"/>
      <c r="E100" s="327">
        <v>6831863252</v>
      </c>
      <c r="F100" s="328">
        <f>+F96</f>
        <v>3557075980</v>
      </c>
    </row>
    <row r="101" spans="3:6" ht="10.8" thickTop="1" x14ac:dyDescent="0.2"/>
  </sheetData>
  <mergeCells count="6">
    <mergeCell ref="C8:F9"/>
    <mergeCell ref="C4:F4"/>
    <mergeCell ref="C3:F3"/>
    <mergeCell ref="C5:F5"/>
    <mergeCell ref="C6:F6"/>
    <mergeCell ref="C7:F7"/>
  </mergeCells>
  <pageMargins left="0.25" right="0.25" top="0.75" bottom="0.75" header="0.3" footer="0.3"/>
  <pageSetup paperSize="9" scale="76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E1:H58"/>
  <sheetViews>
    <sheetView showGridLines="0" topLeftCell="D1" zoomScale="131" workbookViewId="0">
      <selection activeCell="E7" sqref="E7:G55"/>
    </sheetView>
  </sheetViews>
  <sheetFormatPr baseColWidth="10" defaultColWidth="11.44140625" defaultRowHeight="10.199999999999999" x14ac:dyDescent="0.2"/>
  <cols>
    <col min="1" max="1" width="11.44140625" style="1"/>
    <col min="2" max="4" width="8.109375" style="1" customWidth="1"/>
    <col min="5" max="5" width="70.33203125" style="1" customWidth="1"/>
    <col min="6" max="6" width="16.44140625" style="1" customWidth="1"/>
    <col min="7" max="7" width="15.44140625" style="1" customWidth="1"/>
    <col min="8" max="8" width="14.33203125" style="1" bestFit="1" customWidth="1"/>
    <col min="9" max="16384" width="11.44140625" style="1"/>
  </cols>
  <sheetData>
    <row r="1" spans="5:8" x14ac:dyDescent="0.2">
      <c r="E1" s="457"/>
      <c r="F1" s="457"/>
      <c r="G1" s="457"/>
    </row>
    <row r="2" spans="5:8" ht="35.25" customHeight="1" x14ac:dyDescent="0.2">
      <c r="E2" s="457"/>
      <c r="F2" s="457"/>
      <c r="G2" s="457"/>
    </row>
    <row r="3" spans="5:8" ht="13.8" x14ac:dyDescent="0.2">
      <c r="E3" s="458" t="s">
        <v>0</v>
      </c>
      <c r="F3" s="458"/>
      <c r="G3" s="458"/>
    </row>
    <row r="4" spans="5:8" ht="13.8" x14ac:dyDescent="0.2">
      <c r="E4" s="458" t="s">
        <v>336</v>
      </c>
      <c r="F4" s="458"/>
      <c r="G4" s="458"/>
    </row>
    <row r="5" spans="5:8" ht="19.5" customHeight="1" x14ac:dyDescent="0.2">
      <c r="E5" s="456" t="s">
        <v>263</v>
      </c>
      <c r="F5" s="456"/>
      <c r="G5" s="456"/>
    </row>
    <row r="6" spans="5:8" ht="13.2" x14ac:dyDescent="0.2">
      <c r="E6" s="410" t="s">
        <v>103</v>
      </c>
    </row>
    <row r="7" spans="5:8" ht="38.25" customHeight="1" x14ac:dyDescent="0.25">
      <c r="E7" s="329"/>
      <c r="F7" s="330" t="str">
        <f>+'Estado de Resultado Resol. 6'!E10</f>
        <v>PERIODO 30/09/2020</v>
      </c>
      <c r="G7" s="330" t="str">
        <f>+'Estado de Resultado Resol. 6'!F10</f>
        <v>PERIODO 30/09/2019</v>
      </c>
    </row>
    <row r="8" spans="5:8" ht="13.2" x14ac:dyDescent="0.25">
      <c r="E8" s="331" t="s">
        <v>337</v>
      </c>
      <c r="F8" s="332"/>
      <c r="G8" s="332"/>
    </row>
    <row r="9" spans="5:8" ht="12" customHeight="1" x14ac:dyDescent="0.25">
      <c r="E9" s="333"/>
      <c r="F9" s="334"/>
      <c r="G9" s="334"/>
      <c r="H9" s="6"/>
    </row>
    <row r="10" spans="5:8" ht="13.2" x14ac:dyDescent="0.25">
      <c r="E10" s="333" t="s">
        <v>338</v>
      </c>
      <c r="F10" s="335">
        <v>-2265678687</v>
      </c>
      <c r="G10" s="335">
        <v>15629259328</v>
      </c>
      <c r="H10" s="6"/>
    </row>
    <row r="11" spans="5:8" ht="12.6" customHeight="1" x14ac:dyDescent="0.25">
      <c r="E11" s="333" t="s">
        <v>339</v>
      </c>
      <c r="F11" s="335">
        <v>-1388915877</v>
      </c>
      <c r="G11" s="335">
        <v>-1347898581</v>
      </c>
    </row>
    <row r="12" spans="5:8" ht="13.2" x14ac:dyDescent="0.25">
      <c r="E12" s="333" t="s">
        <v>340</v>
      </c>
      <c r="F12" s="335">
        <v>9220943911</v>
      </c>
      <c r="G12" s="335">
        <v>-10598745645</v>
      </c>
    </row>
    <row r="13" spans="5:8" ht="13.2" x14ac:dyDescent="0.25">
      <c r="E13" s="333"/>
      <c r="F13" s="335"/>
      <c r="G13" s="335"/>
    </row>
    <row r="14" spans="5:8" ht="13.2" x14ac:dyDescent="0.25">
      <c r="E14" s="336" t="s">
        <v>341</v>
      </c>
      <c r="F14" s="337"/>
      <c r="G14" s="337"/>
    </row>
    <row r="15" spans="5:8" ht="13.2" x14ac:dyDescent="0.25">
      <c r="E15" s="336" t="s">
        <v>342</v>
      </c>
      <c r="F15" s="338">
        <v>5566349347</v>
      </c>
      <c r="G15" s="338">
        <v>3682615102</v>
      </c>
    </row>
    <row r="16" spans="5:8" ht="13.2" x14ac:dyDescent="0.25">
      <c r="E16" s="339"/>
      <c r="F16" s="337"/>
      <c r="G16" s="337"/>
    </row>
    <row r="17" spans="5:7" ht="13.2" x14ac:dyDescent="0.25">
      <c r="E17" s="336" t="s">
        <v>343</v>
      </c>
      <c r="F17" s="337"/>
      <c r="G17" s="337"/>
    </row>
    <row r="18" spans="5:7" ht="13.2" x14ac:dyDescent="0.25">
      <c r="E18" s="339"/>
      <c r="F18" s="337"/>
      <c r="G18" s="337"/>
    </row>
    <row r="19" spans="5:7" ht="13.2" x14ac:dyDescent="0.25">
      <c r="E19" s="339" t="s">
        <v>344</v>
      </c>
      <c r="F19" s="337">
        <v>0</v>
      </c>
      <c r="G19" s="337">
        <v>0</v>
      </c>
    </row>
    <row r="20" spans="5:7" ht="13.2" x14ac:dyDescent="0.25">
      <c r="E20" s="339"/>
      <c r="F20" s="338">
        <v>0</v>
      </c>
      <c r="G20" s="338">
        <v>0</v>
      </c>
    </row>
    <row r="21" spans="5:7" ht="13.2" x14ac:dyDescent="0.25">
      <c r="E21" s="336" t="s">
        <v>345</v>
      </c>
      <c r="F21" s="337"/>
      <c r="G21" s="337"/>
    </row>
    <row r="22" spans="5:7" ht="13.2" x14ac:dyDescent="0.25">
      <c r="E22" s="339" t="s">
        <v>346</v>
      </c>
      <c r="F22" s="337">
        <v>0</v>
      </c>
      <c r="G22" s="337">
        <v>0</v>
      </c>
    </row>
    <row r="23" spans="5:7" ht="13.2" x14ac:dyDescent="0.25">
      <c r="E23" s="339"/>
      <c r="F23" s="337"/>
      <c r="G23" s="337"/>
    </row>
    <row r="24" spans="5:7" ht="13.2" x14ac:dyDescent="0.25">
      <c r="E24" s="336" t="s">
        <v>347</v>
      </c>
      <c r="F24" s="338">
        <v>5566349347</v>
      </c>
      <c r="G24" s="338">
        <v>3682615102</v>
      </c>
    </row>
    <row r="25" spans="5:7" ht="13.2" x14ac:dyDescent="0.25">
      <c r="E25" s="339"/>
      <c r="F25" s="337"/>
      <c r="G25" s="337"/>
    </row>
    <row r="26" spans="5:7" ht="13.2" x14ac:dyDescent="0.25">
      <c r="E26" s="339" t="s">
        <v>334</v>
      </c>
      <c r="F26" s="337">
        <v>-445976601</v>
      </c>
      <c r="G26" s="337">
        <v>0</v>
      </c>
    </row>
    <row r="27" spans="5:7" ht="13.2" x14ac:dyDescent="0.25">
      <c r="E27" s="339"/>
      <c r="F27" s="337"/>
      <c r="G27" s="337"/>
    </row>
    <row r="28" spans="5:7" ht="13.2" x14ac:dyDescent="0.25">
      <c r="E28" s="336" t="s">
        <v>348</v>
      </c>
      <c r="F28" s="338">
        <v>5120372746</v>
      </c>
      <c r="G28" s="338">
        <v>3682615102</v>
      </c>
    </row>
    <row r="29" spans="5:7" ht="13.2" x14ac:dyDescent="0.25">
      <c r="E29" s="336"/>
      <c r="F29" s="340"/>
      <c r="G29" s="340"/>
    </row>
    <row r="30" spans="5:7" ht="13.2" x14ac:dyDescent="0.25">
      <c r="E30" s="336" t="s">
        <v>349</v>
      </c>
      <c r="F30" s="337"/>
      <c r="G30" s="337"/>
    </row>
    <row r="31" spans="5:7" ht="13.2" x14ac:dyDescent="0.25">
      <c r="E31" s="336"/>
      <c r="F31" s="337"/>
      <c r="G31" s="337"/>
    </row>
    <row r="32" spans="5:7" ht="13.2" x14ac:dyDescent="0.25">
      <c r="E32" s="339" t="s">
        <v>350</v>
      </c>
      <c r="F32" s="337">
        <v>0</v>
      </c>
      <c r="G32" s="337">
        <v>-130690000</v>
      </c>
    </row>
    <row r="33" spans="5:7" ht="13.2" x14ac:dyDescent="0.25">
      <c r="E33" s="339" t="s">
        <v>351</v>
      </c>
      <c r="F33" s="337">
        <v>0</v>
      </c>
      <c r="G33" s="337">
        <v>0</v>
      </c>
    </row>
    <row r="34" spans="5:7" ht="13.2" x14ac:dyDescent="0.25">
      <c r="E34" s="339" t="s">
        <v>352</v>
      </c>
      <c r="F34" s="337">
        <v>0</v>
      </c>
      <c r="G34" s="337">
        <v>0</v>
      </c>
    </row>
    <row r="35" spans="5:7" ht="13.2" x14ac:dyDescent="0.25">
      <c r="E35" s="339" t="s">
        <v>353</v>
      </c>
      <c r="F35" s="337">
        <v>-1004461285</v>
      </c>
      <c r="G35" s="337">
        <v>-1480335930</v>
      </c>
    </row>
    <row r="36" spans="5:7" ht="13.2" x14ac:dyDescent="0.25">
      <c r="E36" s="339" t="s">
        <v>354</v>
      </c>
      <c r="F36" s="337">
        <v>-14968895547</v>
      </c>
      <c r="G36" s="337">
        <v>-3666983746</v>
      </c>
    </row>
    <row r="37" spans="5:7" ht="13.2" x14ac:dyDescent="0.25">
      <c r="E37" s="339" t="s">
        <v>355</v>
      </c>
      <c r="F37" s="337">
        <v>911853869</v>
      </c>
      <c r="G37" s="337">
        <v>0</v>
      </c>
    </row>
    <row r="38" spans="5:7" ht="13.2" x14ac:dyDescent="0.25">
      <c r="E38" s="339" t="s">
        <v>356</v>
      </c>
      <c r="F38" s="337">
        <v>150385000</v>
      </c>
      <c r="G38" s="337">
        <v>0</v>
      </c>
    </row>
    <row r="39" spans="5:7" ht="13.2" x14ac:dyDescent="0.25">
      <c r="E39" s="339"/>
      <c r="F39" s="337"/>
      <c r="G39" s="337"/>
    </row>
    <row r="40" spans="5:7" ht="13.2" x14ac:dyDescent="0.25">
      <c r="E40" s="336" t="s">
        <v>357</v>
      </c>
      <c r="F40" s="338">
        <v>-14911117963</v>
      </c>
      <c r="G40" s="338">
        <v>-5278009676</v>
      </c>
    </row>
    <row r="41" spans="5:7" ht="13.2" x14ac:dyDescent="0.25">
      <c r="E41" s="336"/>
      <c r="F41" s="340"/>
      <c r="G41" s="340"/>
    </row>
    <row r="42" spans="5:7" ht="13.2" x14ac:dyDescent="0.25">
      <c r="E42" s="336" t="s">
        <v>358</v>
      </c>
      <c r="F42" s="337"/>
      <c r="G42" s="337"/>
    </row>
    <row r="43" spans="5:7" ht="13.2" x14ac:dyDescent="0.25">
      <c r="E43" s="336"/>
      <c r="F43" s="337"/>
      <c r="G43" s="337"/>
    </row>
    <row r="44" spans="5:7" ht="13.2" x14ac:dyDescent="0.25">
      <c r="E44" s="339" t="s">
        <v>359</v>
      </c>
      <c r="F44" s="337">
        <v>0</v>
      </c>
      <c r="G44" s="337">
        <v>955547945</v>
      </c>
    </row>
    <row r="45" spans="5:7" ht="13.2" x14ac:dyDescent="0.25">
      <c r="E45" s="339" t="s">
        <v>360</v>
      </c>
      <c r="F45" s="337">
        <v>13153147570</v>
      </c>
      <c r="G45" s="337">
        <v>161840813</v>
      </c>
    </row>
    <row r="46" spans="5:7" ht="13.2" x14ac:dyDescent="0.25">
      <c r="E46" s="339" t="s">
        <v>361</v>
      </c>
      <c r="F46" s="337">
        <v>0</v>
      </c>
      <c r="G46" s="337">
        <v>0</v>
      </c>
    </row>
    <row r="47" spans="5:7" ht="12.75" customHeight="1" x14ac:dyDescent="0.25">
      <c r="E47" s="339" t="s">
        <v>326</v>
      </c>
      <c r="F47" s="337">
        <v>0</v>
      </c>
      <c r="G47" s="337">
        <v>0</v>
      </c>
    </row>
    <row r="48" spans="5:7" ht="12.75" customHeight="1" x14ac:dyDescent="0.25">
      <c r="E48" s="339"/>
      <c r="F48" s="337"/>
      <c r="G48" s="337"/>
    </row>
    <row r="49" spans="5:8" ht="12.75" customHeight="1" x14ac:dyDescent="0.25">
      <c r="E49" s="336" t="s">
        <v>362</v>
      </c>
      <c r="F49" s="338">
        <v>13153147570</v>
      </c>
      <c r="G49" s="338">
        <v>1117388758</v>
      </c>
    </row>
    <row r="50" spans="5:8" ht="13.2" x14ac:dyDescent="0.25">
      <c r="E50" s="339"/>
      <c r="F50" s="337"/>
      <c r="G50" s="337"/>
    </row>
    <row r="51" spans="5:8" ht="13.2" x14ac:dyDescent="0.25">
      <c r="E51" s="336" t="s">
        <v>363</v>
      </c>
      <c r="F51" s="337"/>
      <c r="G51" s="337"/>
    </row>
    <row r="52" spans="5:8" ht="13.2" x14ac:dyDescent="0.25">
      <c r="E52" s="336"/>
      <c r="F52" s="337"/>
      <c r="G52" s="337"/>
    </row>
    <row r="53" spans="5:8" ht="16.5" customHeight="1" x14ac:dyDescent="0.25">
      <c r="E53" s="339" t="s">
        <v>364</v>
      </c>
      <c r="F53" s="340">
        <v>3362402353</v>
      </c>
      <c r="G53" s="340">
        <v>-478005816</v>
      </c>
      <c r="H53" s="41"/>
    </row>
    <row r="54" spans="5:8" ht="13.2" x14ac:dyDescent="0.25">
      <c r="E54" s="341" t="s">
        <v>365</v>
      </c>
      <c r="F54" s="342">
        <v>1671037663</v>
      </c>
      <c r="G54" s="342">
        <v>1806453323</v>
      </c>
    </row>
    <row r="55" spans="5:8" ht="13.8" thickBot="1" x14ac:dyDescent="0.3">
      <c r="E55" s="343" t="s">
        <v>366</v>
      </c>
      <c r="F55" s="344">
        <v>5033440016</v>
      </c>
      <c r="G55" s="344">
        <v>1328447507</v>
      </c>
    </row>
    <row r="56" spans="5:8" ht="13.8" thickTop="1" x14ac:dyDescent="0.25">
      <c r="E56" s="42"/>
      <c r="F56" s="42"/>
      <c r="G56" s="42"/>
    </row>
    <row r="57" spans="5:8" ht="13.2" x14ac:dyDescent="0.25">
      <c r="E57" s="42"/>
      <c r="F57" s="42"/>
      <c r="G57" s="42"/>
    </row>
    <row r="58" spans="5:8" ht="13.2" x14ac:dyDescent="0.25">
      <c r="E58" s="42"/>
      <c r="F58" s="42"/>
      <c r="G58" s="42"/>
    </row>
  </sheetData>
  <mergeCells count="5">
    <mergeCell ref="E1:G1"/>
    <mergeCell ref="E2:G2"/>
    <mergeCell ref="E3:G3"/>
    <mergeCell ref="E4:G4"/>
    <mergeCell ref="E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2:K32"/>
  <sheetViews>
    <sheetView showGridLines="0" topLeftCell="A19" zoomScale="90" zoomScaleNormal="90" workbookViewId="0">
      <selection activeCell="K28" sqref="B8:K28"/>
    </sheetView>
  </sheetViews>
  <sheetFormatPr baseColWidth="10" defaultColWidth="11.44140625" defaultRowHeight="10.199999999999999" x14ac:dyDescent="0.2"/>
  <cols>
    <col min="1" max="1" width="11.44140625" style="68"/>
    <col min="2" max="2" width="40.21875" style="68" customWidth="1"/>
    <col min="3" max="8" width="15.77734375" style="69" customWidth="1"/>
    <col min="9" max="11" width="15.77734375" style="68" customWidth="1"/>
    <col min="12" max="16384" width="11.44140625" style="68"/>
  </cols>
  <sheetData>
    <row r="2" spans="2:11" ht="14.4" x14ac:dyDescent="0.3">
      <c r="B2"/>
      <c r="C2"/>
      <c r="D2"/>
      <c r="E2"/>
      <c r="F2"/>
      <c r="G2"/>
      <c r="H2"/>
      <c r="I2"/>
      <c r="J2"/>
      <c r="K2"/>
    </row>
    <row r="3" spans="2:11" ht="13.8" x14ac:dyDescent="0.2">
      <c r="B3" s="458" t="s">
        <v>0</v>
      </c>
      <c r="C3" s="458"/>
      <c r="D3" s="458"/>
      <c r="E3" s="458"/>
      <c r="F3" s="458"/>
      <c r="G3" s="458"/>
      <c r="H3" s="458"/>
      <c r="I3" s="458"/>
      <c r="J3" s="458"/>
      <c r="K3" s="458"/>
    </row>
    <row r="4" spans="2:11" ht="13.8" x14ac:dyDescent="0.2">
      <c r="B4" s="458" t="s">
        <v>367</v>
      </c>
      <c r="C4" s="458"/>
      <c r="D4" s="458"/>
      <c r="E4" s="458"/>
      <c r="F4" s="458"/>
      <c r="G4" s="458"/>
      <c r="H4" s="458"/>
      <c r="I4" s="458"/>
      <c r="J4" s="458"/>
      <c r="K4" s="458"/>
    </row>
    <row r="5" spans="2:11" ht="15" customHeight="1" x14ac:dyDescent="0.2">
      <c r="B5" s="458" t="s">
        <v>263</v>
      </c>
      <c r="C5" s="458"/>
      <c r="D5" s="458"/>
      <c r="E5" s="458"/>
      <c r="F5" s="458"/>
      <c r="G5" s="458"/>
      <c r="H5" s="458"/>
      <c r="I5" s="458"/>
      <c r="J5" s="458"/>
      <c r="K5" s="458"/>
    </row>
    <row r="6" spans="2:11" ht="15" customHeight="1" x14ac:dyDescent="0.2">
      <c r="B6" s="464" t="s">
        <v>103</v>
      </c>
      <c r="C6" s="464"/>
      <c r="D6" s="464"/>
      <c r="E6" s="464"/>
      <c r="F6" s="464"/>
      <c r="G6" s="464"/>
      <c r="H6" s="464"/>
      <c r="I6" s="464"/>
      <c r="J6" s="464"/>
      <c r="K6" s="464"/>
    </row>
    <row r="7" spans="2:11" s="72" customFormat="1" ht="13.5" customHeight="1" thickBot="1" x14ac:dyDescent="0.35">
      <c r="B7" s="345"/>
      <c r="C7" s="345"/>
      <c r="D7"/>
      <c r="E7"/>
      <c r="F7"/>
      <c r="G7"/>
      <c r="H7"/>
      <c r="I7"/>
      <c r="J7"/>
      <c r="K7"/>
    </row>
    <row r="8" spans="2:11" s="72" customFormat="1" ht="13.8" thickBot="1" x14ac:dyDescent="0.3">
      <c r="B8" s="40"/>
      <c r="C8" s="459" t="s">
        <v>368</v>
      </c>
      <c r="D8" s="460"/>
      <c r="E8" s="459" t="s">
        <v>369</v>
      </c>
      <c r="F8" s="460"/>
      <c r="G8" s="461"/>
      <c r="H8" s="460" t="s">
        <v>370</v>
      </c>
      <c r="I8" s="462"/>
      <c r="J8" s="463" t="s">
        <v>371</v>
      </c>
      <c r="K8" s="461"/>
    </row>
    <row r="9" spans="2:11" s="71" customFormat="1" ht="27" thickBot="1" x14ac:dyDescent="0.3">
      <c r="B9" s="346" t="s">
        <v>372</v>
      </c>
      <c r="C9" s="347" t="s">
        <v>373</v>
      </c>
      <c r="D9" s="348" t="s">
        <v>374</v>
      </c>
      <c r="E9" s="349" t="s">
        <v>375</v>
      </c>
      <c r="F9" s="350" t="s">
        <v>376</v>
      </c>
      <c r="G9" s="348" t="s">
        <v>377</v>
      </c>
      <c r="H9" s="349" t="s">
        <v>378</v>
      </c>
      <c r="I9" s="351" t="s">
        <v>379</v>
      </c>
      <c r="J9" s="347" t="s">
        <v>380</v>
      </c>
      <c r="K9" s="351" t="s">
        <v>381</v>
      </c>
    </row>
    <row r="10" spans="2:11" s="71" customFormat="1" ht="24" customHeight="1" x14ac:dyDescent="0.25">
      <c r="B10" s="353"/>
      <c r="C10" s="423"/>
      <c r="D10" s="424"/>
      <c r="E10" s="423"/>
      <c r="F10" s="425"/>
      <c r="G10" s="424"/>
      <c r="H10" s="423"/>
      <c r="I10" s="424"/>
      <c r="J10" s="423"/>
      <c r="K10" s="424"/>
    </row>
    <row r="11" spans="2:11" s="71" customFormat="1" ht="24" customHeight="1" x14ac:dyDescent="0.25">
      <c r="B11" s="353" t="s">
        <v>382</v>
      </c>
      <c r="C11" s="423">
        <v>960000091</v>
      </c>
      <c r="D11" s="424">
        <v>18400000001</v>
      </c>
      <c r="E11" s="423">
        <v>1122244552</v>
      </c>
      <c r="F11" s="425">
        <v>435673535</v>
      </c>
      <c r="G11" s="424">
        <v>67449446</v>
      </c>
      <c r="H11" s="426">
        <v>0</v>
      </c>
      <c r="I11" s="424">
        <v>5385823689</v>
      </c>
      <c r="J11" s="427">
        <f>SUM(C11:I11)</f>
        <v>26371191314</v>
      </c>
      <c r="K11" s="428">
        <v>19174432436</v>
      </c>
    </row>
    <row r="12" spans="2:11" s="71" customFormat="1" ht="24" customHeight="1" x14ac:dyDescent="0.25">
      <c r="B12" s="353"/>
      <c r="C12" s="423"/>
      <c r="D12" s="424"/>
      <c r="E12" s="423"/>
      <c r="F12" s="425"/>
      <c r="G12" s="424"/>
      <c r="H12" s="426"/>
      <c r="I12" s="424"/>
      <c r="J12" s="427">
        <f>SUM(C12:I12)</f>
        <v>0</v>
      </c>
      <c r="K12" s="428"/>
    </row>
    <row r="13" spans="2:11" s="71" customFormat="1" ht="24" customHeight="1" x14ac:dyDescent="0.25">
      <c r="B13" s="354" t="s">
        <v>383</v>
      </c>
      <c r="C13" s="423"/>
      <c r="D13" s="424"/>
      <c r="E13" s="423"/>
      <c r="F13" s="429"/>
      <c r="G13" s="430"/>
      <c r="H13" s="426"/>
      <c r="I13" s="424"/>
      <c r="J13" s="427">
        <f>SUM(C13:I13)</f>
        <v>0</v>
      </c>
      <c r="K13" s="428"/>
    </row>
    <row r="14" spans="2:11" s="71" customFormat="1" ht="24" customHeight="1" x14ac:dyDescent="0.25">
      <c r="B14" s="353"/>
      <c r="C14" s="423"/>
      <c r="D14" s="424"/>
      <c r="E14" s="423"/>
      <c r="F14" s="429"/>
      <c r="G14" s="430"/>
      <c r="H14" s="426"/>
      <c r="I14" s="424"/>
      <c r="J14" s="427">
        <f>SUM(C14:I14)</f>
        <v>0</v>
      </c>
      <c r="K14" s="428"/>
    </row>
    <row r="15" spans="2:11" s="71" customFormat="1" ht="24" customHeight="1" x14ac:dyDescent="0.25">
      <c r="B15" s="353" t="s">
        <v>384</v>
      </c>
      <c r="C15" s="423" t="s">
        <v>385</v>
      </c>
      <c r="D15" s="424" t="s">
        <v>385</v>
      </c>
      <c r="E15" s="426">
        <f>+E27-E11</f>
        <v>0</v>
      </c>
      <c r="F15" s="429">
        <v>0</v>
      </c>
      <c r="G15" s="430" t="s">
        <v>385</v>
      </c>
      <c r="H15" s="426" t="s">
        <v>385</v>
      </c>
      <c r="I15" s="424" t="s">
        <v>385</v>
      </c>
      <c r="J15" s="427">
        <f>SUM(C15:I15)</f>
        <v>0</v>
      </c>
      <c r="K15" s="428">
        <v>435745394</v>
      </c>
    </row>
    <row r="16" spans="2:11" s="71" customFormat="1" ht="24" customHeight="1" x14ac:dyDescent="0.25">
      <c r="B16" s="353"/>
      <c r="C16" s="423"/>
      <c r="D16" s="424"/>
      <c r="E16" s="426"/>
      <c r="F16" s="429"/>
      <c r="G16" s="430"/>
      <c r="H16" s="426"/>
      <c r="I16" s="424"/>
      <c r="J16" s="427">
        <f t="shared" ref="J16:J26" si="0">SUM(C16:I16)</f>
        <v>0</v>
      </c>
      <c r="K16" s="428"/>
    </row>
    <row r="17" spans="2:11" s="71" customFormat="1" ht="24" customHeight="1" x14ac:dyDescent="0.25">
      <c r="B17" s="353" t="s">
        <v>386</v>
      </c>
      <c r="C17" s="423" t="s">
        <v>385</v>
      </c>
      <c r="D17" s="424" t="s">
        <v>385</v>
      </c>
      <c r="E17" s="426" t="s">
        <v>385</v>
      </c>
      <c r="F17" s="431" t="s">
        <v>385</v>
      </c>
      <c r="G17" s="430">
        <f>+G27-G11-G25</f>
        <v>0</v>
      </c>
      <c r="H17" s="426" t="s">
        <v>385</v>
      </c>
      <c r="I17" s="424" t="s">
        <v>385</v>
      </c>
      <c r="J17" s="427">
        <f t="shared" si="0"/>
        <v>0</v>
      </c>
      <c r="K17" s="428">
        <v>0</v>
      </c>
    </row>
    <row r="18" spans="2:11" s="71" customFormat="1" ht="24" customHeight="1" x14ac:dyDescent="0.25">
      <c r="B18" s="353"/>
      <c r="C18" s="423"/>
      <c r="D18" s="424"/>
      <c r="E18" s="426"/>
      <c r="F18" s="429"/>
      <c r="G18" s="430"/>
      <c r="H18" s="426"/>
      <c r="I18" s="424"/>
      <c r="J18" s="427">
        <f t="shared" si="0"/>
        <v>0</v>
      </c>
      <c r="K18" s="428"/>
    </row>
    <row r="19" spans="2:11" s="71" customFormat="1" ht="24" customHeight="1" x14ac:dyDescent="0.25">
      <c r="B19" s="353" t="s">
        <v>208</v>
      </c>
      <c r="C19" s="423" t="s">
        <v>385</v>
      </c>
      <c r="D19" s="424" t="s">
        <v>385</v>
      </c>
      <c r="E19" s="426" t="s">
        <v>385</v>
      </c>
      <c r="F19" s="431" t="s">
        <v>385</v>
      </c>
      <c r="G19" s="430" t="s">
        <v>385</v>
      </c>
      <c r="H19" s="426" t="s">
        <v>385</v>
      </c>
      <c r="I19" s="424" t="s">
        <v>385</v>
      </c>
      <c r="J19" s="427">
        <f t="shared" si="0"/>
        <v>0</v>
      </c>
      <c r="K19" s="428">
        <v>0</v>
      </c>
    </row>
    <row r="20" spans="2:11" s="71" customFormat="1" ht="24" customHeight="1" x14ac:dyDescent="0.25">
      <c r="B20" s="353"/>
      <c r="C20" s="423"/>
      <c r="D20" s="424"/>
      <c r="E20" s="426"/>
      <c r="F20" s="431"/>
      <c r="G20" s="430"/>
      <c r="H20" s="426"/>
      <c r="I20" s="424"/>
      <c r="J20" s="427">
        <f t="shared" si="0"/>
        <v>0</v>
      </c>
      <c r="K20" s="428"/>
    </row>
    <row r="21" spans="2:11" s="71" customFormat="1" ht="24" customHeight="1" x14ac:dyDescent="0.25">
      <c r="B21" s="353" t="s">
        <v>387</v>
      </c>
      <c r="C21" s="423">
        <f>+C27-C11</f>
        <v>23327999910</v>
      </c>
      <c r="D21" s="424" t="s">
        <v>385</v>
      </c>
      <c r="E21" s="426">
        <v>0</v>
      </c>
      <c r="F21" s="431" t="s">
        <v>385</v>
      </c>
      <c r="G21" s="430" t="s">
        <v>385</v>
      </c>
      <c r="H21" s="426" t="s">
        <v>385</v>
      </c>
      <c r="I21" s="424" t="s">
        <v>385</v>
      </c>
      <c r="J21" s="427">
        <f t="shared" si="0"/>
        <v>23327999910</v>
      </c>
      <c r="K21" s="428">
        <v>955547945</v>
      </c>
    </row>
    <row r="22" spans="2:11" s="71" customFormat="1" ht="24" customHeight="1" x14ac:dyDescent="0.25">
      <c r="B22" s="353"/>
      <c r="C22" s="423"/>
      <c r="D22" s="424"/>
      <c r="E22" s="426"/>
      <c r="F22" s="431"/>
      <c r="G22" s="430"/>
      <c r="H22" s="426"/>
      <c r="I22" s="424"/>
      <c r="J22" s="427">
        <f t="shared" si="0"/>
        <v>0</v>
      </c>
      <c r="K22" s="428"/>
    </row>
    <row r="23" spans="2:11" s="71" customFormat="1" ht="24" customHeight="1" x14ac:dyDescent="0.25">
      <c r="B23" s="353" t="s">
        <v>388</v>
      </c>
      <c r="C23" s="423" t="s">
        <v>385</v>
      </c>
      <c r="D23" s="424" t="s">
        <v>385</v>
      </c>
      <c r="E23" s="426" t="s">
        <v>385</v>
      </c>
      <c r="F23" s="431" t="s">
        <v>385</v>
      </c>
      <c r="G23" s="430" t="s">
        <v>385</v>
      </c>
      <c r="H23" s="426" t="s">
        <v>385</v>
      </c>
      <c r="I23" s="424" t="s">
        <v>385</v>
      </c>
      <c r="J23" s="427">
        <f t="shared" si="0"/>
        <v>0</v>
      </c>
      <c r="K23" s="424">
        <v>0</v>
      </c>
    </row>
    <row r="24" spans="2:11" s="71" customFormat="1" ht="24" customHeight="1" x14ac:dyDescent="0.25">
      <c r="B24" s="353"/>
      <c r="C24" s="423"/>
      <c r="D24" s="424"/>
      <c r="E24" s="426"/>
      <c r="F24" s="429"/>
      <c r="G24" s="430"/>
      <c r="H24" s="426"/>
      <c r="I24" s="424"/>
      <c r="J24" s="427">
        <f t="shared" si="0"/>
        <v>0</v>
      </c>
      <c r="K24" s="428"/>
    </row>
    <row r="25" spans="2:11" s="71" customFormat="1" ht="24" customHeight="1" x14ac:dyDescent="0.25">
      <c r="B25" s="353" t="s">
        <v>389</v>
      </c>
      <c r="C25" s="423">
        <v>0</v>
      </c>
      <c r="D25" s="424">
        <f>+D27-D11</f>
        <v>-18400000001</v>
      </c>
      <c r="E25" s="426">
        <v>0</v>
      </c>
      <c r="F25" s="431">
        <f>+F27-F11</f>
        <v>-334673535</v>
      </c>
      <c r="G25" s="430">
        <f>+G27-G11</f>
        <v>-66502776</v>
      </c>
      <c r="H25" s="426">
        <v>0</v>
      </c>
      <c r="I25" s="424">
        <f>-I11</f>
        <v>-5385823689</v>
      </c>
      <c r="J25" s="427">
        <f>SUM(C25:I25)</f>
        <v>-24187000001</v>
      </c>
      <c r="K25" s="428">
        <v>64347711</v>
      </c>
    </row>
    <row r="26" spans="2:11" s="71" customFormat="1" ht="24" customHeight="1" thickBot="1" x14ac:dyDescent="0.3">
      <c r="B26" s="353" t="s">
        <v>210</v>
      </c>
      <c r="C26" s="432" t="s">
        <v>385</v>
      </c>
      <c r="D26" s="433" t="s">
        <v>385</v>
      </c>
      <c r="E26" s="432" t="s">
        <v>385</v>
      </c>
      <c r="F26" s="434" t="s">
        <v>385</v>
      </c>
      <c r="G26" s="433" t="s">
        <v>385</v>
      </c>
      <c r="H26" s="435"/>
      <c r="I26" s="433">
        <f>+I27</f>
        <v>6831863252</v>
      </c>
      <c r="J26" s="436">
        <f t="shared" si="0"/>
        <v>6831863252</v>
      </c>
      <c r="K26" s="437">
        <v>3557075980</v>
      </c>
    </row>
    <row r="27" spans="2:11" s="71" customFormat="1" ht="24" customHeight="1" thickBot="1" x14ac:dyDescent="0.3">
      <c r="B27" s="352" t="s">
        <v>390</v>
      </c>
      <c r="C27" s="438">
        <f>+'[2]Balance Gral. Resol. 6'!G56</f>
        <v>24288000001</v>
      </c>
      <c r="D27" s="439">
        <f>+'[2]Balance Gral. Resol. 6'!G55</f>
        <v>0</v>
      </c>
      <c r="E27" s="440">
        <v>1122244552</v>
      </c>
      <c r="F27" s="439">
        <v>101000000</v>
      </c>
      <c r="G27" s="441">
        <v>946670</v>
      </c>
      <c r="H27" s="438">
        <v>0</v>
      </c>
      <c r="I27" s="439">
        <f>+'[2]Balance Gral. Resol. 6'!G67</f>
        <v>6831863252</v>
      </c>
      <c r="J27" s="442">
        <f>SUM(C27:I27)</f>
        <v>32344054475</v>
      </c>
      <c r="K27" s="443">
        <f>SUM(K11:K26)</f>
        <v>24187149466</v>
      </c>
    </row>
    <row r="28" spans="2:11" ht="13.8" thickBot="1" x14ac:dyDescent="0.3">
      <c r="B28" s="355" t="s">
        <v>391</v>
      </c>
      <c r="C28" s="444">
        <v>955547945</v>
      </c>
      <c r="D28" s="444">
        <v>18400000000</v>
      </c>
      <c r="E28" s="445">
        <v>838852006</v>
      </c>
      <c r="F28" s="445">
        <v>435673535</v>
      </c>
      <c r="G28" s="444">
        <v>0</v>
      </c>
      <c r="H28" s="445">
        <v>0</v>
      </c>
      <c r="I28" s="444">
        <v>3557075980</v>
      </c>
      <c r="J28" s="446">
        <v>24187149466</v>
      </c>
      <c r="K28" s="447" t="s">
        <v>385</v>
      </c>
    </row>
    <row r="29" spans="2:11" x14ac:dyDescent="0.2">
      <c r="J29" s="70"/>
      <c r="K29" s="70"/>
    </row>
    <row r="32" spans="2:11" x14ac:dyDescent="0.2">
      <c r="J32" s="422">
        <f>+J27-'Balance Gral. Resol. 6'!G70</f>
        <v>0</v>
      </c>
    </row>
  </sheetData>
  <mergeCells count="8">
    <mergeCell ref="B3:K3"/>
    <mergeCell ref="B4:K4"/>
    <mergeCell ref="B5:K5"/>
    <mergeCell ref="C8:D8"/>
    <mergeCell ref="E8:G8"/>
    <mergeCell ref="H8:I8"/>
    <mergeCell ref="J8:K8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1:E58"/>
  <sheetViews>
    <sheetView showGridLines="0" topLeftCell="B28" zoomScale="143" workbookViewId="0">
      <selection activeCell="D32" sqref="D32"/>
    </sheetView>
  </sheetViews>
  <sheetFormatPr baseColWidth="10" defaultColWidth="9.109375" defaultRowHeight="14.4" x14ac:dyDescent="0.3"/>
  <cols>
    <col min="1" max="2" width="11.44140625" customWidth="1"/>
    <col min="3" max="3" width="74.44140625" customWidth="1"/>
    <col min="4" max="256" width="11.44140625" customWidth="1"/>
  </cols>
  <sheetData>
    <row r="1" spans="2:5" x14ac:dyDescent="0.3">
      <c r="C1" s="43" t="s">
        <v>392</v>
      </c>
    </row>
    <row r="2" spans="2:5" x14ac:dyDescent="0.3">
      <c r="B2" s="43"/>
      <c r="C2" s="7"/>
    </row>
    <row r="3" spans="2:5" x14ac:dyDescent="0.3">
      <c r="B3" s="7"/>
      <c r="C3" s="7" t="s">
        <v>393</v>
      </c>
      <c r="D3" s="7"/>
      <c r="E3" s="7"/>
    </row>
    <row r="4" spans="2:5" x14ac:dyDescent="0.3">
      <c r="B4" s="7"/>
      <c r="C4" s="7"/>
    </row>
    <row r="5" spans="2:5" ht="52.8" x14ac:dyDescent="0.3">
      <c r="B5" s="7"/>
      <c r="C5" s="8" t="s">
        <v>394</v>
      </c>
    </row>
    <row r="6" spans="2:5" x14ac:dyDescent="0.3">
      <c r="B6" s="8"/>
      <c r="C6" s="8"/>
    </row>
    <row r="7" spans="2:5" x14ac:dyDescent="0.3">
      <c r="B7" s="8"/>
      <c r="C7" s="7" t="s">
        <v>395</v>
      </c>
      <c r="D7" s="7"/>
      <c r="E7" s="7"/>
    </row>
    <row r="8" spans="2:5" x14ac:dyDescent="0.3">
      <c r="B8" s="7"/>
      <c r="C8" s="8"/>
    </row>
    <row r="9" spans="2:5" x14ac:dyDescent="0.3">
      <c r="B9" s="8"/>
      <c r="C9" s="9" t="s">
        <v>396</v>
      </c>
    </row>
    <row r="10" spans="2:5" x14ac:dyDescent="0.3">
      <c r="B10" s="9"/>
      <c r="C10" s="9"/>
    </row>
    <row r="11" spans="2:5" ht="79.2" x14ac:dyDescent="0.3">
      <c r="B11" s="9"/>
      <c r="C11" s="9" t="s">
        <v>397</v>
      </c>
    </row>
    <row r="12" spans="2:5" x14ac:dyDescent="0.3">
      <c r="B12" s="9"/>
      <c r="C12" s="8"/>
    </row>
    <row r="13" spans="2:5" ht="39.6" x14ac:dyDescent="0.3">
      <c r="B13" s="8"/>
      <c r="C13" s="8" t="s">
        <v>398</v>
      </c>
    </row>
    <row r="14" spans="2:5" x14ac:dyDescent="0.3">
      <c r="B14" s="8"/>
      <c r="C14" s="8"/>
    </row>
    <row r="15" spans="2:5" x14ac:dyDescent="0.3">
      <c r="B15" s="8"/>
      <c r="C15" s="8" t="s">
        <v>399</v>
      </c>
      <c r="E15" s="8"/>
    </row>
    <row r="16" spans="2:5" ht="26.4" x14ac:dyDescent="0.3">
      <c r="C16" s="8" t="s">
        <v>400</v>
      </c>
    </row>
    <row r="17" spans="2:3" ht="26.4" x14ac:dyDescent="0.3">
      <c r="B17" s="8"/>
      <c r="C17" s="8" t="s">
        <v>401</v>
      </c>
    </row>
    <row r="18" spans="2:3" ht="26.4" x14ac:dyDescent="0.3">
      <c r="B18" s="8"/>
      <c r="C18" s="8" t="s">
        <v>402</v>
      </c>
    </row>
    <row r="19" spans="2:3" ht="26.4" x14ac:dyDescent="0.3">
      <c r="B19" s="8"/>
      <c r="C19" s="8" t="s">
        <v>403</v>
      </c>
    </row>
    <row r="20" spans="2:3" x14ac:dyDescent="0.3">
      <c r="B20" s="8"/>
      <c r="C20" s="8" t="s">
        <v>404</v>
      </c>
    </row>
    <row r="21" spans="2:3" x14ac:dyDescent="0.3">
      <c r="B21" s="8"/>
      <c r="C21" s="8" t="s">
        <v>405</v>
      </c>
    </row>
    <row r="22" spans="2:3" ht="39.6" x14ac:dyDescent="0.3">
      <c r="B22" s="8"/>
      <c r="C22" s="8" t="s">
        <v>406</v>
      </c>
    </row>
    <row r="23" spans="2:3" ht="39.6" x14ac:dyDescent="0.3">
      <c r="B23" s="8"/>
      <c r="C23" s="8" t="s">
        <v>407</v>
      </c>
    </row>
    <row r="24" spans="2:3" ht="26.4" x14ac:dyDescent="0.3">
      <c r="B24" s="8"/>
      <c r="C24" s="8" t="s">
        <v>408</v>
      </c>
    </row>
    <row r="25" spans="2:3" ht="39.6" x14ac:dyDescent="0.3">
      <c r="B25" s="8"/>
      <c r="C25" s="8" t="s">
        <v>409</v>
      </c>
    </row>
    <row r="26" spans="2:3" x14ac:dyDescent="0.3">
      <c r="B26" s="8"/>
      <c r="C26" s="9"/>
    </row>
    <row r="27" spans="2:3" x14ac:dyDescent="0.3">
      <c r="B27" s="9"/>
      <c r="C27" s="9" t="s">
        <v>410</v>
      </c>
    </row>
    <row r="28" spans="2:3" x14ac:dyDescent="0.3">
      <c r="B28" s="9"/>
      <c r="C28" s="44"/>
    </row>
    <row r="29" spans="2:3" ht="39.6" x14ac:dyDescent="0.3">
      <c r="B29" s="44"/>
      <c r="C29" s="8" t="s">
        <v>845</v>
      </c>
    </row>
    <row r="30" spans="2:3" x14ac:dyDescent="0.3">
      <c r="B30" s="8"/>
      <c r="C30" s="8"/>
    </row>
    <row r="31" spans="2:3" ht="39.6" x14ac:dyDescent="0.3">
      <c r="B31" s="8"/>
      <c r="C31" s="8" t="s">
        <v>844</v>
      </c>
    </row>
    <row r="32" spans="2:3" x14ac:dyDescent="0.3">
      <c r="B32" s="8"/>
      <c r="C32" s="8"/>
    </row>
    <row r="33" spans="2:5" ht="52.8" x14ac:dyDescent="0.3">
      <c r="B33" s="8"/>
      <c r="C33" s="8" t="s">
        <v>411</v>
      </c>
    </row>
    <row r="34" spans="2:5" x14ac:dyDescent="0.3">
      <c r="B34" s="8"/>
      <c r="C34" s="8"/>
    </row>
    <row r="35" spans="2:5" x14ac:dyDescent="0.3">
      <c r="B35" s="8"/>
      <c r="C35" s="7" t="s">
        <v>412</v>
      </c>
      <c r="D35" s="7"/>
      <c r="E35" s="7"/>
    </row>
    <row r="36" spans="2:5" x14ac:dyDescent="0.3">
      <c r="B36" s="7"/>
      <c r="C36" s="8"/>
    </row>
    <row r="37" spans="2:5" x14ac:dyDescent="0.3">
      <c r="B37" s="8"/>
      <c r="C37" s="9" t="s">
        <v>413</v>
      </c>
    </row>
    <row r="38" spans="2:5" ht="26.4" x14ac:dyDescent="0.3">
      <c r="B38" s="9"/>
      <c r="C38" s="8" t="s">
        <v>414</v>
      </c>
    </row>
    <row r="39" spans="2:5" x14ac:dyDescent="0.3">
      <c r="B39" s="8"/>
      <c r="C39" s="8"/>
    </row>
    <row r="40" spans="2:5" x14ac:dyDescent="0.3">
      <c r="B40" s="8"/>
      <c r="C40" s="9" t="s">
        <v>415</v>
      </c>
    </row>
    <row r="41" spans="2:5" ht="39.6" x14ac:dyDescent="0.3">
      <c r="B41" s="9"/>
      <c r="C41" s="8" t="s">
        <v>416</v>
      </c>
    </row>
    <row r="42" spans="2:5" x14ac:dyDescent="0.3">
      <c r="B42" s="8"/>
      <c r="C42" s="8"/>
    </row>
    <row r="43" spans="2:5" x14ac:dyDescent="0.3">
      <c r="B43" s="8"/>
      <c r="C43" s="9" t="s">
        <v>417</v>
      </c>
    </row>
    <row r="44" spans="2:5" x14ac:dyDescent="0.3">
      <c r="B44" s="9"/>
      <c r="C44" s="8" t="s">
        <v>418</v>
      </c>
    </row>
    <row r="45" spans="2:5" x14ac:dyDescent="0.3">
      <c r="B45" s="8"/>
      <c r="C45" s="9"/>
    </row>
    <row r="46" spans="2:5" x14ac:dyDescent="0.3">
      <c r="B46" s="9"/>
      <c r="C46" s="9" t="s">
        <v>419</v>
      </c>
    </row>
    <row r="47" spans="2:5" ht="39.6" x14ac:dyDescent="0.3">
      <c r="B47" s="9"/>
      <c r="C47" s="8" t="s">
        <v>420</v>
      </c>
    </row>
    <row r="48" spans="2:5" ht="26.4" x14ac:dyDescent="0.3">
      <c r="B48" s="8"/>
      <c r="C48" s="8" t="s">
        <v>421</v>
      </c>
    </row>
    <row r="49" spans="2:5" x14ac:dyDescent="0.3">
      <c r="B49" s="8"/>
      <c r="C49" s="8"/>
    </row>
    <row r="50" spans="2:5" x14ac:dyDescent="0.3">
      <c r="B50" s="8"/>
      <c r="C50" s="9" t="s">
        <v>422</v>
      </c>
    </row>
    <row r="51" spans="2:5" ht="39.6" x14ac:dyDescent="0.3">
      <c r="B51" s="9"/>
      <c r="C51" s="8" t="s">
        <v>423</v>
      </c>
    </row>
    <row r="52" spans="2:5" x14ac:dyDescent="0.3">
      <c r="B52" s="8"/>
      <c r="C52" s="8"/>
    </row>
    <row r="53" spans="2:5" x14ac:dyDescent="0.3">
      <c r="B53" s="8"/>
      <c r="C53" s="9" t="s">
        <v>424</v>
      </c>
    </row>
    <row r="54" spans="2:5" ht="39.6" x14ac:dyDescent="0.3">
      <c r="B54" s="9"/>
      <c r="C54" s="8" t="s">
        <v>425</v>
      </c>
    </row>
    <row r="55" spans="2:5" x14ac:dyDescent="0.3">
      <c r="B55" s="8"/>
      <c r="C55" s="10"/>
    </row>
    <row r="56" spans="2:5" x14ac:dyDescent="0.3">
      <c r="B56" s="10"/>
      <c r="C56" s="10" t="s">
        <v>426</v>
      </c>
      <c r="D56" s="10"/>
      <c r="E56" s="10"/>
    </row>
    <row r="57" spans="2:5" x14ac:dyDescent="0.3">
      <c r="B57" s="10"/>
      <c r="C57" s="11" t="s">
        <v>427</v>
      </c>
    </row>
    <row r="58" spans="2:5" x14ac:dyDescent="0.3">
      <c r="B58" s="11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C1:J96"/>
  <sheetViews>
    <sheetView showGridLines="0" topLeftCell="B77" zoomScaleNormal="100" workbookViewId="0">
      <selection activeCell="I91" sqref="I91"/>
    </sheetView>
  </sheetViews>
  <sheetFormatPr baseColWidth="10" defaultColWidth="11.44140625" defaultRowHeight="11.4" x14ac:dyDescent="0.2"/>
  <cols>
    <col min="1" max="1" width="11.44140625" style="65"/>
    <col min="2" max="2" width="14.88671875" style="65" customWidth="1"/>
    <col min="3" max="3" width="47.44140625" style="65" bestFit="1" customWidth="1"/>
    <col min="4" max="4" width="11.88671875" style="65" bestFit="1" customWidth="1"/>
    <col min="5" max="5" width="15.44140625" style="65" bestFit="1" customWidth="1"/>
    <col min="6" max="6" width="9.88671875" style="65" bestFit="1" customWidth="1"/>
    <col min="7" max="7" width="13.109375" style="65" bestFit="1" customWidth="1"/>
    <col min="8" max="8" width="12.44140625" style="65" customWidth="1"/>
    <col min="9" max="9" width="13.88671875" style="65" bestFit="1" customWidth="1"/>
    <col min="10" max="10" width="14.109375" style="65" bestFit="1" customWidth="1"/>
    <col min="11" max="16384" width="11.44140625" style="65"/>
  </cols>
  <sheetData>
    <row r="1" spans="3:5" x14ac:dyDescent="0.2">
      <c r="C1" s="73" t="s">
        <v>19</v>
      </c>
    </row>
    <row r="3" spans="3:5" ht="12" x14ac:dyDescent="0.2">
      <c r="C3" s="74" t="s">
        <v>428</v>
      </c>
      <c r="D3" s="74"/>
    </row>
    <row r="4" spans="3:5" ht="18.75" customHeight="1" x14ac:dyDescent="0.2">
      <c r="C4" s="75" t="s">
        <v>429</v>
      </c>
    </row>
    <row r="5" spans="3:5" x14ac:dyDescent="0.2">
      <c r="C5" s="76"/>
    </row>
    <row r="6" spans="3:5" ht="12" x14ac:dyDescent="0.2">
      <c r="C6" s="77" t="s">
        <v>430</v>
      </c>
      <c r="D6" s="103">
        <v>44104</v>
      </c>
      <c r="E6" s="103">
        <v>43738</v>
      </c>
    </row>
    <row r="7" spans="3:5" x14ac:dyDescent="0.2">
      <c r="C7" s="78" t="s">
        <v>431</v>
      </c>
      <c r="D7" s="79">
        <v>6979.36</v>
      </c>
      <c r="E7" s="79">
        <v>6375.54</v>
      </c>
    </row>
    <row r="8" spans="3:5" x14ac:dyDescent="0.2">
      <c r="C8" s="80" t="s">
        <v>432</v>
      </c>
      <c r="D8" s="79">
        <v>6990.35</v>
      </c>
      <c r="E8" s="79">
        <v>6384.71</v>
      </c>
    </row>
    <row r="9" spans="3:5" x14ac:dyDescent="0.2">
      <c r="C9" s="76"/>
    </row>
    <row r="15" spans="3:5" ht="12" x14ac:dyDescent="0.2">
      <c r="C15" s="75" t="s">
        <v>433</v>
      </c>
    </row>
    <row r="16" spans="3:5" ht="12" x14ac:dyDescent="0.2">
      <c r="C16" s="75"/>
    </row>
    <row r="17" spans="3:10" ht="12" x14ac:dyDescent="0.2">
      <c r="C17" s="81" t="s">
        <v>434</v>
      </c>
    </row>
    <row r="20" spans="3:10" ht="60" x14ac:dyDescent="0.2">
      <c r="C20" s="77" t="s">
        <v>435</v>
      </c>
      <c r="D20" s="417" t="s">
        <v>436</v>
      </c>
      <c r="E20" s="417" t="s">
        <v>437</v>
      </c>
      <c r="F20" s="417" t="s">
        <v>438</v>
      </c>
      <c r="G20" s="417" t="s">
        <v>436</v>
      </c>
      <c r="H20" s="417" t="s">
        <v>437</v>
      </c>
      <c r="I20" s="417" t="s">
        <v>840</v>
      </c>
    </row>
    <row r="21" spans="3:10" ht="12" x14ac:dyDescent="0.2">
      <c r="C21" s="82" t="s">
        <v>104</v>
      </c>
      <c r="D21" s="83"/>
      <c r="E21" s="83"/>
      <c r="F21" s="83"/>
      <c r="G21" s="83"/>
      <c r="H21" s="83"/>
      <c r="I21" s="83"/>
    </row>
    <row r="22" spans="3:10" ht="12" x14ac:dyDescent="0.2">
      <c r="C22" s="82" t="s">
        <v>439</v>
      </c>
      <c r="D22" s="83"/>
      <c r="E22" s="83"/>
      <c r="F22" s="83"/>
      <c r="G22" s="83"/>
      <c r="H22" s="83"/>
      <c r="I22" s="83"/>
    </row>
    <row r="23" spans="3:10" ht="12" x14ac:dyDescent="0.2">
      <c r="C23" s="82" t="s">
        <v>440</v>
      </c>
      <c r="D23" s="83"/>
      <c r="E23" s="84"/>
      <c r="F23" s="83"/>
      <c r="G23" s="83"/>
      <c r="H23" s="84"/>
      <c r="I23" s="83"/>
      <c r="J23" s="66"/>
    </row>
    <row r="24" spans="3:10" x14ac:dyDescent="0.2">
      <c r="C24" s="83" t="s">
        <v>114</v>
      </c>
      <c r="D24" s="85" t="s">
        <v>441</v>
      </c>
      <c r="E24" s="86">
        <v>0</v>
      </c>
      <c r="F24" s="87">
        <f>+D7</f>
        <v>6979.36</v>
      </c>
      <c r="G24" s="85" t="s">
        <v>441</v>
      </c>
      <c r="H24" s="86">
        <v>0</v>
      </c>
      <c r="I24" s="87">
        <f>+E7</f>
        <v>6375.54</v>
      </c>
    </row>
    <row r="25" spans="3:10" x14ac:dyDescent="0.2">
      <c r="C25" s="83" t="s">
        <v>118</v>
      </c>
      <c r="D25" s="85" t="s">
        <v>441</v>
      </c>
      <c r="E25" s="86">
        <f>333397.17+189143.52</f>
        <v>522540.68999999994</v>
      </c>
      <c r="F25" s="87">
        <v>6979.36</v>
      </c>
      <c r="G25" s="85" t="s">
        <v>441</v>
      </c>
      <c r="H25" s="86">
        <v>104851.53</v>
      </c>
      <c r="I25" s="86">
        <v>6375.54</v>
      </c>
    </row>
    <row r="26" spans="3:10" ht="12" x14ac:dyDescent="0.2">
      <c r="C26" s="82" t="s">
        <v>181</v>
      </c>
      <c r="D26" s="83"/>
      <c r="E26" s="86"/>
      <c r="F26" s="87">
        <v>6979.36</v>
      </c>
      <c r="G26" s="83"/>
      <c r="H26" s="86"/>
      <c r="I26" s="449">
        <v>6375.54</v>
      </c>
    </row>
    <row r="27" spans="3:10" x14ac:dyDescent="0.2">
      <c r="C27" s="83" t="s">
        <v>134</v>
      </c>
      <c r="D27" s="85" t="s">
        <v>441</v>
      </c>
      <c r="E27" s="86">
        <v>0</v>
      </c>
      <c r="F27" s="87">
        <v>6979.36</v>
      </c>
      <c r="G27" s="85" t="s">
        <v>441</v>
      </c>
      <c r="H27" s="86">
        <v>90881.81</v>
      </c>
      <c r="I27" s="86">
        <v>6375.54</v>
      </c>
    </row>
    <row r="28" spans="3:10" x14ac:dyDescent="0.2">
      <c r="C28" s="83" t="s">
        <v>442</v>
      </c>
      <c r="D28" s="85" t="s">
        <v>441</v>
      </c>
      <c r="E28" s="86">
        <v>0</v>
      </c>
      <c r="F28" s="87">
        <v>6979.36</v>
      </c>
      <c r="G28" s="85" t="s">
        <v>441</v>
      </c>
      <c r="H28" s="86">
        <v>0</v>
      </c>
      <c r="I28" s="86">
        <v>6375.54</v>
      </c>
    </row>
    <row r="29" spans="3:10" x14ac:dyDescent="0.2">
      <c r="C29" s="83" t="s">
        <v>443</v>
      </c>
      <c r="D29" s="85" t="s">
        <v>441</v>
      </c>
      <c r="E29" s="86">
        <v>0</v>
      </c>
      <c r="F29" s="87">
        <v>6979.36</v>
      </c>
      <c r="G29" s="85" t="s">
        <v>441</v>
      </c>
      <c r="H29" s="86">
        <v>0</v>
      </c>
      <c r="I29" s="86">
        <v>6375.54</v>
      </c>
    </row>
    <row r="30" spans="3:10" x14ac:dyDescent="0.2">
      <c r="C30" s="83" t="s">
        <v>444</v>
      </c>
      <c r="D30" s="85" t="s">
        <v>441</v>
      </c>
      <c r="E30" s="86">
        <v>0</v>
      </c>
      <c r="F30" s="87">
        <v>6979.36</v>
      </c>
      <c r="G30" s="85" t="s">
        <v>441</v>
      </c>
      <c r="H30" s="86">
        <v>0</v>
      </c>
      <c r="I30" s="86">
        <v>6375.54</v>
      </c>
    </row>
    <row r="31" spans="3:10" x14ac:dyDescent="0.2">
      <c r="C31" s="83" t="s">
        <v>142</v>
      </c>
      <c r="D31" s="85" t="s">
        <v>441</v>
      </c>
      <c r="E31" s="86">
        <v>0</v>
      </c>
      <c r="F31" s="87">
        <v>6979.36</v>
      </c>
      <c r="G31" s="85" t="s">
        <v>441</v>
      </c>
      <c r="H31" s="86">
        <v>0</v>
      </c>
      <c r="I31" s="86">
        <v>6375.54</v>
      </c>
    </row>
    <row r="32" spans="3:10" x14ac:dyDescent="0.2">
      <c r="C32" s="83" t="s">
        <v>445</v>
      </c>
      <c r="D32" s="85" t="s">
        <v>441</v>
      </c>
      <c r="E32" s="86">
        <v>0</v>
      </c>
      <c r="F32" s="87">
        <v>6979.36</v>
      </c>
      <c r="G32" s="85" t="s">
        <v>441</v>
      </c>
      <c r="H32" s="86">
        <v>0</v>
      </c>
      <c r="I32" s="86">
        <v>6375.54</v>
      </c>
    </row>
    <row r="33" spans="3:9" ht="12" x14ac:dyDescent="0.2">
      <c r="C33" s="82" t="s">
        <v>446</v>
      </c>
      <c r="D33" s="83"/>
      <c r="E33" s="86"/>
      <c r="F33" s="87">
        <v>6979.36</v>
      </c>
      <c r="G33" s="83"/>
      <c r="H33" s="86"/>
      <c r="I33" s="449">
        <v>6375.54</v>
      </c>
    </row>
    <row r="34" spans="3:9" x14ac:dyDescent="0.2">
      <c r="C34" s="83" t="s">
        <v>447</v>
      </c>
      <c r="D34" s="85" t="s">
        <v>441</v>
      </c>
      <c r="E34" s="86">
        <v>0</v>
      </c>
      <c r="F34" s="87">
        <v>6979.36</v>
      </c>
      <c r="G34" s="85" t="s">
        <v>441</v>
      </c>
      <c r="H34" s="86">
        <v>0</v>
      </c>
      <c r="I34" s="86">
        <v>6375.54</v>
      </c>
    </row>
    <row r="35" spans="3:9" x14ac:dyDescent="0.2">
      <c r="C35" s="83" t="s">
        <v>448</v>
      </c>
      <c r="D35" s="85" t="s">
        <v>441</v>
      </c>
      <c r="E35" s="86">
        <v>0</v>
      </c>
      <c r="F35" s="87">
        <v>6979.36</v>
      </c>
      <c r="G35" s="85" t="s">
        <v>441</v>
      </c>
      <c r="H35" s="86">
        <v>0</v>
      </c>
      <c r="I35" s="86">
        <v>6375.54</v>
      </c>
    </row>
    <row r="36" spans="3:9" ht="12" x14ac:dyDescent="0.2">
      <c r="C36" s="82" t="s">
        <v>149</v>
      </c>
      <c r="D36" s="83"/>
      <c r="E36" s="86"/>
      <c r="F36" s="87">
        <v>6979.36</v>
      </c>
      <c r="G36" s="83"/>
      <c r="H36" s="86"/>
      <c r="I36" s="449">
        <v>6375.54</v>
      </c>
    </row>
    <row r="37" spans="3:9" x14ac:dyDescent="0.2">
      <c r="C37" s="83" t="s">
        <v>449</v>
      </c>
      <c r="D37" s="85" t="s">
        <v>441</v>
      </c>
      <c r="E37" s="86">
        <v>0</v>
      </c>
      <c r="F37" s="87">
        <v>6979.36</v>
      </c>
      <c r="G37" s="85" t="s">
        <v>441</v>
      </c>
      <c r="H37" s="86">
        <v>0</v>
      </c>
      <c r="I37" s="86">
        <v>6375.54</v>
      </c>
    </row>
    <row r="38" spans="3:9" x14ac:dyDescent="0.2">
      <c r="C38" s="83" t="s">
        <v>450</v>
      </c>
      <c r="D38" s="85" t="s">
        <v>441</v>
      </c>
      <c r="E38" s="86">
        <v>0</v>
      </c>
      <c r="F38" s="87">
        <v>6979.36</v>
      </c>
      <c r="G38" s="85" t="s">
        <v>441</v>
      </c>
      <c r="H38" s="86">
        <v>0</v>
      </c>
      <c r="I38" s="86">
        <v>6375.54</v>
      </c>
    </row>
    <row r="39" spans="3:9" ht="12" x14ac:dyDescent="0.2">
      <c r="C39" s="88" t="s">
        <v>165</v>
      </c>
      <c r="D39" s="85"/>
      <c r="E39" s="86"/>
      <c r="F39" s="87">
        <v>6979.36</v>
      </c>
      <c r="G39" s="85"/>
      <c r="H39" s="86"/>
      <c r="I39" s="86">
        <v>6375.54</v>
      </c>
    </row>
    <row r="40" spans="3:9" ht="12" x14ac:dyDescent="0.2">
      <c r="C40" s="89" t="s">
        <v>181</v>
      </c>
      <c r="D40" s="90"/>
      <c r="E40" s="86"/>
      <c r="F40" s="87">
        <v>6979.36</v>
      </c>
      <c r="G40" s="90"/>
      <c r="H40" s="86"/>
      <c r="I40" s="450">
        <v>6375.54</v>
      </c>
    </row>
    <row r="41" spans="3:9" ht="14.25" customHeight="1" x14ac:dyDescent="0.2">
      <c r="C41" s="90" t="s">
        <v>451</v>
      </c>
      <c r="D41" s="91" t="s">
        <v>441</v>
      </c>
      <c r="E41" s="86">
        <v>0</v>
      </c>
      <c r="F41" s="87">
        <v>6979.36</v>
      </c>
      <c r="G41" s="91" t="s">
        <v>441</v>
      </c>
      <c r="H41" s="86">
        <v>0</v>
      </c>
      <c r="I41" s="86">
        <v>6375.54</v>
      </c>
    </row>
    <row r="42" spans="3:9" ht="12" x14ac:dyDescent="0.2">
      <c r="C42" s="89" t="s">
        <v>452</v>
      </c>
      <c r="D42" s="90"/>
      <c r="E42" s="86"/>
      <c r="F42" s="87">
        <v>6979.36</v>
      </c>
      <c r="G42" s="90"/>
      <c r="H42" s="86"/>
      <c r="I42" s="450">
        <v>6375.54</v>
      </c>
    </row>
    <row r="43" spans="3:9" x14ac:dyDescent="0.2">
      <c r="C43" s="90" t="s">
        <v>453</v>
      </c>
      <c r="D43" s="91" t="s">
        <v>441</v>
      </c>
      <c r="E43" s="86">
        <v>0</v>
      </c>
      <c r="F43" s="87">
        <v>6979.36</v>
      </c>
      <c r="G43" s="91" t="s">
        <v>441</v>
      </c>
      <c r="H43" s="86">
        <v>0</v>
      </c>
      <c r="I43" s="86">
        <v>6375.54</v>
      </c>
    </row>
    <row r="44" spans="3:9" x14ac:dyDescent="0.2">
      <c r="C44" s="90" t="s">
        <v>454</v>
      </c>
      <c r="D44" s="91" t="s">
        <v>441</v>
      </c>
      <c r="E44" s="86">
        <f>1726982.61+904762.5</f>
        <v>2631745.1100000003</v>
      </c>
      <c r="F44" s="87">
        <v>6979.36</v>
      </c>
      <c r="G44" s="91" t="s">
        <v>441</v>
      </c>
      <c r="H44" s="86">
        <v>385179.78</v>
      </c>
      <c r="I44" s="86">
        <v>6375.54</v>
      </c>
    </row>
    <row r="45" spans="3:9" x14ac:dyDescent="0.2">
      <c r="C45" s="90" t="s">
        <v>455</v>
      </c>
      <c r="D45" s="91" t="s">
        <v>441</v>
      </c>
      <c r="E45" s="86"/>
      <c r="F45" s="87">
        <v>6979.36</v>
      </c>
      <c r="G45" s="91" t="s">
        <v>441</v>
      </c>
      <c r="H45" s="86">
        <v>0</v>
      </c>
      <c r="I45" s="86">
        <v>6375.54</v>
      </c>
    </row>
    <row r="46" spans="3:9" ht="12" x14ac:dyDescent="0.2">
      <c r="C46" s="89" t="s">
        <v>456</v>
      </c>
      <c r="D46" s="90"/>
      <c r="E46" s="86"/>
      <c r="F46" s="87">
        <v>6979.36</v>
      </c>
      <c r="G46" s="90"/>
      <c r="H46" s="86"/>
      <c r="I46" s="86">
        <v>6375.54</v>
      </c>
    </row>
    <row r="47" spans="3:9" x14ac:dyDescent="0.2">
      <c r="C47" s="90" t="s">
        <v>457</v>
      </c>
      <c r="D47" s="91" t="s">
        <v>441</v>
      </c>
      <c r="E47" s="86">
        <v>0</v>
      </c>
      <c r="F47" s="87">
        <v>6979.36</v>
      </c>
      <c r="G47" s="91" t="s">
        <v>441</v>
      </c>
      <c r="H47" s="86"/>
      <c r="I47" s="86">
        <v>6375.54</v>
      </c>
    </row>
    <row r="48" spans="3:9" x14ac:dyDescent="0.2">
      <c r="C48" s="90" t="s">
        <v>458</v>
      </c>
      <c r="D48" s="91" t="s">
        <v>441</v>
      </c>
      <c r="E48" s="86">
        <v>0</v>
      </c>
      <c r="F48" s="87">
        <v>6979.36</v>
      </c>
      <c r="G48" s="91" t="s">
        <v>441</v>
      </c>
      <c r="H48" s="86"/>
      <c r="I48" s="86">
        <v>6375.54</v>
      </c>
    </row>
    <row r="49" spans="3:9" ht="12" x14ac:dyDescent="0.2">
      <c r="C49" s="89" t="s">
        <v>459</v>
      </c>
      <c r="D49" s="90"/>
      <c r="E49" s="86"/>
      <c r="F49" s="87">
        <v>6979.36</v>
      </c>
      <c r="G49" s="90"/>
      <c r="H49" s="86"/>
      <c r="I49" s="86">
        <v>6375.54</v>
      </c>
    </row>
    <row r="50" spans="3:9" x14ac:dyDescent="0.2">
      <c r="C50" s="90" t="s">
        <v>203</v>
      </c>
      <c r="D50" s="91" t="s">
        <v>441</v>
      </c>
      <c r="E50" s="86">
        <v>0</v>
      </c>
      <c r="F50" s="87">
        <v>6979.36</v>
      </c>
      <c r="G50" s="91" t="s">
        <v>441</v>
      </c>
      <c r="H50" s="86">
        <v>0</v>
      </c>
      <c r="I50" s="86">
        <v>6375.54</v>
      </c>
    </row>
    <row r="51" spans="3:9" x14ac:dyDescent="0.2">
      <c r="C51" s="90" t="s">
        <v>204</v>
      </c>
      <c r="D51" s="91" t="s">
        <v>441</v>
      </c>
      <c r="E51" s="86">
        <v>0</v>
      </c>
      <c r="F51" s="87">
        <v>6979.36</v>
      </c>
      <c r="G51" s="91" t="s">
        <v>441</v>
      </c>
      <c r="H51" s="86">
        <v>0</v>
      </c>
      <c r="I51" s="86">
        <v>6375.54</v>
      </c>
    </row>
    <row r="52" spans="3:9" x14ac:dyDescent="0.2">
      <c r="C52" s="90" t="s">
        <v>207</v>
      </c>
      <c r="D52" s="91" t="s">
        <v>441</v>
      </c>
      <c r="E52" s="86">
        <v>0</v>
      </c>
      <c r="F52" s="87">
        <v>6979.36</v>
      </c>
      <c r="G52" s="91" t="s">
        <v>441</v>
      </c>
      <c r="H52" s="86">
        <v>0</v>
      </c>
      <c r="I52" s="86">
        <v>6375.54</v>
      </c>
    </row>
    <row r="53" spans="3:9" x14ac:dyDescent="0.2">
      <c r="C53" s="90" t="s">
        <v>460</v>
      </c>
      <c r="D53" s="91" t="s">
        <v>441</v>
      </c>
      <c r="E53" s="86">
        <v>0</v>
      </c>
      <c r="F53" s="87">
        <v>6979.36</v>
      </c>
      <c r="G53" s="91" t="s">
        <v>441</v>
      </c>
      <c r="H53" s="86">
        <v>0</v>
      </c>
      <c r="I53" s="86">
        <v>6375.54</v>
      </c>
    </row>
    <row r="54" spans="3:9" x14ac:dyDescent="0.2">
      <c r="C54" s="90" t="s">
        <v>209</v>
      </c>
      <c r="D54" s="91" t="s">
        <v>441</v>
      </c>
      <c r="E54" s="86">
        <v>0</v>
      </c>
      <c r="F54" s="87">
        <v>6979.36</v>
      </c>
      <c r="G54" s="91" t="s">
        <v>441</v>
      </c>
      <c r="H54" s="86">
        <v>0</v>
      </c>
      <c r="I54" s="86">
        <v>6375.54</v>
      </c>
    </row>
    <row r="55" spans="3:9" ht="12" x14ac:dyDescent="0.2">
      <c r="C55" s="88" t="s">
        <v>149</v>
      </c>
      <c r="D55" s="92"/>
      <c r="E55" s="86"/>
      <c r="F55" s="87">
        <v>6979.36</v>
      </c>
      <c r="G55" s="92"/>
      <c r="H55" s="86"/>
      <c r="I55" s="86">
        <v>6375.54</v>
      </c>
    </row>
    <row r="56" spans="3:9" x14ac:dyDescent="0.2">
      <c r="C56" s="90" t="s">
        <v>461</v>
      </c>
      <c r="D56" s="91" t="s">
        <v>441</v>
      </c>
      <c r="E56" s="86">
        <v>0</v>
      </c>
      <c r="F56" s="87">
        <v>6979.36</v>
      </c>
      <c r="G56" s="91" t="s">
        <v>441</v>
      </c>
      <c r="H56" s="86">
        <v>0</v>
      </c>
      <c r="I56" s="86">
        <v>6375.54</v>
      </c>
    </row>
    <row r="60" spans="3:9" ht="60" x14ac:dyDescent="0.2">
      <c r="C60" s="77" t="s">
        <v>435</v>
      </c>
      <c r="D60" s="417" t="s">
        <v>436</v>
      </c>
      <c r="E60" s="417" t="s">
        <v>437</v>
      </c>
      <c r="F60" s="417" t="str">
        <f>+F20</f>
        <v>CAMBIO CIERRE PERIODO ACTUAL 30/09/2020</v>
      </c>
      <c r="G60" s="417" t="s">
        <v>436</v>
      </c>
      <c r="H60" s="417" t="s">
        <v>437</v>
      </c>
      <c r="I60" s="417" t="str">
        <f>+I20</f>
        <v>CAMBIO CIERRE PERIODO ANTERIOR 30/09/2019</v>
      </c>
    </row>
    <row r="61" spans="3:9" ht="12" x14ac:dyDescent="0.2">
      <c r="C61" s="88" t="s">
        <v>107</v>
      </c>
      <c r="D61" s="92"/>
      <c r="E61" s="92"/>
      <c r="F61" s="92"/>
      <c r="G61" s="92"/>
      <c r="H61" s="92"/>
      <c r="I61" s="92"/>
    </row>
    <row r="62" spans="3:9" ht="12" x14ac:dyDescent="0.2">
      <c r="C62" s="88" t="s">
        <v>110</v>
      </c>
      <c r="D62" s="92"/>
      <c r="E62" s="92"/>
      <c r="F62" s="92"/>
      <c r="G62" s="92"/>
      <c r="H62" s="92"/>
      <c r="I62" s="92"/>
    </row>
    <row r="63" spans="3:9" ht="12" x14ac:dyDescent="0.2">
      <c r="C63" s="82" t="s">
        <v>462</v>
      </c>
      <c r="D63" s="83"/>
      <c r="E63" s="84"/>
      <c r="F63" s="93"/>
      <c r="G63" s="83"/>
      <c r="H63" s="84"/>
      <c r="I63" s="83"/>
    </row>
    <row r="64" spans="3:9" x14ac:dyDescent="0.2">
      <c r="C64" s="83" t="s">
        <v>463</v>
      </c>
      <c r="D64" s="85" t="s">
        <v>441</v>
      </c>
      <c r="E64" s="86">
        <v>0</v>
      </c>
      <c r="F64" s="87">
        <f>+D8</f>
        <v>6990.35</v>
      </c>
      <c r="G64" s="85" t="s">
        <v>441</v>
      </c>
      <c r="H64" s="86">
        <v>18059.689999999999</v>
      </c>
      <c r="I64" s="87">
        <f>+E8</f>
        <v>6384.71</v>
      </c>
    </row>
    <row r="65" spans="3:9" x14ac:dyDescent="0.2">
      <c r="C65" s="83" t="s">
        <v>464</v>
      </c>
      <c r="D65" s="85" t="s">
        <v>441</v>
      </c>
      <c r="E65" s="86">
        <v>0</v>
      </c>
      <c r="F65" s="87">
        <v>6990.35</v>
      </c>
      <c r="G65" s="85" t="s">
        <v>441</v>
      </c>
      <c r="H65" s="86">
        <v>215211</v>
      </c>
      <c r="I65" s="87">
        <v>6384.71</v>
      </c>
    </row>
    <row r="66" spans="3:9" x14ac:dyDescent="0.2">
      <c r="C66" s="83" t="s">
        <v>465</v>
      </c>
      <c r="D66" s="85" t="s">
        <v>441</v>
      </c>
      <c r="E66" s="86">
        <v>0</v>
      </c>
      <c r="F66" s="87">
        <v>6990.35</v>
      </c>
      <c r="G66" s="85" t="s">
        <v>441</v>
      </c>
      <c r="H66" s="86">
        <v>0</v>
      </c>
      <c r="I66" s="87">
        <v>6384.71</v>
      </c>
    </row>
    <row r="67" spans="3:9" x14ac:dyDescent="0.2">
      <c r="C67" s="83" t="s">
        <v>466</v>
      </c>
      <c r="D67" s="85" t="s">
        <v>441</v>
      </c>
      <c r="E67" s="86">
        <v>0</v>
      </c>
      <c r="F67" s="87">
        <v>6990.35</v>
      </c>
      <c r="G67" s="85" t="s">
        <v>441</v>
      </c>
      <c r="H67" s="86">
        <v>0</v>
      </c>
      <c r="I67" s="87">
        <v>6384.71</v>
      </c>
    </row>
    <row r="68" spans="3:9" ht="12" x14ac:dyDescent="0.2">
      <c r="C68" s="82" t="s">
        <v>169</v>
      </c>
      <c r="D68" s="83"/>
      <c r="E68" s="86"/>
      <c r="F68" s="93">
        <v>6990.35</v>
      </c>
      <c r="G68" s="83"/>
      <c r="H68" s="86"/>
      <c r="I68" s="93">
        <v>6384.71</v>
      </c>
    </row>
    <row r="69" spans="3:9" x14ac:dyDescent="0.2">
      <c r="C69" s="83" t="s">
        <v>467</v>
      </c>
      <c r="D69" s="85" t="s">
        <v>441</v>
      </c>
      <c r="E69" s="86">
        <v>250000</v>
      </c>
      <c r="F69" s="87">
        <v>6990.35</v>
      </c>
      <c r="G69" s="85" t="s">
        <v>441</v>
      </c>
      <c r="H69" s="86">
        <v>0</v>
      </c>
      <c r="I69" s="87">
        <v>6384.71</v>
      </c>
    </row>
    <row r="70" spans="3:9" x14ac:dyDescent="0.2">
      <c r="C70" s="83" t="s">
        <v>468</v>
      </c>
      <c r="D70" s="85" t="s">
        <v>441</v>
      </c>
      <c r="E70" s="93">
        <v>372.2</v>
      </c>
      <c r="F70" s="87">
        <v>6990.35</v>
      </c>
      <c r="G70" s="85" t="s">
        <v>441</v>
      </c>
      <c r="H70" s="86">
        <v>0</v>
      </c>
      <c r="I70" s="87">
        <v>6384.71</v>
      </c>
    </row>
    <row r="71" spans="3:9" x14ac:dyDescent="0.2">
      <c r="C71" s="83" t="s">
        <v>127</v>
      </c>
      <c r="D71" s="85" t="s">
        <v>441</v>
      </c>
      <c r="E71" s="86">
        <v>0</v>
      </c>
      <c r="F71" s="87">
        <v>6990.35</v>
      </c>
      <c r="G71" s="85" t="s">
        <v>441</v>
      </c>
      <c r="H71" s="86">
        <v>0</v>
      </c>
      <c r="I71" s="87">
        <v>6384.71</v>
      </c>
    </row>
    <row r="72" spans="3:9" ht="12" x14ac:dyDescent="0.2">
      <c r="C72" s="82" t="s">
        <v>133</v>
      </c>
      <c r="D72" s="83"/>
      <c r="E72" s="86"/>
      <c r="F72" s="93">
        <v>6990.35</v>
      </c>
      <c r="G72" s="83"/>
      <c r="H72" s="86"/>
      <c r="I72" s="93">
        <v>6384.71</v>
      </c>
    </row>
    <row r="73" spans="3:9" x14ac:dyDescent="0.2">
      <c r="C73" s="83" t="s">
        <v>469</v>
      </c>
      <c r="D73" s="85" t="s">
        <v>441</v>
      </c>
      <c r="E73" s="86">
        <v>0</v>
      </c>
      <c r="F73" s="87">
        <v>6990.35</v>
      </c>
      <c r="G73" s="85" t="s">
        <v>441</v>
      </c>
      <c r="H73" s="86">
        <v>0</v>
      </c>
      <c r="I73" s="87">
        <v>6384.71</v>
      </c>
    </row>
    <row r="74" spans="3:9" x14ac:dyDescent="0.2">
      <c r="C74" s="83" t="s">
        <v>470</v>
      </c>
      <c r="D74" s="85" t="s">
        <v>441</v>
      </c>
      <c r="E74" s="86">
        <v>0</v>
      </c>
      <c r="F74" s="87">
        <v>6990.35</v>
      </c>
      <c r="G74" s="85" t="s">
        <v>441</v>
      </c>
      <c r="H74" s="86">
        <v>0</v>
      </c>
      <c r="I74" s="87">
        <v>6384.71</v>
      </c>
    </row>
    <row r="75" spans="3:9" x14ac:dyDescent="0.2">
      <c r="C75" s="83" t="s">
        <v>141</v>
      </c>
      <c r="D75" s="85" t="s">
        <v>441</v>
      </c>
      <c r="E75" s="86">
        <v>0</v>
      </c>
      <c r="F75" s="87">
        <v>6990.35</v>
      </c>
      <c r="G75" s="85" t="s">
        <v>441</v>
      </c>
      <c r="H75" s="86">
        <v>0</v>
      </c>
      <c r="I75" s="87">
        <v>6384.71</v>
      </c>
    </row>
    <row r="76" spans="3:9" x14ac:dyDescent="0.2">
      <c r="C76" s="83" t="s">
        <v>158</v>
      </c>
      <c r="D76" s="85" t="s">
        <v>441</v>
      </c>
      <c r="E76" s="86">
        <v>0</v>
      </c>
      <c r="F76" s="87">
        <v>6990.35</v>
      </c>
      <c r="G76" s="85" t="s">
        <v>441</v>
      </c>
      <c r="H76" s="86">
        <v>0</v>
      </c>
      <c r="I76" s="87">
        <v>6384.71</v>
      </c>
    </row>
    <row r="77" spans="3:9" x14ac:dyDescent="0.2">
      <c r="C77" s="83" t="s">
        <v>471</v>
      </c>
      <c r="D77" s="85" t="s">
        <v>441</v>
      </c>
      <c r="E77" s="86">
        <v>0</v>
      </c>
      <c r="F77" s="93">
        <v>6990.35</v>
      </c>
      <c r="G77" s="85" t="s">
        <v>441</v>
      </c>
      <c r="H77" s="86">
        <v>0</v>
      </c>
      <c r="I77" s="93">
        <v>6384.71</v>
      </c>
    </row>
    <row r="78" spans="3:9" ht="12" x14ac:dyDescent="0.2">
      <c r="C78" s="88" t="s">
        <v>472</v>
      </c>
      <c r="D78" s="92"/>
      <c r="E78" s="86"/>
      <c r="F78" s="93">
        <v>6990.35</v>
      </c>
      <c r="G78" s="92"/>
      <c r="H78" s="86"/>
      <c r="I78" s="93">
        <v>6384.71</v>
      </c>
    </row>
    <row r="79" spans="3:9" ht="12" x14ac:dyDescent="0.2">
      <c r="C79" s="82" t="s">
        <v>169</v>
      </c>
      <c r="D79" s="83"/>
      <c r="E79" s="86"/>
      <c r="F79" s="93">
        <v>6990.35</v>
      </c>
      <c r="G79" s="83"/>
      <c r="H79" s="86"/>
      <c r="I79" s="93">
        <v>6384.71</v>
      </c>
    </row>
    <row r="80" spans="3:9" x14ac:dyDescent="0.2">
      <c r="C80" s="83" t="s">
        <v>467</v>
      </c>
      <c r="D80" s="85" t="s">
        <v>441</v>
      </c>
      <c r="E80" s="86">
        <v>0</v>
      </c>
      <c r="F80" s="87">
        <v>6990.35</v>
      </c>
      <c r="G80" s="85" t="s">
        <v>441</v>
      </c>
      <c r="H80" s="86">
        <v>0</v>
      </c>
      <c r="I80" s="87">
        <v>6384.71</v>
      </c>
    </row>
    <row r="81" spans="3:9" x14ac:dyDescent="0.2">
      <c r="C81" s="83" t="s">
        <v>468</v>
      </c>
      <c r="D81" s="85" t="s">
        <v>441</v>
      </c>
      <c r="E81" s="86">
        <v>0</v>
      </c>
      <c r="F81" s="87">
        <v>6990.35</v>
      </c>
      <c r="G81" s="85" t="s">
        <v>441</v>
      </c>
      <c r="H81" s="86">
        <v>0</v>
      </c>
      <c r="I81" s="87">
        <v>6384.71</v>
      </c>
    </row>
    <row r="82" spans="3:9" ht="12" x14ac:dyDescent="0.2">
      <c r="C82" s="82" t="s">
        <v>150</v>
      </c>
      <c r="D82" s="83"/>
      <c r="E82" s="86"/>
      <c r="F82" s="93">
        <v>6990.35</v>
      </c>
      <c r="G82" s="83"/>
      <c r="H82" s="86"/>
      <c r="I82" s="93">
        <v>6384.71</v>
      </c>
    </row>
    <row r="83" spans="3:9" x14ac:dyDescent="0.2">
      <c r="C83" s="83" t="s">
        <v>131</v>
      </c>
      <c r="D83" s="85" t="s">
        <v>441</v>
      </c>
      <c r="E83" s="86">
        <v>0</v>
      </c>
      <c r="F83" s="87">
        <v>6990.35</v>
      </c>
      <c r="G83" s="85" t="s">
        <v>441</v>
      </c>
      <c r="H83" s="86">
        <v>0</v>
      </c>
      <c r="I83" s="87">
        <v>6384.71</v>
      </c>
    </row>
    <row r="84" spans="3:9" x14ac:dyDescent="0.2">
      <c r="C84" s="83" t="s">
        <v>473</v>
      </c>
      <c r="D84" s="85" t="s">
        <v>441</v>
      </c>
      <c r="E84" s="86">
        <v>0</v>
      </c>
      <c r="F84" s="87">
        <v>6990.35</v>
      </c>
      <c r="G84" s="85" t="s">
        <v>441</v>
      </c>
      <c r="H84" s="86">
        <v>0</v>
      </c>
      <c r="I84" s="87">
        <v>6384.71</v>
      </c>
    </row>
    <row r="85" spans="3:9" x14ac:dyDescent="0.2">
      <c r="C85" s="83" t="s">
        <v>474</v>
      </c>
      <c r="D85" s="85" t="s">
        <v>441</v>
      </c>
      <c r="E85" s="86">
        <v>0</v>
      </c>
      <c r="F85" s="87">
        <v>6990.35</v>
      </c>
      <c r="G85" s="85" t="s">
        <v>441</v>
      </c>
      <c r="H85" s="86">
        <v>0</v>
      </c>
      <c r="I85" s="87">
        <v>6384.71</v>
      </c>
    </row>
    <row r="88" spans="3:9" ht="12" x14ac:dyDescent="0.2">
      <c r="C88" s="75" t="s">
        <v>475</v>
      </c>
    </row>
    <row r="90" spans="3:9" ht="12" x14ac:dyDescent="0.25">
      <c r="C90" s="94"/>
      <c r="D90" s="465">
        <v>44104</v>
      </c>
      <c r="E90" s="466"/>
      <c r="F90" s="465">
        <f>+E6</f>
        <v>43738</v>
      </c>
      <c r="G90" s="466"/>
    </row>
    <row r="91" spans="3:9" ht="48" x14ac:dyDescent="0.25">
      <c r="C91" s="417" t="s">
        <v>476</v>
      </c>
      <c r="D91" s="95" t="s">
        <v>477</v>
      </c>
      <c r="E91" s="95" t="s">
        <v>478</v>
      </c>
      <c r="F91" s="95" t="s">
        <v>479</v>
      </c>
      <c r="G91" s="95" t="s">
        <v>480</v>
      </c>
    </row>
    <row r="92" spans="3:9" ht="25.5" customHeight="1" x14ac:dyDescent="0.2">
      <c r="C92" s="96" t="s">
        <v>481</v>
      </c>
      <c r="D92" s="97">
        <f>+D7</f>
        <v>6979.36</v>
      </c>
      <c r="E92" s="98">
        <v>1801232416</v>
      </c>
      <c r="F92" s="99">
        <f>+E7</f>
        <v>6375.54</v>
      </c>
      <c r="G92" s="98">
        <v>744153259</v>
      </c>
      <c r="I92" s="67"/>
    </row>
    <row r="93" spans="3:9" ht="25.5" customHeight="1" x14ac:dyDescent="0.2">
      <c r="C93" s="96" t="s">
        <v>482</v>
      </c>
      <c r="D93" s="97">
        <f>+D8</f>
        <v>6990.35</v>
      </c>
      <c r="E93" s="98"/>
      <c r="F93" s="99">
        <f>+E8</f>
        <v>6384.71</v>
      </c>
      <c r="G93" s="98">
        <v>2363117969</v>
      </c>
    </row>
    <row r="94" spans="3:9" ht="25.5" customHeight="1" x14ac:dyDescent="0.2">
      <c r="C94" s="96" t="s">
        <v>483</v>
      </c>
      <c r="D94" s="97">
        <f>+D92</f>
        <v>6979.36</v>
      </c>
      <c r="E94" s="98">
        <v>17969424</v>
      </c>
      <c r="F94" s="99">
        <f>+F92</f>
        <v>6375.54</v>
      </c>
      <c r="G94" s="98">
        <v>304818991</v>
      </c>
    </row>
    <row r="95" spans="3:9" ht="25.5" customHeight="1" x14ac:dyDescent="0.2">
      <c r="C95" s="96" t="s">
        <v>484</v>
      </c>
      <c r="D95" s="97">
        <f>+D93</f>
        <v>6990.35</v>
      </c>
      <c r="E95" s="98">
        <v>417006509</v>
      </c>
      <c r="F95" s="99">
        <f>+F93</f>
        <v>6384.71</v>
      </c>
      <c r="G95" s="98">
        <v>6688476</v>
      </c>
    </row>
    <row r="96" spans="3:9" ht="12" x14ac:dyDescent="0.25">
      <c r="C96" s="94" t="s">
        <v>485</v>
      </c>
      <c r="D96" s="100"/>
      <c r="E96" s="100">
        <f>+E92+E93-E94-E95</f>
        <v>1366256483</v>
      </c>
      <c r="F96" s="100"/>
      <c r="G96" s="100">
        <f>+G92+G93-G94-G95</f>
        <v>2795763761</v>
      </c>
    </row>
  </sheetData>
  <mergeCells count="2">
    <mergeCell ref="D90:E90"/>
    <mergeCell ref="F90:G90"/>
  </mergeCells>
  <hyperlinks>
    <hyperlink ref="C1" location="'Estado de Resultado Resol. 1'!A1" display="Balance Gral. Resol. 1'!A1" xr:uid="{00000000-0004-0000-0600-000000000000}"/>
  </hyperlinks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B1:H105"/>
  <sheetViews>
    <sheetView showGridLines="0" topLeftCell="A48" zoomScale="125" workbookViewId="0">
      <selection activeCell="B59" sqref="B7:D59"/>
    </sheetView>
  </sheetViews>
  <sheetFormatPr baseColWidth="10" defaultColWidth="11.44140625" defaultRowHeight="11.4" x14ac:dyDescent="0.2"/>
  <cols>
    <col min="1" max="1" width="21.33203125" style="65" customWidth="1"/>
    <col min="2" max="2" width="47.6640625" style="65" customWidth="1"/>
    <col min="3" max="3" width="14.6640625" style="104" bestFit="1" customWidth="1"/>
    <col min="4" max="4" width="14.109375" style="104" bestFit="1" customWidth="1"/>
    <col min="5" max="5" width="37.44140625" style="65" bestFit="1" customWidth="1"/>
    <col min="6" max="6" width="39.6640625" style="66" bestFit="1" customWidth="1"/>
    <col min="7" max="7" width="35" style="65" bestFit="1" customWidth="1"/>
    <col min="8" max="8" width="47.6640625" style="65" bestFit="1" customWidth="1"/>
    <col min="9" max="16384" width="11.44140625" style="65"/>
  </cols>
  <sheetData>
    <row r="1" spans="2:8" x14ac:dyDescent="0.2">
      <c r="B1" s="73" t="s">
        <v>19</v>
      </c>
    </row>
    <row r="4" spans="2:8" ht="12" x14ac:dyDescent="0.2">
      <c r="B4" s="75" t="s">
        <v>486</v>
      </c>
    </row>
    <row r="5" spans="2:8" x14ac:dyDescent="0.2">
      <c r="B5" s="467" t="s">
        <v>487</v>
      </c>
      <c r="C5" s="467"/>
      <c r="D5" s="467"/>
      <c r="F5" s="360"/>
      <c r="G5" s="220"/>
      <c r="H5" s="220"/>
    </row>
    <row r="6" spans="2:8" x14ac:dyDescent="0.2">
      <c r="B6" s="412"/>
      <c r="C6" s="412"/>
      <c r="D6" s="412"/>
      <c r="F6" s="360"/>
      <c r="G6" s="220"/>
      <c r="H6" s="220"/>
    </row>
    <row r="7" spans="2:8" x14ac:dyDescent="0.2">
      <c r="B7" s="238" t="s">
        <v>488</v>
      </c>
      <c r="C7" s="363">
        <v>44104</v>
      </c>
      <c r="D7" s="364">
        <v>43830</v>
      </c>
      <c r="F7" s="360"/>
      <c r="G7" s="220"/>
      <c r="H7" s="220"/>
    </row>
    <row r="8" spans="2:8" x14ac:dyDescent="0.2">
      <c r="B8" s="101" t="s">
        <v>489</v>
      </c>
      <c r="C8" s="239"/>
      <c r="D8" s="102"/>
      <c r="F8" s="360"/>
      <c r="G8" s="220"/>
      <c r="H8" s="220"/>
    </row>
    <row r="9" spans="2:8" ht="13.2" x14ac:dyDescent="0.25">
      <c r="B9" s="240" t="s">
        <v>490</v>
      </c>
      <c r="C9" s="242">
        <v>400000</v>
      </c>
      <c r="D9" s="242">
        <v>200000</v>
      </c>
      <c r="F9" s="361"/>
      <c r="G9" s="220"/>
      <c r="H9" s="362"/>
    </row>
    <row r="10" spans="2:8" ht="13.2" x14ac:dyDescent="0.25">
      <c r="B10" s="240" t="s">
        <v>491</v>
      </c>
      <c r="C10" s="242">
        <v>0</v>
      </c>
      <c r="D10" s="241">
        <v>980213394</v>
      </c>
      <c r="F10" s="361"/>
      <c r="G10" s="220"/>
      <c r="H10" s="362"/>
    </row>
    <row r="11" spans="2:8" ht="13.2" x14ac:dyDescent="0.25">
      <c r="B11" s="240" t="s">
        <v>492</v>
      </c>
      <c r="C11" s="242">
        <v>301798</v>
      </c>
      <c r="D11" s="242">
        <v>50982</v>
      </c>
      <c r="F11" s="361"/>
      <c r="G11" s="220"/>
      <c r="H11" s="362"/>
    </row>
    <row r="12" spans="2:8" ht="13.2" x14ac:dyDescent="0.25">
      <c r="B12" s="240" t="s">
        <v>493</v>
      </c>
      <c r="C12" s="242">
        <v>53356402</v>
      </c>
      <c r="D12" s="242"/>
      <c r="F12" s="361"/>
      <c r="G12" s="220"/>
      <c r="H12" s="362"/>
    </row>
    <row r="13" spans="2:8" ht="13.2" x14ac:dyDescent="0.25">
      <c r="B13" s="240" t="s">
        <v>494</v>
      </c>
      <c r="C13" s="242">
        <v>39091814</v>
      </c>
      <c r="D13" s="242">
        <v>25769320</v>
      </c>
      <c r="F13" s="361"/>
      <c r="G13" s="220"/>
      <c r="H13" s="362"/>
    </row>
    <row r="14" spans="2:8" ht="13.2" x14ac:dyDescent="0.25">
      <c r="B14" s="240" t="s">
        <v>495</v>
      </c>
      <c r="C14" s="242">
        <v>17709261</v>
      </c>
      <c r="D14" s="242">
        <v>100000</v>
      </c>
      <c r="F14" s="361"/>
      <c r="G14" s="220"/>
      <c r="H14" s="362"/>
    </row>
    <row r="15" spans="2:8" ht="13.2" x14ac:dyDescent="0.25">
      <c r="B15" s="240" t="s">
        <v>496</v>
      </c>
      <c r="C15" s="242">
        <v>77084868</v>
      </c>
      <c r="D15" s="241">
        <v>1417764</v>
      </c>
      <c r="F15" s="361"/>
      <c r="G15" s="220"/>
      <c r="H15" s="362"/>
    </row>
    <row r="16" spans="2:8" ht="13.2" x14ac:dyDescent="0.25">
      <c r="B16" s="240" t="s">
        <v>497</v>
      </c>
      <c r="C16" s="242">
        <v>10773340</v>
      </c>
      <c r="D16" s="242">
        <v>-1136427</v>
      </c>
      <c r="F16" s="361"/>
      <c r="G16" s="220"/>
      <c r="H16" s="362"/>
    </row>
    <row r="17" spans="2:8" ht="13.2" x14ac:dyDescent="0.25">
      <c r="B17" s="240" t="s">
        <v>498</v>
      </c>
      <c r="C17" s="242">
        <v>17202740</v>
      </c>
      <c r="D17" s="242">
        <v>40000</v>
      </c>
      <c r="F17" s="361"/>
      <c r="G17" s="220"/>
      <c r="H17" s="362"/>
    </row>
    <row r="18" spans="2:8" ht="13.2" x14ac:dyDescent="0.25">
      <c r="B18" s="240" t="s">
        <v>499</v>
      </c>
      <c r="C18" s="242">
        <v>114857443</v>
      </c>
      <c r="D18" s="242">
        <v>61009</v>
      </c>
      <c r="F18" s="361"/>
      <c r="G18" s="220"/>
      <c r="H18" s="362"/>
    </row>
    <row r="19" spans="2:8" ht="13.2" x14ac:dyDescent="0.25">
      <c r="B19" s="240" t="s">
        <v>500</v>
      </c>
      <c r="C19" s="242">
        <v>12343826</v>
      </c>
      <c r="D19" s="242">
        <v>200000</v>
      </c>
      <c r="F19" s="361"/>
      <c r="G19" s="220"/>
      <c r="H19" s="362"/>
    </row>
    <row r="20" spans="2:8" ht="13.2" x14ac:dyDescent="0.25">
      <c r="B20" s="240" t="s">
        <v>501</v>
      </c>
      <c r="C20" s="242">
        <v>9743605</v>
      </c>
      <c r="D20" s="242">
        <v>644233</v>
      </c>
      <c r="F20" s="361"/>
      <c r="G20" s="220"/>
      <c r="H20" s="362"/>
    </row>
    <row r="21" spans="2:8" ht="13.2" x14ac:dyDescent="0.25">
      <c r="B21" s="240" t="s">
        <v>502</v>
      </c>
      <c r="C21" s="242">
        <v>3498474</v>
      </c>
      <c r="D21" s="242">
        <v>1305023</v>
      </c>
      <c r="F21" s="361"/>
      <c r="G21" s="220"/>
      <c r="H21" s="362"/>
    </row>
    <row r="22" spans="2:8" ht="13.2" x14ac:dyDescent="0.25">
      <c r="B22" s="240" t="s">
        <v>503</v>
      </c>
      <c r="C22" s="242">
        <v>100000</v>
      </c>
      <c r="D22" s="242">
        <v>100000</v>
      </c>
      <c r="F22" s="361"/>
      <c r="G22" s="220"/>
      <c r="H22" s="362"/>
    </row>
    <row r="23" spans="2:8" ht="13.2" x14ac:dyDescent="0.25">
      <c r="B23" s="240" t="s">
        <v>504</v>
      </c>
      <c r="C23" s="242">
        <v>5000001</v>
      </c>
      <c r="D23" s="242">
        <v>4276153</v>
      </c>
      <c r="F23" s="361"/>
      <c r="G23" s="220"/>
      <c r="H23" s="362"/>
    </row>
    <row r="24" spans="2:8" ht="13.2" x14ac:dyDescent="0.25">
      <c r="B24" s="240" t="s">
        <v>505</v>
      </c>
      <c r="C24" s="242">
        <v>1320100718</v>
      </c>
      <c r="D24" s="242"/>
      <c r="F24" s="361"/>
      <c r="G24" s="220"/>
      <c r="H24" s="362"/>
    </row>
    <row r="25" spans="2:8" ht="13.2" x14ac:dyDescent="0.25">
      <c r="B25" s="240" t="s">
        <v>506</v>
      </c>
      <c r="C25" s="242">
        <v>4000000</v>
      </c>
      <c r="D25" s="242">
        <v>331950</v>
      </c>
      <c r="F25" s="361"/>
      <c r="G25" s="220"/>
      <c r="H25" s="362"/>
    </row>
    <row r="26" spans="2:8" ht="13.2" x14ac:dyDescent="0.25">
      <c r="B26" s="240" t="s">
        <v>507</v>
      </c>
      <c r="C26" s="242">
        <v>11927098</v>
      </c>
      <c r="D26" s="242">
        <v>2927781</v>
      </c>
      <c r="F26" s="361"/>
      <c r="G26" s="220"/>
      <c r="H26" s="362"/>
    </row>
    <row r="27" spans="2:8" ht="13.2" x14ac:dyDescent="0.25">
      <c r="B27" s="240" t="s">
        <v>508</v>
      </c>
      <c r="C27" s="242">
        <v>69288294</v>
      </c>
      <c r="D27" s="242">
        <v>0</v>
      </c>
      <c r="F27" s="361"/>
      <c r="G27" s="220"/>
      <c r="H27" s="362"/>
    </row>
    <row r="28" spans="2:8" ht="13.2" x14ac:dyDescent="0.25">
      <c r="B28" s="240" t="s">
        <v>509</v>
      </c>
      <c r="C28" s="242">
        <v>2970558</v>
      </c>
      <c r="D28" s="242">
        <v>0</v>
      </c>
      <c r="F28" s="361"/>
      <c r="G28" s="220"/>
      <c r="H28" s="362"/>
    </row>
    <row r="29" spans="2:8" ht="13.2" x14ac:dyDescent="0.25">
      <c r="B29" s="240" t="s">
        <v>510</v>
      </c>
      <c r="C29" s="242">
        <v>18021332</v>
      </c>
      <c r="D29" s="242">
        <v>0</v>
      </c>
      <c r="F29" s="361"/>
      <c r="G29" s="220"/>
      <c r="H29" s="362"/>
    </row>
    <row r="30" spans="2:8" ht="13.2" x14ac:dyDescent="0.25">
      <c r="B30" s="240" t="s">
        <v>511</v>
      </c>
      <c r="C30" s="242">
        <v>48449321</v>
      </c>
      <c r="D30" s="242">
        <v>1215732</v>
      </c>
      <c r="F30" s="361"/>
      <c r="G30" s="220"/>
      <c r="H30" s="362"/>
    </row>
    <row r="31" spans="2:8" ht="13.2" x14ac:dyDescent="0.25">
      <c r="B31" s="240" t="s">
        <v>512</v>
      </c>
      <c r="C31" s="242">
        <v>300736</v>
      </c>
      <c r="D31" s="242">
        <v>9864</v>
      </c>
      <c r="F31" s="361"/>
      <c r="G31" s="220"/>
      <c r="H31" s="362"/>
    </row>
    <row r="32" spans="2:8" ht="13.2" x14ac:dyDescent="0.25">
      <c r="B32" s="240" t="s">
        <v>513</v>
      </c>
      <c r="C32" s="242">
        <v>163418295</v>
      </c>
      <c r="D32" s="242">
        <v>0</v>
      </c>
      <c r="F32" s="361"/>
      <c r="G32" s="220"/>
      <c r="H32" s="362"/>
    </row>
    <row r="33" spans="2:8" ht="13.2" x14ac:dyDescent="0.25">
      <c r="B33" s="240" t="s">
        <v>514</v>
      </c>
      <c r="C33" s="242">
        <v>1000144</v>
      </c>
      <c r="D33" s="242"/>
      <c r="F33" s="361"/>
      <c r="G33" s="220"/>
      <c r="H33" s="362"/>
    </row>
    <row r="34" spans="2:8" ht="13.2" x14ac:dyDescent="0.25">
      <c r="B34" s="240" t="s">
        <v>515</v>
      </c>
      <c r="C34" s="242">
        <v>1395872</v>
      </c>
      <c r="D34" s="242"/>
      <c r="F34" s="361"/>
      <c r="G34" s="220"/>
      <c r="H34" s="362"/>
    </row>
    <row r="35" spans="2:8" ht="13.2" x14ac:dyDescent="0.25">
      <c r="B35" s="240" t="s">
        <v>516</v>
      </c>
      <c r="C35" s="242">
        <v>47006967</v>
      </c>
      <c r="D35" s="241">
        <v>206433</v>
      </c>
      <c r="F35" s="361"/>
      <c r="G35" s="220"/>
      <c r="H35" s="362"/>
    </row>
    <row r="36" spans="2:8" ht="13.2" x14ac:dyDescent="0.25">
      <c r="B36" s="240" t="s">
        <v>517</v>
      </c>
      <c r="C36" s="102">
        <v>11266384</v>
      </c>
      <c r="D36" s="241">
        <v>646488</v>
      </c>
      <c r="F36" s="361"/>
      <c r="G36" s="220"/>
      <c r="H36" s="362"/>
    </row>
    <row r="37" spans="2:8" ht="13.2" x14ac:dyDescent="0.25">
      <c r="B37" s="240" t="s">
        <v>518</v>
      </c>
      <c r="C37" s="242">
        <v>37650820</v>
      </c>
      <c r="D37" s="242">
        <v>6322606</v>
      </c>
      <c r="F37" s="361"/>
      <c r="G37" s="220"/>
      <c r="H37" s="362"/>
    </row>
    <row r="38" spans="2:8" ht="13.2" x14ac:dyDescent="0.25">
      <c r="B38" s="240" t="s">
        <v>519</v>
      </c>
      <c r="C38" s="242">
        <v>242811865</v>
      </c>
      <c r="D38" s="242">
        <v>644233</v>
      </c>
      <c r="F38" s="361"/>
      <c r="G38" s="220"/>
      <c r="H38" s="362"/>
    </row>
    <row r="39" spans="2:8" ht="13.2" x14ac:dyDescent="0.25">
      <c r="B39" s="240" t="s">
        <v>520</v>
      </c>
      <c r="C39" s="239">
        <v>642328</v>
      </c>
      <c r="D39" s="102">
        <v>0</v>
      </c>
      <c r="F39" s="361"/>
      <c r="G39" s="220"/>
      <c r="H39" s="362"/>
    </row>
    <row r="40" spans="2:8" ht="13.2" x14ac:dyDescent="0.25">
      <c r="B40" s="240" t="s">
        <v>521</v>
      </c>
      <c r="C40" s="242">
        <v>3082000</v>
      </c>
      <c r="D40" s="242"/>
      <c r="F40" s="361"/>
      <c r="G40" s="220"/>
      <c r="H40" s="362"/>
    </row>
    <row r="41" spans="2:8" ht="13.2" x14ac:dyDescent="0.25">
      <c r="B41" s="240" t="s">
        <v>522</v>
      </c>
      <c r="C41" s="242">
        <v>40799524</v>
      </c>
      <c r="D41" s="242">
        <v>0</v>
      </c>
      <c r="F41" s="361"/>
      <c r="G41" s="220"/>
      <c r="H41" s="362"/>
    </row>
    <row r="42" spans="2:8" ht="13.2" x14ac:dyDescent="0.25">
      <c r="B42" s="240" t="s">
        <v>523</v>
      </c>
      <c r="C42" s="242">
        <v>3781623</v>
      </c>
      <c r="D42" s="242">
        <v>5657243</v>
      </c>
      <c r="F42" s="361"/>
      <c r="G42" s="220"/>
      <c r="H42" s="362"/>
    </row>
    <row r="43" spans="2:8" ht="13.2" x14ac:dyDescent="0.25">
      <c r="B43" s="240" t="s">
        <v>524</v>
      </c>
      <c r="C43" s="242">
        <v>737232552</v>
      </c>
      <c r="D43" s="242">
        <v>-1663987</v>
      </c>
      <c r="F43" s="361"/>
      <c r="G43" s="220"/>
      <c r="H43" s="362"/>
    </row>
    <row r="44" spans="2:8" ht="13.2" x14ac:dyDescent="0.25">
      <c r="B44" s="240" t="s">
        <v>525</v>
      </c>
      <c r="C44" s="242">
        <v>1237196111</v>
      </c>
      <c r="D44" s="241">
        <v>96348137</v>
      </c>
      <c r="F44" s="361"/>
      <c r="G44" s="220"/>
      <c r="H44" s="362"/>
    </row>
    <row r="45" spans="2:8" ht="13.2" x14ac:dyDescent="0.25">
      <c r="B45" s="240" t="s">
        <v>526</v>
      </c>
      <c r="C45" s="242">
        <v>33652380</v>
      </c>
      <c r="D45" s="241">
        <v>40302765</v>
      </c>
      <c r="F45" s="361"/>
      <c r="G45" s="220"/>
      <c r="H45" s="362"/>
    </row>
    <row r="46" spans="2:8" ht="13.2" x14ac:dyDescent="0.25">
      <c r="B46" s="240" t="s">
        <v>527</v>
      </c>
      <c r="C46" s="242">
        <v>141414766</v>
      </c>
      <c r="D46" s="242">
        <v>-5760269</v>
      </c>
      <c r="F46" s="361"/>
      <c r="G46" s="220"/>
      <c r="H46" s="362"/>
    </row>
    <row r="47" spans="2:8" ht="13.2" x14ac:dyDescent="0.25">
      <c r="B47" s="240" t="s">
        <v>528</v>
      </c>
      <c r="C47" s="242">
        <v>178214398</v>
      </c>
      <c r="D47" s="242">
        <v>652286</v>
      </c>
      <c r="F47" s="361"/>
      <c r="G47" s="220"/>
      <c r="H47" s="362"/>
    </row>
    <row r="48" spans="2:8" ht="13.2" x14ac:dyDescent="0.25">
      <c r="B48" s="240" t="s">
        <v>529</v>
      </c>
      <c r="C48" s="242">
        <v>697936</v>
      </c>
      <c r="D48" s="242">
        <v>644233</v>
      </c>
      <c r="F48" s="361"/>
      <c r="G48" s="220"/>
      <c r="H48" s="362"/>
    </row>
    <row r="49" spans="2:8" ht="13.2" x14ac:dyDescent="0.25">
      <c r="B49" s="240" t="s">
        <v>530</v>
      </c>
      <c r="C49" s="242">
        <v>0</v>
      </c>
      <c r="D49" s="242">
        <v>0</v>
      </c>
      <c r="F49" s="361"/>
      <c r="G49" s="220"/>
      <c r="H49" s="362"/>
    </row>
    <row r="50" spans="2:8" ht="13.2" x14ac:dyDescent="0.25">
      <c r="B50" s="240" t="s">
        <v>531</v>
      </c>
      <c r="C50" s="241">
        <v>0</v>
      </c>
      <c r="D50" s="241">
        <v>346576922</v>
      </c>
      <c r="F50" s="361"/>
      <c r="G50" s="220"/>
      <c r="H50" s="362"/>
    </row>
    <row r="51" spans="2:8" ht="13.2" x14ac:dyDescent="0.25">
      <c r="B51" s="240" t="s">
        <v>532</v>
      </c>
      <c r="C51" s="241">
        <f>223883897+1</f>
        <v>223883898</v>
      </c>
      <c r="D51" s="241">
        <v>0</v>
      </c>
      <c r="F51" s="361"/>
      <c r="G51" s="220"/>
      <c r="H51" s="362"/>
    </row>
    <row r="52" spans="2:8" ht="13.2" x14ac:dyDescent="0.25">
      <c r="B52" s="240" t="s">
        <v>533</v>
      </c>
      <c r="C52" s="242">
        <v>32776408</v>
      </c>
      <c r="D52" s="242">
        <v>0</v>
      </c>
      <c r="F52" s="361"/>
      <c r="G52" s="220"/>
      <c r="H52" s="362"/>
    </row>
    <row r="53" spans="2:8" ht="13.2" x14ac:dyDescent="0.25">
      <c r="B53" s="240" t="s">
        <v>534</v>
      </c>
      <c r="C53" s="242">
        <v>1407109</v>
      </c>
      <c r="D53" s="242">
        <v>0</v>
      </c>
      <c r="F53" s="361"/>
      <c r="G53" s="220"/>
      <c r="H53" s="362"/>
    </row>
    <row r="54" spans="2:8" ht="13.2" x14ac:dyDescent="0.25">
      <c r="B54" s="240" t="s">
        <v>535</v>
      </c>
      <c r="C54" s="242">
        <v>12543346</v>
      </c>
      <c r="D54" s="242">
        <v>100000</v>
      </c>
      <c r="F54" s="361"/>
      <c r="G54" s="220"/>
      <c r="H54" s="362"/>
    </row>
    <row r="55" spans="2:8" ht="13.2" x14ac:dyDescent="0.25">
      <c r="B55" s="240" t="s">
        <v>536</v>
      </c>
      <c r="C55" s="242">
        <v>697936</v>
      </c>
      <c r="D55" s="242">
        <v>644233</v>
      </c>
      <c r="F55" s="361"/>
      <c r="G55" s="220"/>
      <c r="H55" s="362"/>
    </row>
    <row r="56" spans="2:8" ht="13.2" x14ac:dyDescent="0.25">
      <c r="B56" s="240" t="s">
        <v>537</v>
      </c>
      <c r="C56" s="242">
        <v>813639</v>
      </c>
      <c r="D56" s="242">
        <v>0</v>
      </c>
      <c r="F56" s="361"/>
      <c r="G56" s="220"/>
      <c r="H56" s="362"/>
    </row>
    <row r="57" spans="2:8" ht="13.2" x14ac:dyDescent="0.25">
      <c r="B57" s="240" t="s">
        <v>538</v>
      </c>
      <c r="C57" s="242">
        <v>29236539</v>
      </c>
      <c r="D57" s="242">
        <v>2847510</v>
      </c>
      <c r="F57" s="361"/>
      <c r="G57" s="220"/>
      <c r="H57" s="362"/>
    </row>
    <row r="58" spans="2:8" ht="13.2" x14ac:dyDescent="0.25">
      <c r="B58" s="240" t="s">
        <v>539</v>
      </c>
      <c r="C58" s="242">
        <v>14295547</v>
      </c>
      <c r="D58" s="242">
        <v>159142052</v>
      </c>
      <c r="F58" s="361"/>
      <c r="G58" s="220"/>
      <c r="H58" s="362"/>
    </row>
    <row r="59" spans="2:8" x14ac:dyDescent="0.2">
      <c r="B59" s="101" t="s">
        <v>540</v>
      </c>
      <c r="C59" s="243">
        <f>SUM(C9:C58)</f>
        <v>5033440016</v>
      </c>
      <c r="D59" s="148">
        <f>SUM(D9:D58)</f>
        <v>1671037663</v>
      </c>
      <c r="F59" s="220"/>
      <c r="G59" s="220"/>
      <c r="H59" s="220"/>
    </row>
    <row r="60" spans="2:8" x14ac:dyDescent="0.2">
      <c r="F60" s="65"/>
    </row>
    <row r="61" spans="2:8" x14ac:dyDescent="0.2">
      <c r="F61" s="65"/>
    </row>
    <row r="62" spans="2:8" x14ac:dyDescent="0.2">
      <c r="F62" s="65"/>
    </row>
    <row r="63" spans="2:8" x14ac:dyDescent="0.2">
      <c r="F63" s="65"/>
    </row>
    <row r="64" spans="2:8" x14ac:dyDescent="0.2">
      <c r="F64" s="65"/>
    </row>
    <row r="69" spans="2:2" x14ac:dyDescent="0.2">
      <c r="B69" s="65" t="s">
        <v>541</v>
      </c>
    </row>
    <row r="70" spans="2:2" x14ac:dyDescent="0.2">
      <c r="B70" s="65" t="s">
        <v>541</v>
      </c>
    </row>
    <row r="71" spans="2:2" x14ac:dyDescent="0.2">
      <c r="B71" s="65" t="s">
        <v>541</v>
      </c>
    </row>
    <row r="72" spans="2:2" x14ac:dyDescent="0.2">
      <c r="B72" s="65" t="s">
        <v>541</v>
      </c>
    </row>
    <row r="73" spans="2:2" x14ac:dyDescent="0.2">
      <c r="B73" s="65" t="s">
        <v>541</v>
      </c>
    </row>
    <row r="74" spans="2:2" x14ac:dyDescent="0.2">
      <c r="B74" s="65" t="s">
        <v>541</v>
      </c>
    </row>
    <row r="75" spans="2:2" x14ac:dyDescent="0.2">
      <c r="B75" s="65" t="s">
        <v>541</v>
      </c>
    </row>
    <row r="76" spans="2:2" x14ac:dyDescent="0.2">
      <c r="B76" s="65" t="s">
        <v>541</v>
      </c>
    </row>
    <row r="77" spans="2:2" x14ac:dyDescent="0.2">
      <c r="B77" s="65" t="s">
        <v>541</v>
      </c>
    </row>
    <row r="78" spans="2:2" x14ac:dyDescent="0.2">
      <c r="B78" s="65" t="s">
        <v>541</v>
      </c>
    </row>
    <row r="79" spans="2:2" x14ac:dyDescent="0.2">
      <c r="B79" s="65" t="s">
        <v>541</v>
      </c>
    </row>
    <row r="80" spans="2:2" x14ac:dyDescent="0.2">
      <c r="B80" s="65" t="s">
        <v>541</v>
      </c>
    </row>
    <row r="81" spans="2:2" x14ac:dyDescent="0.2">
      <c r="B81" s="65" t="s">
        <v>541</v>
      </c>
    </row>
    <row r="82" spans="2:2" x14ac:dyDescent="0.2">
      <c r="B82" s="65" t="s">
        <v>541</v>
      </c>
    </row>
    <row r="83" spans="2:2" x14ac:dyDescent="0.2">
      <c r="B83" s="65" t="s">
        <v>541</v>
      </c>
    </row>
    <row r="84" spans="2:2" x14ac:dyDescent="0.2">
      <c r="B84" s="65" t="s">
        <v>541</v>
      </c>
    </row>
    <row r="85" spans="2:2" x14ac:dyDescent="0.2">
      <c r="B85" s="65" t="s">
        <v>541</v>
      </c>
    </row>
    <row r="86" spans="2:2" x14ac:dyDescent="0.2">
      <c r="B86" s="65" t="s">
        <v>541</v>
      </c>
    </row>
    <row r="87" spans="2:2" x14ac:dyDescent="0.2">
      <c r="B87" s="65" t="s">
        <v>541</v>
      </c>
    </row>
    <row r="104" spans="5:5" x14ac:dyDescent="0.2">
      <c r="E104" s="65" t="s">
        <v>541</v>
      </c>
    </row>
    <row r="105" spans="5:5" x14ac:dyDescent="0.2">
      <c r="E105" s="65" t="s">
        <v>541</v>
      </c>
    </row>
  </sheetData>
  <autoFilter ref="B7:D59" xr:uid="{00000000-0009-0000-0000-000007000000}"/>
  <mergeCells count="1">
    <mergeCell ref="B5:D5"/>
  </mergeCells>
  <hyperlinks>
    <hyperlink ref="B1" location="'Balance Gral. Resol. 1'!A1" display="'Balance Gral. Resol. 1'!A1" xr:uid="{00000000-0004-0000-07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B1:K86"/>
  <sheetViews>
    <sheetView showGridLines="0" topLeftCell="C1" zoomScaleNormal="80" workbookViewId="0">
      <selection activeCell="C10" sqref="C10:J85"/>
    </sheetView>
  </sheetViews>
  <sheetFormatPr baseColWidth="10" defaultColWidth="11.44140625" defaultRowHeight="11.4" x14ac:dyDescent="0.2"/>
  <cols>
    <col min="1" max="1" width="11.44140625" style="65"/>
    <col min="2" max="2" width="40.109375" style="65" customWidth="1"/>
    <col min="3" max="3" width="50.109375" style="65" customWidth="1"/>
    <col min="4" max="4" width="14.88671875" style="65" bestFit="1" customWidth="1"/>
    <col min="5" max="5" width="19.44140625" style="369" bestFit="1" customWidth="1"/>
    <col min="6" max="7" width="17.33203125" style="369" bestFit="1" customWidth="1"/>
    <col min="8" max="8" width="17.6640625" style="369" bestFit="1" customWidth="1"/>
    <col min="9" max="9" width="16.6640625" style="369" bestFit="1" customWidth="1"/>
    <col min="10" max="10" width="17.6640625" style="369" bestFit="1" customWidth="1"/>
    <col min="11" max="16384" width="11.44140625" style="65"/>
  </cols>
  <sheetData>
    <row r="1" spans="3:10" x14ac:dyDescent="0.2">
      <c r="C1" s="73" t="s">
        <v>19</v>
      </c>
    </row>
    <row r="3" spans="3:10" x14ac:dyDescent="0.2">
      <c r="C3" s="76"/>
    </row>
    <row r="4" spans="3:10" ht="44.25" customHeight="1" x14ac:dyDescent="0.2">
      <c r="C4" s="75" t="s">
        <v>542</v>
      </c>
    </row>
    <row r="5" spans="3:10" ht="12" x14ac:dyDescent="0.2">
      <c r="C5" s="75"/>
    </row>
    <row r="6" spans="3:10" ht="12" x14ac:dyDescent="0.2">
      <c r="C6" s="108" t="s">
        <v>543</v>
      </c>
    </row>
    <row r="10" spans="3:10" ht="12" x14ac:dyDescent="0.2">
      <c r="C10" s="470" t="s">
        <v>544</v>
      </c>
      <c r="D10" s="471"/>
      <c r="E10" s="471"/>
      <c r="F10" s="472"/>
      <c r="G10" s="474" t="s">
        <v>545</v>
      </c>
      <c r="H10" s="474"/>
      <c r="I10" s="474"/>
      <c r="J10" s="474"/>
    </row>
    <row r="11" spans="3:10" ht="12" x14ac:dyDescent="0.2">
      <c r="C11" s="470" t="s">
        <v>546</v>
      </c>
      <c r="D11" s="471"/>
      <c r="E11" s="471"/>
      <c r="F11" s="471"/>
      <c r="G11" s="471"/>
      <c r="H11" s="471"/>
      <c r="I11" s="471"/>
      <c r="J11" s="472"/>
    </row>
    <row r="12" spans="3:10" ht="12" x14ac:dyDescent="0.2">
      <c r="C12" s="109"/>
      <c r="D12" s="415" t="s">
        <v>547</v>
      </c>
      <c r="E12" s="414" t="s">
        <v>548</v>
      </c>
      <c r="F12" s="414" t="s">
        <v>549</v>
      </c>
      <c r="G12" s="414" t="s">
        <v>549</v>
      </c>
      <c r="H12" s="414" t="s">
        <v>368</v>
      </c>
      <c r="I12" s="414" t="s">
        <v>550</v>
      </c>
      <c r="J12" s="414" t="s">
        <v>551</v>
      </c>
    </row>
    <row r="13" spans="3:10" ht="12" x14ac:dyDescent="0.2">
      <c r="C13" s="90" t="s">
        <v>552</v>
      </c>
      <c r="D13" s="110" t="s">
        <v>553</v>
      </c>
      <c r="E13" s="370" t="s">
        <v>554</v>
      </c>
      <c r="F13" s="370" t="s">
        <v>555</v>
      </c>
      <c r="G13" s="370" t="s">
        <v>556</v>
      </c>
      <c r="H13" s="396"/>
      <c r="I13" s="396"/>
      <c r="J13" s="396"/>
    </row>
    <row r="14" spans="3:10" x14ac:dyDescent="0.2">
      <c r="C14" s="90" t="s">
        <v>557</v>
      </c>
      <c r="D14" s="90" t="s">
        <v>558</v>
      </c>
      <c r="E14" s="365">
        <f>28-14</f>
        <v>14</v>
      </c>
      <c r="F14" s="365">
        <f>14770000000-7583284296</f>
        <v>7186715704</v>
      </c>
      <c r="G14" s="365">
        <f>+F14</f>
        <v>7186715704</v>
      </c>
      <c r="H14" s="397"/>
      <c r="I14" s="397"/>
      <c r="J14" s="397"/>
    </row>
    <row r="15" spans="3:10" x14ac:dyDescent="0.2">
      <c r="C15" s="90" t="s">
        <v>559</v>
      </c>
      <c r="D15" s="90" t="s">
        <v>558</v>
      </c>
      <c r="E15" s="365">
        <v>1</v>
      </c>
      <c r="F15" s="365">
        <v>10000000</v>
      </c>
      <c r="G15" s="365">
        <f t="shared" ref="G15:G32" si="0">+F15</f>
        <v>10000000</v>
      </c>
      <c r="H15" s="397"/>
      <c r="I15" s="397"/>
      <c r="J15" s="397"/>
    </row>
    <row r="16" spans="3:10" x14ac:dyDescent="0.2">
      <c r="C16" s="90" t="s">
        <v>560</v>
      </c>
      <c r="D16" s="90" t="s">
        <v>558</v>
      </c>
      <c r="E16" s="365">
        <v>45</v>
      </c>
      <c r="F16" s="365">
        <v>3017703990.5055971</v>
      </c>
      <c r="G16" s="365">
        <f t="shared" si="0"/>
        <v>3017703990.5055971</v>
      </c>
      <c r="H16" s="397"/>
      <c r="I16" s="397"/>
      <c r="J16" s="397"/>
    </row>
    <row r="17" spans="2:11" x14ac:dyDescent="0.2">
      <c r="B17" s="66"/>
      <c r="C17" s="90" t="s">
        <v>561</v>
      </c>
      <c r="D17" s="90" t="s">
        <v>558</v>
      </c>
      <c r="E17" s="365">
        <v>19</v>
      </c>
      <c r="F17" s="365">
        <v>1067578469.5728006</v>
      </c>
      <c r="G17" s="365">
        <f t="shared" si="0"/>
        <v>1067578469.5728006</v>
      </c>
      <c r="H17" s="397"/>
      <c r="I17" s="397"/>
      <c r="J17" s="397"/>
    </row>
    <row r="18" spans="2:11" x14ac:dyDescent="0.2">
      <c r="B18" s="112"/>
      <c r="C18" s="90" t="s">
        <v>562</v>
      </c>
      <c r="D18" s="90" t="s">
        <v>558</v>
      </c>
      <c r="E18" s="365">
        <v>120</v>
      </c>
      <c r="F18" s="365">
        <v>2540439999.1135941</v>
      </c>
      <c r="G18" s="365">
        <f t="shared" si="0"/>
        <v>2540439999.1135941</v>
      </c>
      <c r="H18" s="397"/>
      <c r="I18" s="397"/>
      <c r="J18" s="397"/>
    </row>
    <row r="19" spans="2:11" x14ac:dyDescent="0.2">
      <c r="B19" s="67"/>
      <c r="C19" s="90" t="s">
        <v>563</v>
      </c>
      <c r="D19" s="90" t="s">
        <v>558</v>
      </c>
      <c r="E19" s="365">
        <v>40</v>
      </c>
      <c r="F19" s="365">
        <v>1567405684.9408004</v>
      </c>
      <c r="G19" s="365">
        <f t="shared" si="0"/>
        <v>1567405684.9408004</v>
      </c>
      <c r="H19" s="397"/>
      <c r="I19" s="397"/>
      <c r="J19" s="397"/>
    </row>
    <row r="20" spans="2:11" x14ac:dyDescent="0.2">
      <c r="C20" s="90" t="s">
        <v>564</v>
      </c>
      <c r="D20" s="90" t="s">
        <v>558</v>
      </c>
      <c r="E20" s="365">
        <v>14</v>
      </c>
      <c r="F20" s="365">
        <v>2307627672.96</v>
      </c>
      <c r="G20" s="365">
        <f t="shared" si="0"/>
        <v>2307627672.96</v>
      </c>
      <c r="H20" s="397"/>
      <c r="I20" s="397"/>
      <c r="J20" s="397"/>
    </row>
    <row r="21" spans="2:11" x14ac:dyDescent="0.2">
      <c r="C21" s="90" t="s">
        <v>565</v>
      </c>
      <c r="D21" s="90" t="s">
        <v>558</v>
      </c>
      <c r="E21" s="365">
        <v>12</v>
      </c>
      <c r="F21" s="365">
        <v>1552477531.8367999</v>
      </c>
      <c r="G21" s="365">
        <f>+F21</f>
        <v>1552477531.8367999</v>
      </c>
      <c r="H21" s="397"/>
      <c r="I21" s="397"/>
      <c r="J21" s="397"/>
    </row>
    <row r="22" spans="2:11" x14ac:dyDescent="0.2">
      <c r="C22" s="90" t="s">
        <v>566</v>
      </c>
      <c r="D22" s="90" t="s">
        <v>567</v>
      </c>
      <c r="E22" s="366">
        <v>60</v>
      </c>
      <c r="F22" s="365">
        <v>60325500</v>
      </c>
      <c r="G22" s="365">
        <f>+F22</f>
        <v>60325500</v>
      </c>
      <c r="H22" s="397"/>
      <c r="I22" s="397"/>
      <c r="J22" s="397"/>
    </row>
    <row r="23" spans="2:11" x14ac:dyDescent="0.2">
      <c r="C23" s="90" t="s">
        <v>568</v>
      </c>
      <c r="D23" s="90" t="s">
        <v>567</v>
      </c>
      <c r="E23" s="366">
        <v>10</v>
      </c>
      <c r="F23" s="365">
        <v>11015420</v>
      </c>
      <c r="G23" s="365">
        <f t="shared" si="0"/>
        <v>11015420</v>
      </c>
      <c r="H23" s="397"/>
      <c r="I23" s="397"/>
      <c r="J23" s="397"/>
    </row>
    <row r="24" spans="2:11" x14ac:dyDescent="0.2">
      <c r="C24" s="90" t="s">
        <v>569</v>
      </c>
      <c r="D24" s="90" t="s">
        <v>567</v>
      </c>
      <c r="E24" s="366">
        <v>10</v>
      </c>
      <c r="F24" s="365">
        <v>10543840</v>
      </c>
      <c r="G24" s="365">
        <f t="shared" si="0"/>
        <v>10543840</v>
      </c>
      <c r="H24" s="397"/>
      <c r="I24" s="397"/>
      <c r="J24" s="397"/>
    </row>
    <row r="25" spans="2:11" x14ac:dyDescent="0.2">
      <c r="C25" s="90" t="s">
        <v>570</v>
      </c>
      <c r="D25" s="90" t="s">
        <v>567</v>
      </c>
      <c r="E25" s="366">
        <v>52</v>
      </c>
      <c r="F25" s="365">
        <v>364126297.5</v>
      </c>
      <c r="G25" s="365">
        <f t="shared" si="0"/>
        <v>364126297.5</v>
      </c>
      <c r="H25" s="397"/>
      <c r="I25" s="397"/>
      <c r="J25" s="397"/>
    </row>
    <row r="26" spans="2:11" x14ac:dyDescent="0.2">
      <c r="C26" s="90" t="s">
        <v>571</v>
      </c>
      <c r="D26" s="90" t="s">
        <v>567</v>
      </c>
      <c r="E26" s="366">
        <v>80</v>
      </c>
      <c r="F26" s="365">
        <v>586438211.43040001</v>
      </c>
      <c r="G26" s="365">
        <f t="shared" si="0"/>
        <v>586438211.43040001</v>
      </c>
      <c r="H26" s="397"/>
      <c r="I26" s="397"/>
      <c r="J26" s="397"/>
    </row>
    <row r="27" spans="2:11" x14ac:dyDescent="0.2">
      <c r="C27" s="90" t="s">
        <v>572</v>
      </c>
      <c r="D27" s="90" t="s">
        <v>567</v>
      </c>
      <c r="E27" s="366">
        <v>40</v>
      </c>
      <c r="F27" s="365">
        <v>288837463.50719994</v>
      </c>
      <c r="G27" s="365">
        <f t="shared" si="0"/>
        <v>288837463.50719994</v>
      </c>
      <c r="H27" s="397"/>
      <c r="I27" s="397"/>
      <c r="J27" s="397"/>
    </row>
    <row r="28" spans="2:11" x14ac:dyDescent="0.2">
      <c r="C28" s="90" t="s">
        <v>573</v>
      </c>
      <c r="D28" s="90" t="s">
        <v>567</v>
      </c>
      <c r="E28" s="366">
        <f>1249-644</f>
        <v>605</v>
      </c>
      <c r="F28" s="365">
        <f>8717220640-4494297655</f>
        <v>4222922985</v>
      </c>
      <c r="G28" s="365">
        <f t="shared" si="0"/>
        <v>4222922985</v>
      </c>
      <c r="H28" s="397"/>
      <c r="I28" s="397"/>
      <c r="J28" s="397"/>
    </row>
    <row r="29" spans="2:11" x14ac:dyDescent="0.2">
      <c r="C29" s="90" t="s">
        <v>574</v>
      </c>
      <c r="D29" s="90" t="s">
        <v>567</v>
      </c>
      <c r="E29" s="371">
        <v>60</v>
      </c>
      <c r="F29" s="366">
        <v>419346609.95519996</v>
      </c>
      <c r="G29" s="365">
        <f t="shared" si="0"/>
        <v>419346609.95519996</v>
      </c>
      <c r="H29" s="365"/>
      <c r="I29" s="397"/>
      <c r="J29" s="397"/>
      <c r="K29" s="111"/>
    </row>
    <row r="30" spans="2:11" x14ac:dyDescent="0.2">
      <c r="C30" s="90" t="s">
        <v>575</v>
      </c>
      <c r="D30" s="90" t="s">
        <v>567</v>
      </c>
      <c r="E30" s="371">
        <v>61</v>
      </c>
      <c r="F30" s="366">
        <v>425740960</v>
      </c>
      <c r="G30" s="365">
        <f t="shared" si="0"/>
        <v>425740960</v>
      </c>
      <c r="H30" s="365"/>
      <c r="I30" s="397"/>
      <c r="J30" s="397"/>
      <c r="K30" s="111">
        <v>675541000000</v>
      </c>
    </row>
    <row r="31" spans="2:11" x14ac:dyDescent="0.2">
      <c r="C31" s="90" t="s">
        <v>576</v>
      </c>
      <c r="D31" s="90" t="s">
        <v>567</v>
      </c>
      <c r="E31" s="371">
        <v>1</v>
      </c>
      <c r="F31" s="366">
        <v>7250696.5787199996</v>
      </c>
      <c r="G31" s="365">
        <f t="shared" si="0"/>
        <v>7250696.5787199996</v>
      </c>
      <c r="H31" s="365"/>
      <c r="I31" s="397"/>
      <c r="J31" s="397"/>
      <c r="K31" s="111">
        <v>625575828145</v>
      </c>
    </row>
    <row r="32" spans="2:11" x14ac:dyDescent="0.2">
      <c r="C32" s="124" t="s">
        <v>577</v>
      </c>
      <c r="D32" s="124" t="s">
        <v>578</v>
      </c>
      <c r="E32" s="405"/>
      <c r="F32" s="406">
        <f>-F64</f>
        <v>-11659147144</v>
      </c>
      <c r="G32" s="365">
        <f t="shared" si="0"/>
        <v>-11659147144</v>
      </c>
      <c r="H32" s="407"/>
      <c r="I32" s="398"/>
      <c r="J32" s="398"/>
      <c r="K32" s="408"/>
    </row>
    <row r="33" spans="3:10" ht="12" x14ac:dyDescent="0.2">
      <c r="C33" s="113" t="s">
        <v>579</v>
      </c>
      <c r="D33" s="113"/>
      <c r="E33" s="372"/>
      <c r="F33" s="388">
        <f>SUM(F14:F32)</f>
        <v>13987349892.901108</v>
      </c>
      <c r="G33" s="388">
        <f>SUM(G14:G32)</f>
        <v>13987349892.901108</v>
      </c>
      <c r="H33" s="398"/>
      <c r="I33" s="398"/>
      <c r="J33" s="398"/>
    </row>
    <row r="34" spans="3:10" ht="12" x14ac:dyDescent="0.25">
      <c r="C34" s="114" t="s">
        <v>580</v>
      </c>
      <c r="D34" s="114"/>
      <c r="E34" s="373"/>
      <c r="F34" s="381">
        <v>13080989000.450001</v>
      </c>
      <c r="G34" s="381">
        <v>13080989000.450001</v>
      </c>
      <c r="H34" s="385"/>
      <c r="I34" s="385"/>
      <c r="J34" s="385"/>
    </row>
    <row r="35" spans="3:10" ht="12" x14ac:dyDescent="0.2">
      <c r="C35" s="115"/>
      <c r="D35" s="116"/>
      <c r="E35" s="374"/>
      <c r="F35" s="389"/>
      <c r="G35" s="389"/>
      <c r="H35" s="399"/>
      <c r="I35" s="399"/>
      <c r="J35" s="399"/>
    </row>
    <row r="36" spans="3:10" ht="12" x14ac:dyDescent="0.2">
      <c r="C36" s="117"/>
      <c r="D36" s="118"/>
      <c r="E36" s="375"/>
      <c r="F36" s="389"/>
      <c r="G36" s="375"/>
      <c r="H36" s="375"/>
      <c r="I36" s="375"/>
      <c r="J36" s="375"/>
    </row>
    <row r="37" spans="3:10" ht="12" x14ac:dyDescent="0.2">
      <c r="C37" s="470" t="s">
        <v>544</v>
      </c>
      <c r="D37" s="471"/>
      <c r="E37" s="471"/>
      <c r="F37" s="473"/>
      <c r="G37" s="475" t="str">
        <f>+G10</f>
        <v xml:space="preserve"> INFORMACION SOBRE EL EMISOR AL 30/09/2020</v>
      </c>
      <c r="H37" s="471"/>
      <c r="I37" s="471"/>
      <c r="J37" s="472"/>
    </row>
    <row r="38" spans="3:10" ht="12" x14ac:dyDescent="0.2">
      <c r="C38" s="470" t="s">
        <v>546</v>
      </c>
      <c r="D38" s="471"/>
      <c r="E38" s="471"/>
      <c r="F38" s="471"/>
      <c r="G38" s="471"/>
      <c r="H38" s="471"/>
      <c r="I38" s="471"/>
      <c r="J38" s="473"/>
    </row>
    <row r="39" spans="3:10" ht="15" customHeight="1" x14ac:dyDescent="0.2">
      <c r="C39" s="119"/>
      <c r="D39" s="120" t="s">
        <v>547</v>
      </c>
      <c r="E39" s="376" t="s">
        <v>548</v>
      </c>
      <c r="F39" s="376" t="s">
        <v>549</v>
      </c>
      <c r="G39" s="376" t="s">
        <v>549</v>
      </c>
      <c r="H39" s="376" t="s">
        <v>368</v>
      </c>
      <c r="I39" s="376" t="s">
        <v>550</v>
      </c>
      <c r="J39" s="376" t="s">
        <v>551</v>
      </c>
    </row>
    <row r="40" spans="3:10" ht="12" x14ac:dyDescent="0.2">
      <c r="C40" s="121" t="s">
        <v>552</v>
      </c>
      <c r="D40" s="122" t="s">
        <v>553</v>
      </c>
      <c r="E40" s="377" t="s">
        <v>554</v>
      </c>
      <c r="F40" s="377" t="s">
        <v>555</v>
      </c>
      <c r="G40" s="377" t="s">
        <v>556</v>
      </c>
      <c r="H40" s="400"/>
      <c r="I40" s="400"/>
      <c r="J40" s="400"/>
    </row>
    <row r="41" spans="3:10" x14ac:dyDescent="0.2">
      <c r="C41" s="90" t="s">
        <v>581</v>
      </c>
      <c r="D41" s="123" t="s">
        <v>582</v>
      </c>
      <c r="E41" s="367">
        <f>10908-13</f>
        <v>10895</v>
      </c>
      <c r="F41" s="390">
        <f>3078004000-158255288</f>
        <v>2919748712</v>
      </c>
      <c r="G41" s="390">
        <f t="shared" ref="G41:G46" si="1">+F41</f>
        <v>2919748712</v>
      </c>
      <c r="H41" s="401"/>
      <c r="I41" s="401"/>
      <c r="J41" s="401"/>
    </row>
    <row r="42" spans="3:10" ht="14.25" customHeight="1" x14ac:dyDescent="0.2">
      <c r="C42" s="90" t="s">
        <v>560</v>
      </c>
      <c r="D42" s="123" t="s">
        <v>582</v>
      </c>
      <c r="E42" s="367">
        <v>42577</v>
      </c>
      <c r="F42" s="390">
        <v>425770000</v>
      </c>
      <c r="G42" s="390">
        <f t="shared" si="1"/>
        <v>425770000</v>
      </c>
      <c r="H42" s="401"/>
      <c r="I42" s="401"/>
      <c r="J42" s="401"/>
    </row>
    <row r="43" spans="3:10" ht="14.25" customHeight="1" x14ac:dyDescent="0.2">
      <c r="C43" s="90" t="s">
        <v>562</v>
      </c>
      <c r="D43" s="123" t="s">
        <v>582</v>
      </c>
      <c r="E43" s="368">
        <v>829</v>
      </c>
      <c r="F43" s="391">
        <v>65070000</v>
      </c>
      <c r="G43" s="390">
        <f t="shared" si="1"/>
        <v>65070000</v>
      </c>
      <c r="H43" s="402"/>
      <c r="I43" s="402"/>
      <c r="J43" s="402"/>
    </row>
    <row r="44" spans="3:10" x14ac:dyDescent="0.2">
      <c r="C44" s="90" t="s">
        <v>583</v>
      </c>
      <c r="D44" s="125" t="s">
        <v>582</v>
      </c>
      <c r="E44" s="368">
        <v>10000</v>
      </c>
      <c r="F44" s="391">
        <v>10000000</v>
      </c>
      <c r="G44" s="390">
        <f t="shared" si="1"/>
        <v>10000000</v>
      </c>
      <c r="H44" s="402"/>
      <c r="I44" s="402"/>
      <c r="J44" s="402"/>
    </row>
    <row r="45" spans="3:10" x14ac:dyDescent="0.2">
      <c r="C45" s="90" t="s">
        <v>584</v>
      </c>
      <c r="D45" s="125" t="s">
        <v>582</v>
      </c>
      <c r="E45" s="368">
        <v>1750</v>
      </c>
      <c r="F45" s="391">
        <v>175000000</v>
      </c>
      <c r="G45" s="390">
        <f t="shared" si="1"/>
        <v>175000000</v>
      </c>
      <c r="H45" s="402"/>
      <c r="I45" s="402"/>
      <c r="J45" s="402"/>
    </row>
    <row r="46" spans="3:10" x14ac:dyDescent="0.2">
      <c r="C46" s="124"/>
      <c r="D46" s="125"/>
      <c r="E46" s="368"/>
      <c r="F46" s="391"/>
      <c r="G46" s="390">
        <f t="shared" si="1"/>
        <v>0</v>
      </c>
      <c r="H46" s="398"/>
      <c r="I46" s="398"/>
      <c r="J46" s="398"/>
    </row>
    <row r="47" spans="3:10" ht="12" x14ac:dyDescent="0.2">
      <c r="C47" s="126" t="str">
        <f>+C33</f>
        <v>Total al 30/09/2020</v>
      </c>
      <c r="D47" s="126"/>
      <c r="E47" s="378"/>
      <c r="F47" s="388">
        <f>SUM(F41:F46)</f>
        <v>3595588712</v>
      </c>
      <c r="G47" s="388">
        <f>SUM(G40:G46)</f>
        <v>3595588712</v>
      </c>
      <c r="H47" s="385"/>
      <c r="I47" s="385"/>
      <c r="J47" s="385"/>
    </row>
    <row r="48" spans="3:10" ht="12" x14ac:dyDescent="0.25">
      <c r="C48" s="114" t="s">
        <v>580</v>
      </c>
      <c r="D48" s="114"/>
      <c r="E48" s="373"/>
      <c r="F48" s="381">
        <v>2291120000</v>
      </c>
      <c r="G48" s="381">
        <v>2291120000</v>
      </c>
      <c r="H48" s="385"/>
      <c r="I48" s="385"/>
      <c r="J48" s="385"/>
    </row>
    <row r="49" spans="3:10" x14ac:dyDescent="0.2">
      <c r="C49" s="117"/>
      <c r="D49" s="117"/>
      <c r="E49" s="375"/>
      <c r="F49" s="375"/>
      <c r="G49" s="375"/>
      <c r="H49" s="375"/>
      <c r="I49" s="375"/>
      <c r="J49" s="375"/>
    </row>
    <row r="50" spans="3:10" x14ac:dyDescent="0.2">
      <c r="C50" s="117"/>
      <c r="D50" s="117"/>
      <c r="E50" s="375"/>
      <c r="F50" s="375"/>
      <c r="G50" s="375"/>
      <c r="H50" s="375"/>
      <c r="I50" s="375"/>
      <c r="J50" s="375"/>
    </row>
    <row r="51" spans="3:10" ht="12" x14ac:dyDescent="0.2">
      <c r="C51" s="470" t="s">
        <v>585</v>
      </c>
      <c r="D51" s="471"/>
      <c r="E51" s="471"/>
      <c r="F51" s="471"/>
      <c r="G51" s="471"/>
      <c r="H51" s="471"/>
      <c r="I51" s="472"/>
      <c r="J51" s="375"/>
    </row>
    <row r="52" spans="3:10" ht="24" x14ac:dyDescent="0.2">
      <c r="C52" s="416" t="s">
        <v>586</v>
      </c>
      <c r="D52" s="416" t="s">
        <v>587</v>
      </c>
      <c r="E52" s="413" t="s">
        <v>588</v>
      </c>
      <c r="F52" s="392" t="s">
        <v>589</v>
      </c>
      <c r="G52" s="413" t="s">
        <v>590</v>
      </c>
      <c r="H52" s="413" t="s">
        <v>550</v>
      </c>
      <c r="I52" s="413" t="s">
        <v>551</v>
      </c>
      <c r="J52" s="375"/>
    </row>
    <row r="53" spans="3:10" x14ac:dyDescent="0.2">
      <c r="C53" s="109" t="s">
        <v>591</v>
      </c>
      <c r="D53" s="109" t="s">
        <v>582</v>
      </c>
      <c r="E53" s="379">
        <v>200000000</v>
      </c>
      <c r="F53" s="384">
        <v>411930779</v>
      </c>
      <c r="G53" s="384">
        <v>851000000</v>
      </c>
      <c r="H53" s="379"/>
      <c r="I53" s="379"/>
      <c r="J53" s="375"/>
    </row>
    <row r="54" spans="3:10" ht="12" x14ac:dyDescent="0.2">
      <c r="C54" s="114" t="str">
        <f>+C47</f>
        <v>Total al 30/09/2020</v>
      </c>
      <c r="D54" s="114"/>
      <c r="E54" s="380">
        <f>SUM(E53:E53)</f>
        <v>200000000</v>
      </c>
      <c r="F54" s="380">
        <f>SUM(F53:F53)</f>
        <v>411930779</v>
      </c>
      <c r="G54" s="380">
        <f>+G53</f>
        <v>851000000</v>
      </c>
      <c r="H54" s="380"/>
      <c r="I54" s="380"/>
      <c r="J54" s="375"/>
    </row>
    <row r="55" spans="3:10" ht="12" x14ac:dyDescent="0.25">
      <c r="C55" s="114" t="s">
        <v>580</v>
      </c>
      <c r="D55" s="114"/>
      <c r="E55" s="381">
        <v>200000000</v>
      </c>
      <c r="F55" s="381">
        <v>361481649</v>
      </c>
      <c r="G55" s="380">
        <v>750000000</v>
      </c>
      <c r="H55" s="380"/>
      <c r="I55" s="380"/>
      <c r="J55" s="375"/>
    </row>
    <row r="56" spans="3:10" ht="12" x14ac:dyDescent="0.25">
      <c r="C56" s="128"/>
      <c r="D56" s="128"/>
      <c r="E56" s="382"/>
      <c r="F56" s="382"/>
      <c r="G56" s="389"/>
      <c r="H56" s="389"/>
      <c r="I56" s="389"/>
      <c r="J56" s="375"/>
    </row>
    <row r="57" spans="3:10" ht="12" x14ac:dyDescent="0.2">
      <c r="C57" s="115"/>
      <c r="D57" s="129"/>
      <c r="E57" s="383"/>
      <c r="F57" s="393"/>
      <c r="G57" s="393"/>
      <c r="H57" s="403"/>
      <c r="I57" s="403"/>
      <c r="J57" s="403"/>
    </row>
    <row r="58" spans="3:10" ht="12" x14ac:dyDescent="0.2">
      <c r="C58" s="115"/>
      <c r="D58" s="129"/>
      <c r="E58" s="383"/>
      <c r="F58" s="393"/>
      <c r="G58" s="393"/>
      <c r="H58" s="403"/>
      <c r="I58" s="403"/>
      <c r="J58" s="403"/>
    </row>
    <row r="59" spans="3:10" ht="12" x14ac:dyDescent="0.2">
      <c r="C59" s="115"/>
      <c r="D59" s="129"/>
      <c r="E59" s="383"/>
      <c r="F59" s="393"/>
      <c r="G59" s="393"/>
      <c r="H59" s="403"/>
      <c r="I59" s="403"/>
      <c r="J59" s="403"/>
    </row>
    <row r="60" spans="3:10" ht="12" x14ac:dyDescent="0.2">
      <c r="C60" s="476" t="s">
        <v>592</v>
      </c>
      <c r="D60" s="477"/>
      <c r="E60" s="477"/>
      <c r="F60" s="477"/>
      <c r="G60" s="477"/>
      <c r="H60" s="477"/>
      <c r="I60" s="478"/>
      <c r="J60" s="375"/>
    </row>
    <row r="61" spans="3:10" ht="24" x14ac:dyDescent="0.2">
      <c r="C61" s="416" t="s">
        <v>586</v>
      </c>
      <c r="D61" s="416" t="s">
        <v>587</v>
      </c>
      <c r="E61" s="413" t="s">
        <v>588</v>
      </c>
      <c r="F61" s="413" t="s">
        <v>589</v>
      </c>
      <c r="G61" s="413" t="s">
        <v>590</v>
      </c>
      <c r="H61" s="413" t="s">
        <v>550</v>
      </c>
      <c r="I61" s="413" t="s">
        <v>551</v>
      </c>
      <c r="J61" s="375"/>
    </row>
    <row r="62" spans="3:10" ht="34.200000000000003" x14ac:dyDescent="0.2">
      <c r="C62" s="109" t="s">
        <v>593</v>
      </c>
      <c r="D62" s="130" t="s">
        <v>594</v>
      </c>
      <c r="E62" s="384">
        <v>44805500</v>
      </c>
      <c r="F62" s="384">
        <v>44805500</v>
      </c>
      <c r="G62" s="394" t="s">
        <v>593</v>
      </c>
      <c r="H62" s="394" t="s">
        <v>595</v>
      </c>
      <c r="I62" s="394" t="s">
        <v>595</v>
      </c>
      <c r="J62" s="375"/>
    </row>
    <row r="63" spans="3:10" x14ac:dyDescent="0.2">
      <c r="C63" s="131">
        <v>600</v>
      </c>
      <c r="D63" s="132" t="s">
        <v>567</v>
      </c>
      <c r="E63" s="384">
        <v>600000000</v>
      </c>
      <c r="F63" s="384">
        <f>+E63</f>
        <v>600000000</v>
      </c>
      <c r="G63" s="394" t="s">
        <v>593</v>
      </c>
      <c r="H63" s="394" t="s">
        <v>595</v>
      </c>
      <c r="I63" s="394" t="s">
        <v>595</v>
      </c>
      <c r="J63" s="375"/>
    </row>
    <row r="64" spans="3:10" x14ac:dyDescent="0.2">
      <c r="C64" s="131"/>
      <c r="D64" s="132" t="s">
        <v>558</v>
      </c>
      <c r="E64" s="384">
        <v>11659147144</v>
      </c>
      <c r="F64" s="384">
        <f>+E64</f>
        <v>11659147144</v>
      </c>
      <c r="G64" s="394" t="s">
        <v>593</v>
      </c>
      <c r="H64" s="394" t="s">
        <v>595</v>
      </c>
      <c r="I64" s="394" t="s">
        <v>595</v>
      </c>
      <c r="J64" s="375"/>
    </row>
    <row r="65" spans="3:10" ht="12" x14ac:dyDescent="0.2">
      <c r="C65" s="114" t="str">
        <f>+C54</f>
        <v>Total al 30/09/2020</v>
      </c>
      <c r="D65" s="114"/>
      <c r="E65" s="380">
        <f>SUM(E62:E64)</f>
        <v>12303952644</v>
      </c>
      <c r="F65" s="380">
        <f>SUM(F62:F64)</f>
        <v>12303952644</v>
      </c>
      <c r="G65" s="380"/>
      <c r="H65" s="404"/>
      <c r="I65" s="404"/>
      <c r="J65" s="403"/>
    </row>
    <row r="66" spans="3:10" ht="12" x14ac:dyDescent="0.2">
      <c r="C66" s="114" t="s">
        <v>580</v>
      </c>
      <c r="D66" s="133"/>
      <c r="E66" s="385"/>
      <c r="F66" s="380">
        <v>594805500</v>
      </c>
      <c r="G66" s="380"/>
      <c r="H66" s="404"/>
      <c r="I66" s="404"/>
      <c r="J66" s="403"/>
    </row>
    <row r="67" spans="3:10" x14ac:dyDescent="0.2">
      <c r="C67" s="117"/>
      <c r="D67" s="117"/>
      <c r="E67" s="375"/>
      <c r="F67" s="375"/>
      <c r="G67" s="375"/>
      <c r="H67" s="375"/>
      <c r="I67" s="375"/>
      <c r="J67" s="375"/>
    </row>
    <row r="68" spans="3:10" x14ac:dyDescent="0.2">
      <c r="C68" s="117"/>
      <c r="D68" s="117"/>
      <c r="E68" s="375"/>
      <c r="F68" s="375"/>
      <c r="G68" s="375"/>
      <c r="H68" s="375"/>
      <c r="I68" s="375"/>
      <c r="J68" s="375"/>
    </row>
    <row r="69" spans="3:10" ht="12" x14ac:dyDescent="0.2">
      <c r="C69" s="470" t="s">
        <v>596</v>
      </c>
      <c r="D69" s="471"/>
      <c r="E69" s="471"/>
      <c r="F69" s="472"/>
      <c r="G69" s="470" t="str">
        <f>+G37</f>
        <v xml:space="preserve"> INFORMACION SOBRE EL EMISOR AL 30/09/2020</v>
      </c>
      <c r="H69" s="471"/>
      <c r="I69" s="471"/>
      <c r="J69" s="472"/>
    </row>
    <row r="70" spans="3:10" ht="12" x14ac:dyDescent="0.2">
      <c r="C70" s="470" t="s">
        <v>597</v>
      </c>
      <c r="D70" s="471"/>
      <c r="E70" s="471"/>
      <c r="F70" s="471"/>
      <c r="G70" s="471"/>
      <c r="H70" s="471"/>
      <c r="I70" s="471"/>
      <c r="J70" s="472"/>
    </row>
    <row r="71" spans="3:10" x14ac:dyDescent="0.2">
      <c r="C71" s="474" t="s">
        <v>552</v>
      </c>
      <c r="D71" s="479" t="s">
        <v>598</v>
      </c>
      <c r="E71" s="468" t="s">
        <v>599</v>
      </c>
      <c r="F71" s="468" t="s">
        <v>588</v>
      </c>
      <c r="G71" s="468" t="s">
        <v>600</v>
      </c>
      <c r="H71" s="469" t="s">
        <v>368</v>
      </c>
      <c r="I71" s="469" t="s">
        <v>550</v>
      </c>
      <c r="J71" s="469" t="s">
        <v>551</v>
      </c>
    </row>
    <row r="72" spans="3:10" x14ac:dyDescent="0.2">
      <c r="C72" s="474"/>
      <c r="D72" s="479"/>
      <c r="E72" s="468"/>
      <c r="F72" s="468"/>
      <c r="G72" s="468"/>
      <c r="H72" s="469"/>
      <c r="I72" s="469"/>
      <c r="J72" s="469"/>
    </row>
    <row r="73" spans="3:10" x14ac:dyDescent="0.2">
      <c r="C73" s="83" t="s">
        <v>601</v>
      </c>
      <c r="D73" s="83" t="s">
        <v>602</v>
      </c>
      <c r="E73" s="386">
        <v>2348</v>
      </c>
      <c r="F73" s="386">
        <v>2329691864</v>
      </c>
      <c r="G73" s="386">
        <v>2495451703</v>
      </c>
      <c r="H73" s="386">
        <v>2760000000</v>
      </c>
      <c r="I73" s="386">
        <v>112098826</v>
      </c>
      <c r="J73" s="386">
        <v>2789481337</v>
      </c>
    </row>
    <row r="74" spans="3:10" x14ac:dyDescent="0.2">
      <c r="C74" s="134" t="s">
        <v>603</v>
      </c>
      <c r="D74" s="83" t="s">
        <v>602</v>
      </c>
      <c r="E74" s="386">
        <v>25000</v>
      </c>
      <c r="F74" s="386">
        <v>2800000000</v>
      </c>
      <c r="G74" s="386">
        <v>2800000000</v>
      </c>
      <c r="H74" s="386">
        <v>2501000000</v>
      </c>
      <c r="I74" s="386">
        <v>-35646095</v>
      </c>
      <c r="J74" s="386">
        <v>2747133603</v>
      </c>
    </row>
    <row r="75" spans="3:10" x14ac:dyDescent="0.2">
      <c r="C75" s="134" t="s">
        <v>604</v>
      </c>
      <c r="D75" s="83" t="s">
        <v>602</v>
      </c>
      <c r="E75" s="386">
        <v>251</v>
      </c>
      <c r="F75" s="386">
        <v>2203082495</v>
      </c>
      <c r="G75" s="386">
        <f>+F75</f>
        <v>2203082495</v>
      </c>
      <c r="H75" s="386">
        <v>500000000</v>
      </c>
      <c r="I75" s="386"/>
      <c r="J75" s="386">
        <f>+H75</f>
        <v>500000000</v>
      </c>
    </row>
    <row r="76" spans="3:10" ht="12" x14ac:dyDescent="0.2">
      <c r="C76" s="114" t="str">
        <f>+C65</f>
        <v>Total al 30/09/2020</v>
      </c>
      <c r="D76" s="114"/>
      <c r="E76" s="373"/>
      <c r="F76" s="380">
        <f>SUM(F73:F75)</f>
        <v>7332774359</v>
      </c>
      <c r="G76" s="380">
        <f>SUM(G73:G75)</f>
        <v>7498534198</v>
      </c>
      <c r="H76" s="404"/>
      <c r="I76" s="404"/>
      <c r="J76" s="404"/>
    </row>
    <row r="77" spans="3:10" ht="12" x14ac:dyDescent="0.2">
      <c r="C77" s="114" t="s">
        <v>580</v>
      </c>
      <c r="D77" s="133"/>
      <c r="E77" s="385"/>
      <c r="F77" s="380">
        <v>5380691864</v>
      </c>
      <c r="G77" s="380">
        <v>5546451703</v>
      </c>
      <c r="H77" s="404"/>
      <c r="I77" s="404"/>
      <c r="J77" s="404"/>
    </row>
    <row r="78" spans="3:10" x14ac:dyDescent="0.2">
      <c r="C78" s="117"/>
      <c r="D78" s="117"/>
      <c r="E78" s="375"/>
      <c r="F78" s="375"/>
      <c r="G78" s="375"/>
      <c r="H78" s="375"/>
      <c r="I78" s="375"/>
      <c r="J78" s="375"/>
    </row>
    <row r="79" spans="3:10" ht="12.6" thickBot="1" x14ac:dyDescent="0.25">
      <c r="C79" s="135" t="s">
        <v>605</v>
      </c>
      <c r="D79" s="136"/>
      <c r="E79" s="387"/>
      <c r="F79" s="387"/>
      <c r="G79" s="387">
        <f>+G76+G54+G47+G33+F65</f>
        <v>38236425446.901108</v>
      </c>
      <c r="H79" s="387"/>
      <c r="I79" s="387"/>
      <c r="J79" s="387"/>
    </row>
    <row r="80" spans="3:10" ht="12" thickTop="1" x14ac:dyDescent="0.2">
      <c r="G80" s="395"/>
    </row>
    <row r="82" spans="3:6" ht="12" x14ac:dyDescent="0.2">
      <c r="C82" s="470" t="s">
        <v>606</v>
      </c>
      <c r="D82" s="471"/>
      <c r="E82" s="471"/>
      <c r="F82" s="472"/>
    </row>
    <row r="83" spans="3:6" x14ac:dyDescent="0.2">
      <c r="C83" s="65" t="s">
        <v>607</v>
      </c>
      <c r="F83" s="369">
        <f>+F33+F47</f>
        <v>17582938604.901108</v>
      </c>
    </row>
    <row r="84" spans="3:6" x14ac:dyDescent="0.2">
      <c r="C84" s="65" t="s">
        <v>608</v>
      </c>
      <c r="F84" s="369">
        <f>+G54+F65+G76</f>
        <v>20653486842</v>
      </c>
    </row>
    <row r="85" spans="3:6" ht="12.6" thickBot="1" x14ac:dyDescent="0.25">
      <c r="C85" s="135" t="s">
        <v>609</v>
      </c>
      <c r="D85" s="137">
        <f>+D84+D83</f>
        <v>0</v>
      </c>
      <c r="E85" s="387">
        <f>+E84+E83</f>
        <v>0</v>
      </c>
      <c r="F85" s="387">
        <f>+F84+F83</f>
        <v>38236425446.901108</v>
      </c>
    </row>
    <row r="86" spans="3:6" ht="12" thickTop="1" x14ac:dyDescent="0.2"/>
  </sheetData>
  <sortState xmlns:xlrd2="http://schemas.microsoft.com/office/spreadsheetml/2017/richdata2" ref="C62:I66">
    <sortCondition sortBy="cellColor" ref="E62:E66"/>
  </sortState>
  <mergeCells count="20">
    <mergeCell ref="C51:I51"/>
    <mergeCell ref="I71:I72"/>
    <mergeCell ref="J71:J72"/>
    <mergeCell ref="C60:I60"/>
    <mergeCell ref="C69:F69"/>
    <mergeCell ref="G69:J69"/>
    <mergeCell ref="C70:J70"/>
    <mergeCell ref="C71:C72"/>
    <mergeCell ref="D71:D72"/>
    <mergeCell ref="C38:J38"/>
    <mergeCell ref="C10:F10"/>
    <mergeCell ref="G10:J10"/>
    <mergeCell ref="C11:J11"/>
    <mergeCell ref="C37:F37"/>
    <mergeCell ref="G37:J37"/>
    <mergeCell ref="E71:E72"/>
    <mergeCell ref="F71:F72"/>
    <mergeCell ref="G71:G72"/>
    <mergeCell ref="H71:H72"/>
    <mergeCell ref="C82:F82"/>
  </mergeCells>
  <hyperlinks>
    <hyperlink ref="C1" location="'Balance Gral. Resol. 1'!A1" display="'Balance Gral. Resol. 1'!A1" xr:uid="{00000000-0004-0000-0800-000000000000}"/>
  </hyperlink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F9L6muk8YPAXxOejEkmAxe3HT9UQe0MtOPJvQ1NrcP8=</DigestValue>
    </Reference>
    <Reference Type="http://www.w3.org/2000/09/xmldsig#Object" URI="#idOfficeObject">
      <DigestMethod Algorithm="http://www.w3.org/2001/04/xmlenc#sha256"/>
      <DigestValue>bLE9SptzYEhAihoUZXIbnZJx7qFTiNU7enbzG2wrzJs=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c9CqqzQsxP41MsCzV3GCubIxQ7xbh/2SiO1HYrsk+4M=</DigestValue>
    </Reference>
    <Reference Type="http://www.w3.org/2000/09/xmldsig#Object" URI="#idValidSigLnImg">
      <DigestMethod Algorithm="http://www.w3.org/2001/04/xmlenc#sha256"/>
      <DigestValue>q972D/LoE6jmUx43jWWEM+tYhw0w5S3mhRtOEJfrLAQ=</DigestValue>
    </Reference>
    <Reference Type="http://www.w3.org/2000/09/xmldsig#Object" URI="#idInvalidSigLnImg">
      <DigestMethod Algorithm="http://www.w3.org/2001/04/xmlenc#sha256"/>
      <DigestValue>Os08ZqT8WhValeT2Ah9OjXBGyo/lzizUXTBNG3fBYWw=</DigestValue>
    </Reference>
  </SignedInfo>
  <SignatureValue>nA55dFCLlXjtoIe+mjaAPt3swPrD+Ry9B5tU4eo02wxrFbmsOImoJ/1YYTh+h+fEaQiYHPwhSmZd
x6oQCr7seG1tUxyDn97ufjT6AJ8ROUdlWNU2jR5TDa1Y0USsCLmqmo/Kpqa2T0tWM3Aim68EHtJP
O6q7DkIgv7eYLCzxWdtI8ll7RYAwyMqZG7bGQQVdWsS1b2G8eWllScf5UaJ/yLbUIap6UCiH3ZLZ
Av7e4AmRBaM8absZ+Zcwm2PvqaaXswO9HunbIIj/1C12ZsvOAIiSAiRBX62kzKcmYaH4XP3hWyNe
7pa+0NFsJvEvpZKAe/6pwrcNUAeQxfYlcwd7Gg==</SignatureValue>
  <KeyInfo>
    <X509Data>
      <X509Certificate>MIIH8zCCBdugAwIBAgIIO1n5Fu6V2kcwDQYJKoZIhvcNAQELBQAwWzEXMBUGA1UEBRMOUlVDIDgwMDUwMTcyLTExGjAYBgNVBAMTEUNBLURPQ1VNRU5UQSBTLkEuMRcwFQYDVQQKEw5ET0NVTUVOVEEgUy5BLjELMAkGA1UEBhMCUFkwHhcNMTkwODI5MjExNjQ5WhcNMjEwODI4MjEyNjQ5WjCBjzELMAkGA1UEBhMCUFkxEDAOBgNVBAQMB1BFUkVJUkExEjAQBgNVBAUTCUNJMTU0Nzk1ODESMBAGA1UEKgwJU0FEWSBTTUlEMRcwFQYDVQQKDA5QRVJTT05BIEZJU0lDQTERMA8GA1UECwwIRklSTUEgRjIxGjAYBgNVBAMMEVNBRFkgU01JRCBQRVJFSVJBMIIBIjANBgkqhkiG9w0BAQEFAAOCAQ8AMIIBCgKCAQEAsssBxUzjkUBy8L/ux7U/ShJ3fJKr786Aa3SE5gqhhM6P/XmRyzCmuaye57JzMHUq5SI3BFuvpoPGpHfxrlTtKj5GMtdb9m9V69/ktRt2NkVLPL/HVQSeKxT0UguKn0a0NBS57L/D16PolzzrWlG3D1MiH6YgKFVnjbpoAbu+8nrXRsgPom/xT80W3pUXQuUVboCCTvLnVQO3iPDRgTxPwqaCb4Uk6hfGuOElkMksHFe++SwZJY+LgNYtOC6AU2+JL66r2ggGk/2+YwD2oehwh7/WzOdbaVNvFGd1TNNxbAd7fA0hfKIq6R+hbqZkJ+8sFBYuhX2KNhBWarwmHYo4UQIDAQABo4IDhDCCA4AwDAYDVR0TAQH/BAIwADAOBgNVHQ8BAf8EBAMCBeAwKgYDVR0lAQH/BCAwHgYIKwYBBQUHAwEGCCsGAQUFBwMCBggrBgEFBQcDBDAdBgNVHQ4EFgQUAG7LBZimld5mvimMkPfWNvA6CTQwgZYGCCsGAQUFBwEBBIGJMIGGMDkGCCsGAQUFBzABhi1odHRw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KQYDVR0RBCIwIIEec2FkeS5wZXJlaXJhQGlucG9zaXRpdm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S09LEt3/1dZunV7Ul+n+EOuuWdgZ3Glpgt4crnzRVDBqUbF0iY1vVe7so/EUaCMO7ab9hDiUvtCEbfOOxDsH+j0eN5kD0RAaDOPNsmXTmlkOY+xfn9KPkhFOPS+e2Vk2MvWWBNieCp8LUWw/Ht6axJ4ijT9Ru/8cUYOWFRgmopXD+/LWrtP38gFB3VYHnXXk5Ev86yvTFQjxUYdS6TWn3gP5vOC5UWu9RTKdBO+QiLjmJFpwsRraNFTNOD69ds3SDE6Q35WJk9yIHjA8+BxORslsAfptJfNTcRSi4TqV+csT+PH2I7GOn5epI2qpklEVyHGolczQpXzBajJu/Os08bG8m5bJ+iEwAZTYSCJhc0sWhY0MflrOKGbTbB+NwoCSoVdI2xozR+LEYsSDXV7ujHKvK8DlkutcXbnyM0CQ2VYvkiNLjhFWwzFYskYrMSE9xUJ9/Jf7F+C2+b+V75byUpZnO34t/TWz4wAT1CYi1CaGaLxwzWDzRaw7JK5mE5RklHVw9sEcfdUdRlJAtnYzIv8ivQAH2IFnnBx8V+3MyRAHhw7fJJJBoDGvlZ1DFLyJBuNpjIIdhXI6XSEY4j/N6Mb/S9SvMSGnrr5BaUiTb+vm1fvXyGsiyveAzjwHorO9rsnQhiu4gutA59yc3mIQr1hIAwHKGoUjzYPozuWJk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EBVurXsKU6V/2st0xydTspGj9FmEhpfVT6G5KSUCHIE=</DigestValue>
      </Reference>
      <Reference URI="/xl/calcChain.xml?ContentType=application/vnd.openxmlformats-officedocument.spreadsheetml.calcChain+xml">
        <DigestMethod Algorithm="http://www.w3.org/2001/04/xmlenc#sha256"/>
        <DigestValue>pCtN5NIBZTp3F/xQpvEauPV7mjQN9YghQvGhw3jkdaQ=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oqkvRS8ZEd7JzSCxYgg39cPmI6lts0sIqkiz38/LvnE=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bAiF7p/DurY4h7897uGkjqNg+hAkgDlUMXRhqN+v87I=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m1MH6Ect45CfHAy7CJ/aWzqLD2oQjuubMlXo5dt9EWk=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ufVIIZbR3muO7yHQjWBZqVcmkCzL2v37KYuEYNsUOuU=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Mqh972BtLIooN5Y/rlY+mBQwqkONn0zsk3gQTTQYSPA=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/kBOrs9JYwGO0mALUW4LbJphjv3mSGDHMbyZFNDmUG0=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Gj1aCcr0lzVK4kyeFwtJruIO3olujcWihOGVDE/cXlg=</DigestValue>
      </Reference>
      <Reference URI="/xl/drawings/drawing10.xml?ContentType=application/vnd.openxmlformats-officedocument.drawing+xml">
        <DigestMethod Algorithm="http://www.w3.org/2001/04/xmlenc#sha256"/>
        <DigestValue>h8Os8GL5Y19xNL0eTtqshgU3X4BWRKvA2lzmNhHl8kQ=</DigestValue>
      </Reference>
      <Reference URI="/xl/drawings/drawing11.xml?ContentType=application/vnd.openxmlformats-officedocument.drawing+xml">
        <DigestMethod Algorithm="http://www.w3.org/2001/04/xmlenc#sha256"/>
        <DigestValue>8YKRuAAk6HevXj94hMec7VZmuX+h8MW8mQdi4rSq+RE=</DigestValue>
      </Reference>
      <Reference URI="/xl/drawings/drawing12.xml?ContentType=application/vnd.openxmlformats-officedocument.drawing+xml">
        <DigestMethod Algorithm="http://www.w3.org/2001/04/xmlenc#sha256"/>
        <DigestValue>KBiMbdhs5LDdROE0RkUbBWo5ympBiXUhUK/cRlzmIFg=</DigestValue>
      </Reference>
      <Reference URI="/xl/drawings/drawing13.xml?ContentType=application/vnd.openxmlformats-officedocument.drawing+xml">
        <DigestMethod Algorithm="http://www.w3.org/2001/04/xmlenc#sha256"/>
        <DigestValue>+7Yt7YzId9wcLvaCKFhqjLJKRUqRdqtpjNP9HzpehYk=</DigestValue>
      </Reference>
      <Reference URI="/xl/drawings/drawing14.xml?ContentType=application/vnd.openxmlformats-officedocument.drawing+xml">
        <DigestMethod Algorithm="http://www.w3.org/2001/04/xmlenc#sha256"/>
        <DigestValue>8xaDTLii4BvXNnbDGQphODrZjwmhvQZbllgOBbuNG2o=</DigestValue>
      </Reference>
      <Reference URI="/xl/drawings/drawing15.xml?ContentType=application/vnd.openxmlformats-officedocument.drawing+xml">
        <DigestMethod Algorithm="http://www.w3.org/2001/04/xmlenc#sha256"/>
        <DigestValue>AWBfPYHuWsqulL8zYatSySJRANpa/5Yut0ReP1+lNXA=</DigestValue>
      </Reference>
      <Reference URI="/xl/drawings/drawing16.xml?ContentType=application/vnd.openxmlformats-officedocument.drawing+xml">
        <DigestMethod Algorithm="http://www.w3.org/2001/04/xmlenc#sha256"/>
        <DigestValue>aAi+aiJ8ju6WJtM2usyi8zKLhIFMTV3EapQCPRIkvXg=</DigestValue>
      </Reference>
      <Reference URI="/xl/drawings/drawing17.xml?ContentType=application/vnd.openxmlformats-officedocument.drawing+xml">
        <DigestMethod Algorithm="http://www.w3.org/2001/04/xmlenc#sha256"/>
        <DigestValue>IcWQWmPh370D6ShX6lEvVHOaJFDH2l3dPPF98rwYaqU=</DigestValue>
      </Reference>
      <Reference URI="/xl/drawings/drawing18.xml?ContentType=application/vnd.openxmlformats-officedocument.drawing+xml">
        <DigestMethod Algorithm="http://www.w3.org/2001/04/xmlenc#sha256"/>
        <DigestValue>g06DarmG1Crr8+33qQ6RJ/Bgbkq0cbl+EL2eAg9w7As=</DigestValue>
      </Reference>
      <Reference URI="/xl/drawings/drawing19.xml?ContentType=application/vnd.openxmlformats-officedocument.drawing+xml">
        <DigestMethod Algorithm="http://www.w3.org/2001/04/xmlenc#sha256"/>
        <DigestValue>bQ3WkwdhTBcO01wLOkLsF1W8P4tNjabkvu7lvZRYh/A=</DigestValue>
      </Reference>
      <Reference URI="/xl/drawings/drawing2.xml?ContentType=application/vnd.openxmlformats-officedocument.drawing+xml">
        <DigestMethod Algorithm="http://www.w3.org/2001/04/xmlenc#sha256"/>
        <DigestValue>BbhPkwWlvZO4leixQWa6Rcxcf9LdllsRfEt8xY/wZA8=</DigestValue>
      </Reference>
      <Reference URI="/xl/drawings/drawing20.xml?ContentType=application/vnd.openxmlformats-officedocument.drawing+xml">
        <DigestMethod Algorithm="http://www.w3.org/2001/04/xmlenc#sha256"/>
        <DigestValue>vB6F0jdOe+EuYywNdckfIWKUJDFWHuTdYqfhF+u8FO0=</DigestValue>
      </Reference>
      <Reference URI="/xl/drawings/drawing21.xml?ContentType=application/vnd.openxmlformats-officedocument.drawing+xml">
        <DigestMethod Algorithm="http://www.w3.org/2001/04/xmlenc#sha256"/>
        <DigestValue>+AxYHdgi6uFSaCEm1f1VVTXmeJsVsEgSAsjALnNCTL8=</DigestValue>
      </Reference>
      <Reference URI="/xl/drawings/drawing22.xml?ContentType=application/vnd.openxmlformats-officedocument.drawing+xml">
        <DigestMethod Algorithm="http://www.w3.org/2001/04/xmlenc#sha256"/>
        <DigestValue>cYGm8JpmQsJ/tnzMHVog2TFXVNAd/sT0Dt2cM/DLnCE=</DigestValue>
      </Reference>
      <Reference URI="/xl/drawings/drawing23.xml?ContentType=application/vnd.openxmlformats-officedocument.drawing+xml">
        <DigestMethod Algorithm="http://www.w3.org/2001/04/xmlenc#sha256"/>
        <DigestValue>QeH6hO1BGfXvve/irRNYdNLgZCQTM1sM6cseSu/bw/E=</DigestValue>
      </Reference>
      <Reference URI="/xl/drawings/drawing24.xml?ContentType=application/vnd.openxmlformats-officedocument.drawing+xml">
        <DigestMethod Algorithm="http://www.w3.org/2001/04/xmlenc#sha256"/>
        <DigestValue>XOQkJInooRA0Rx3eM3s2+hIc08tHYbkkhmzXq4i82VU=</DigestValue>
      </Reference>
      <Reference URI="/xl/drawings/drawing25.xml?ContentType=application/vnd.openxmlformats-officedocument.drawing+xml">
        <DigestMethod Algorithm="http://www.w3.org/2001/04/xmlenc#sha256"/>
        <DigestValue>vxelHgsJJ/Yr0lo5PK0E2ZNk1KFdNetCwznPMdDb1rg=</DigestValue>
      </Reference>
      <Reference URI="/xl/drawings/drawing26.xml?ContentType=application/vnd.openxmlformats-officedocument.drawing+xml">
        <DigestMethod Algorithm="http://www.w3.org/2001/04/xmlenc#sha256"/>
        <DigestValue>mvki+FhtoJq/rlgSJFxAqaKJxYVIhUUKQXmCpKPDHBE=</DigestValue>
      </Reference>
      <Reference URI="/xl/drawings/drawing3.xml?ContentType=application/vnd.openxmlformats-officedocument.drawing+xml">
        <DigestMethod Algorithm="http://www.w3.org/2001/04/xmlenc#sha256"/>
        <DigestValue>amGlSELsVXkLa323Xmx8HzsU9X1nZeV5ciIahux0+3E=</DigestValue>
      </Reference>
      <Reference URI="/xl/drawings/drawing4.xml?ContentType=application/vnd.openxmlformats-officedocument.drawing+xml">
        <DigestMethod Algorithm="http://www.w3.org/2001/04/xmlenc#sha256"/>
        <DigestValue>7xzFzUgDjpbRQsNo94S4huFDepYUdXCHzetZhmC8x6I=</DigestValue>
      </Reference>
      <Reference URI="/xl/drawings/drawing5.xml?ContentType=application/vnd.openxmlformats-officedocument.drawing+xml">
        <DigestMethod Algorithm="http://www.w3.org/2001/04/xmlenc#sha256"/>
        <DigestValue>HrhEd79Tp1dMvynp5QJqh50awp7asCEqrn+b+jioNv4=</DigestValue>
      </Reference>
      <Reference URI="/xl/drawings/drawing6.xml?ContentType=application/vnd.openxmlformats-officedocument.drawing+xml">
        <DigestMethod Algorithm="http://www.w3.org/2001/04/xmlenc#sha256"/>
        <DigestValue>O739+8sK2SWpUXUMyLY6F+303q5lAiKv4eJTuPoIpIE=</DigestValue>
      </Reference>
      <Reference URI="/xl/drawings/drawing7.xml?ContentType=application/vnd.openxmlformats-officedocument.drawing+xml">
        <DigestMethod Algorithm="http://www.w3.org/2001/04/xmlenc#sha256"/>
        <DigestValue>8+rwhU6H1F9TKmQMsNnoi3EHW+XVoO95q2rfqi0ioSk=</DigestValue>
      </Reference>
      <Reference URI="/xl/drawings/drawing8.xml?ContentType=application/vnd.openxmlformats-officedocument.drawing+xml">
        <DigestMethod Algorithm="http://www.w3.org/2001/04/xmlenc#sha256"/>
        <DigestValue>cobdIzy+NXXI1HDaNsEPb1xW8tBWpyUh8nyi3sXIUHU=</DigestValue>
      </Reference>
      <Reference URI="/xl/drawings/drawing9.xml?ContentType=application/vnd.openxmlformats-officedocument.drawing+xml">
        <DigestMethod Algorithm="http://www.w3.org/2001/04/xmlenc#sha256"/>
        <DigestValue>1sVOMPWLAL+1T550Vr5KrC9LqbYQwgQk/pbjsODdO6g=</DigestValue>
      </Reference>
      <Reference URI="/xl/drawings/vmlDrawing1.vml?ContentType=application/vnd.openxmlformats-officedocument.vmlDrawing">
        <DigestMethod Algorithm="http://www.w3.org/2001/04/xmlenc#sha256"/>
        <DigestValue>cp39UJsPEb7QPlXj0OQXRxb/ubTj9pCYN7pQTyuIHVQ=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1LmlxFxA7TlA3/RSZALwsKsrz5/b3CpcLR0hNcw3JAE=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AEe9dsqp5ZK9CyavxkVRAlmCXeWsNzlcErVwP9vtUHA=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o3Tiiq2bAF+8K09wNLZnf1FVGxDTxeMeU7aOuRiSSKU=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F9TNUEcVfCAZk9Lq46f1PTy47WJ7uwx51CaYN1xqcLw=</DigestValue>
      </Reference>
      <Reference URI="/xl/media/image1.png?ContentType=image/png">
        <DigestMethod Algorithm="http://www.w3.org/2001/04/xmlenc#sha256"/>
        <DigestValue>RJZkomf18YALunTB7k5cnr+rzZEe72Am0ekk+OYIV2g=</DigestValue>
      </Reference>
      <Reference URI="/xl/media/image10.jpeg?ContentType=image/jpeg">
        <DigestMethod Algorithm="http://www.w3.org/2001/04/xmlenc#sha256"/>
        <DigestValue>8rLdDmomazIQZE5BRWD66r4yxEkqHJjDV0X5uFuuz2M=</DigestValue>
      </Reference>
      <Reference URI="/xl/media/image11.jpeg?ContentType=image/jpeg">
        <DigestMethod Algorithm="http://www.w3.org/2001/04/xmlenc#sha256"/>
        <DigestValue>3mjV53qzC8uQ8HoK2IjZ5i0xskbdWJwtx9TNQqnWZU8=</DigestValue>
      </Reference>
      <Reference URI="/xl/media/image12.jpeg?ContentType=image/jpeg">
        <DigestMethod Algorithm="http://www.w3.org/2001/04/xmlenc#sha256"/>
        <DigestValue>sG2ewSB0cNlcDIQEhDjRNO32XBoWMZdWVl1xeB3JXnI=</DigestValue>
      </Reference>
      <Reference URI="/xl/media/image13.jpeg?ContentType=image/jpeg">
        <DigestMethod Algorithm="http://www.w3.org/2001/04/xmlenc#sha256"/>
        <DigestValue>RasGIvfy9teCQWpsgSJ+5YBBatGN6UU06CxOLyV5zPc=</DigestValue>
      </Reference>
      <Reference URI="/xl/media/image14.jpeg?ContentType=image/jpeg">
        <DigestMethod Algorithm="http://www.w3.org/2001/04/xmlenc#sha256"/>
        <DigestValue>6CeYFjAt4jVT0rvlgf2+K67C3iGB/ChusGIX7/mv9m8=</DigestValue>
      </Reference>
      <Reference URI="/xl/media/image15.jpeg?ContentType=image/jpeg">
        <DigestMethod Algorithm="http://www.w3.org/2001/04/xmlenc#sha256"/>
        <DigestValue>wImur4aoT5SKMb5h0bY+rb8Vuj1Ys5/zJqvFBrqToYY=</DigestValue>
      </Reference>
      <Reference URI="/xl/media/image16.jpeg?ContentType=image/jpeg">
        <DigestMethod Algorithm="http://www.w3.org/2001/04/xmlenc#sha256"/>
        <DigestValue>4MxNQYJRhCpqpQTj+HARpErbS9HW2uJjV7cs0zy/pI4=</DigestValue>
      </Reference>
      <Reference URI="/xl/media/image17.jpeg?ContentType=image/jpeg">
        <DigestMethod Algorithm="http://www.w3.org/2001/04/xmlenc#sha256"/>
        <DigestValue>RfEWTzc8q9+2Arsu+HVfMGImDuXXneLuAYsEQCL20fk=</DigestValue>
      </Reference>
      <Reference URI="/xl/media/image18.jpeg?ContentType=image/jpeg">
        <DigestMethod Algorithm="http://www.w3.org/2001/04/xmlenc#sha256"/>
        <DigestValue>LsSAmms7JepBE1WrTKvUURNa4r/0MbouFpOYmtDsrWA=</DigestValue>
      </Reference>
      <Reference URI="/xl/media/image19.jpeg?ContentType=image/jpeg">
        <DigestMethod Algorithm="http://www.w3.org/2001/04/xmlenc#sha256"/>
        <DigestValue>b8Cnc22y6etzsp8TM/9r4mrveiVwQ/fy2+HiHVhoJXE=</DigestValue>
      </Reference>
      <Reference URI="/xl/media/image2.jpeg?ContentType=image/jpeg">
        <DigestMethod Algorithm="http://www.w3.org/2001/04/xmlenc#sha256"/>
        <DigestValue>AgnZebd43UdcN+mf3TuJOPjnhjBjejkyPG/+4yAfm3c=</DigestValue>
      </Reference>
      <Reference URI="/xl/media/image20.jpeg?ContentType=image/jpeg">
        <DigestMethod Algorithm="http://www.w3.org/2001/04/xmlenc#sha256"/>
        <DigestValue>ne3pp4HL7e0LYWU4Tn/UFvNqt7YK3iIg9SbjPADmicw=</DigestValue>
      </Reference>
      <Reference URI="/xl/media/image21.jpeg?ContentType=image/jpeg">
        <DigestMethod Algorithm="http://www.w3.org/2001/04/xmlenc#sha256"/>
        <DigestValue>LrVuXbXWSbg6ufrN+JtlQmtL8kThahTsB+CZ7aC5V2g=</DigestValue>
      </Reference>
      <Reference URI="/xl/media/image22.jpeg?ContentType=image/jpeg">
        <DigestMethod Algorithm="http://www.w3.org/2001/04/xmlenc#sha256"/>
        <DigestValue>g0KXAghd4dYzU6Qhkf8rmXSf6luGuY/zVq8H6eZ+/i8=</DigestValue>
      </Reference>
      <Reference URI="/xl/media/image23.jpeg?ContentType=image/jpeg">
        <DigestMethod Algorithm="http://www.w3.org/2001/04/xmlenc#sha256"/>
        <DigestValue>w9rxT8jA1z8wPbaDV2SZQu6bzClTklsEo2eKz1HvfRw=</DigestValue>
      </Reference>
      <Reference URI="/xl/media/image24.jpeg?ContentType=image/jpeg">
        <DigestMethod Algorithm="http://www.w3.org/2001/04/xmlenc#sha256"/>
        <DigestValue>X/rd1tFu2WcCS/GYUEkcl8Ojt+H2fQcY1g9DhkuYef8=</DigestValue>
      </Reference>
      <Reference URI="/xl/media/image25.jpeg?ContentType=image/jpeg">
        <DigestMethod Algorithm="http://www.w3.org/2001/04/xmlenc#sha256"/>
        <DigestValue>r7k5LNvau3okSoSAs46CbvHftX1LajLEZI3RrDTkOEQ=</DigestValue>
      </Reference>
      <Reference URI="/xl/media/image26.jpeg?ContentType=image/jpeg">
        <DigestMethod Algorithm="http://www.w3.org/2001/04/xmlenc#sha256"/>
        <DigestValue>vCRnEOqZPIbvjp3pqDyS9ovT5vJ+ifj+ZzKV/hEQzeQ=</DigestValue>
      </Reference>
      <Reference URI="/xl/media/image27.jpeg?ContentType=image/jpeg">
        <DigestMethod Algorithm="http://www.w3.org/2001/04/xmlenc#sha256"/>
        <DigestValue>FcUTWskX8CcztHX9n4Vfhj4AiWaIBKGLuHiQJzhdkZc=</DigestValue>
      </Reference>
      <Reference URI="/xl/media/image28.jpeg?ContentType=image/jpeg">
        <DigestMethod Algorithm="http://www.w3.org/2001/04/xmlenc#sha256"/>
        <DigestValue>rA1A9Pcv07CskUbBok1MNurLJg0sxuasS6Zy6/G4oY8=</DigestValue>
      </Reference>
      <Reference URI="/xl/media/image29.jpeg?ContentType=image/jpeg">
        <DigestMethod Algorithm="http://www.w3.org/2001/04/xmlenc#sha256"/>
        <DigestValue>ZRfxPfnkH2n6UF8fqiyClp0K9Dexz/bWYgQ/pPn7fyQ=</DigestValue>
      </Reference>
      <Reference URI="/xl/media/image3.jpeg?ContentType=image/jpeg">
        <DigestMethod Algorithm="http://www.w3.org/2001/04/xmlenc#sha256"/>
        <DigestValue>h4n03QMnjmEjZ7Z2m45Un4r/U0edTBPQFWtweQRfvxM=</DigestValue>
      </Reference>
      <Reference URI="/xl/media/image4.emf?ContentType=image/x-emf">
        <DigestMethod Algorithm="http://www.w3.org/2001/04/xmlenc#sha256"/>
        <DigestValue>Mz8/91Ff+EB+ca2ZbstKZ4fwB6zkzqeAaCFdTltncGI=</DigestValue>
      </Reference>
      <Reference URI="/xl/media/image5.emf?ContentType=image/x-emf">
        <DigestMethod Algorithm="http://www.w3.org/2001/04/xmlenc#sha256"/>
        <DigestValue>nN2toY6MHk6PaJhOZ5D8VhiuTbs2KEqq0OlzogjIHWY=</DigestValue>
      </Reference>
      <Reference URI="/xl/media/image6.jpeg?ContentType=image/jpeg">
        <DigestMethod Algorithm="http://www.w3.org/2001/04/xmlenc#sha256"/>
        <DigestValue>/jMddqA4GGY24Qvm8G+83DaAg3DGaT9ePu49a39Ijy0=</DigestValue>
      </Reference>
      <Reference URI="/xl/media/image7.jpeg?ContentType=image/jpeg">
        <DigestMethod Algorithm="http://www.w3.org/2001/04/xmlenc#sha256"/>
        <DigestValue>0g6ghVbXntqZoEWNPC4J9KAbMu8F2oj7F5Dbs0d3zwE=</DigestValue>
      </Reference>
      <Reference URI="/xl/media/image8.jpeg?ContentType=image/jpeg">
        <DigestMethod Algorithm="http://www.w3.org/2001/04/xmlenc#sha256"/>
        <DigestValue>ak1W1oyUPe70KJKnEUv9DwIyJTtXVg1OKjwdqcXpRf0=</DigestValue>
      </Reference>
      <Reference URI="/xl/media/image9.jpeg?ContentType=image/jpeg">
        <DigestMethod Algorithm="http://www.w3.org/2001/04/xmlenc#sha256"/>
        <DigestValue>9F9lyKNlJkqqcUNwkEBaDFgdktYqbisnc+LpVyJ4u3g=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VQn2jpVUdD9XUs5e1O/+vZ7MqUjLajJrsQ05HGKkpls=</DigestValue>
      </Reference>
      <Reference URI="/xl/styles.xml?ContentType=application/vnd.openxmlformats-officedocument.spreadsheetml.styles+xml">
        <DigestMethod Algorithm="http://www.w3.org/2001/04/xmlenc#sha256"/>
        <DigestValue>3OOQ8azyFdwCnQrhnWgR6D60hm0PQLz75xqCrGCnE+U=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YJITOu6iFJkKCkn5jLkqmFKDUowy+AfQwwADPHaA9oY=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mTJ6f7uZYcfHB3OZ9v0hcSzEi0eBcWz4+pbxjFlu8vI=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DPbpTmnQc2WGw2UEpv7dYjGJbmK5JYc6F/1np4yCS4E=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PJnnkIoTWA5H9Vl1gfXuSB3IOUSPgxDeLKH82Ct1W/Y=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M5S5r/VuDqIXKu2JN+G+lhD9Zxr0Ibrwui54IKDvkss=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Pkpe2ncPkQ4ywdQvWiU7JduahD4VrMd8Ry0GvJTXJ64=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9cg8PvYRhcF0mzdl+LSvIz2TGzbMdBV2dbDjHP5Euno=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sheet1.xml?ContentType=application/vnd.openxmlformats-officedocument.spreadsheetml.worksheet+xml">
        <DigestMethod Algorithm="http://www.w3.org/2001/04/xmlenc#sha256"/>
        <DigestValue>GSZIkdUH3Q7BIZoXzQ/ZX/Ah14NoJZSpShijttuC11s=</DigestValue>
      </Reference>
      <Reference URI="/xl/worksheets/sheet10.xml?ContentType=application/vnd.openxmlformats-officedocument.spreadsheetml.worksheet+xml">
        <DigestMethod Algorithm="http://www.w3.org/2001/04/xmlenc#sha256"/>
        <DigestValue>Y780GdWYwJ5SivF61AiIbejRZDmzgyws5Sac58z7B+U=</DigestValue>
      </Reference>
      <Reference URI="/xl/worksheets/sheet11.xml?ContentType=application/vnd.openxmlformats-officedocument.spreadsheetml.worksheet+xml">
        <DigestMethod Algorithm="http://www.w3.org/2001/04/xmlenc#sha256"/>
        <DigestValue>WPjY5Ytjeoy2a0tq0212Pvxm4uPxtmpV8YE+wmmiAp4=</DigestValue>
      </Reference>
      <Reference URI="/xl/worksheets/sheet12.xml?ContentType=application/vnd.openxmlformats-officedocument.spreadsheetml.worksheet+xml">
        <DigestMethod Algorithm="http://www.w3.org/2001/04/xmlenc#sha256"/>
        <DigestValue>aUJUpvFnIpynUH/JyvGcCsJcgS633buKX8kmawYCpR4=</DigestValue>
      </Reference>
      <Reference URI="/xl/worksheets/sheet13.xml?ContentType=application/vnd.openxmlformats-officedocument.spreadsheetml.worksheet+xml">
        <DigestMethod Algorithm="http://www.w3.org/2001/04/xmlenc#sha256"/>
        <DigestValue>x7alFk0IFM6fcg5Hxb7Dlfr5hX0jeJFMZOxTbd/phdU=</DigestValue>
      </Reference>
      <Reference URI="/xl/worksheets/sheet14.xml?ContentType=application/vnd.openxmlformats-officedocument.spreadsheetml.worksheet+xml">
        <DigestMethod Algorithm="http://www.w3.org/2001/04/xmlenc#sha256"/>
        <DigestValue>QndEC1pgOOp1grfmj9KmghpzERsyEAq/qxprrYcXXzM=</DigestValue>
      </Reference>
      <Reference URI="/xl/worksheets/sheet15.xml?ContentType=application/vnd.openxmlformats-officedocument.spreadsheetml.worksheet+xml">
        <DigestMethod Algorithm="http://www.w3.org/2001/04/xmlenc#sha256"/>
        <DigestValue>4yu/Jqrlqm2ZUkZAROEWqW01t/ZSrYFVpzgrDd+ReJ0=</DigestValue>
      </Reference>
      <Reference URI="/xl/worksheets/sheet16.xml?ContentType=application/vnd.openxmlformats-officedocument.spreadsheetml.worksheet+xml">
        <DigestMethod Algorithm="http://www.w3.org/2001/04/xmlenc#sha256"/>
        <DigestValue>2h/ja/yFF9Z/GtyooHbXoXE6n0Qbl3A3kGNoTWZ3ipQ=</DigestValue>
      </Reference>
      <Reference URI="/xl/worksheets/sheet17.xml?ContentType=application/vnd.openxmlformats-officedocument.spreadsheetml.worksheet+xml">
        <DigestMethod Algorithm="http://www.w3.org/2001/04/xmlenc#sha256"/>
        <DigestValue>P3X8ZlrPx5ny/CqbkddlXcgzS5oFtyTDmkI2voZNviE=</DigestValue>
      </Reference>
      <Reference URI="/xl/worksheets/sheet18.xml?ContentType=application/vnd.openxmlformats-officedocument.spreadsheetml.worksheet+xml">
        <DigestMethod Algorithm="http://www.w3.org/2001/04/xmlenc#sha256"/>
        <DigestValue>knZzRciAvdOZgsHkJTj+HbxeK2WTPAhOrmfpV40+pOM=</DigestValue>
      </Reference>
      <Reference URI="/xl/worksheets/sheet19.xml?ContentType=application/vnd.openxmlformats-officedocument.spreadsheetml.worksheet+xml">
        <DigestMethod Algorithm="http://www.w3.org/2001/04/xmlenc#sha256"/>
        <DigestValue>ejt8CFjsuG4XvclrJlPnaEGFqljfSsoe8j/6zTjgOxg=</DigestValue>
      </Reference>
      <Reference URI="/xl/worksheets/sheet2.xml?ContentType=application/vnd.openxmlformats-officedocument.spreadsheetml.worksheet+xml">
        <DigestMethod Algorithm="http://www.w3.org/2001/04/xmlenc#sha256"/>
        <DigestValue>3wZrZnf2A25ZLT3ptzAztZJukMtq4QFKfySGq0d0S6o=</DigestValue>
      </Reference>
      <Reference URI="/xl/worksheets/sheet20.xml?ContentType=application/vnd.openxmlformats-officedocument.spreadsheetml.worksheet+xml">
        <DigestMethod Algorithm="http://www.w3.org/2001/04/xmlenc#sha256"/>
        <DigestValue>4I+3IhJWDFzCTMgwpGspTDBDffFO9+Pw89xxA7+xjZk=</DigestValue>
      </Reference>
      <Reference URI="/xl/worksheets/sheet21.xml?ContentType=application/vnd.openxmlformats-officedocument.spreadsheetml.worksheet+xml">
        <DigestMethod Algorithm="http://www.w3.org/2001/04/xmlenc#sha256"/>
        <DigestValue>p6xuamu1m+VwxlDgUyUmGKNBlkLJif0ct9JVcCZX46M=</DigestValue>
      </Reference>
      <Reference URI="/xl/worksheets/sheet22.xml?ContentType=application/vnd.openxmlformats-officedocument.spreadsheetml.worksheet+xml">
        <DigestMethod Algorithm="http://www.w3.org/2001/04/xmlenc#sha256"/>
        <DigestValue>BVBOzkOCVoWasYia8rjAVoqzStPVKXkBut3qypoKuds=</DigestValue>
      </Reference>
      <Reference URI="/xl/worksheets/sheet23.xml?ContentType=application/vnd.openxmlformats-officedocument.spreadsheetml.worksheet+xml">
        <DigestMethod Algorithm="http://www.w3.org/2001/04/xmlenc#sha256"/>
        <DigestValue>8vtM+ddf9IGdzir+MvbCFD1E4nlRT/lL0vIENJAykWI=</DigestValue>
      </Reference>
      <Reference URI="/xl/worksheets/sheet24.xml?ContentType=application/vnd.openxmlformats-officedocument.spreadsheetml.worksheet+xml">
        <DigestMethod Algorithm="http://www.w3.org/2001/04/xmlenc#sha256"/>
        <DigestValue>xjpcSXXi+ew45rnUg/xJksPLWwqQmkJgrhcK8UbpN88=</DigestValue>
      </Reference>
      <Reference URI="/xl/worksheets/sheet25.xml?ContentType=application/vnd.openxmlformats-officedocument.spreadsheetml.worksheet+xml">
        <DigestMethod Algorithm="http://www.w3.org/2001/04/xmlenc#sha256"/>
        <DigestValue>JbZ1cw6zs3lYZpoYyaJHs91bTwjjku10UnokmP+SOZg=</DigestValue>
      </Reference>
      <Reference URI="/xl/worksheets/sheet26.xml?ContentType=application/vnd.openxmlformats-officedocument.spreadsheetml.worksheet+xml">
        <DigestMethod Algorithm="http://www.w3.org/2001/04/xmlenc#sha256"/>
        <DigestValue>j2QTwLV//O1UyaYuRB9yfwIX2dlhRsYqYUaBkMHWo4Y=</DigestValue>
      </Reference>
      <Reference URI="/xl/worksheets/sheet3.xml?ContentType=application/vnd.openxmlformats-officedocument.spreadsheetml.worksheet+xml">
        <DigestMethod Algorithm="http://www.w3.org/2001/04/xmlenc#sha256"/>
        <DigestValue>fuhyZj/K+XRgL+tqpwqQsOOLUj7L+H3069/GEr9mXWk=</DigestValue>
      </Reference>
      <Reference URI="/xl/worksheets/sheet4.xml?ContentType=application/vnd.openxmlformats-officedocument.spreadsheetml.worksheet+xml">
        <DigestMethod Algorithm="http://www.w3.org/2001/04/xmlenc#sha256"/>
        <DigestValue>l2kr0/NSeAZytLPgu1JcCRLaMWxwwfAgv1CWCInfJS8=</DigestValue>
      </Reference>
      <Reference URI="/xl/worksheets/sheet5.xml?ContentType=application/vnd.openxmlformats-officedocument.spreadsheetml.worksheet+xml">
        <DigestMethod Algorithm="http://www.w3.org/2001/04/xmlenc#sha256"/>
        <DigestValue>QTiB5/Sn6zJ7lHMS0g7tHVPvZN2y2sEogxl342wgseU=</DigestValue>
      </Reference>
      <Reference URI="/xl/worksheets/sheet6.xml?ContentType=application/vnd.openxmlformats-officedocument.spreadsheetml.worksheet+xml">
        <DigestMethod Algorithm="http://www.w3.org/2001/04/xmlenc#sha256"/>
        <DigestValue>elLjBRa/Zs4JDY1yQkRv6vAkpGzpt4kY+Q2wQANj+Ow=</DigestValue>
      </Reference>
      <Reference URI="/xl/worksheets/sheet7.xml?ContentType=application/vnd.openxmlformats-officedocument.spreadsheetml.worksheet+xml">
        <DigestMethod Algorithm="http://www.w3.org/2001/04/xmlenc#sha256"/>
        <DigestValue>KXWWm6YlscSc8nxPBmAK5mmmRde7nWt9799tA2IjwUk=</DigestValue>
      </Reference>
      <Reference URI="/xl/worksheets/sheet8.xml?ContentType=application/vnd.openxmlformats-officedocument.spreadsheetml.worksheet+xml">
        <DigestMethod Algorithm="http://www.w3.org/2001/04/xmlenc#sha256"/>
        <DigestValue>dafen4RRzwCu4fqruVFj9bU/aMmQbY1GxPn/PMEJugw=</DigestValue>
      </Reference>
      <Reference URI="/xl/worksheets/sheet9.xml?ContentType=application/vnd.openxmlformats-officedocument.spreadsheetml.worksheet+xml">
        <DigestMethod Algorithm="http://www.w3.org/2001/04/xmlenc#sha256"/>
        <DigestValue>sh7dZCf3qQiehWgt/QkZlMnFC9Bxqc520vlDv+S9O+w=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2020-11-17T18:15:32Z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16.0.13328/21</OfficeVersion>
          <ApplicationVersion>16.0.13328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2020-11-17T18:15:32Z</xd:SigningTime>
          <xd:SigningCertificate>
            <xd:Cert>
              <xd:CertDigest>
                <DigestMethod Algorithm="http://www.w3.org/2001/04/xmlenc#sha256"/>
                <DigestValue>GQsR7B79TuiJjetnh6ceCIUU0UqUFHJw+U/NZq2v3/Y=</DigestValue>
              </xd:CertDigest>
              <xd:IssuerSerial>
                <X509IssuerName>C=PY, O=DOCUMENTA S.A., CN=CA-DOCUMENTA S.A., SERIALNUMBER=RUC 80050172-1</X509IssuerName>
                <X509SerialNumber>4276723198052391495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D8BAACfAAAAAAAAAAAAAABmFgAALAsAACBFTUYAAAEAO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IMln/X8AAAAgyWf9fwAAtN6yZ/1/AAAAAM3Y/X8AACVdQWf9fwAAMBbN2P1/AAC03rJn/X8AACAUAAAAAAAAQAAAwP1/AAAAAM3Y/X8AAPRfQWf9fwAABAAAAAAAAAAwFs3Y/X8AAFC1762eAAAAtN6yZwAAAABIAAAAAAAAALTesmf9fwAAKCPJZ/1/AAAA47Jn/X8AAAEAAAAAAAAAmgSzZ/1/AAAAAM3Y/X8AAAAAAAAAAAAAAAAAAKwBAAAQBAAAAAAAANA01d2sAQAAe2yw1v1/AAAgtu+tngAAALm2762eAAAAAAAAAAAAAAAAAAAAZHYACAAAAAAlAAAADAAAAAEAAAAYAAAADAAAAAAAAAASAAAADAAAAAEAAAAeAAAAGAAAAO4AAAAFAAAAMgEAABYAAAAlAAAADAAAAAEAAABUAAAAiAAAAO8AAAAFAAAAMAEAABUAAAABAAAAVVWPQYX2jkHvAAAABQAAAAoAAABMAAAAAAAAAAAAAAAAAAAA//////////9gAAAAMQA3AC8AMQAxAC8AMgAwADIAMA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AAAAAmC3urZ4AAAAAAAAAAAAAAIiu09b9fwAAAAAAAAAAAAAJAAAAAAAAAMAb4+2sAQAAZ19BZ/1/AAAAAAAAAAAAAAAAAAAAAAAArZJqDFwbAAAYL+6tngAAANgv7q2eAAAAoO365qwBAADQNNXdrAEAAEAw7q0AAAAAAAAAAAAAAAAHAAAAAAAAAAAAAAAAAAAAfC/urZ4AAAC5L+6tngAAALGzrNb9fwAAIEhy7awBAADAvztnAAAAAAAAAAAAAAAAIEhy7awBAADQNNXdrAEAAHtssNb9fwAAIC/urZ4AAAC5L+6tngAAAAAAAAAAAA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CgAAAAAAAAAg3dFm/X8AANCQHO6sAQAAiK7T1v1/AAAAAAAAAAAAANgmYGb9fwAAAMLRZv1/AAABAAAAAAAAAAAAAAAAAAAAAAAAAAAAAAAtkmoMXBsAAAAAAAAAAAAAWDPurZ4AAADg////AAAAANA01d2sAQAA2C/urQAAAAAAAAAAAAAAAAYAAAAAAAAAAAAAAAAAAAD8Lu6tngAAADkv7q2eAAAAsbOs1v1/AADAG+PtrAEAAAAAAAAAAAAAwBvj7awBAABSjl9m/X8AANA01d2sAQAAe2yw1v1/AACgLu6tngAAADkv7q2eAAAAAAAAAAAAAAAAAAAAZHYACAAAAAAlAAAADAAAAAMAAAAYAAAADAAAAAAAAAASAAAADAAAAAEAAAAWAAAADAAAAAgAAABUAAAAVAAAAAwAAAA3AAAAIAAAAFoAAAABAAAAVVWPQYX2jkEMAAAAWwAAAAEAAABMAAAABAAAAAsAAAA3AAAAIgAAAFsAAABQAAAAWAAA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dAAAAVgAAADAAAAA7AAAAbgAAABwAAAAhAPAAAAAAAAAAAAAAAIA/AAAAAAAAAAAAAIA/AAAAAAAAAAAAAAAAAAAAAAAAAAAAAAAAAAAAAAAAAAAlAAAADAAAAAAAAIAoAAAADAAAAAQAAABSAAAAcAEAAAQAAADs////AAAAAAAAAAAAAAAAkAEAAAAAAAEAAAAAcwBlAGcAbwBlACAAdQBpAAAAAAAAAAAAAAAAAAAAAAAAAAAAAAAAAAAAAAAAAAAAAAAAAAAAAAAAAAAAAAAAAAAANEC4S9Fm/X8AAAAAAAD/////AAEBAAAAoD+IrtPW/X8AAAAAAAAAAAAAgG427qwBAABgN+6tngAAALhL0Wb9fwAAAAAAAAAAAAAAAAAAAAAAAH2SagxcGwAAAAAAAP////8AAAAAAAEAAOz///8AAAAA0DTV3awBAAAoMO6tAAAAAAAAAAAAAAAACQAAAAAAAAAAAAAAAAAAAEwv7q2eAAAAiS/urZ4AAACxs6zW/X8AAEgb4+2sAQAAAAAAAAAAAABIG+PtrAEAAAAAAAAAAAAA0DTV3awBAAB7bLDW/X8AAPAu7q2eAAAAiS/urZ4AAAAAAAAAAAAAAAAAAABkdgAIAAAAACUAAAAMAAAABAAAABgAAAAMAAAAAAAAABIAAAAMAAAAAQAAAB4AAAAYAAAAMAAAADsAAACeAAAAVwAAACUAAAAMAAAABAAAAFQAAACUAAAAMQAAADsAAACcAAAAVgAAAAEAAABVVY9BhfaOQTEAAAA7AAAADAAAAEwAAAAAAAAAAAAAAAAAAAD//////////2QAAABTAGEAZAB5ACAAUABlAHIAZQBpAHIAYQALAAAACgAAAAwAAAAKAAAABQAAAAsAAAAKAAAABwAAAAo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YX2jk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LAsAACBFTUYAAAEAtCE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AgyWf9fwAAACDJZ/1/AAC03rJn/X8AAAAAzdj9fwAAJV1BZ/1/AAAwFs3Y/X8AALTesmf9fwAAIBQAAAAAAABAAADA/X8AAAAAzdj9fwAA9F9BZ/1/AAAEAAAAAAAAADAWzdj9fwAAULXvrZ4AAAC03rJnAAAAAEgAAAAAAAAAtN6yZ/1/AAAoI8ln/X8AAADjsmf9fwAAAQAAAAAAAACaBLNn/X8AAAAAzdj9fwAAAAAAAAAAAAAAAAAArAEAABAEAAAAAAAA0DTV3awBAAB7bLDW/X8AACC2762eAAAAubbvrZ4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gt7q2eAAAAAAAAAAAAAACIrtPW/X8AAAAAAAAAAAAACQAAAAAAAADAG+PtrAEAAGdfQWf9fwAAAAAAAAAAAAAAAAAAAAAAAK2SagxcGwAAGC/urZ4AAADYL+6tngAAAKDt+uasAQAA0DTV3awBAABAMO6tAAAAAAAAAAAAAAAABwAAAAAAAAAAAAAAAAAAAHwv7q2eAAAAuS/urZ4AAACxs6zW/X8AACBIcu2sAQAAwL87ZwAAAAAAAAAAAAAAACBIcu2sAQAA0DTV3awBAAB7bLDW/X8AACAv7q2eAAAAuS/urZ4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oAAAAAAAAAIN3RZv1/AADQkBzurAEAAIiu09b9fwAAAAAAAAAAAADYJmBm/X8AAADC0Wb9fwAAAQAAAAAAAAAAAAAAAAAAAAAAAAAAAAAALZJqDFwbAAAAAAAAAAAAAFgz7q2eAAAA4P///wAAAADQNNXdrAEAANgv7q0AAAAAAAAAAAAAAAAGAAAAAAAAAAAAAAAAAAAA/C7urZ4AAAA5L+6tngAAALGzrNb9fwAAwBvj7awBAAAAAAAAAAAAAMAb4+2sAQAAUo5fZv1/AADQNNXdrAEAAHtssNb9fwAAoC7urZ4AAAA5L+6tngAAAAAAAAAAAAAAAAAAAGR2AAgAAAAAJQAAAAwAAAADAAAAGAAAAAwAAAAAAAAAEgAAAAwAAAABAAAAFgAAAAwAAAAIAAAAVAAAAFQAAAAMAAAANwAAACAAAABaAAAAAQAAAFVVj0GF9o5BDAAAAFsAAAABAAAATAAAAAQAAAALAAAANwAAACIAAABbAAAAUAAAAFgAaQ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nQAAAFYAAAAwAAAAOwAAAG4AAAAcAAAAIQDwAAAAAAAAAAAAAACAPwAAAAAAAAAAAACAPwAAAAAAAAAAAAAAAAAAAAAAAAAAAAAAAAAAAAAAAAAAJQAAAAwAAAAAAACAKAAAAAwAAAAEAAAAUgAAAHABAAAEAAAA7P///wAAAAAAAAAAAAAAAJABAAAAAAABAAAAAHMAZQBnAG8AZQAgAHUAaQAAAAAAAAAAAAAAAAAAAAAAAAAAAAAAAAAAAAAAAAAAAAAAAAAAAAAAAAAAAAAAAAAAADRAuEvRZv1/AAAAAAAA/////wABAQAAAKA/iK7T1v1/AAAAAAAAAAAAAIBuNu6sAQAAYDfurZ4AAAC4S9Fm/X8AAAAAAAAAAAAAAAAAAAAAAAB9kmoMXBsAAAAAAAD/////AAAAAAABAADs////AAAAANA01d2sAQAAKDDurQAAAAAAAAAAAAAAAAkAAAAAAAAAAAAAAAAAAABML+6tngAAAIkv7q2eAAAAsbOs1v1/AABIG+PtrAEAAAAAAAAAAAAASBvj7awBAAAAAAAAAAAAANA01d2sAQAAe2yw1v1/AADwLu6tngAAAIkv7q2eAAAAAAAAAAAAAAAAAAAAZHYACAAAAAAlAAAADAAAAAQAAAAYAAAADAAAAAAAAAASAAAADAAAAAEAAAAeAAAAGAAAADAAAAA7AAAAngAAAFcAAAAlAAAADAAAAAQAAABUAAAAlAAAADEAAAA7AAAAnAAAAFYAAAABAAAAVVWPQYX2jkExAAAAOwAAAAwAAABMAAAAAAAAAAAAAAAAAAAA//////////9kAAAAUwBhAGQAeQAgAFAAZQByAGUAaQByAGE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//////////ZAAAAFMAYQBkAHkAIABQAGUAcgBlAGkAcgBh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//////////XAAAAEMAbwBuAHQAYQBkAG8AcgAIAAAACAAAAAcAAAAEAAAABwAAAAgAAAAIAAAABQAAAEsAAABAAAAAMAAAAAUAAAAgAAAAAQAAAAEAAAAQAAAAAAAAAAAAAABAAQAAoAAAAAAAAAAAAAAAQAEAAKAAAAAlAAAADAAAAAIAAAAnAAAAGAAAAAUAAAAAAAAA////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Indice</vt:lpstr>
      <vt:lpstr>Balance Gral. Resol. 6</vt:lpstr>
      <vt:lpstr>Estado de Resultado Resol. 6</vt:lpstr>
      <vt:lpstr>Flujo de Efectivo Resol. Res 6</vt:lpstr>
      <vt:lpstr>Estado de Variacion PN </vt:lpstr>
      <vt:lpstr>NOTA A LOS ESTADOS CONTA. 1-4</vt:lpstr>
      <vt:lpstr>NOTA 5 A-C CRITERIOS ESPECIF.OK</vt:lpstr>
      <vt:lpstr>NOTA D - DISPONIBILIDADES ok</vt:lpstr>
      <vt:lpstr>NOTA E - INVERSIONES ok</vt:lpstr>
      <vt:lpstr>NOTA F - CREDITOSok</vt:lpstr>
      <vt:lpstr>NOTA G BIENES DE USOok</vt:lpstr>
      <vt:lpstr>NOTA H CARGOS DIFERIDOSok</vt:lpstr>
      <vt:lpstr> NOTA I INTANGIBLESok</vt:lpstr>
      <vt:lpstr>NOTA J OTROS ACTIVOS CTES Y NO </vt:lpstr>
      <vt:lpstr>NOTA K PRESTAMOSok</vt:lpstr>
      <vt:lpstr>NOTA L DOCUM y CTAS A PAG OK</vt:lpstr>
      <vt:lpstr>NOTAS M-Q ACREED CP OK</vt:lpstr>
      <vt:lpstr>NOTA R SALDOS Y TRANSACC ok</vt:lpstr>
      <vt:lpstr>NOTA S RESULTADOS CON PERS ok</vt:lpstr>
      <vt:lpstr> NOTA T PATRIMONIO U PREVIS OK</vt:lpstr>
      <vt:lpstr>NOTA V INGRESOS OPERATIVOS OK</vt:lpstr>
      <vt:lpstr>NOTA W OTROS GASTOS OPER OK</vt:lpstr>
      <vt:lpstr>NOTA X OTROS INGRESOS Y EGR OK</vt:lpstr>
      <vt:lpstr>NOTA Y RESULTADOS FINANC OK</vt:lpstr>
      <vt:lpstr>NOTA Z RESULT EXTRA no</vt:lpstr>
      <vt:lpstr>NOTA 6 INFORMACION REFERENTE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dcterms:created xsi:type="dcterms:W3CDTF">2019-11-21T14:06:50Z</dcterms:created>
  <dcterms:modified xsi:type="dcterms:W3CDTF">2020-11-17T18:15:20Z</dcterms:modified>
  <cp:category/>
  <cp:contentStatus/>
</cp:coreProperties>
</file>